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229"/>
  <workbookPr/>
  <mc:AlternateContent xmlns:mc="http://schemas.openxmlformats.org/markup-compatibility/2006">
    <mc:Choice Requires="x15">
      <x15ac:absPath xmlns:x15ac="http://schemas.microsoft.com/office/spreadsheetml/2010/11/ac" url="C:\Users\18swa\.PyCharmCE2017.1\config\scratches\"/>
    </mc:Choice>
  </mc:AlternateContent>
  <bookViews>
    <workbookView xWindow="0" yWindow="0" windowWidth="23040" windowHeight="9204" activeTab="1"/>
  </bookViews>
  <sheets>
    <sheet name="Output Text" sheetId="1" r:id="rId1"/>
    <sheet name="AAN" sheetId="2" r:id="rId2"/>
    <sheet name="ARCB" sheetId="3" r:id="rId3"/>
    <sheet name="B" sheetId="4" r:id="rId4"/>
    <sheet name="BVI.PA" sheetId="5" r:id="rId5"/>
    <sheet name="CIR" sheetId="6" r:id="rId6"/>
    <sheet name="600452.SS" sheetId="7" r:id="rId7"/>
    <sheet name="CIVB" sheetId="8" r:id="rId8"/>
    <sheet name="CFX" sheetId="9" r:id="rId9"/>
    <sheet name="DBV.PA" sheetId="10" r:id="rId10"/>
    <sheet name="UFS.TO" sheetId="11" r:id="rId11"/>
  </sheets>
  <calcPr calcId="171027"/>
</workbook>
</file>

<file path=xl/calcChain.xml><?xml version="1.0" encoding="utf-8"?>
<calcChain xmlns="http://schemas.openxmlformats.org/spreadsheetml/2006/main">
  <c r="C538" i="11" l="1"/>
  <c r="L533" i="11"/>
  <c r="C532" i="11"/>
  <c r="L524" i="11"/>
  <c r="K524" i="11"/>
  <c r="I524" i="11"/>
  <c r="J533" i="11" s="1"/>
  <c r="C523" i="11"/>
  <c r="I522" i="11"/>
  <c r="I521" i="11"/>
  <c r="I520" i="11"/>
  <c r="I519" i="11"/>
  <c r="C518" i="11"/>
  <c r="C514" i="11"/>
  <c r="C510" i="11"/>
  <c r="C527" i="11" s="1"/>
  <c r="D533" i="11" s="1"/>
  <c r="P507" i="11"/>
  <c r="J507" i="11"/>
  <c r="I507" i="11"/>
  <c r="AK498" i="11"/>
  <c r="AK503" i="11" s="1"/>
  <c r="AK504" i="11" s="1"/>
  <c r="Z498" i="11"/>
  <c r="X497" i="11"/>
  <c r="X500" i="11" s="1"/>
  <c r="X501" i="11" s="1"/>
  <c r="S496" i="11"/>
  <c r="S495" i="11"/>
  <c r="S494" i="11"/>
  <c r="U493" i="11"/>
  <c r="S493" i="11"/>
  <c r="U492" i="11"/>
  <c r="S492" i="11"/>
  <c r="U491" i="11"/>
  <c r="S491" i="11"/>
  <c r="AK490" i="11"/>
  <c r="AE490" i="11"/>
  <c r="Y490" i="11"/>
  <c r="X489" i="11"/>
  <c r="X494" i="11" s="1"/>
  <c r="X495" i="11" s="1"/>
  <c r="U489" i="11"/>
  <c r="D489" i="11"/>
  <c r="Q488" i="11"/>
  <c r="Q493" i="11" s="1"/>
  <c r="Q494" i="11" s="1"/>
  <c r="J488" i="11"/>
  <c r="J489" i="11" s="1"/>
  <c r="D488" i="11"/>
  <c r="AK487" i="11"/>
  <c r="AK488" i="11" s="1"/>
  <c r="D487" i="11"/>
  <c r="D486" i="11"/>
  <c r="J485" i="11"/>
  <c r="J490" i="11" s="1"/>
  <c r="J491" i="11" s="1"/>
  <c r="D485" i="11"/>
  <c r="D484" i="11"/>
  <c r="D483" i="11"/>
  <c r="AK482" i="11"/>
  <c r="AK485" i="11" s="1"/>
  <c r="AK486" i="11" s="1"/>
  <c r="Q482" i="11"/>
  <c r="Q483" i="11" s="1"/>
  <c r="D482" i="11"/>
  <c r="X481" i="11"/>
  <c r="C516" i="11" s="1"/>
  <c r="F480" i="11"/>
  <c r="D480" i="11"/>
  <c r="D481" i="11" s="1"/>
  <c r="Q479" i="11"/>
  <c r="Q484" i="11" s="1"/>
  <c r="Q485" i="11" s="1"/>
  <c r="F478" i="11"/>
  <c r="AK477" i="11"/>
  <c r="AK478" i="11" s="1"/>
  <c r="L476" i="11"/>
  <c r="H476" i="11"/>
  <c r="AB498" i="11" s="1"/>
  <c r="G476" i="11"/>
  <c r="AA498" i="11" s="1"/>
  <c r="F476" i="11"/>
  <c r="E476" i="11"/>
  <c r="E507" i="11" s="1"/>
  <c r="L507" i="11" s="1"/>
  <c r="D476" i="11"/>
  <c r="Q489" i="11" s="1"/>
  <c r="AK475" i="11"/>
  <c r="AK476" i="11" s="1"/>
  <c r="K475" i="11"/>
  <c r="K480" i="11" s="1"/>
  <c r="K481" i="11" s="1"/>
  <c r="D475" i="11"/>
  <c r="C508" i="11" s="1"/>
  <c r="X474" i="11"/>
  <c r="X475" i="11" s="1"/>
  <c r="AK472" i="11"/>
  <c r="L471" i="11"/>
  <c r="AB470" i="11"/>
  <c r="AA470" i="11"/>
  <c r="Y470" i="11"/>
  <c r="X470" i="11"/>
  <c r="Q470" i="11"/>
  <c r="L470" i="11"/>
  <c r="X469" i="11"/>
  <c r="H524" i="11" s="1"/>
  <c r="I533" i="11" s="1"/>
  <c r="N469" i="11"/>
  <c r="L469" i="11"/>
  <c r="S468" i="11"/>
  <c r="N468" i="11"/>
  <c r="L468" i="11"/>
  <c r="S467" i="11"/>
  <c r="AE466" i="11"/>
  <c r="AE467" i="11" s="1"/>
  <c r="S466" i="11"/>
  <c r="N466" i="11"/>
  <c r="M466" i="11"/>
  <c r="L466" i="11"/>
  <c r="K466" i="11"/>
  <c r="J466" i="11"/>
  <c r="U465" i="11"/>
  <c r="S465" i="11"/>
  <c r="J465" i="11"/>
  <c r="AE464" i="11"/>
  <c r="AE465" i="11" s="1"/>
  <c r="U464" i="11"/>
  <c r="S464" i="11"/>
  <c r="U463" i="11"/>
  <c r="S463" i="11"/>
  <c r="AL462" i="11"/>
  <c r="AB462" i="11"/>
  <c r="AA462" i="11"/>
  <c r="Z462" i="11"/>
  <c r="Y462" i="11"/>
  <c r="X462" i="11"/>
  <c r="AK461" i="11"/>
  <c r="AE461" i="11"/>
  <c r="X461" i="11"/>
  <c r="U461" i="11"/>
  <c r="T461" i="11"/>
  <c r="S461" i="11"/>
  <c r="R461" i="11"/>
  <c r="Q461" i="11"/>
  <c r="Q460" i="11"/>
  <c r="BA455" i="11"/>
  <c r="AZ455" i="11"/>
  <c r="AB454" i="11"/>
  <c r="AA454" i="11"/>
  <c r="Z454" i="11"/>
  <c r="Y454" i="11"/>
  <c r="X454" i="11"/>
  <c r="AZ453" i="11"/>
  <c r="X453" i="11"/>
  <c r="AZ452" i="11"/>
  <c r="AK452" i="11"/>
  <c r="AK457" i="11" s="1"/>
  <c r="AK458" i="11" s="1"/>
  <c r="AZ451" i="11"/>
  <c r="AZ450" i="11"/>
  <c r="B450" i="11"/>
  <c r="AZ448" i="11"/>
  <c r="N399" i="11"/>
  <c r="M399" i="11"/>
  <c r="L399" i="11"/>
  <c r="K399" i="11"/>
  <c r="J399" i="11"/>
  <c r="N398" i="11"/>
  <c r="M398" i="11"/>
  <c r="L398" i="11"/>
  <c r="K398" i="11"/>
  <c r="J398" i="11"/>
  <c r="N397" i="11"/>
  <c r="M397" i="11"/>
  <c r="L397" i="11"/>
  <c r="K397" i="11"/>
  <c r="J397" i="11"/>
  <c r="I397" i="11" s="1"/>
  <c r="N396" i="11"/>
  <c r="M396" i="11"/>
  <c r="L396" i="11"/>
  <c r="K396" i="11"/>
  <c r="J396" i="11"/>
  <c r="N395" i="11"/>
  <c r="M395" i="11"/>
  <c r="L395" i="11"/>
  <c r="K395" i="11"/>
  <c r="J395" i="11"/>
  <c r="N394" i="11"/>
  <c r="M394" i="11"/>
  <c r="L394" i="11"/>
  <c r="K394" i="11"/>
  <c r="J394" i="11"/>
  <c r="N393" i="11"/>
  <c r="M393" i="11"/>
  <c r="L393" i="11"/>
  <c r="K393" i="11"/>
  <c r="J393" i="11"/>
  <c r="I393" i="11" s="1"/>
  <c r="N392" i="11"/>
  <c r="M392" i="11"/>
  <c r="L392" i="11"/>
  <c r="K392" i="11"/>
  <c r="J392" i="11"/>
  <c r="I392" i="11" s="1"/>
  <c r="N391" i="11"/>
  <c r="M391" i="11"/>
  <c r="L391" i="11"/>
  <c r="K391" i="11"/>
  <c r="I391" i="11" s="1"/>
  <c r="J391" i="11"/>
  <c r="N390" i="11"/>
  <c r="M390" i="11"/>
  <c r="L390" i="11"/>
  <c r="K390" i="11"/>
  <c r="J390" i="11"/>
  <c r="I390" i="11" s="1"/>
  <c r="N389" i="11"/>
  <c r="M389" i="11"/>
  <c r="L389" i="11"/>
  <c r="K389" i="11"/>
  <c r="I389" i="11" s="1"/>
  <c r="J389" i="11"/>
  <c r="N388" i="11"/>
  <c r="M388" i="11"/>
  <c r="L388" i="11"/>
  <c r="K388" i="11"/>
  <c r="J388" i="11"/>
  <c r="I388" i="11" s="1"/>
  <c r="N387" i="11"/>
  <c r="M387" i="11"/>
  <c r="L387" i="11"/>
  <c r="K387" i="11"/>
  <c r="I387" i="11" s="1"/>
  <c r="J387" i="11"/>
  <c r="N386" i="11"/>
  <c r="M386" i="11"/>
  <c r="L386" i="11"/>
  <c r="K386" i="11"/>
  <c r="J386" i="11"/>
  <c r="I386" i="11" s="1"/>
  <c r="N385" i="11"/>
  <c r="M385" i="11"/>
  <c r="L385" i="11"/>
  <c r="K385" i="11"/>
  <c r="I385" i="11" s="1"/>
  <c r="J385" i="11"/>
  <c r="N384" i="11"/>
  <c r="M384" i="11"/>
  <c r="L384" i="11"/>
  <c r="K384" i="11"/>
  <c r="J384" i="11"/>
  <c r="I384" i="11" s="1"/>
  <c r="N383" i="11"/>
  <c r="M383" i="11"/>
  <c r="L383" i="11"/>
  <c r="K383" i="11"/>
  <c r="I383" i="11" s="1"/>
  <c r="J383" i="11"/>
  <c r="N382" i="11"/>
  <c r="M382" i="11"/>
  <c r="L382" i="11"/>
  <c r="K382" i="11"/>
  <c r="J382" i="11"/>
  <c r="I382" i="11" s="1"/>
  <c r="N381" i="11"/>
  <c r="M381" i="11"/>
  <c r="L381" i="11"/>
  <c r="K381" i="11"/>
  <c r="I381" i="11" s="1"/>
  <c r="J381" i="11"/>
  <c r="N380" i="11"/>
  <c r="M380" i="11"/>
  <c r="L380" i="11"/>
  <c r="K380" i="11"/>
  <c r="J380" i="11"/>
  <c r="I380" i="11" s="1"/>
  <c r="N379" i="11"/>
  <c r="M379" i="11"/>
  <c r="L379" i="11"/>
  <c r="K379" i="11"/>
  <c r="I379" i="11" s="1"/>
  <c r="J379" i="11"/>
  <c r="N378" i="11"/>
  <c r="M378" i="11"/>
  <c r="L378" i="11"/>
  <c r="K378" i="11"/>
  <c r="J378" i="11"/>
  <c r="I378" i="11" s="1"/>
  <c r="N377" i="11"/>
  <c r="M377" i="11"/>
  <c r="L377" i="11"/>
  <c r="K377" i="11"/>
  <c r="I377" i="11" s="1"/>
  <c r="J377" i="11"/>
  <c r="N376" i="11"/>
  <c r="M376" i="11"/>
  <c r="L376" i="11"/>
  <c r="K376" i="11"/>
  <c r="J376" i="11"/>
  <c r="I376" i="11" s="1"/>
  <c r="N375" i="11"/>
  <c r="M375" i="11"/>
  <c r="L375" i="11"/>
  <c r="K375" i="11"/>
  <c r="I375" i="11" s="1"/>
  <c r="J375" i="11"/>
  <c r="N374" i="11"/>
  <c r="M374" i="11"/>
  <c r="L374" i="11"/>
  <c r="K374" i="11"/>
  <c r="J374" i="11"/>
  <c r="I374" i="11" s="1"/>
  <c r="N373" i="11"/>
  <c r="M373" i="11"/>
  <c r="L373" i="11"/>
  <c r="K373" i="11"/>
  <c r="I373" i="11" s="1"/>
  <c r="J373" i="11"/>
  <c r="N372" i="11"/>
  <c r="M372" i="11"/>
  <c r="L372" i="11"/>
  <c r="K372" i="11"/>
  <c r="J372" i="11"/>
  <c r="I372" i="11" s="1"/>
  <c r="N371" i="11"/>
  <c r="M371" i="11"/>
  <c r="L371" i="11"/>
  <c r="K371" i="11"/>
  <c r="I371" i="11" s="1"/>
  <c r="J371" i="11"/>
  <c r="N370" i="11"/>
  <c r="M370" i="11"/>
  <c r="L370" i="11"/>
  <c r="K370" i="11"/>
  <c r="J370" i="11"/>
  <c r="I370" i="11" s="1"/>
  <c r="N369" i="11"/>
  <c r="M369" i="11"/>
  <c r="L369" i="11"/>
  <c r="K369" i="11"/>
  <c r="I369" i="11" s="1"/>
  <c r="J369" i="11"/>
  <c r="N368" i="11"/>
  <c r="M368" i="11"/>
  <c r="L368" i="11"/>
  <c r="K368" i="11"/>
  <c r="J368" i="11"/>
  <c r="I368" i="11" s="1"/>
  <c r="N367" i="11"/>
  <c r="M367" i="11"/>
  <c r="L367" i="11"/>
  <c r="K367" i="11"/>
  <c r="I367" i="11" s="1"/>
  <c r="J367" i="11"/>
  <c r="N366" i="11"/>
  <c r="M366" i="11"/>
  <c r="L366" i="11"/>
  <c r="K366" i="11"/>
  <c r="J366" i="11"/>
  <c r="I366" i="11" s="1"/>
  <c r="N365" i="11"/>
  <c r="M365" i="11"/>
  <c r="L365" i="11"/>
  <c r="K365" i="11"/>
  <c r="I365" i="11" s="1"/>
  <c r="J365" i="11"/>
  <c r="N364" i="11"/>
  <c r="M364" i="11"/>
  <c r="L364" i="11"/>
  <c r="K364" i="11"/>
  <c r="J364" i="11"/>
  <c r="I364" i="11" s="1"/>
  <c r="N363" i="11"/>
  <c r="M363" i="11"/>
  <c r="L363" i="11"/>
  <c r="K363" i="11"/>
  <c r="I363" i="11" s="1"/>
  <c r="J363" i="11"/>
  <c r="N362" i="11"/>
  <c r="M362" i="11"/>
  <c r="L362" i="11"/>
  <c r="K362" i="11"/>
  <c r="J362" i="11"/>
  <c r="I362" i="11" s="1"/>
  <c r="N361" i="11"/>
  <c r="M361" i="11"/>
  <c r="L361" i="11"/>
  <c r="K361" i="11"/>
  <c r="I361" i="11" s="1"/>
  <c r="J361" i="11"/>
  <c r="V360" i="11"/>
  <c r="N360" i="11"/>
  <c r="M360" i="11"/>
  <c r="L360" i="11"/>
  <c r="K360" i="11"/>
  <c r="J360" i="11"/>
  <c r="N359" i="11"/>
  <c r="M359" i="11"/>
  <c r="L359" i="11"/>
  <c r="K359" i="11"/>
  <c r="J359" i="11"/>
  <c r="I359" i="11" s="1"/>
  <c r="N358" i="11"/>
  <c r="M358" i="11"/>
  <c r="L358" i="11"/>
  <c r="K358" i="11"/>
  <c r="J358" i="11"/>
  <c r="I358" i="11"/>
  <c r="N357" i="11"/>
  <c r="M357" i="11"/>
  <c r="L357" i="11"/>
  <c r="K357" i="11"/>
  <c r="J357" i="11"/>
  <c r="N356" i="11"/>
  <c r="M356" i="11"/>
  <c r="L356" i="11"/>
  <c r="K356" i="11"/>
  <c r="I356" i="11" s="1"/>
  <c r="J356" i="11"/>
  <c r="N355" i="11"/>
  <c r="M355" i="11"/>
  <c r="L355" i="11"/>
  <c r="K355" i="11"/>
  <c r="J355" i="11"/>
  <c r="I355" i="11" s="1"/>
  <c r="N354" i="11"/>
  <c r="M354" i="11"/>
  <c r="L354" i="11"/>
  <c r="K354" i="11"/>
  <c r="J354" i="11"/>
  <c r="I354" i="11"/>
  <c r="Z353" i="11"/>
  <c r="Y353" i="11"/>
  <c r="X353" i="11"/>
  <c r="W353" i="11"/>
  <c r="V353" i="11"/>
  <c r="N353" i="11"/>
  <c r="M353" i="11"/>
  <c r="L353" i="11"/>
  <c r="T353" i="11" s="1"/>
  <c r="K353" i="11"/>
  <c r="I353" i="11" s="1"/>
  <c r="J353" i="11"/>
  <c r="AE352" i="11"/>
  <c r="BE352" i="11" s="1"/>
  <c r="Z352" i="11"/>
  <c r="Y352" i="11"/>
  <c r="X352" i="11"/>
  <c r="W352" i="11"/>
  <c r="V352" i="11"/>
  <c r="N352" i="11"/>
  <c r="M352" i="11"/>
  <c r="L352" i="11"/>
  <c r="K352" i="11"/>
  <c r="J352" i="11"/>
  <c r="Z351" i="11"/>
  <c r="Y351" i="11"/>
  <c r="X351" i="11"/>
  <c r="W351" i="11"/>
  <c r="AA351" i="11" s="1"/>
  <c r="V351" i="11"/>
  <c r="N351" i="11"/>
  <c r="M351" i="11"/>
  <c r="L351" i="11"/>
  <c r="K351" i="11"/>
  <c r="J351" i="11"/>
  <c r="AE350" i="11"/>
  <c r="BE350" i="11" s="1"/>
  <c r="Z350" i="11"/>
  <c r="Y350" i="11"/>
  <c r="X350" i="11"/>
  <c r="W350" i="11"/>
  <c r="V350" i="11"/>
  <c r="N350" i="11"/>
  <c r="M350" i="11"/>
  <c r="T350" i="11" s="1"/>
  <c r="L350" i="11"/>
  <c r="K350" i="11"/>
  <c r="J350" i="11"/>
  <c r="I350" i="11"/>
  <c r="BG350" i="11" s="1"/>
  <c r="Z349" i="11"/>
  <c r="Y349" i="11"/>
  <c r="X349" i="11"/>
  <c r="W349" i="11"/>
  <c r="AA349" i="11" s="1"/>
  <c r="V349" i="11"/>
  <c r="N349" i="11"/>
  <c r="M349" i="11"/>
  <c r="L349" i="11"/>
  <c r="K349" i="11"/>
  <c r="J349" i="11"/>
  <c r="AE349" i="11" s="1"/>
  <c r="BE349" i="11" s="1"/>
  <c r="Z348" i="11"/>
  <c r="Y348" i="11"/>
  <c r="X348" i="11"/>
  <c r="W348" i="11"/>
  <c r="V348" i="11"/>
  <c r="N348" i="11"/>
  <c r="M348" i="11"/>
  <c r="L348" i="11"/>
  <c r="K348" i="11"/>
  <c r="J348" i="11"/>
  <c r="I348" i="11"/>
  <c r="BG348" i="11" s="1"/>
  <c r="Z347" i="11"/>
  <c r="Y347" i="11"/>
  <c r="X347" i="11"/>
  <c r="W347" i="11"/>
  <c r="V347" i="11"/>
  <c r="U347" i="11"/>
  <c r="N347" i="11"/>
  <c r="M347" i="11"/>
  <c r="L347" i="11"/>
  <c r="K347" i="11"/>
  <c r="J347" i="11"/>
  <c r="AE347" i="11" s="1"/>
  <c r="BE347" i="11" s="1"/>
  <c r="BE346" i="11"/>
  <c r="AE346" i="11"/>
  <c r="Z346" i="11"/>
  <c r="Y346" i="11"/>
  <c r="X346" i="11"/>
  <c r="W346" i="11"/>
  <c r="V346" i="11"/>
  <c r="AA346" i="11" s="1"/>
  <c r="N346" i="11"/>
  <c r="M346" i="11"/>
  <c r="L346" i="11"/>
  <c r="K346" i="11"/>
  <c r="J346" i="11"/>
  <c r="Z345" i="11"/>
  <c r="Y345" i="11"/>
  <c r="X345" i="11"/>
  <c r="W345" i="11"/>
  <c r="V345" i="11"/>
  <c r="N345" i="11"/>
  <c r="M345" i="11"/>
  <c r="L345" i="11"/>
  <c r="U345" i="11" s="1"/>
  <c r="K345" i="11"/>
  <c r="J345" i="11"/>
  <c r="AE345" i="11" s="1"/>
  <c r="BE345" i="11" s="1"/>
  <c r="AE344" i="11"/>
  <c r="BE344" i="11" s="1"/>
  <c r="Z344" i="11"/>
  <c r="Y344" i="11"/>
  <c r="X344" i="11"/>
  <c r="W344" i="11"/>
  <c r="V344" i="11"/>
  <c r="AA344" i="11" s="1"/>
  <c r="T344" i="11"/>
  <c r="N344" i="11"/>
  <c r="M344" i="11"/>
  <c r="L344" i="11"/>
  <c r="K344" i="11"/>
  <c r="J344" i="11"/>
  <c r="BG343" i="11"/>
  <c r="Z343" i="11"/>
  <c r="Y343" i="11"/>
  <c r="X343" i="11"/>
  <c r="W343" i="11"/>
  <c r="AA343" i="11" s="1"/>
  <c r="V343" i="11"/>
  <c r="N343" i="11"/>
  <c r="M343" i="11"/>
  <c r="L343" i="11"/>
  <c r="K343" i="11"/>
  <c r="I343" i="11" s="1"/>
  <c r="J343" i="11"/>
  <c r="AE342" i="11"/>
  <c r="BE342" i="11" s="1"/>
  <c r="Z342" i="11"/>
  <c r="Y342" i="11"/>
  <c r="X342" i="11"/>
  <c r="W342" i="11"/>
  <c r="V342" i="11"/>
  <c r="AA342" i="11" s="1"/>
  <c r="N342" i="11"/>
  <c r="M342" i="11"/>
  <c r="L342" i="11"/>
  <c r="K342" i="11"/>
  <c r="T342" i="11" s="1"/>
  <c r="J342" i="11"/>
  <c r="U342" i="11" s="1"/>
  <c r="I342" i="11"/>
  <c r="BG342" i="11" s="1"/>
  <c r="Z341" i="11"/>
  <c r="Y341" i="11"/>
  <c r="X341" i="11"/>
  <c r="W341" i="11"/>
  <c r="AA341" i="11" s="1"/>
  <c r="V341" i="11"/>
  <c r="N341" i="11"/>
  <c r="M341" i="11"/>
  <c r="L341" i="11"/>
  <c r="U341" i="11" s="1"/>
  <c r="K341" i="11"/>
  <c r="J341" i="11"/>
  <c r="T341" i="11" s="1"/>
  <c r="AE340" i="11"/>
  <c r="BE340" i="11" s="1"/>
  <c r="Z340" i="11"/>
  <c r="Y340" i="11"/>
  <c r="X340" i="11"/>
  <c r="W340" i="11"/>
  <c r="V340" i="11"/>
  <c r="T340" i="11"/>
  <c r="N340" i="11"/>
  <c r="M340" i="11"/>
  <c r="L340" i="11"/>
  <c r="K340" i="11"/>
  <c r="J340" i="11"/>
  <c r="Z339" i="11"/>
  <c r="Y339" i="11"/>
  <c r="X339" i="11"/>
  <c r="W339" i="11"/>
  <c r="AA339" i="11" s="1"/>
  <c r="V339" i="11"/>
  <c r="N339" i="11"/>
  <c r="M339" i="11"/>
  <c r="L339" i="11"/>
  <c r="K339" i="11"/>
  <c r="I339" i="11" s="1"/>
  <c r="BG339" i="11" s="1"/>
  <c r="J339" i="11"/>
  <c r="AE338" i="11"/>
  <c r="BE338" i="11" s="1"/>
  <c r="Z338" i="11"/>
  <c r="Y338" i="11"/>
  <c r="X338" i="11"/>
  <c r="W338" i="11"/>
  <c r="V338" i="11"/>
  <c r="AA338" i="11" s="1"/>
  <c r="N338" i="11"/>
  <c r="M338" i="11"/>
  <c r="L338" i="11"/>
  <c r="K338" i="11"/>
  <c r="J338" i="11"/>
  <c r="I338" i="11"/>
  <c r="BG338" i="11" s="1"/>
  <c r="Z337" i="11"/>
  <c r="Y337" i="11"/>
  <c r="X337" i="11"/>
  <c r="W337" i="11"/>
  <c r="V337" i="11"/>
  <c r="N337" i="11"/>
  <c r="M337" i="11"/>
  <c r="L337" i="11"/>
  <c r="U337" i="11" s="1"/>
  <c r="K337" i="11"/>
  <c r="J337" i="11"/>
  <c r="AE336" i="11"/>
  <c r="BE336" i="11" s="1"/>
  <c r="Z336" i="11"/>
  <c r="Y336" i="11"/>
  <c r="X336" i="11"/>
  <c r="W336" i="11"/>
  <c r="V336" i="11"/>
  <c r="AA336" i="11" s="1"/>
  <c r="T336" i="11"/>
  <c r="N336" i="11"/>
  <c r="M336" i="11"/>
  <c r="L336" i="11"/>
  <c r="K336" i="11"/>
  <c r="J336" i="11"/>
  <c r="Z335" i="11"/>
  <c r="Y335" i="11"/>
  <c r="X335" i="11"/>
  <c r="W335" i="11"/>
  <c r="AA335" i="11" s="1"/>
  <c r="V335" i="11"/>
  <c r="N335" i="11"/>
  <c r="M335" i="11"/>
  <c r="L335" i="11"/>
  <c r="K335" i="11"/>
  <c r="J335" i="11"/>
  <c r="AE334" i="11"/>
  <c r="BE334" i="11" s="1"/>
  <c r="Z334" i="11"/>
  <c r="Y334" i="11"/>
  <c r="X334" i="11"/>
  <c r="W334" i="11"/>
  <c r="V334" i="11"/>
  <c r="AA334" i="11" s="1"/>
  <c r="N334" i="11"/>
  <c r="M334" i="11"/>
  <c r="L334" i="11"/>
  <c r="K334" i="11"/>
  <c r="T334" i="11" s="1"/>
  <c r="J334" i="11"/>
  <c r="U334" i="11" s="1"/>
  <c r="I334" i="11"/>
  <c r="BG334" i="11" s="1"/>
  <c r="Z333" i="11"/>
  <c r="Y333" i="11"/>
  <c r="X333" i="11"/>
  <c r="W333" i="11"/>
  <c r="AA333" i="11" s="1"/>
  <c r="V333" i="11"/>
  <c r="N333" i="11"/>
  <c r="M333" i="11"/>
  <c r="L333" i="11"/>
  <c r="U333" i="11" s="1"/>
  <c r="K333" i="11"/>
  <c r="J333" i="11"/>
  <c r="T333" i="11" s="1"/>
  <c r="AE332" i="11"/>
  <c r="BE332" i="11" s="1"/>
  <c r="Z332" i="11"/>
  <c r="Y332" i="11"/>
  <c r="X332" i="11"/>
  <c r="W332" i="11"/>
  <c r="V332" i="11"/>
  <c r="T332" i="11"/>
  <c r="N332" i="11"/>
  <c r="M332" i="11"/>
  <c r="L332" i="11"/>
  <c r="K332" i="11"/>
  <c r="J332" i="11"/>
  <c r="Z331" i="11"/>
  <c r="Y331" i="11"/>
  <c r="X331" i="11"/>
  <c r="W331" i="11"/>
  <c r="AA331" i="11" s="1"/>
  <c r="V331" i="11"/>
  <c r="N331" i="11"/>
  <c r="M331" i="11"/>
  <c r="L331" i="11"/>
  <c r="K331" i="11"/>
  <c r="I331" i="11" s="1"/>
  <c r="BG331" i="11" s="1"/>
  <c r="J331" i="11"/>
  <c r="AE330" i="11"/>
  <c r="BE330" i="11" s="1"/>
  <c r="Z330" i="11"/>
  <c r="Y330" i="11"/>
  <c r="X330" i="11"/>
  <c r="W330" i="11"/>
  <c r="V330" i="11"/>
  <c r="AA330" i="11" s="1"/>
  <c r="N330" i="11"/>
  <c r="M330" i="11"/>
  <c r="L330" i="11"/>
  <c r="K330" i="11"/>
  <c r="J330" i="11"/>
  <c r="I330" i="11"/>
  <c r="BG330" i="11" s="1"/>
  <c r="Z329" i="11"/>
  <c r="Y329" i="11"/>
  <c r="X329" i="11"/>
  <c r="W329" i="11"/>
  <c r="V329" i="11"/>
  <c r="N329" i="11"/>
  <c r="M329" i="11"/>
  <c r="L329" i="11"/>
  <c r="U329" i="11" s="1"/>
  <c r="K329" i="11"/>
  <c r="J329" i="11"/>
  <c r="BG328" i="11"/>
  <c r="Z328" i="11"/>
  <c r="Y328" i="11"/>
  <c r="X328" i="11"/>
  <c r="W328" i="11"/>
  <c r="V328" i="11"/>
  <c r="AA328" i="11" s="1"/>
  <c r="U328" i="11"/>
  <c r="T328" i="11"/>
  <c r="P328" i="11"/>
  <c r="Z327" i="11"/>
  <c r="Y327" i="11"/>
  <c r="X327" i="11"/>
  <c r="W327" i="11"/>
  <c r="AA327" i="11" s="1"/>
  <c r="V327" i="11"/>
  <c r="N327" i="11"/>
  <c r="M327" i="11"/>
  <c r="L327" i="11"/>
  <c r="K327" i="11"/>
  <c r="J327" i="11"/>
  <c r="AE326" i="11"/>
  <c r="BE326" i="11" s="1"/>
  <c r="Z326" i="11"/>
  <c r="Y326" i="11"/>
  <c r="X326" i="11"/>
  <c r="W326" i="11"/>
  <c r="V326" i="11"/>
  <c r="AA326" i="11" s="1"/>
  <c r="N326" i="11"/>
  <c r="M326" i="11"/>
  <c r="T326" i="11" s="1"/>
  <c r="L326" i="11"/>
  <c r="K326" i="11"/>
  <c r="J326" i="11"/>
  <c r="I326" i="11"/>
  <c r="BG326" i="11" s="1"/>
  <c r="Z325" i="11"/>
  <c r="Y325" i="11"/>
  <c r="X325" i="11"/>
  <c r="W325" i="11"/>
  <c r="AA325" i="11" s="1"/>
  <c r="V325" i="11"/>
  <c r="N325" i="11"/>
  <c r="M325" i="11"/>
  <c r="L325" i="11"/>
  <c r="K325" i="11"/>
  <c r="I325" i="11" s="1"/>
  <c r="BG325" i="11" s="1"/>
  <c r="J325" i="11"/>
  <c r="U325" i="11" s="1"/>
  <c r="AE324" i="11"/>
  <c r="BE324" i="11" s="1"/>
  <c r="Z324" i="11"/>
  <c r="Y324" i="11"/>
  <c r="X324" i="11"/>
  <c r="W324" i="11"/>
  <c r="V324" i="11"/>
  <c r="AA324" i="11" s="1"/>
  <c r="N324" i="11"/>
  <c r="M324" i="11"/>
  <c r="L324" i="11"/>
  <c r="K324" i="11"/>
  <c r="J324" i="11"/>
  <c r="Z323" i="11"/>
  <c r="Y323" i="11"/>
  <c r="X323" i="11"/>
  <c r="W323" i="11"/>
  <c r="AA323" i="11" s="1"/>
  <c r="V323" i="11"/>
  <c r="N323" i="11"/>
  <c r="M323" i="11"/>
  <c r="L323" i="11"/>
  <c r="K323" i="11"/>
  <c r="J323" i="11"/>
  <c r="AE322" i="11"/>
  <c r="BE322" i="11" s="1"/>
  <c r="Z322" i="11"/>
  <c r="Y322" i="11"/>
  <c r="X322" i="11"/>
  <c r="W322" i="11"/>
  <c r="V322" i="11"/>
  <c r="N322" i="11"/>
  <c r="M322" i="11"/>
  <c r="L322" i="11"/>
  <c r="K322" i="11"/>
  <c r="P322" i="11" s="1"/>
  <c r="J322" i="11"/>
  <c r="BE321" i="11"/>
  <c r="Z321" i="11"/>
  <c r="Y321" i="11"/>
  <c r="X321" i="11"/>
  <c r="W321" i="11"/>
  <c r="V321" i="11"/>
  <c r="N321" i="11"/>
  <c r="M321" i="11"/>
  <c r="L321" i="11"/>
  <c r="U321" i="11" s="1"/>
  <c r="K321" i="11"/>
  <c r="J321" i="11"/>
  <c r="AE321" i="11" s="1"/>
  <c r="Z320" i="11"/>
  <c r="Y320" i="11"/>
  <c r="X320" i="11"/>
  <c r="W320" i="11"/>
  <c r="AA320" i="11" s="1"/>
  <c r="V320" i="11"/>
  <c r="T320" i="11"/>
  <c r="N320" i="11"/>
  <c r="M320" i="11"/>
  <c r="L320" i="11"/>
  <c r="K320" i="11"/>
  <c r="I320" i="11" s="1"/>
  <c r="BG320" i="11" s="1"/>
  <c r="J320" i="11"/>
  <c r="AE320" i="11" s="1"/>
  <c r="BE320" i="11" s="1"/>
  <c r="AE319" i="11"/>
  <c r="BE319" i="11" s="1"/>
  <c r="Z319" i="11"/>
  <c r="Y319" i="11"/>
  <c r="X319" i="11"/>
  <c r="W319" i="11"/>
  <c r="V319" i="11"/>
  <c r="AA319" i="11" s="1"/>
  <c r="N319" i="11"/>
  <c r="M319" i="11"/>
  <c r="L319" i="11"/>
  <c r="K319" i="11"/>
  <c r="J319" i="11"/>
  <c r="I319" i="11" s="1"/>
  <c r="BG319" i="11" s="1"/>
  <c r="AE318" i="11"/>
  <c r="BE318" i="11" s="1"/>
  <c r="Z318" i="11"/>
  <c r="Y318" i="11"/>
  <c r="X318" i="11"/>
  <c r="W318" i="11"/>
  <c r="V318" i="11"/>
  <c r="AA318" i="11" s="1"/>
  <c r="N318" i="11"/>
  <c r="M318" i="11"/>
  <c r="L318" i="11"/>
  <c r="K318" i="11"/>
  <c r="J318" i="11"/>
  <c r="Z317" i="11"/>
  <c r="Y317" i="11"/>
  <c r="X317" i="11"/>
  <c r="W317" i="11"/>
  <c r="V317" i="11"/>
  <c r="U317" i="11"/>
  <c r="T317" i="11"/>
  <c r="N317" i="11"/>
  <c r="M317" i="11"/>
  <c r="L317" i="11"/>
  <c r="K317" i="11"/>
  <c r="I317" i="11" s="1"/>
  <c r="BG317" i="11" s="1"/>
  <c r="J317" i="11"/>
  <c r="AE317" i="11" s="1"/>
  <c r="BE317" i="11" s="1"/>
  <c r="Z316" i="11"/>
  <c r="Y316" i="11"/>
  <c r="X316" i="11"/>
  <c r="W316" i="11"/>
  <c r="AA316" i="11" s="1"/>
  <c r="V316" i="11"/>
  <c r="N316" i="11"/>
  <c r="M316" i="11"/>
  <c r="L316" i="11"/>
  <c r="K316" i="11"/>
  <c r="I316" i="11" s="1"/>
  <c r="BG316" i="11" s="1"/>
  <c r="J316" i="11"/>
  <c r="T316" i="11" s="1"/>
  <c r="Z315" i="11"/>
  <c r="Y315" i="11"/>
  <c r="X315" i="11"/>
  <c r="W315" i="11"/>
  <c r="AA315" i="11" s="1"/>
  <c r="V315" i="11"/>
  <c r="N315" i="11"/>
  <c r="M315" i="11"/>
  <c r="L315" i="11"/>
  <c r="K315" i="11"/>
  <c r="J315" i="11"/>
  <c r="BE314" i="11"/>
  <c r="AE314" i="11"/>
  <c r="Z314" i="11"/>
  <c r="Y314" i="11"/>
  <c r="X314" i="11"/>
  <c r="W314" i="11"/>
  <c r="V314" i="11"/>
  <c r="AA314" i="11" s="1"/>
  <c r="N314" i="11"/>
  <c r="M314" i="11"/>
  <c r="U314" i="11" s="1"/>
  <c r="L314" i="11"/>
  <c r="K314" i="11"/>
  <c r="J314" i="11"/>
  <c r="I314" i="11"/>
  <c r="BG314" i="11" s="1"/>
  <c r="Z313" i="11"/>
  <c r="Y313" i="11"/>
  <c r="X313" i="11"/>
  <c r="W313" i="11"/>
  <c r="AA313" i="11" s="1"/>
  <c r="V313" i="11"/>
  <c r="N313" i="11"/>
  <c r="M313" i="11"/>
  <c r="L313" i="11"/>
  <c r="K313" i="11"/>
  <c r="U313" i="11" s="1"/>
  <c r="J313" i="11"/>
  <c r="AE313" i="11" s="1"/>
  <c r="BE313" i="11" s="1"/>
  <c r="Z312" i="11"/>
  <c r="Y312" i="11"/>
  <c r="X312" i="11"/>
  <c r="W312" i="11"/>
  <c r="AA312" i="11" s="1"/>
  <c r="V312" i="11"/>
  <c r="T312" i="11"/>
  <c r="N312" i="11"/>
  <c r="M312" i="11"/>
  <c r="L312" i="11"/>
  <c r="K312" i="11"/>
  <c r="J312" i="11"/>
  <c r="BG311" i="11"/>
  <c r="Z311" i="11"/>
  <c r="Y311" i="11"/>
  <c r="X311" i="11"/>
  <c r="W311" i="11"/>
  <c r="V311" i="11"/>
  <c r="AA311" i="11" s="1"/>
  <c r="U311" i="11"/>
  <c r="T311" i="11"/>
  <c r="P311" i="11"/>
  <c r="Z310" i="11"/>
  <c r="Y310" i="11"/>
  <c r="X310" i="11"/>
  <c r="W310" i="11"/>
  <c r="AA310" i="11" s="1"/>
  <c r="V310" i="11"/>
  <c r="N310" i="11"/>
  <c r="M310" i="11"/>
  <c r="L310" i="11"/>
  <c r="K310" i="11"/>
  <c r="I310" i="11" s="1"/>
  <c r="BG310" i="11" s="1"/>
  <c r="J310" i="11"/>
  <c r="Z309" i="11"/>
  <c r="Y309" i="11"/>
  <c r="X309" i="11"/>
  <c r="W309" i="11"/>
  <c r="AA309" i="11" s="1"/>
  <c r="V309" i="11"/>
  <c r="N309" i="11"/>
  <c r="M309" i="11"/>
  <c r="L309" i="11"/>
  <c r="K309" i="11"/>
  <c r="J309" i="11"/>
  <c r="BE308" i="11"/>
  <c r="AE308" i="11"/>
  <c r="Z308" i="11"/>
  <c r="Y308" i="11"/>
  <c r="X308" i="11"/>
  <c r="W308" i="11"/>
  <c r="V308" i="11"/>
  <c r="AA308" i="11" s="1"/>
  <c r="N308" i="11"/>
  <c r="M308" i="11"/>
  <c r="U308" i="11" s="1"/>
  <c r="L308" i="11"/>
  <c r="K308" i="11"/>
  <c r="J308" i="11"/>
  <c r="I308" i="11"/>
  <c r="BG308" i="11" s="1"/>
  <c r="Z307" i="11"/>
  <c r="Y307" i="11"/>
  <c r="X307" i="11"/>
  <c r="W307" i="11"/>
  <c r="AA307" i="11" s="1"/>
  <c r="V307" i="11"/>
  <c r="N307" i="11"/>
  <c r="M307" i="11"/>
  <c r="L307" i="11"/>
  <c r="K307" i="11"/>
  <c r="J307" i="11"/>
  <c r="AE307" i="11" s="1"/>
  <c r="BE307" i="11" s="1"/>
  <c r="BG306" i="11"/>
  <c r="Z306" i="11"/>
  <c r="Y306" i="11"/>
  <c r="X306" i="11"/>
  <c r="W306" i="11"/>
  <c r="AA306" i="11" s="1"/>
  <c r="V306" i="11"/>
  <c r="T306" i="11"/>
  <c r="N306" i="11"/>
  <c r="M306" i="11"/>
  <c r="L306" i="11"/>
  <c r="K306" i="11"/>
  <c r="I306" i="11" s="1"/>
  <c r="J306" i="11"/>
  <c r="BG305" i="11"/>
  <c r="AE305" i="11"/>
  <c r="BE305" i="11" s="1"/>
  <c r="Z305" i="11"/>
  <c r="Y305" i="11"/>
  <c r="X305" i="11"/>
  <c r="W305" i="11"/>
  <c r="AA305" i="11" s="1"/>
  <c r="V305" i="11"/>
  <c r="N305" i="11"/>
  <c r="M305" i="11"/>
  <c r="L305" i="11"/>
  <c r="K305" i="11"/>
  <c r="J305" i="11"/>
  <c r="I305" i="11" s="1"/>
  <c r="AE304" i="11"/>
  <c r="BE304" i="11" s="1"/>
  <c r="Z304" i="11"/>
  <c r="Y304" i="11"/>
  <c r="X304" i="11"/>
  <c r="W304" i="11"/>
  <c r="V304" i="11"/>
  <c r="AA304" i="11" s="1"/>
  <c r="N304" i="11"/>
  <c r="M304" i="11"/>
  <c r="L304" i="11"/>
  <c r="K304" i="11"/>
  <c r="J304" i="11"/>
  <c r="Z303" i="11"/>
  <c r="Y303" i="11"/>
  <c r="X303" i="11"/>
  <c r="W303" i="11"/>
  <c r="V303" i="11"/>
  <c r="U303" i="11"/>
  <c r="T303" i="11"/>
  <c r="N303" i="11"/>
  <c r="M303" i="11"/>
  <c r="L303" i="11"/>
  <c r="K303" i="11"/>
  <c r="J303" i="11"/>
  <c r="AE303" i="11" s="1"/>
  <c r="BE303" i="11" s="1"/>
  <c r="Z302" i="11"/>
  <c r="Y302" i="11"/>
  <c r="X302" i="11"/>
  <c r="W302" i="11"/>
  <c r="V302" i="11"/>
  <c r="AA302" i="11" s="1"/>
  <c r="N302" i="11"/>
  <c r="M302" i="11"/>
  <c r="L302" i="11"/>
  <c r="K302" i="11"/>
  <c r="I302" i="11" s="1"/>
  <c r="BG302" i="11" s="1"/>
  <c r="J302" i="11"/>
  <c r="Z301" i="11"/>
  <c r="Y301" i="11"/>
  <c r="X301" i="11"/>
  <c r="W301" i="11"/>
  <c r="AA301" i="11" s="1"/>
  <c r="V301" i="11"/>
  <c r="N301" i="11"/>
  <c r="M301" i="11"/>
  <c r="L301" i="11"/>
  <c r="U301" i="11" s="1"/>
  <c r="K301" i="11"/>
  <c r="J301" i="11"/>
  <c r="AE301" i="11" s="1"/>
  <c r="BE301" i="11" s="1"/>
  <c r="Z300" i="11"/>
  <c r="Y300" i="11"/>
  <c r="X300" i="11"/>
  <c r="W300" i="11"/>
  <c r="AA300" i="11" s="1"/>
  <c r="V300" i="11"/>
  <c r="T300" i="11"/>
  <c r="N300" i="11"/>
  <c r="M300" i="11"/>
  <c r="L300" i="11"/>
  <c r="K300" i="11"/>
  <c r="I300" i="11" s="1"/>
  <c r="BG300" i="11" s="1"/>
  <c r="J300" i="11"/>
  <c r="AE300" i="11" s="1"/>
  <c r="BE300" i="11" s="1"/>
  <c r="Z299" i="11"/>
  <c r="Y299" i="11"/>
  <c r="X299" i="11"/>
  <c r="W299" i="11"/>
  <c r="AA299" i="11" s="1"/>
  <c r="V299" i="11"/>
  <c r="N299" i="11"/>
  <c r="M299" i="11"/>
  <c r="L299" i="11"/>
  <c r="K299" i="11"/>
  <c r="J299" i="11"/>
  <c r="AE298" i="11"/>
  <c r="BE298" i="11" s="1"/>
  <c r="Z298" i="11"/>
  <c r="Y298" i="11"/>
  <c r="X298" i="11"/>
  <c r="W298" i="11"/>
  <c r="V298" i="11"/>
  <c r="AA298" i="11" s="1"/>
  <c r="N298" i="11"/>
  <c r="M298" i="11"/>
  <c r="L298" i="11"/>
  <c r="U298" i="11" s="1"/>
  <c r="K298" i="11"/>
  <c r="T298" i="11" s="1"/>
  <c r="J298" i="11"/>
  <c r="I298" i="11"/>
  <c r="BG298" i="11" s="1"/>
  <c r="BE297" i="11"/>
  <c r="Z297" i="11"/>
  <c r="Y297" i="11"/>
  <c r="X297" i="11"/>
  <c r="W297" i="11"/>
  <c r="V297" i="11"/>
  <c r="N297" i="11"/>
  <c r="M297" i="11"/>
  <c r="L297" i="11"/>
  <c r="U297" i="11" s="1"/>
  <c r="K297" i="11"/>
  <c r="T297" i="11" s="1"/>
  <c r="J297" i="11"/>
  <c r="AE297" i="11" s="1"/>
  <c r="Z296" i="11"/>
  <c r="Y296" i="11"/>
  <c r="X296" i="11"/>
  <c r="W296" i="11"/>
  <c r="V296" i="11"/>
  <c r="N296" i="11"/>
  <c r="M296" i="11"/>
  <c r="L296" i="11"/>
  <c r="K296" i="11"/>
  <c r="J296" i="11"/>
  <c r="AE296" i="11" s="1"/>
  <c r="BE296" i="11" s="1"/>
  <c r="Z295" i="11"/>
  <c r="Y295" i="11"/>
  <c r="X295" i="11"/>
  <c r="W295" i="11"/>
  <c r="AA295" i="11" s="1"/>
  <c r="V295" i="11"/>
  <c r="N295" i="11"/>
  <c r="M295" i="11"/>
  <c r="L295" i="11"/>
  <c r="K295" i="11"/>
  <c r="J295" i="11"/>
  <c r="AE294" i="11"/>
  <c r="BE294" i="11" s="1"/>
  <c r="Z294" i="11"/>
  <c r="Y294" i="11"/>
  <c r="X294" i="11"/>
  <c r="W294" i="11"/>
  <c r="V294" i="11"/>
  <c r="AA294" i="11" s="1"/>
  <c r="N294" i="11"/>
  <c r="M294" i="11"/>
  <c r="L294" i="11"/>
  <c r="U294" i="11" s="1"/>
  <c r="K294" i="11"/>
  <c r="J294" i="11"/>
  <c r="I294" i="11"/>
  <c r="BG294" i="11" s="1"/>
  <c r="BE293" i="11"/>
  <c r="Z293" i="11"/>
  <c r="Y293" i="11"/>
  <c r="X293" i="11"/>
  <c r="W293" i="11"/>
  <c r="V293" i="11"/>
  <c r="N293" i="11"/>
  <c r="M293" i="11"/>
  <c r="L293" i="11"/>
  <c r="U293" i="11" s="1"/>
  <c r="K293" i="11"/>
  <c r="J293" i="11"/>
  <c r="AE293" i="11" s="1"/>
  <c r="Z292" i="11"/>
  <c r="Y292" i="11"/>
  <c r="X292" i="11"/>
  <c r="W292" i="11"/>
  <c r="AA292" i="11" s="1"/>
  <c r="V292" i="11"/>
  <c r="T292" i="11"/>
  <c r="N292" i="11"/>
  <c r="M292" i="11"/>
  <c r="L292" i="11"/>
  <c r="K292" i="11"/>
  <c r="I292" i="11" s="1"/>
  <c r="BG292" i="11" s="1"/>
  <c r="J292" i="11"/>
  <c r="AE292" i="11" s="1"/>
  <c r="BE292" i="11" s="1"/>
  <c r="Z291" i="11"/>
  <c r="Y291" i="11"/>
  <c r="X291" i="11"/>
  <c r="W291" i="11"/>
  <c r="AA291" i="11" s="1"/>
  <c r="V291" i="11"/>
  <c r="N291" i="11"/>
  <c r="M291" i="11"/>
  <c r="L291" i="11"/>
  <c r="K291" i="11"/>
  <c r="J291" i="11"/>
  <c r="AE290" i="11"/>
  <c r="BE290" i="11" s="1"/>
  <c r="Z290" i="11"/>
  <c r="Y290" i="11"/>
  <c r="X290" i="11"/>
  <c r="W290" i="11"/>
  <c r="V290" i="11"/>
  <c r="AA290" i="11" s="1"/>
  <c r="N290" i="11"/>
  <c r="M290" i="11"/>
  <c r="L290" i="11"/>
  <c r="K290" i="11"/>
  <c r="J290" i="11"/>
  <c r="I290" i="11"/>
  <c r="BG290" i="11" s="1"/>
  <c r="Z289" i="11"/>
  <c r="Y289" i="11"/>
  <c r="X289" i="11"/>
  <c r="W289" i="11"/>
  <c r="V289" i="11"/>
  <c r="AA289" i="11" s="1"/>
  <c r="N289" i="11"/>
  <c r="M289" i="11"/>
  <c r="L289" i="11"/>
  <c r="U289" i="11" s="1"/>
  <c r="K289" i="11"/>
  <c r="T289" i="11" s="1"/>
  <c r="J289" i="11"/>
  <c r="AE289" i="11" s="1"/>
  <c r="BE289" i="11" s="1"/>
  <c r="Z288" i="11"/>
  <c r="Y288" i="11"/>
  <c r="X288" i="11"/>
  <c r="W288" i="11"/>
  <c r="AA288" i="11" s="1"/>
  <c r="V288" i="11"/>
  <c r="N288" i="11"/>
  <c r="M288" i="11"/>
  <c r="L288" i="11"/>
  <c r="K288" i="11"/>
  <c r="I288" i="11" s="1"/>
  <c r="BG288" i="11" s="1"/>
  <c r="J288" i="11"/>
  <c r="AE288" i="11" s="1"/>
  <c r="BE288" i="11" s="1"/>
  <c r="Z287" i="11"/>
  <c r="Y287" i="11"/>
  <c r="X287" i="11"/>
  <c r="W287" i="11"/>
  <c r="AA287" i="11" s="1"/>
  <c r="V287" i="11"/>
  <c r="N287" i="11"/>
  <c r="M287" i="11"/>
  <c r="L287" i="11"/>
  <c r="K287" i="11"/>
  <c r="J287" i="11"/>
  <c r="AE286" i="11"/>
  <c r="BE286" i="11" s="1"/>
  <c r="Z286" i="11"/>
  <c r="Y286" i="11"/>
  <c r="X286" i="11"/>
  <c r="W286" i="11"/>
  <c r="V286" i="11"/>
  <c r="N286" i="11"/>
  <c r="M286" i="11"/>
  <c r="U286" i="11" s="1"/>
  <c r="L286" i="11"/>
  <c r="K286" i="11"/>
  <c r="J286" i="11"/>
  <c r="I286" i="11"/>
  <c r="BG286" i="11" s="1"/>
  <c r="BE285" i="11"/>
  <c r="Z285" i="11"/>
  <c r="Y285" i="11"/>
  <c r="X285" i="11"/>
  <c r="W285" i="11"/>
  <c r="V285" i="11"/>
  <c r="AA285" i="11" s="1"/>
  <c r="N285" i="11"/>
  <c r="M285" i="11"/>
  <c r="L285" i="11"/>
  <c r="K285" i="11"/>
  <c r="J285" i="11"/>
  <c r="AE285" i="11" s="1"/>
  <c r="Z284" i="11"/>
  <c r="Y284" i="11"/>
  <c r="X284" i="11"/>
  <c r="W284" i="11"/>
  <c r="AA284" i="11" s="1"/>
  <c r="V284" i="11"/>
  <c r="N284" i="11"/>
  <c r="M284" i="11"/>
  <c r="L284" i="11"/>
  <c r="K284" i="11"/>
  <c r="J284" i="11"/>
  <c r="T284" i="11" s="1"/>
  <c r="AE283" i="11"/>
  <c r="BE283" i="11" s="1"/>
  <c r="Z283" i="11"/>
  <c r="Y283" i="11"/>
  <c r="X283" i="11"/>
  <c r="W283" i="11"/>
  <c r="V283" i="11"/>
  <c r="AA283" i="11" s="1"/>
  <c r="N283" i="11"/>
  <c r="M283" i="11"/>
  <c r="L283" i="11"/>
  <c r="K283" i="11"/>
  <c r="J283" i="11"/>
  <c r="I283" i="11"/>
  <c r="BG283" i="11" s="1"/>
  <c r="BE282" i="11"/>
  <c r="AE282" i="11"/>
  <c r="Z282" i="11"/>
  <c r="Y282" i="11"/>
  <c r="X282" i="11"/>
  <c r="W282" i="11"/>
  <c r="V282" i="11"/>
  <c r="N282" i="11"/>
  <c r="M282" i="11"/>
  <c r="U282" i="11" s="1"/>
  <c r="L282" i="11"/>
  <c r="K282" i="11"/>
  <c r="J282" i="11"/>
  <c r="I282" i="11"/>
  <c r="BG282" i="11" s="1"/>
  <c r="AE281" i="11"/>
  <c r="BE281" i="11" s="1"/>
  <c r="Z281" i="11"/>
  <c r="Y281" i="11"/>
  <c r="X281" i="11"/>
  <c r="W281" i="11"/>
  <c r="V281" i="11"/>
  <c r="AA281" i="11" s="1"/>
  <c r="N281" i="11"/>
  <c r="M281" i="11"/>
  <c r="L281" i="11"/>
  <c r="K281" i="11"/>
  <c r="T281" i="11" s="1"/>
  <c r="J281" i="11"/>
  <c r="I281" i="11"/>
  <c r="BG281" i="11" s="1"/>
  <c r="Z280" i="11"/>
  <c r="Y280" i="11"/>
  <c r="X280" i="11"/>
  <c r="W280" i="11"/>
  <c r="V280" i="11"/>
  <c r="N280" i="11"/>
  <c r="M280" i="11"/>
  <c r="L280" i="11"/>
  <c r="U280" i="11" s="1"/>
  <c r="K280" i="11"/>
  <c r="J280" i="11"/>
  <c r="AE279" i="11"/>
  <c r="BE279" i="11" s="1"/>
  <c r="Z279" i="11"/>
  <c r="Y279" i="11"/>
  <c r="X279" i="11"/>
  <c r="W279" i="11"/>
  <c r="V279" i="11"/>
  <c r="AA279" i="11" s="1"/>
  <c r="T279" i="11"/>
  <c r="N279" i="11"/>
  <c r="M279" i="11"/>
  <c r="L279" i="11"/>
  <c r="K279" i="11"/>
  <c r="J279" i="11"/>
  <c r="BG278" i="11"/>
  <c r="Z278" i="11"/>
  <c r="Y278" i="11"/>
  <c r="X278" i="11"/>
  <c r="W278" i="11"/>
  <c r="AA278" i="11" s="1"/>
  <c r="V278" i="11"/>
  <c r="N278" i="11"/>
  <c r="M278" i="11"/>
  <c r="L278" i="11"/>
  <c r="K278" i="11"/>
  <c r="I278" i="11" s="1"/>
  <c r="J278" i="11"/>
  <c r="AE277" i="11"/>
  <c r="BE277" i="11" s="1"/>
  <c r="Z277" i="11"/>
  <c r="Y277" i="11"/>
  <c r="X277" i="11"/>
  <c r="W277" i="11"/>
  <c r="V277" i="11"/>
  <c r="AA277" i="11" s="1"/>
  <c r="N277" i="11"/>
  <c r="M277" i="11"/>
  <c r="L277" i="11"/>
  <c r="K277" i="11"/>
  <c r="J277" i="11"/>
  <c r="U277" i="11" s="1"/>
  <c r="I277" i="11"/>
  <c r="BG277" i="11" s="1"/>
  <c r="Z276" i="11"/>
  <c r="Y276" i="11"/>
  <c r="X276" i="11"/>
  <c r="W276" i="11"/>
  <c r="AA276" i="11" s="1"/>
  <c r="V276" i="11"/>
  <c r="N276" i="11"/>
  <c r="M276" i="11"/>
  <c r="L276" i="11"/>
  <c r="U276" i="11" s="1"/>
  <c r="K276" i="11"/>
  <c r="J276" i="11"/>
  <c r="T276" i="11" s="1"/>
  <c r="AE275" i="11"/>
  <c r="BE275" i="11" s="1"/>
  <c r="Z275" i="11"/>
  <c r="Y275" i="11"/>
  <c r="X275" i="11"/>
  <c r="W275" i="11"/>
  <c r="V275" i="11"/>
  <c r="N275" i="11"/>
  <c r="M275" i="11"/>
  <c r="L275" i="11"/>
  <c r="K275" i="11"/>
  <c r="J275" i="11"/>
  <c r="Z274" i="11"/>
  <c r="Y274" i="11"/>
  <c r="X274" i="11"/>
  <c r="W274" i="11"/>
  <c r="AA274" i="11" s="1"/>
  <c r="V274" i="11"/>
  <c r="N274" i="11"/>
  <c r="M274" i="11"/>
  <c r="L274" i="11"/>
  <c r="K274" i="11"/>
  <c r="J274" i="11"/>
  <c r="AE273" i="11"/>
  <c r="BE273" i="11" s="1"/>
  <c r="Z273" i="11"/>
  <c r="Y273" i="11"/>
  <c r="X273" i="11"/>
  <c r="W273" i="11"/>
  <c r="V273" i="11"/>
  <c r="AA273" i="11" s="1"/>
  <c r="N273" i="11"/>
  <c r="M273" i="11"/>
  <c r="L273" i="11"/>
  <c r="K273" i="11"/>
  <c r="T273" i="11" s="1"/>
  <c r="J273" i="11"/>
  <c r="I273" i="11"/>
  <c r="BG273" i="11" s="1"/>
  <c r="Z272" i="11"/>
  <c r="Y272" i="11"/>
  <c r="X272" i="11"/>
  <c r="W272" i="11"/>
  <c r="V272" i="11"/>
  <c r="N272" i="11"/>
  <c r="M272" i="11"/>
  <c r="L272" i="11"/>
  <c r="U272" i="11" s="1"/>
  <c r="K272" i="11"/>
  <c r="J272" i="11"/>
  <c r="BG271" i="11"/>
  <c r="Z271" i="11"/>
  <c r="Y271" i="11"/>
  <c r="X271" i="11"/>
  <c r="W271" i="11"/>
  <c r="V271" i="11"/>
  <c r="AA271" i="11" s="1"/>
  <c r="U271" i="11"/>
  <c r="T271" i="11"/>
  <c r="P271" i="11"/>
  <c r="Z270" i="11"/>
  <c r="Y270" i="11"/>
  <c r="X270" i="11"/>
  <c r="W270" i="11"/>
  <c r="V270" i="11"/>
  <c r="N270" i="11"/>
  <c r="M270" i="11"/>
  <c r="L270" i="11"/>
  <c r="U270" i="11" s="1"/>
  <c r="K270" i="11"/>
  <c r="J270" i="11"/>
  <c r="AE269" i="11"/>
  <c r="BE269" i="11" s="1"/>
  <c r="Z269" i="11"/>
  <c r="Y269" i="11"/>
  <c r="X269" i="11"/>
  <c r="W269" i="11"/>
  <c r="V269" i="11"/>
  <c r="AA269" i="11" s="1"/>
  <c r="T269" i="11"/>
  <c r="N269" i="11"/>
  <c r="M269" i="11"/>
  <c r="L269" i="11"/>
  <c r="K269" i="11"/>
  <c r="J269" i="11"/>
  <c r="BG268" i="11"/>
  <c r="Z268" i="11"/>
  <c r="Y268" i="11"/>
  <c r="X268" i="11"/>
  <c r="W268" i="11"/>
  <c r="AA268" i="11" s="1"/>
  <c r="V268" i="11"/>
  <c r="N268" i="11"/>
  <c r="M268" i="11"/>
  <c r="L268" i="11"/>
  <c r="K268" i="11"/>
  <c r="I268" i="11" s="1"/>
  <c r="J268" i="11"/>
  <c r="AE267" i="11"/>
  <c r="BE267" i="11" s="1"/>
  <c r="Z267" i="11"/>
  <c r="Y267" i="11"/>
  <c r="X267" i="11"/>
  <c r="W267" i="11"/>
  <c r="V267" i="11"/>
  <c r="AA267" i="11" s="1"/>
  <c r="N267" i="11"/>
  <c r="M267" i="11"/>
  <c r="L267" i="11"/>
  <c r="K267" i="11"/>
  <c r="J267" i="11"/>
  <c r="U267" i="11" s="1"/>
  <c r="I267" i="11"/>
  <c r="BG267" i="11" s="1"/>
  <c r="Z266" i="11"/>
  <c r="Y266" i="11"/>
  <c r="X266" i="11"/>
  <c r="W266" i="11"/>
  <c r="AA266" i="11" s="1"/>
  <c r="V266" i="11"/>
  <c r="N266" i="11"/>
  <c r="M266" i="11"/>
  <c r="L266" i="11"/>
  <c r="U266" i="11" s="1"/>
  <c r="K266" i="11"/>
  <c r="J266" i="11"/>
  <c r="T266" i="11" s="1"/>
  <c r="AE265" i="11"/>
  <c r="BE265" i="11" s="1"/>
  <c r="Z265" i="11"/>
  <c r="Y265" i="11"/>
  <c r="X265" i="11"/>
  <c r="W265" i="11"/>
  <c r="V265" i="11"/>
  <c r="N265" i="11"/>
  <c r="M265" i="11"/>
  <c r="L265" i="11"/>
  <c r="K265" i="11"/>
  <c r="J265" i="11"/>
  <c r="Z264" i="11"/>
  <c r="Y264" i="11"/>
  <c r="X264" i="11"/>
  <c r="W264" i="11"/>
  <c r="AA264" i="11" s="1"/>
  <c r="V264" i="11"/>
  <c r="N264" i="11"/>
  <c r="M264" i="11"/>
  <c r="L264" i="11"/>
  <c r="K264" i="11"/>
  <c r="J264" i="11"/>
  <c r="AE263" i="11"/>
  <c r="BE263" i="11" s="1"/>
  <c r="Z263" i="11"/>
  <c r="Y263" i="11"/>
  <c r="X263" i="11"/>
  <c r="W263" i="11"/>
  <c r="V263" i="11"/>
  <c r="AA263" i="11" s="1"/>
  <c r="N263" i="11"/>
  <c r="M263" i="11"/>
  <c r="L263" i="11"/>
  <c r="K263" i="11"/>
  <c r="T263" i="11" s="1"/>
  <c r="J263" i="11"/>
  <c r="U263" i="11" s="1"/>
  <c r="I263" i="11"/>
  <c r="BG263" i="11" s="1"/>
  <c r="Z262" i="11"/>
  <c r="Y262" i="11"/>
  <c r="X262" i="11"/>
  <c r="W262" i="11"/>
  <c r="V262" i="11"/>
  <c r="N262" i="11"/>
  <c r="M262" i="11"/>
  <c r="L262" i="11"/>
  <c r="U262" i="11" s="1"/>
  <c r="K262" i="11"/>
  <c r="J262" i="11"/>
  <c r="AE261" i="11"/>
  <c r="BE261" i="11" s="1"/>
  <c r="Z261" i="11"/>
  <c r="Y261" i="11"/>
  <c r="X261" i="11"/>
  <c r="W261" i="11"/>
  <c r="V261" i="11"/>
  <c r="AA261" i="11" s="1"/>
  <c r="T261" i="11"/>
  <c r="N261" i="11"/>
  <c r="M261" i="11"/>
  <c r="L261" i="11"/>
  <c r="K261" i="11"/>
  <c r="J261" i="11"/>
  <c r="BG260" i="11"/>
  <c r="Z260" i="11"/>
  <c r="Y260" i="11"/>
  <c r="X260" i="11"/>
  <c r="W260" i="11"/>
  <c r="AA260" i="11" s="1"/>
  <c r="V260" i="11"/>
  <c r="N260" i="11"/>
  <c r="M260" i="11"/>
  <c r="L260" i="11"/>
  <c r="K260" i="11"/>
  <c r="I260" i="11" s="1"/>
  <c r="J260" i="11"/>
  <c r="AE259" i="11"/>
  <c r="BE259" i="11" s="1"/>
  <c r="Z259" i="11"/>
  <c r="Y259" i="11"/>
  <c r="X259" i="11"/>
  <c r="W259" i="11"/>
  <c r="V259" i="11"/>
  <c r="AA259" i="11" s="1"/>
  <c r="N259" i="11"/>
  <c r="M259" i="11"/>
  <c r="L259" i="11"/>
  <c r="K259" i="11"/>
  <c r="J259" i="11"/>
  <c r="U259" i="11" s="1"/>
  <c r="I259" i="11"/>
  <c r="BG259" i="11" s="1"/>
  <c r="Z258" i="11"/>
  <c r="Y258" i="11"/>
  <c r="X258" i="11"/>
  <c r="W258" i="11"/>
  <c r="AA258" i="11" s="1"/>
  <c r="V258" i="11"/>
  <c r="N258" i="11"/>
  <c r="M258" i="11"/>
  <c r="L258" i="11"/>
  <c r="U258" i="11" s="1"/>
  <c r="K258" i="11"/>
  <c r="J258" i="11"/>
  <c r="T258" i="11" s="1"/>
  <c r="AE257" i="11"/>
  <c r="BE257" i="11" s="1"/>
  <c r="Z257" i="11"/>
  <c r="Y257" i="11"/>
  <c r="X257" i="11"/>
  <c r="W257" i="11"/>
  <c r="V257" i="11"/>
  <c r="N257" i="11"/>
  <c r="M257" i="11"/>
  <c r="L257" i="11"/>
  <c r="K257" i="11"/>
  <c r="J257" i="11"/>
  <c r="Z256" i="11"/>
  <c r="Y256" i="11"/>
  <c r="X256" i="11"/>
  <c r="W256" i="11"/>
  <c r="AA256" i="11" s="1"/>
  <c r="V256" i="11"/>
  <c r="N256" i="11"/>
  <c r="M256" i="11"/>
  <c r="L256" i="11"/>
  <c r="K256" i="11"/>
  <c r="J256" i="11"/>
  <c r="AE255" i="11"/>
  <c r="BE255" i="11" s="1"/>
  <c r="Z255" i="11"/>
  <c r="Y255" i="11"/>
  <c r="X255" i="11"/>
  <c r="W255" i="11"/>
  <c r="V255" i="11"/>
  <c r="AA255" i="11" s="1"/>
  <c r="N255" i="11"/>
  <c r="M255" i="11"/>
  <c r="L255" i="11"/>
  <c r="K255" i="11"/>
  <c r="T255" i="11" s="1"/>
  <c r="J255" i="11"/>
  <c r="U255" i="11" s="1"/>
  <c r="I255" i="11"/>
  <c r="BG255" i="11" s="1"/>
  <c r="Z254" i="11"/>
  <c r="Y254" i="11"/>
  <c r="X254" i="11"/>
  <c r="W254" i="11"/>
  <c r="V254" i="11"/>
  <c r="U254" i="11"/>
  <c r="N254" i="11"/>
  <c r="M254" i="11"/>
  <c r="L254" i="11"/>
  <c r="K254" i="11"/>
  <c r="J254" i="11"/>
  <c r="AE253" i="11"/>
  <c r="BE253" i="11" s="1"/>
  <c r="Z253" i="11"/>
  <c r="Y253" i="11"/>
  <c r="X253" i="11"/>
  <c r="W253" i="11"/>
  <c r="V253" i="11"/>
  <c r="AA253" i="11" s="1"/>
  <c r="T253" i="11"/>
  <c r="N253" i="11"/>
  <c r="M253" i="11"/>
  <c r="L253" i="11"/>
  <c r="K253" i="11"/>
  <c r="J253" i="11"/>
  <c r="BG252" i="11"/>
  <c r="Z252" i="11"/>
  <c r="Y252" i="11"/>
  <c r="X252" i="11"/>
  <c r="W252" i="11"/>
  <c r="AA252" i="11" s="1"/>
  <c r="V252" i="11"/>
  <c r="N252" i="11"/>
  <c r="M252" i="11"/>
  <c r="L252" i="11"/>
  <c r="K252" i="11"/>
  <c r="I252" i="11" s="1"/>
  <c r="J252" i="11"/>
  <c r="AE251" i="11"/>
  <c r="BE251" i="11" s="1"/>
  <c r="Z251" i="11"/>
  <c r="Y251" i="11"/>
  <c r="X251" i="11"/>
  <c r="W251" i="11"/>
  <c r="V251" i="11"/>
  <c r="AA251" i="11" s="1"/>
  <c r="N251" i="11"/>
  <c r="M251" i="11"/>
  <c r="L251" i="11"/>
  <c r="K251" i="11"/>
  <c r="J251" i="11"/>
  <c r="U251" i="11" s="1"/>
  <c r="I251" i="11"/>
  <c r="BG251" i="11" s="1"/>
  <c r="Z250" i="11"/>
  <c r="Y250" i="11"/>
  <c r="X250" i="11"/>
  <c r="W250" i="11"/>
  <c r="AA250" i="11" s="1"/>
  <c r="V250" i="11"/>
  <c r="N250" i="11"/>
  <c r="M250" i="11"/>
  <c r="L250" i="11"/>
  <c r="U250" i="11" s="1"/>
  <c r="K250" i="11"/>
  <c r="J250" i="11"/>
  <c r="T250" i="11" s="1"/>
  <c r="AE249" i="11"/>
  <c r="BE249" i="11" s="1"/>
  <c r="Z249" i="11"/>
  <c r="Y249" i="11"/>
  <c r="X249" i="11"/>
  <c r="W249" i="11"/>
  <c r="V249" i="11"/>
  <c r="N249" i="11"/>
  <c r="M249" i="11"/>
  <c r="L249" i="11"/>
  <c r="K249" i="11"/>
  <c r="J249" i="11"/>
  <c r="Z248" i="11"/>
  <c r="Y248" i="11"/>
  <c r="X248" i="11"/>
  <c r="W248" i="11"/>
  <c r="AA248" i="11" s="1"/>
  <c r="V248" i="11"/>
  <c r="N248" i="11"/>
  <c r="M248" i="11"/>
  <c r="L248" i="11"/>
  <c r="K248" i="11"/>
  <c r="J248" i="11"/>
  <c r="AE247" i="11"/>
  <c r="BE247" i="11" s="1"/>
  <c r="Z247" i="11"/>
  <c r="Y247" i="11"/>
  <c r="X247" i="11"/>
  <c r="W247" i="11"/>
  <c r="V247" i="11"/>
  <c r="AA247" i="11" s="1"/>
  <c r="N247" i="11"/>
  <c r="M247" i="11"/>
  <c r="L247" i="11"/>
  <c r="K247" i="11"/>
  <c r="T247" i="11" s="1"/>
  <c r="J247" i="11"/>
  <c r="U247" i="11" s="1"/>
  <c r="I247" i="11"/>
  <c r="BG247" i="11" s="1"/>
  <c r="BG246" i="11"/>
  <c r="Z246" i="11"/>
  <c r="Y246" i="11"/>
  <c r="X246" i="11"/>
  <c r="W246" i="11"/>
  <c r="V246" i="11"/>
  <c r="U246" i="11"/>
  <c r="T246" i="11"/>
  <c r="P246" i="11"/>
  <c r="AE245" i="11"/>
  <c r="BE245" i="11" s="1"/>
  <c r="Z245" i="11"/>
  <c r="Y245" i="11"/>
  <c r="X245" i="11"/>
  <c r="W245" i="11"/>
  <c r="V245" i="11"/>
  <c r="AA245" i="11" s="1"/>
  <c r="N245" i="11"/>
  <c r="M245" i="11"/>
  <c r="L245" i="11"/>
  <c r="K245" i="11"/>
  <c r="T245" i="11" s="1"/>
  <c r="J245" i="11"/>
  <c r="U245" i="11" s="1"/>
  <c r="I245" i="11"/>
  <c r="BG245" i="11" s="1"/>
  <c r="Z244" i="11"/>
  <c r="Y244" i="11"/>
  <c r="X244" i="11"/>
  <c r="W244" i="11"/>
  <c r="V244" i="11"/>
  <c r="U244" i="11"/>
  <c r="N244" i="11"/>
  <c r="M244" i="11"/>
  <c r="L244" i="11"/>
  <c r="K244" i="11"/>
  <c r="J244" i="11"/>
  <c r="AE243" i="11"/>
  <c r="BE243" i="11" s="1"/>
  <c r="Z243" i="11"/>
  <c r="Y243" i="11"/>
  <c r="X243" i="11"/>
  <c r="W243" i="11"/>
  <c r="V243" i="11"/>
  <c r="AA243" i="11" s="1"/>
  <c r="T243" i="11"/>
  <c r="N243" i="11"/>
  <c r="M243" i="11"/>
  <c r="L243" i="11"/>
  <c r="K243" i="11"/>
  <c r="J243" i="11"/>
  <c r="BG242" i="11"/>
  <c r="Z242" i="11"/>
  <c r="Y242" i="11"/>
  <c r="X242" i="11"/>
  <c r="W242" i="11"/>
  <c r="AA242" i="11" s="1"/>
  <c r="V242" i="11"/>
  <c r="N242" i="11"/>
  <c r="M242" i="11"/>
  <c r="L242" i="11"/>
  <c r="K242" i="11"/>
  <c r="I242" i="11" s="1"/>
  <c r="J242" i="11"/>
  <c r="AE241" i="11"/>
  <c r="BE241" i="11" s="1"/>
  <c r="Z241" i="11"/>
  <c r="Y241" i="11"/>
  <c r="X241" i="11"/>
  <c r="W241" i="11"/>
  <c r="V241" i="11"/>
  <c r="AA241" i="11" s="1"/>
  <c r="N241" i="11"/>
  <c r="M241" i="11"/>
  <c r="L241" i="11"/>
  <c r="K241" i="11"/>
  <c r="J241" i="11"/>
  <c r="U241" i="11" s="1"/>
  <c r="I241" i="11"/>
  <c r="BG241" i="11" s="1"/>
  <c r="Z240" i="11"/>
  <c r="Y240" i="11"/>
  <c r="X240" i="11"/>
  <c r="W240" i="11"/>
  <c r="AA240" i="11" s="1"/>
  <c r="V240" i="11"/>
  <c r="N240" i="11"/>
  <c r="M240" i="11"/>
  <c r="L240" i="11"/>
  <c r="U240" i="11" s="1"/>
  <c r="K240" i="11"/>
  <c r="J240" i="11"/>
  <c r="T240" i="11" s="1"/>
  <c r="AE239" i="11"/>
  <c r="BE239" i="11" s="1"/>
  <c r="Z239" i="11"/>
  <c r="Y239" i="11"/>
  <c r="X239" i="11"/>
  <c r="W239" i="11"/>
  <c r="V239" i="11"/>
  <c r="N239" i="11"/>
  <c r="M239" i="11"/>
  <c r="L239" i="11"/>
  <c r="K239" i="11"/>
  <c r="J239" i="11"/>
  <c r="Z238" i="11"/>
  <c r="Y238" i="11"/>
  <c r="X238" i="11"/>
  <c r="W238" i="11"/>
  <c r="AA238" i="11" s="1"/>
  <c r="V238" i="11"/>
  <c r="N238" i="11"/>
  <c r="M238" i="11"/>
  <c r="L238" i="11"/>
  <c r="K238" i="11"/>
  <c r="J238" i="11"/>
  <c r="AE237" i="11"/>
  <c r="BE237" i="11" s="1"/>
  <c r="Z237" i="11"/>
  <c r="Y237" i="11"/>
  <c r="X237" i="11"/>
  <c r="W237" i="11"/>
  <c r="V237" i="11"/>
  <c r="AA237" i="11" s="1"/>
  <c r="N237" i="11"/>
  <c r="M237" i="11"/>
  <c r="L237" i="11"/>
  <c r="K237" i="11"/>
  <c r="T237" i="11" s="1"/>
  <c r="J237" i="11"/>
  <c r="U237" i="11" s="1"/>
  <c r="I237" i="11"/>
  <c r="BG237" i="11" s="1"/>
  <c r="Z236" i="11"/>
  <c r="Y236" i="11"/>
  <c r="X236" i="11"/>
  <c r="W236" i="11"/>
  <c r="V236" i="11"/>
  <c r="N236" i="11"/>
  <c r="M236" i="11"/>
  <c r="L236" i="11"/>
  <c r="U236" i="11" s="1"/>
  <c r="K236" i="11"/>
  <c r="J236" i="11"/>
  <c r="AE235" i="11"/>
  <c r="BE235" i="11" s="1"/>
  <c r="Z235" i="11"/>
  <c r="Y235" i="11"/>
  <c r="X235" i="11"/>
  <c r="W235" i="11"/>
  <c r="V235" i="11"/>
  <c r="AA235" i="11" s="1"/>
  <c r="T235" i="11"/>
  <c r="N235" i="11"/>
  <c r="M235" i="11"/>
  <c r="L235" i="11"/>
  <c r="K235" i="11"/>
  <c r="J235" i="11"/>
  <c r="BG234" i="11"/>
  <c r="Z234" i="11"/>
  <c r="Y234" i="11"/>
  <c r="X234" i="11"/>
  <c r="W234" i="11"/>
  <c r="AA234" i="11" s="1"/>
  <c r="V234" i="11"/>
  <c r="N234" i="11"/>
  <c r="M234" i="11"/>
  <c r="L234" i="11"/>
  <c r="K234" i="11"/>
  <c r="I234" i="11" s="1"/>
  <c r="J234" i="11"/>
  <c r="AE233" i="11"/>
  <c r="BE233" i="11" s="1"/>
  <c r="Z233" i="11"/>
  <c r="Y233" i="11"/>
  <c r="X233" i="11"/>
  <c r="W233" i="11"/>
  <c r="V233" i="11"/>
  <c r="AA233" i="11" s="1"/>
  <c r="N233" i="11"/>
  <c r="M233" i="11"/>
  <c r="L233" i="11"/>
  <c r="K233" i="11"/>
  <c r="P233" i="11" s="1"/>
  <c r="J233" i="11"/>
  <c r="Z232" i="11"/>
  <c r="Y232" i="11"/>
  <c r="X232" i="11"/>
  <c r="W232" i="11"/>
  <c r="V232" i="11"/>
  <c r="U232" i="11"/>
  <c r="N232" i="11"/>
  <c r="M232" i="11"/>
  <c r="L232" i="11"/>
  <c r="K232" i="11"/>
  <c r="J232" i="11"/>
  <c r="AE231" i="11"/>
  <c r="BE231" i="11" s="1"/>
  <c r="Z231" i="11"/>
  <c r="Y231" i="11"/>
  <c r="X231" i="11"/>
  <c r="W231" i="11"/>
  <c r="V231" i="11"/>
  <c r="N231" i="11"/>
  <c r="M231" i="11"/>
  <c r="T231" i="11" s="1"/>
  <c r="L231" i="11"/>
  <c r="K231" i="11"/>
  <c r="J231" i="11"/>
  <c r="I231" i="11"/>
  <c r="BG231" i="11" s="1"/>
  <c r="Z230" i="11"/>
  <c r="Y230" i="11"/>
  <c r="X230" i="11"/>
  <c r="W230" i="11"/>
  <c r="AA230" i="11" s="1"/>
  <c r="V230" i="11"/>
  <c r="N230" i="11"/>
  <c r="M230" i="11"/>
  <c r="L230" i="11"/>
  <c r="K230" i="11"/>
  <c r="J230" i="11"/>
  <c r="AE229" i="11"/>
  <c r="BE229" i="11" s="1"/>
  <c r="Z229" i="11"/>
  <c r="Y229" i="11"/>
  <c r="X229" i="11"/>
  <c r="W229" i="11"/>
  <c r="V229" i="11"/>
  <c r="AA229" i="11" s="1"/>
  <c r="N229" i="11"/>
  <c r="M229" i="11"/>
  <c r="T229" i="11" s="1"/>
  <c r="L229" i="11"/>
  <c r="K229" i="11"/>
  <c r="P229" i="11" s="1"/>
  <c r="J229" i="11"/>
  <c r="U229" i="11" s="1"/>
  <c r="I229" i="11"/>
  <c r="BG229" i="11" s="1"/>
  <c r="Z228" i="11"/>
  <c r="Y228" i="11"/>
  <c r="X228" i="11"/>
  <c r="W228" i="11"/>
  <c r="V228" i="11"/>
  <c r="AA228" i="11" s="1"/>
  <c r="N228" i="11"/>
  <c r="M228" i="11"/>
  <c r="L228" i="11"/>
  <c r="K228" i="11"/>
  <c r="J228" i="11"/>
  <c r="I228" i="11" s="1"/>
  <c r="BG228" i="11" s="1"/>
  <c r="BG227" i="11"/>
  <c r="Z227" i="11"/>
  <c r="Y227" i="11"/>
  <c r="X227" i="11"/>
  <c r="W227" i="11"/>
  <c r="V227" i="11"/>
  <c r="U227" i="11"/>
  <c r="T227" i="11"/>
  <c r="P227" i="11"/>
  <c r="Z226" i="11"/>
  <c r="Y226" i="11"/>
  <c r="X226" i="11"/>
  <c r="W226" i="11"/>
  <c r="AA226" i="11" s="1"/>
  <c r="V226" i="11"/>
  <c r="N226" i="11"/>
  <c r="M226" i="11"/>
  <c r="L226" i="11"/>
  <c r="K226" i="11"/>
  <c r="J226" i="11"/>
  <c r="AE225" i="11"/>
  <c r="BE225" i="11" s="1"/>
  <c r="Z225" i="11"/>
  <c r="Y225" i="11"/>
  <c r="X225" i="11"/>
  <c r="W225" i="11"/>
  <c r="V225" i="11"/>
  <c r="AA225" i="11" s="1"/>
  <c r="N225" i="11"/>
  <c r="M225" i="11"/>
  <c r="L225" i="11"/>
  <c r="U225" i="11" s="1"/>
  <c r="K225" i="11"/>
  <c r="T225" i="11" s="1"/>
  <c r="J225" i="11"/>
  <c r="I225" i="11"/>
  <c r="BG225" i="11" s="1"/>
  <c r="BE224" i="11"/>
  <c r="Z224" i="11"/>
  <c r="Y224" i="11"/>
  <c r="X224" i="11"/>
  <c r="W224" i="11"/>
  <c r="V224" i="11"/>
  <c r="U224" i="11"/>
  <c r="N224" i="11"/>
  <c r="M224" i="11"/>
  <c r="L224" i="11"/>
  <c r="K224" i="11"/>
  <c r="J224" i="11"/>
  <c r="AE224" i="11" s="1"/>
  <c r="Z223" i="11"/>
  <c r="Y223" i="11"/>
  <c r="X223" i="11"/>
  <c r="W223" i="11"/>
  <c r="V223" i="11"/>
  <c r="T223" i="11"/>
  <c r="N223" i="11"/>
  <c r="M223" i="11"/>
  <c r="L223" i="11"/>
  <c r="K223" i="11"/>
  <c r="I223" i="11" s="1"/>
  <c r="BG223" i="11" s="1"/>
  <c r="J223" i="11"/>
  <c r="AE223" i="11" s="1"/>
  <c r="BE223" i="11" s="1"/>
  <c r="Z222" i="11"/>
  <c r="Y222" i="11"/>
  <c r="X222" i="11"/>
  <c r="W222" i="11"/>
  <c r="AA222" i="11" s="1"/>
  <c r="V222" i="11"/>
  <c r="N222" i="11"/>
  <c r="M222" i="11"/>
  <c r="L222" i="11"/>
  <c r="K222" i="11"/>
  <c r="J222" i="11"/>
  <c r="AE221" i="11"/>
  <c r="BE221" i="11" s="1"/>
  <c r="Z221" i="11"/>
  <c r="Y221" i="11"/>
  <c r="X221" i="11"/>
  <c r="W221" i="11"/>
  <c r="V221" i="11"/>
  <c r="AA221" i="11" s="1"/>
  <c r="N221" i="11"/>
  <c r="M221" i="11"/>
  <c r="L221" i="11"/>
  <c r="K221" i="11"/>
  <c r="J221" i="11"/>
  <c r="I221" i="11"/>
  <c r="BG221" i="11" s="1"/>
  <c r="BE220" i="11"/>
  <c r="Z220" i="11"/>
  <c r="Y220" i="11"/>
  <c r="X220" i="11"/>
  <c r="W220" i="11"/>
  <c r="V220" i="11"/>
  <c r="N220" i="11"/>
  <c r="M220" i="11"/>
  <c r="L220" i="11"/>
  <c r="U220" i="11" s="1"/>
  <c r="K220" i="11"/>
  <c r="J220" i="11"/>
  <c r="AE220" i="11" s="1"/>
  <c r="Z219" i="11"/>
  <c r="Y219" i="11"/>
  <c r="X219" i="11"/>
  <c r="W219" i="11"/>
  <c r="V219" i="11"/>
  <c r="T219" i="11"/>
  <c r="N219" i="11"/>
  <c r="M219" i="11"/>
  <c r="L219" i="11"/>
  <c r="K219" i="11"/>
  <c r="I219" i="11" s="1"/>
  <c r="BG219" i="11" s="1"/>
  <c r="J219" i="11"/>
  <c r="AE219" i="11" s="1"/>
  <c r="BE219" i="11" s="1"/>
  <c r="Z218" i="11"/>
  <c r="Y218" i="11"/>
  <c r="X218" i="11"/>
  <c r="W218" i="11"/>
  <c r="AA218" i="11" s="1"/>
  <c r="V218" i="11"/>
  <c r="N218" i="11"/>
  <c r="M218" i="11"/>
  <c r="L218" i="11"/>
  <c r="K218" i="11"/>
  <c r="J218" i="11"/>
  <c r="AE217" i="11"/>
  <c r="BE217" i="11" s="1"/>
  <c r="Z217" i="11"/>
  <c r="Y217" i="11"/>
  <c r="X217" i="11"/>
  <c r="W217" i="11"/>
  <c r="V217" i="11"/>
  <c r="AA217" i="11" s="1"/>
  <c r="N217" i="11"/>
  <c r="M217" i="11"/>
  <c r="L217" i="11"/>
  <c r="K217" i="11"/>
  <c r="J217" i="11"/>
  <c r="I217" i="11"/>
  <c r="BG217" i="11" s="1"/>
  <c r="Z216" i="11"/>
  <c r="Y216" i="11"/>
  <c r="X216" i="11"/>
  <c r="W216" i="11"/>
  <c r="AA216" i="11" s="1"/>
  <c r="V216" i="11"/>
  <c r="N216" i="11"/>
  <c r="M216" i="11"/>
  <c r="L216" i="11"/>
  <c r="U216" i="11" s="1"/>
  <c r="K216" i="11"/>
  <c r="J216" i="11"/>
  <c r="AE216" i="11" s="1"/>
  <c r="BE216" i="11" s="1"/>
  <c r="Z215" i="11"/>
  <c r="Y215" i="11"/>
  <c r="X215" i="11"/>
  <c r="W215" i="11"/>
  <c r="AA215" i="11" s="1"/>
  <c r="V215" i="11"/>
  <c r="T215" i="11"/>
  <c r="N215" i="11"/>
  <c r="M215" i="11"/>
  <c r="L215" i="11"/>
  <c r="K215" i="11"/>
  <c r="I215" i="11" s="1"/>
  <c r="BG215" i="11" s="1"/>
  <c r="J215" i="11"/>
  <c r="AE215" i="11" s="1"/>
  <c r="BE215" i="11" s="1"/>
  <c r="Z214" i="11"/>
  <c r="Y214" i="11"/>
  <c r="X214" i="11"/>
  <c r="W214" i="11"/>
  <c r="AA214" i="11" s="1"/>
  <c r="V214" i="11"/>
  <c r="N214" i="11"/>
  <c r="M214" i="11"/>
  <c r="L214" i="11"/>
  <c r="K214" i="11"/>
  <c r="J214" i="11"/>
  <c r="AE213" i="11"/>
  <c r="BE213" i="11" s="1"/>
  <c r="Z213" i="11"/>
  <c r="Y213" i="11"/>
  <c r="X213" i="11"/>
  <c r="W213" i="11"/>
  <c r="V213" i="11"/>
  <c r="AA213" i="11" s="1"/>
  <c r="N213" i="11"/>
  <c r="M213" i="11"/>
  <c r="L213" i="11"/>
  <c r="K213" i="11"/>
  <c r="T213" i="11" s="1"/>
  <c r="J213" i="11"/>
  <c r="I213" i="11"/>
  <c r="BG213" i="11" s="1"/>
  <c r="Z212" i="11"/>
  <c r="Y212" i="11"/>
  <c r="X212" i="11"/>
  <c r="W212" i="11"/>
  <c r="AA212" i="11" s="1"/>
  <c r="V212" i="11"/>
  <c r="N212" i="11"/>
  <c r="M212" i="11"/>
  <c r="L212" i="11"/>
  <c r="U212" i="11" s="1"/>
  <c r="K212" i="11"/>
  <c r="T212" i="11" s="1"/>
  <c r="J212" i="11"/>
  <c r="AE212" i="11" s="1"/>
  <c r="BE212" i="11" s="1"/>
  <c r="Z211" i="11"/>
  <c r="Y211" i="11"/>
  <c r="X211" i="11"/>
  <c r="W211" i="11"/>
  <c r="V211" i="11"/>
  <c r="N211" i="11"/>
  <c r="M211" i="11"/>
  <c r="L211" i="11"/>
  <c r="K211" i="11"/>
  <c r="J211" i="11"/>
  <c r="AE211" i="11" s="1"/>
  <c r="BE211" i="11" s="1"/>
  <c r="AF210" i="11"/>
  <c r="BH210" i="11" s="1"/>
  <c r="Z210" i="11"/>
  <c r="Y210" i="11"/>
  <c r="X210" i="11"/>
  <c r="W210" i="11"/>
  <c r="AA210" i="11" s="1"/>
  <c r="V210" i="11"/>
  <c r="N210" i="11"/>
  <c r="M210" i="11"/>
  <c r="L210" i="11"/>
  <c r="K210" i="11"/>
  <c r="J210" i="11"/>
  <c r="AE209" i="11"/>
  <c r="BE209" i="11" s="1"/>
  <c r="Z209" i="11"/>
  <c r="Y209" i="11"/>
  <c r="X209" i="11"/>
  <c r="W209" i="11"/>
  <c r="V209" i="11"/>
  <c r="AA209" i="11" s="1"/>
  <c r="N209" i="11"/>
  <c r="M209" i="11"/>
  <c r="L209" i="11"/>
  <c r="U209" i="11" s="1"/>
  <c r="K209" i="11"/>
  <c r="T209" i="11" s="1"/>
  <c r="J209" i="11"/>
  <c r="I209" i="11"/>
  <c r="BG209" i="11" s="1"/>
  <c r="BE208" i="11"/>
  <c r="Z208" i="11"/>
  <c r="Y208" i="11"/>
  <c r="X208" i="11"/>
  <c r="W208" i="11"/>
  <c r="V208" i="11"/>
  <c r="N208" i="11"/>
  <c r="M208" i="11"/>
  <c r="L208" i="11"/>
  <c r="U208" i="11" s="1"/>
  <c r="K208" i="11"/>
  <c r="J208" i="11"/>
  <c r="AE208" i="11" s="1"/>
  <c r="Z207" i="11"/>
  <c r="Y207" i="11"/>
  <c r="X207" i="11"/>
  <c r="W207" i="11"/>
  <c r="V207" i="11"/>
  <c r="T207" i="11"/>
  <c r="N207" i="11"/>
  <c r="M207" i="11"/>
  <c r="L207" i="11"/>
  <c r="K207" i="11"/>
  <c r="I207" i="11" s="1"/>
  <c r="BG207" i="11" s="1"/>
  <c r="J207" i="11"/>
  <c r="AE207" i="11" s="1"/>
  <c r="BE207" i="11" s="1"/>
  <c r="Z206" i="11"/>
  <c r="Y206" i="11"/>
  <c r="X206" i="11"/>
  <c r="W206" i="11"/>
  <c r="AA206" i="11" s="1"/>
  <c r="V206" i="11"/>
  <c r="N206" i="11"/>
  <c r="M206" i="11"/>
  <c r="L206" i="11"/>
  <c r="K206" i="11"/>
  <c r="J206" i="11"/>
  <c r="BG205" i="11"/>
  <c r="Z205" i="11"/>
  <c r="Y205" i="11"/>
  <c r="X205" i="11"/>
  <c r="W205" i="11"/>
  <c r="V205" i="11"/>
  <c r="AA205" i="11" s="1"/>
  <c r="U205" i="11"/>
  <c r="T205" i="11"/>
  <c r="P205" i="11"/>
  <c r="Z204" i="11"/>
  <c r="Y204" i="11"/>
  <c r="X204" i="11"/>
  <c r="W204" i="11"/>
  <c r="AA204" i="11" s="1"/>
  <c r="V204" i="11"/>
  <c r="N204" i="11"/>
  <c r="M204" i="11"/>
  <c r="L204" i="11"/>
  <c r="K204" i="11"/>
  <c r="J204" i="11"/>
  <c r="AE203" i="11"/>
  <c r="BE203" i="11" s="1"/>
  <c r="Z203" i="11"/>
  <c r="Y203" i="11"/>
  <c r="X203" i="11"/>
  <c r="W203" i="11"/>
  <c r="V203" i="11"/>
  <c r="AA203" i="11" s="1"/>
  <c r="N203" i="11"/>
  <c r="M203" i="11"/>
  <c r="L203" i="11"/>
  <c r="K203" i="11"/>
  <c r="J203" i="11"/>
  <c r="I203" i="11"/>
  <c r="BE202" i="11"/>
  <c r="Z202" i="11"/>
  <c r="Y202" i="11"/>
  <c r="X202" i="11"/>
  <c r="W202" i="11"/>
  <c r="V202" i="11"/>
  <c r="AA202" i="11" s="1"/>
  <c r="N202" i="11"/>
  <c r="M202" i="11"/>
  <c r="L202" i="11"/>
  <c r="U202" i="11" s="1"/>
  <c r="K202" i="11"/>
  <c r="J202" i="11"/>
  <c r="AE202" i="11" s="1"/>
  <c r="Z201" i="11"/>
  <c r="Y201" i="11"/>
  <c r="X201" i="11"/>
  <c r="W201" i="11"/>
  <c r="V201" i="11"/>
  <c r="T201" i="11"/>
  <c r="N201" i="11"/>
  <c r="M201" i="11"/>
  <c r="L201" i="11"/>
  <c r="K201" i="11"/>
  <c r="I201" i="11" s="1"/>
  <c r="BG201" i="11" s="1"/>
  <c r="J201" i="11"/>
  <c r="AE201" i="11" s="1"/>
  <c r="BE201" i="11" s="1"/>
  <c r="Z200" i="11"/>
  <c r="Y200" i="11"/>
  <c r="X200" i="11"/>
  <c r="W200" i="11"/>
  <c r="AA200" i="11" s="1"/>
  <c r="V200" i="11"/>
  <c r="N200" i="11"/>
  <c r="M200" i="11"/>
  <c r="L200" i="11"/>
  <c r="K200" i="11"/>
  <c r="J200" i="11"/>
  <c r="AE199" i="11"/>
  <c r="BE199" i="11" s="1"/>
  <c r="Z199" i="11"/>
  <c r="Y199" i="11"/>
  <c r="X199" i="11"/>
  <c r="W199" i="11"/>
  <c r="V199" i="11"/>
  <c r="AA199" i="11" s="1"/>
  <c r="N199" i="11"/>
  <c r="M199" i="11"/>
  <c r="L199" i="11"/>
  <c r="K199" i="11"/>
  <c r="J199" i="11"/>
  <c r="T199" i="11" s="1"/>
  <c r="I199" i="11"/>
  <c r="BG199" i="11" s="1"/>
  <c r="Z198" i="11"/>
  <c r="Y198" i="11"/>
  <c r="X198" i="11"/>
  <c r="W198" i="11"/>
  <c r="V198" i="11"/>
  <c r="AA198" i="11" s="1"/>
  <c r="N198" i="11"/>
  <c r="M198" i="11"/>
  <c r="L198" i="11"/>
  <c r="U198" i="11" s="1"/>
  <c r="K198" i="11"/>
  <c r="J198" i="11"/>
  <c r="AE198" i="11" s="1"/>
  <c r="BE198" i="11" s="1"/>
  <c r="Z197" i="11"/>
  <c r="Y197" i="11"/>
  <c r="X197" i="11"/>
  <c r="W197" i="11"/>
  <c r="AA197" i="11" s="1"/>
  <c r="V197" i="11"/>
  <c r="T197" i="11"/>
  <c r="N197" i="11"/>
  <c r="M197" i="11"/>
  <c r="L197" i="11"/>
  <c r="K197" i="11"/>
  <c r="I197" i="11" s="1"/>
  <c r="BG197" i="11" s="1"/>
  <c r="J197" i="11"/>
  <c r="AE197" i="11" s="1"/>
  <c r="BE197" i="11" s="1"/>
  <c r="Z196" i="11"/>
  <c r="Y196" i="11"/>
  <c r="X196" i="11"/>
  <c r="W196" i="11"/>
  <c r="AA196" i="11" s="1"/>
  <c r="V196" i="11"/>
  <c r="N196" i="11"/>
  <c r="M196" i="11"/>
  <c r="L196" i="11"/>
  <c r="K196" i="11"/>
  <c r="J196" i="11"/>
  <c r="AE195" i="11"/>
  <c r="BE195" i="11" s="1"/>
  <c r="Z195" i="11"/>
  <c r="Y195" i="11"/>
  <c r="X195" i="11"/>
  <c r="W195" i="11"/>
  <c r="V195" i="11"/>
  <c r="AA195" i="11" s="1"/>
  <c r="N195" i="11"/>
  <c r="M195" i="11"/>
  <c r="L195" i="11"/>
  <c r="K195" i="11"/>
  <c r="J195" i="11"/>
  <c r="T195" i="11" s="1"/>
  <c r="I195" i="11"/>
  <c r="BG195" i="11" s="1"/>
  <c r="Z194" i="11"/>
  <c r="Y194" i="11"/>
  <c r="X194" i="11"/>
  <c r="W194" i="11"/>
  <c r="V194" i="11"/>
  <c r="AA194" i="11" s="1"/>
  <c r="N194" i="11"/>
  <c r="M194" i="11"/>
  <c r="L194" i="11"/>
  <c r="U194" i="11" s="1"/>
  <c r="K194" i="11"/>
  <c r="T194" i="11" s="1"/>
  <c r="J194" i="11"/>
  <c r="AE194" i="11" s="1"/>
  <c r="BE194" i="11" s="1"/>
  <c r="Z193" i="11"/>
  <c r="Y193" i="11"/>
  <c r="X193" i="11"/>
  <c r="W193" i="11"/>
  <c r="V193" i="11"/>
  <c r="N193" i="11"/>
  <c r="M193" i="11"/>
  <c r="L193" i="11"/>
  <c r="K193" i="11"/>
  <c r="J193" i="11"/>
  <c r="AE193" i="11" s="1"/>
  <c r="BE193" i="11" s="1"/>
  <c r="AF192" i="11"/>
  <c r="BH192" i="11" s="1"/>
  <c r="Z192" i="11"/>
  <c r="Y192" i="11"/>
  <c r="X192" i="11"/>
  <c r="W192" i="11"/>
  <c r="AA192" i="11" s="1"/>
  <c r="V192" i="11"/>
  <c r="N192" i="11"/>
  <c r="M192" i="11"/>
  <c r="L192" i="11"/>
  <c r="K192" i="11"/>
  <c r="J192" i="11"/>
  <c r="AE191" i="11"/>
  <c r="BE191" i="11" s="1"/>
  <c r="Z191" i="11"/>
  <c r="Y191" i="11"/>
  <c r="X191" i="11"/>
  <c r="W191" i="11"/>
  <c r="V191" i="11"/>
  <c r="AA191" i="11" s="1"/>
  <c r="N191" i="11"/>
  <c r="M191" i="11"/>
  <c r="L191" i="11"/>
  <c r="U191" i="11" s="1"/>
  <c r="K191" i="11"/>
  <c r="J191" i="11"/>
  <c r="T191" i="11" s="1"/>
  <c r="I191" i="11"/>
  <c r="BG191" i="11" s="1"/>
  <c r="BE190" i="11"/>
  <c r="Z190" i="11"/>
  <c r="Y190" i="11"/>
  <c r="X190" i="11"/>
  <c r="W190" i="11"/>
  <c r="V190" i="11"/>
  <c r="N190" i="11"/>
  <c r="M190" i="11"/>
  <c r="L190" i="11"/>
  <c r="U190" i="11" s="1"/>
  <c r="K190" i="11"/>
  <c r="J190" i="11"/>
  <c r="AE190" i="11" s="1"/>
  <c r="Z189" i="11"/>
  <c r="Y189" i="11"/>
  <c r="X189" i="11"/>
  <c r="W189" i="11"/>
  <c r="V189" i="11"/>
  <c r="T189" i="11"/>
  <c r="N189" i="11"/>
  <c r="M189" i="11"/>
  <c r="L189" i="11"/>
  <c r="K189" i="11"/>
  <c r="I189" i="11" s="1"/>
  <c r="BG189" i="11" s="1"/>
  <c r="J189" i="11"/>
  <c r="AE189" i="11" s="1"/>
  <c r="BE189" i="11" s="1"/>
  <c r="AE188" i="11"/>
  <c r="BE188" i="11" s="1"/>
  <c r="Z188" i="11"/>
  <c r="Y188" i="11"/>
  <c r="X188" i="11"/>
  <c r="W188" i="11"/>
  <c r="AA188" i="11" s="1"/>
  <c r="V188" i="11"/>
  <c r="N188" i="11"/>
  <c r="M188" i="11"/>
  <c r="L188" i="11"/>
  <c r="K188" i="11"/>
  <c r="J188" i="11"/>
  <c r="I188" i="11" s="1"/>
  <c r="BG188" i="11" s="1"/>
  <c r="BE187" i="11"/>
  <c r="AE187" i="11"/>
  <c r="Z187" i="11"/>
  <c r="Y187" i="11"/>
  <c r="X187" i="11"/>
  <c r="W187" i="11"/>
  <c r="V187" i="11"/>
  <c r="AA187" i="11" s="1"/>
  <c r="N187" i="11"/>
  <c r="M187" i="11"/>
  <c r="U187" i="11" s="1"/>
  <c r="L187" i="11"/>
  <c r="K187" i="11"/>
  <c r="J187" i="11"/>
  <c r="T187" i="11" s="1"/>
  <c r="I187" i="11"/>
  <c r="BG187" i="11" s="1"/>
  <c r="BE186" i="11"/>
  <c r="Z186" i="11"/>
  <c r="Y186" i="11"/>
  <c r="X186" i="11"/>
  <c r="W186" i="11"/>
  <c r="V186" i="11"/>
  <c r="T186" i="11"/>
  <c r="N186" i="11"/>
  <c r="M186" i="11"/>
  <c r="L186" i="11"/>
  <c r="K186" i="11"/>
  <c r="U186" i="11" s="1"/>
  <c r="J186" i="11"/>
  <c r="AE186" i="11" s="1"/>
  <c r="Z185" i="11"/>
  <c r="Y185" i="11"/>
  <c r="X185" i="11"/>
  <c r="W185" i="11"/>
  <c r="AA185" i="11" s="1"/>
  <c r="V185" i="11"/>
  <c r="N185" i="11"/>
  <c r="M185" i="11"/>
  <c r="L185" i="11"/>
  <c r="K185" i="11"/>
  <c r="J185" i="11"/>
  <c r="AE184" i="11"/>
  <c r="BE184" i="11" s="1"/>
  <c r="Z184" i="11"/>
  <c r="Y184" i="11"/>
  <c r="X184" i="11"/>
  <c r="W184" i="11"/>
  <c r="V184" i="11"/>
  <c r="AA184" i="11" s="1"/>
  <c r="N184" i="11"/>
  <c r="M184" i="11"/>
  <c r="L184" i="11"/>
  <c r="K184" i="11"/>
  <c r="J184" i="11"/>
  <c r="I184" i="11"/>
  <c r="BG184" i="11" s="1"/>
  <c r="Z183" i="11"/>
  <c r="Y183" i="11"/>
  <c r="X183" i="11"/>
  <c r="W183" i="11"/>
  <c r="AA183" i="11" s="1"/>
  <c r="V183" i="11"/>
  <c r="N183" i="11"/>
  <c r="M183" i="11"/>
  <c r="L183" i="11"/>
  <c r="K183" i="11"/>
  <c r="I183" i="11" s="1"/>
  <c r="BG183" i="11" s="1"/>
  <c r="J183" i="11"/>
  <c r="AE183" i="11" s="1"/>
  <c r="BE183" i="11" s="1"/>
  <c r="Z182" i="11"/>
  <c r="Y182" i="11"/>
  <c r="X182" i="11"/>
  <c r="W182" i="11"/>
  <c r="AA182" i="11" s="1"/>
  <c r="V182" i="11"/>
  <c r="N182" i="11"/>
  <c r="M182" i="11"/>
  <c r="L182" i="11"/>
  <c r="K182" i="11"/>
  <c r="J182" i="11"/>
  <c r="AE181" i="11"/>
  <c r="BE181" i="11" s="1"/>
  <c r="Z181" i="11"/>
  <c r="Y181" i="11"/>
  <c r="X181" i="11"/>
  <c r="W181" i="11"/>
  <c r="V181" i="11"/>
  <c r="AA181" i="11" s="1"/>
  <c r="N181" i="11"/>
  <c r="M181" i="11"/>
  <c r="L181" i="11"/>
  <c r="U181" i="11" s="1"/>
  <c r="K181" i="11"/>
  <c r="J181" i="11"/>
  <c r="T181" i="11" s="1"/>
  <c r="I181" i="11"/>
  <c r="BG181" i="11" s="1"/>
  <c r="Z180" i="11"/>
  <c r="Y180" i="11"/>
  <c r="X180" i="11"/>
  <c r="W180" i="11"/>
  <c r="AA180" i="11" s="1"/>
  <c r="V180" i="11"/>
  <c r="N180" i="11"/>
  <c r="M180" i="11"/>
  <c r="L180" i="11"/>
  <c r="U180" i="11" s="1"/>
  <c r="K180" i="11"/>
  <c r="T180" i="11" s="1"/>
  <c r="J180" i="11"/>
  <c r="AE180" i="11" s="1"/>
  <c r="BE180" i="11" s="1"/>
  <c r="Z179" i="11"/>
  <c r="Y179" i="11"/>
  <c r="X179" i="11"/>
  <c r="W179" i="11"/>
  <c r="AA179" i="11" s="1"/>
  <c r="V179" i="11"/>
  <c r="N179" i="11"/>
  <c r="M179" i="11"/>
  <c r="L179" i="11"/>
  <c r="K179" i="11"/>
  <c r="I179" i="11" s="1"/>
  <c r="BG179" i="11" s="1"/>
  <c r="J179" i="11"/>
  <c r="AF179" i="11" s="1"/>
  <c r="BH179" i="11" s="1"/>
  <c r="Z178" i="11"/>
  <c r="Y178" i="11"/>
  <c r="X178" i="11"/>
  <c r="W178" i="11"/>
  <c r="AA178" i="11" s="1"/>
  <c r="V178" i="11"/>
  <c r="N178" i="11"/>
  <c r="M178" i="11"/>
  <c r="L178" i="11"/>
  <c r="K178" i="11"/>
  <c r="J178" i="11"/>
  <c r="AE177" i="11"/>
  <c r="BE177" i="11" s="1"/>
  <c r="Z177" i="11"/>
  <c r="Y177" i="11"/>
  <c r="X177" i="11"/>
  <c r="W177" i="11"/>
  <c r="V177" i="11"/>
  <c r="AA177" i="11" s="1"/>
  <c r="N177" i="11"/>
  <c r="M177" i="11"/>
  <c r="L177" i="11"/>
  <c r="U177" i="11" s="1"/>
  <c r="K177" i="11"/>
  <c r="J177" i="11"/>
  <c r="I177" i="11"/>
  <c r="BG177" i="11" s="1"/>
  <c r="BE176" i="11"/>
  <c r="Z176" i="11"/>
  <c r="Y176" i="11"/>
  <c r="X176" i="11"/>
  <c r="W176" i="11"/>
  <c r="V176" i="11"/>
  <c r="N176" i="11"/>
  <c r="M176" i="11"/>
  <c r="L176" i="11"/>
  <c r="U176" i="11" s="1"/>
  <c r="K176" i="11"/>
  <c r="T176" i="11" s="1"/>
  <c r="J176" i="11"/>
  <c r="AE176" i="11" s="1"/>
  <c r="Z175" i="11"/>
  <c r="Y175" i="11"/>
  <c r="X175" i="11"/>
  <c r="W175" i="11"/>
  <c r="V175" i="11"/>
  <c r="N175" i="11"/>
  <c r="M175" i="11"/>
  <c r="L175" i="11"/>
  <c r="K175" i="11"/>
  <c r="I175" i="11" s="1"/>
  <c r="BG175" i="11" s="1"/>
  <c r="J175" i="11"/>
  <c r="Z174" i="11"/>
  <c r="Y174" i="11"/>
  <c r="X174" i="11"/>
  <c r="W174" i="11"/>
  <c r="AA174" i="11" s="1"/>
  <c r="V174" i="11"/>
  <c r="N174" i="11"/>
  <c r="M174" i="11"/>
  <c r="L174" i="11"/>
  <c r="K174" i="11"/>
  <c r="J174" i="11"/>
  <c r="AE173" i="11"/>
  <c r="BE173" i="11" s="1"/>
  <c r="Z173" i="11"/>
  <c r="Y173" i="11"/>
  <c r="X173" i="11"/>
  <c r="W173" i="11"/>
  <c r="V173" i="11"/>
  <c r="AA173" i="11" s="1"/>
  <c r="N173" i="11"/>
  <c r="M173" i="11"/>
  <c r="L173" i="11"/>
  <c r="U173" i="11" s="1"/>
  <c r="K173" i="11"/>
  <c r="J173" i="11"/>
  <c r="I173" i="11"/>
  <c r="BG173" i="11" s="1"/>
  <c r="BE172" i="11"/>
  <c r="Z172" i="11"/>
  <c r="Y172" i="11"/>
  <c r="X172" i="11"/>
  <c r="W172" i="11"/>
  <c r="V172" i="11"/>
  <c r="N172" i="11"/>
  <c r="M172" i="11"/>
  <c r="L172" i="11"/>
  <c r="U172" i="11" s="1"/>
  <c r="K172" i="11"/>
  <c r="J172" i="11"/>
  <c r="AE172" i="11" s="1"/>
  <c r="Z171" i="11"/>
  <c r="Y171" i="11"/>
  <c r="X171" i="11"/>
  <c r="W171" i="11"/>
  <c r="AA171" i="11" s="1"/>
  <c r="V171" i="11"/>
  <c r="T171" i="11"/>
  <c r="N171" i="11"/>
  <c r="M171" i="11"/>
  <c r="L171" i="11"/>
  <c r="K171" i="11"/>
  <c r="I171" i="11" s="1"/>
  <c r="BG171" i="11" s="1"/>
  <c r="J171" i="11"/>
  <c r="Z170" i="11"/>
  <c r="Y170" i="11"/>
  <c r="X170" i="11"/>
  <c r="W170" i="11"/>
  <c r="AA170" i="11" s="1"/>
  <c r="V170" i="11"/>
  <c r="N170" i="11"/>
  <c r="M170" i="11"/>
  <c r="L170" i="11"/>
  <c r="K170" i="11"/>
  <c r="J170" i="11"/>
  <c r="AE169" i="11"/>
  <c r="BE169" i="11" s="1"/>
  <c r="Z169" i="11"/>
  <c r="Y169" i="11"/>
  <c r="X169" i="11"/>
  <c r="W169" i="11"/>
  <c r="V169" i="11"/>
  <c r="AA169" i="11" s="1"/>
  <c r="N169" i="11"/>
  <c r="M169" i="11"/>
  <c r="L169" i="11"/>
  <c r="K169" i="11"/>
  <c r="J169" i="11"/>
  <c r="I169" i="11"/>
  <c r="BG169" i="11" s="1"/>
  <c r="Z168" i="11"/>
  <c r="Y168" i="11"/>
  <c r="X168" i="11"/>
  <c r="W168" i="11"/>
  <c r="V168" i="11"/>
  <c r="AA168" i="11" s="1"/>
  <c r="N168" i="11"/>
  <c r="M168" i="11"/>
  <c r="L168" i="11"/>
  <c r="U168" i="11" s="1"/>
  <c r="K168" i="11"/>
  <c r="T168" i="11" s="1"/>
  <c r="J168" i="11"/>
  <c r="AE168" i="11" s="1"/>
  <c r="BE168" i="11" s="1"/>
  <c r="BH167" i="11"/>
  <c r="Z167" i="11"/>
  <c r="Y167" i="11"/>
  <c r="X167" i="11"/>
  <c r="W167" i="11"/>
  <c r="AA167" i="11" s="1"/>
  <c r="V167" i="11"/>
  <c r="N167" i="11"/>
  <c r="M167" i="11"/>
  <c r="L167" i="11"/>
  <c r="K167" i="11"/>
  <c r="I167" i="11" s="1"/>
  <c r="BG167" i="11" s="1"/>
  <c r="J167" i="11"/>
  <c r="AF167" i="11" s="1"/>
  <c r="Z166" i="11"/>
  <c r="Y166" i="11"/>
  <c r="X166" i="11"/>
  <c r="W166" i="11"/>
  <c r="AA166" i="11" s="1"/>
  <c r="V166" i="11"/>
  <c r="N166" i="11"/>
  <c r="M166" i="11"/>
  <c r="L166" i="11"/>
  <c r="K166" i="11"/>
  <c r="J166" i="11"/>
  <c r="AE165" i="11"/>
  <c r="BE165" i="11" s="1"/>
  <c r="Z165" i="11"/>
  <c r="Y165" i="11"/>
  <c r="X165" i="11"/>
  <c r="W165" i="11"/>
  <c r="V165" i="11"/>
  <c r="AA165" i="11" s="1"/>
  <c r="N165" i="11"/>
  <c r="M165" i="11"/>
  <c r="L165" i="11"/>
  <c r="U165" i="11" s="1"/>
  <c r="K165" i="11"/>
  <c r="J165" i="11"/>
  <c r="T165" i="11" s="1"/>
  <c r="I165" i="11"/>
  <c r="BG165" i="11" s="1"/>
  <c r="Z164" i="11"/>
  <c r="Y164" i="11"/>
  <c r="X164" i="11"/>
  <c r="W164" i="11"/>
  <c r="N164" i="11"/>
  <c r="M164" i="11"/>
  <c r="L164" i="11"/>
  <c r="U164" i="11" s="1"/>
  <c r="K164" i="11"/>
  <c r="T164" i="11" s="1"/>
  <c r="J164" i="11"/>
  <c r="AE164" i="11" s="1"/>
  <c r="BE164" i="11" s="1"/>
  <c r="Z163" i="11"/>
  <c r="Y163" i="11"/>
  <c r="X163" i="11"/>
  <c r="W163" i="11"/>
  <c r="T163" i="11"/>
  <c r="N163" i="11"/>
  <c r="M163" i="11"/>
  <c r="L163" i="11"/>
  <c r="K163" i="11"/>
  <c r="I163" i="11" s="1"/>
  <c r="BG163" i="11" s="1"/>
  <c r="J163" i="11"/>
  <c r="Z162" i="11"/>
  <c r="Y162" i="11"/>
  <c r="X162" i="11"/>
  <c r="W162" i="11"/>
  <c r="N162" i="11"/>
  <c r="M162" i="11"/>
  <c r="L162" i="11"/>
  <c r="K162" i="11"/>
  <c r="J162" i="11"/>
  <c r="AE161" i="11"/>
  <c r="BE161" i="11" s="1"/>
  <c r="Z161" i="11"/>
  <c r="Y161" i="11"/>
  <c r="X161" i="11"/>
  <c r="W161" i="11"/>
  <c r="N161" i="11"/>
  <c r="M161" i="11"/>
  <c r="L161" i="11"/>
  <c r="U161" i="11" s="1"/>
  <c r="K161" i="11"/>
  <c r="J161" i="11"/>
  <c r="I161" i="11"/>
  <c r="BG161" i="11" s="1"/>
  <c r="Z160" i="11"/>
  <c r="Y160" i="11"/>
  <c r="X160" i="11"/>
  <c r="W160" i="11"/>
  <c r="N160" i="11"/>
  <c r="M160" i="11"/>
  <c r="L160" i="11"/>
  <c r="U160" i="11" s="1"/>
  <c r="K160" i="11"/>
  <c r="T160" i="11" s="1"/>
  <c r="J160" i="11"/>
  <c r="Z159" i="11"/>
  <c r="Y159" i="11"/>
  <c r="X159" i="11"/>
  <c r="W159" i="11"/>
  <c r="N159" i="11"/>
  <c r="M159" i="11"/>
  <c r="L159" i="11"/>
  <c r="K159" i="11"/>
  <c r="I159" i="11" s="1"/>
  <c r="BG159" i="11" s="1"/>
  <c r="J159" i="11"/>
  <c r="AF159" i="11" s="1"/>
  <c r="BH159" i="11" s="1"/>
  <c r="AF158" i="11"/>
  <c r="BH158" i="11" s="1"/>
  <c r="Z158" i="11"/>
  <c r="Y158" i="11"/>
  <c r="X158" i="11"/>
  <c r="W158" i="11"/>
  <c r="N158" i="11"/>
  <c r="M158" i="11"/>
  <c r="L158" i="11"/>
  <c r="K158" i="11"/>
  <c r="J158" i="11"/>
  <c r="BG157" i="11"/>
  <c r="Z157" i="11"/>
  <c r="Y157" i="11"/>
  <c r="X157" i="11"/>
  <c r="W157" i="11"/>
  <c r="V157" i="11"/>
  <c r="AA157" i="11" s="1"/>
  <c r="U157" i="11"/>
  <c r="T157" i="11"/>
  <c r="R157" i="11"/>
  <c r="Q157" i="11"/>
  <c r="P157" i="11"/>
  <c r="AF156" i="11"/>
  <c r="BH156" i="11" s="1"/>
  <c r="Z156" i="11"/>
  <c r="Y156" i="11"/>
  <c r="X156" i="11"/>
  <c r="W156" i="11"/>
  <c r="N156" i="11"/>
  <c r="M156" i="11"/>
  <c r="L156" i="11"/>
  <c r="K156" i="11"/>
  <c r="J156" i="11"/>
  <c r="AE155" i="11"/>
  <c r="BE155" i="11" s="1"/>
  <c r="Z155" i="11"/>
  <c r="Y155" i="11"/>
  <c r="X155" i="11"/>
  <c r="W155" i="11"/>
  <c r="N155" i="11"/>
  <c r="M155" i="11"/>
  <c r="L155" i="11"/>
  <c r="U155" i="11" s="1"/>
  <c r="K155" i="11"/>
  <c r="J155" i="11"/>
  <c r="T155" i="11" s="1"/>
  <c r="V155" i="11" s="1"/>
  <c r="AA155" i="11" s="1"/>
  <c r="I155" i="11"/>
  <c r="BG155" i="11" s="1"/>
  <c r="BE154" i="11"/>
  <c r="AE154" i="11"/>
  <c r="Z154" i="11"/>
  <c r="Y154" i="11"/>
  <c r="X154" i="11"/>
  <c r="W154" i="11"/>
  <c r="V154" i="11"/>
  <c r="N154" i="11"/>
  <c r="M154" i="11"/>
  <c r="L154" i="11"/>
  <c r="U154" i="11" s="1"/>
  <c r="K154" i="11"/>
  <c r="T154" i="11" s="1"/>
  <c r="J154" i="11"/>
  <c r="Z153" i="11"/>
  <c r="Y153" i="11"/>
  <c r="X153" i="11"/>
  <c r="W153" i="11"/>
  <c r="N153" i="11"/>
  <c r="M153" i="11"/>
  <c r="L153" i="11"/>
  <c r="K153" i="11"/>
  <c r="I153" i="11" s="1"/>
  <c r="BG153" i="11" s="1"/>
  <c r="J153" i="11"/>
  <c r="AF153" i="11" s="1"/>
  <c r="BH153" i="11" s="1"/>
  <c r="Z152" i="11"/>
  <c r="Y152" i="11"/>
  <c r="X152" i="11"/>
  <c r="W152" i="11"/>
  <c r="N152" i="11"/>
  <c r="M152" i="11"/>
  <c r="L152" i="11"/>
  <c r="K152" i="11"/>
  <c r="J152" i="11"/>
  <c r="BE151" i="11"/>
  <c r="AE151" i="11"/>
  <c r="Z151" i="11"/>
  <c r="Y151" i="11"/>
  <c r="X151" i="11"/>
  <c r="W151" i="11"/>
  <c r="N151" i="11"/>
  <c r="M151" i="11"/>
  <c r="L151" i="11"/>
  <c r="U151" i="11" s="1"/>
  <c r="K151" i="11"/>
  <c r="J151" i="11"/>
  <c r="T151" i="11" s="1"/>
  <c r="Z150" i="11"/>
  <c r="Y150" i="11"/>
  <c r="X150" i="11"/>
  <c r="W150" i="11"/>
  <c r="N150" i="11"/>
  <c r="M150" i="11"/>
  <c r="L150" i="11"/>
  <c r="K150" i="11"/>
  <c r="J150" i="11"/>
  <c r="Z149" i="11"/>
  <c r="Y149" i="11"/>
  <c r="X149" i="11"/>
  <c r="W149" i="11"/>
  <c r="N149" i="11"/>
  <c r="M149" i="11"/>
  <c r="L149" i="11"/>
  <c r="K149" i="11"/>
  <c r="I149" i="11" s="1"/>
  <c r="BG149" i="11" s="1"/>
  <c r="J149" i="11"/>
  <c r="Z148" i="11"/>
  <c r="Y148" i="11"/>
  <c r="X148" i="11"/>
  <c r="W148" i="11"/>
  <c r="N148" i="11"/>
  <c r="M148" i="11"/>
  <c r="L148" i="11"/>
  <c r="K148" i="11"/>
  <c r="J148" i="11"/>
  <c r="BE147" i="11"/>
  <c r="AE147" i="11"/>
  <c r="Z147" i="11"/>
  <c r="Y147" i="11"/>
  <c r="X147" i="11"/>
  <c r="W147" i="11"/>
  <c r="N147" i="11"/>
  <c r="M147" i="11"/>
  <c r="L147" i="11"/>
  <c r="U147" i="11" s="1"/>
  <c r="K147" i="11"/>
  <c r="J147" i="11"/>
  <c r="T147" i="11" s="1"/>
  <c r="V147" i="11" s="1"/>
  <c r="AA147" i="11" s="1"/>
  <c r="BE146" i="11"/>
  <c r="AE146" i="11"/>
  <c r="Z146" i="11"/>
  <c r="Y146" i="11"/>
  <c r="X146" i="11"/>
  <c r="W146" i="11"/>
  <c r="N146" i="11"/>
  <c r="M146" i="11"/>
  <c r="L146" i="11"/>
  <c r="T146" i="11" s="1"/>
  <c r="V146" i="11" s="1"/>
  <c r="AA146" i="11" s="1"/>
  <c r="K146" i="11"/>
  <c r="U146" i="11" s="1"/>
  <c r="J146" i="11"/>
  <c r="AF145" i="11"/>
  <c r="BH145" i="11" s="1"/>
  <c r="Z145" i="11"/>
  <c r="Y145" i="11"/>
  <c r="X145" i="11"/>
  <c r="W145" i="11"/>
  <c r="T145" i="11"/>
  <c r="N145" i="11"/>
  <c r="M145" i="11"/>
  <c r="L145" i="11"/>
  <c r="K145" i="11"/>
  <c r="J145" i="11"/>
  <c r="BH144" i="11"/>
  <c r="BG144" i="11"/>
  <c r="BF144" i="11"/>
  <c r="BE144" i="11"/>
  <c r="BC144" i="11"/>
  <c r="BA144" i="11"/>
  <c r="AZ144" i="11"/>
  <c r="AF144" i="11"/>
  <c r="AE144" i="11"/>
  <c r="AC144" i="11"/>
  <c r="AB144" i="11"/>
  <c r="AA144" i="11"/>
  <c r="Y144" i="11"/>
  <c r="X144" i="11"/>
  <c r="U144" i="11"/>
  <c r="T144" i="11"/>
  <c r="S144" i="11"/>
  <c r="R144" i="11"/>
  <c r="Q144" i="11"/>
  <c r="P144" i="11"/>
  <c r="N144" i="11"/>
  <c r="Z144" i="11" s="1"/>
  <c r="M144" i="11"/>
  <c r="L144" i="11"/>
  <c r="K144" i="11"/>
  <c r="AF274" i="11" s="1"/>
  <c r="BH274" i="11" s="1"/>
  <c r="J144" i="11"/>
  <c r="AF256" i="11" s="1"/>
  <c r="BH256" i="11" s="1"/>
  <c r="V143" i="11"/>
  <c r="N143" i="11"/>
  <c r="M143" i="11"/>
  <c r="L143" i="11"/>
  <c r="K143" i="11"/>
  <c r="I143" i="11" s="1"/>
  <c r="J143" i="11"/>
  <c r="N142" i="11"/>
  <c r="M142" i="11"/>
  <c r="L142" i="11"/>
  <c r="I142" i="11" s="1"/>
  <c r="K142" i="11"/>
  <c r="J142" i="11"/>
  <c r="N141" i="11"/>
  <c r="M141" i="11"/>
  <c r="L141" i="11"/>
  <c r="K141" i="11"/>
  <c r="J141" i="11"/>
  <c r="N140" i="11"/>
  <c r="M140" i="11"/>
  <c r="L140" i="11"/>
  <c r="I140" i="11" s="1"/>
  <c r="K140" i="11"/>
  <c r="J140" i="11"/>
  <c r="N139" i="11"/>
  <c r="M139" i="11"/>
  <c r="L139" i="11"/>
  <c r="K139" i="11"/>
  <c r="J139" i="11"/>
  <c r="N138" i="11"/>
  <c r="M138" i="11"/>
  <c r="L138" i="11"/>
  <c r="K138" i="11"/>
  <c r="J138" i="11"/>
  <c r="I138" i="11"/>
  <c r="N137" i="11"/>
  <c r="M137" i="11"/>
  <c r="L137" i="11"/>
  <c r="K137" i="11"/>
  <c r="I137" i="11" s="1"/>
  <c r="J137" i="11"/>
  <c r="N136" i="11"/>
  <c r="M136" i="11"/>
  <c r="L136" i="11"/>
  <c r="K136" i="11"/>
  <c r="J136" i="11"/>
  <c r="I136" i="11"/>
  <c r="N135" i="11"/>
  <c r="M135" i="11"/>
  <c r="L135" i="11"/>
  <c r="K135" i="11"/>
  <c r="I135" i="11" s="1"/>
  <c r="J135" i="11"/>
  <c r="N134" i="11"/>
  <c r="M134" i="11"/>
  <c r="L134" i="11"/>
  <c r="I134" i="11" s="1"/>
  <c r="K134" i="11"/>
  <c r="J134" i="11"/>
  <c r="N133" i="11"/>
  <c r="M133" i="11"/>
  <c r="L133" i="11"/>
  <c r="K133" i="11"/>
  <c r="J133" i="11"/>
  <c r="N132" i="11"/>
  <c r="M132" i="11"/>
  <c r="L132" i="11"/>
  <c r="I132" i="11" s="1"/>
  <c r="K132" i="11"/>
  <c r="J132" i="11"/>
  <c r="N131" i="11"/>
  <c r="M131" i="11"/>
  <c r="L131" i="11"/>
  <c r="K131" i="11"/>
  <c r="J131" i="11"/>
  <c r="N130" i="11"/>
  <c r="M130" i="11"/>
  <c r="L130" i="11"/>
  <c r="K130" i="11"/>
  <c r="J130" i="11"/>
  <c r="I130" i="11"/>
  <c r="N129" i="11"/>
  <c r="M129" i="11"/>
  <c r="L129" i="11"/>
  <c r="K129" i="11"/>
  <c r="I129" i="11" s="1"/>
  <c r="J129" i="11"/>
  <c r="N128" i="11"/>
  <c r="M128" i="11"/>
  <c r="L128" i="11"/>
  <c r="K128" i="11"/>
  <c r="J128" i="11"/>
  <c r="I128" i="11"/>
  <c r="N127" i="11"/>
  <c r="M127" i="11"/>
  <c r="L127" i="11"/>
  <c r="K127" i="11"/>
  <c r="I127" i="11" s="1"/>
  <c r="J127" i="11"/>
  <c r="N126" i="11"/>
  <c r="M126" i="11"/>
  <c r="L126" i="11"/>
  <c r="I126" i="11" s="1"/>
  <c r="K126" i="11"/>
  <c r="J126" i="11"/>
  <c r="N125" i="11"/>
  <c r="M125" i="11"/>
  <c r="L125" i="11"/>
  <c r="K125" i="11"/>
  <c r="J125" i="11"/>
  <c r="N124" i="11"/>
  <c r="M124" i="11"/>
  <c r="L124" i="11"/>
  <c r="I124" i="11" s="1"/>
  <c r="K124" i="11"/>
  <c r="J124" i="11"/>
  <c r="N123" i="11"/>
  <c r="M123" i="11"/>
  <c r="L123" i="11"/>
  <c r="K123" i="11"/>
  <c r="J123" i="11"/>
  <c r="N122" i="11"/>
  <c r="M122" i="11"/>
  <c r="L122" i="11"/>
  <c r="K122" i="11"/>
  <c r="J122" i="11"/>
  <c r="I122" i="11"/>
  <c r="N121" i="11"/>
  <c r="M121" i="11"/>
  <c r="L121" i="11"/>
  <c r="K121" i="11"/>
  <c r="I121" i="11" s="1"/>
  <c r="J121" i="11"/>
  <c r="N120" i="11"/>
  <c r="M120" i="11"/>
  <c r="L120" i="11"/>
  <c r="K120" i="11"/>
  <c r="J120" i="11"/>
  <c r="I120" i="11"/>
  <c r="N119" i="11"/>
  <c r="M119" i="11"/>
  <c r="L119" i="11"/>
  <c r="K119" i="11"/>
  <c r="I119" i="11" s="1"/>
  <c r="J119" i="11"/>
  <c r="N118" i="11"/>
  <c r="M118" i="11"/>
  <c r="L118" i="11"/>
  <c r="I118" i="11" s="1"/>
  <c r="K118" i="11"/>
  <c r="J118" i="11"/>
  <c r="N117" i="11"/>
  <c r="M117" i="11"/>
  <c r="L117" i="11"/>
  <c r="K117" i="11"/>
  <c r="J117" i="11"/>
  <c r="N116" i="11"/>
  <c r="M116" i="11"/>
  <c r="L116" i="11"/>
  <c r="I116" i="11" s="1"/>
  <c r="K116" i="11"/>
  <c r="J116" i="11"/>
  <c r="N115" i="11"/>
  <c r="M115" i="11"/>
  <c r="L115" i="11"/>
  <c r="K115" i="11"/>
  <c r="J115" i="11"/>
  <c r="N114" i="11"/>
  <c r="M114" i="11"/>
  <c r="L114" i="11"/>
  <c r="K114" i="11"/>
  <c r="J114" i="11"/>
  <c r="I114" i="11"/>
  <c r="N113" i="11"/>
  <c r="M113" i="11"/>
  <c r="L113" i="11"/>
  <c r="K113" i="11"/>
  <c r="I113" i="11" s="1"/>
  <c r="J113" i="11"/>
  <c r="N112" i="11"/>
  <c r="M112" i="11"/>
  <c r="L112" i="11"/>
  <c r="K112" i="11"/>
  <c r="J112" i="11"/>
  <c r="I112" i="11"/>
  <c r="N111" i="11"/>
  <c r="M111" i="11"/>
  <c r="L111" i="11"/>
  <c r="K111" i="11"/>
  <c r="I111" i="11" s="1"/>
  <c r="J111" i="11"/>
  <c r="N110" i="11"/>
  <c r="M110" i="11"/>
  <c r="L110" i="11"/>
  <c r="I110" i="11" s="1"/>
  <c r="K110" i="11"/>
  <c r="J110" i="11"/>
  <c r="N109" i="11"/>
  <c r="M109" i="11"/>
  <c r="L109" i="11"/>
  <c r="K109" i="11"/>
  <c r="J109" i="11"/>
  <c r="N108" i="11"/>
  <c r="M108" i="11"/>
  <c r="L108" i="11"/>
  <c r="I108" i="11" s="1"/>
  <c r="K108" i="11"/>
  <c r="J108" i="11"/>
  <c r="N107" i="11"/>
  <c r="M107" i="11"/>
  <c r="L107" i="11"/>
  <c r="K107" i="11"/>
  <c r="J107" i="11"/>
  <c r="N106" i="11"/>
  <c r="M106" i="11"/>
  <c r="L106" i="11"/>
  <c r="K106" i="11"/>
  <c r="J106" i="11"/>
  <c r="I106" i="11"/>
  <c r="N105" i="11"/>
  <c r="M105" i="11"/>
  <c r="L105" i="11"/>
  <c r="K105" i="11"/>
  <c r="I105" i="11" s="1"/>
  <c r="J105" i="11"/>
  <c r="N104" i="11"/>
  <c r="M104" i="11"/>
  <c r="L104" i="11"/>
  <c r="K104" i="11"/>
  <c r="J104" i="11"/>
  <c r="I104" i="11"/>
  <c r="N103" i="11"/>
  <c r="M103" i="11"/>
  <c r="L103" i="11"/>
  <c r="K103" i="11"/>
  <c r="I103" i="11" s="1"/>
  <c r="J103" i="11"/>
  <c r="N102" i="11"/>
  <c r="M102" i="11"/>
  <c r="L102" i="11"/>
  <c r="I102" i="11" s="1"/>
  <c r="K102" i="11"/>
  <c r="J102" i="11"/>
  <c r="N101" i="11"/>
  <c r="M101" i="11"/>
  <c r="L101" i="11"/>
  <c r="K101" i="11"/>
  <c r="J101" i="11"/>
  <c r="N100" i="11"/>
  <c r="M100" i="11"/>
  <c r="L100" i="11"/>
  <c r="I100" i="11" s="1"/>
  <c r="K100" i="11"/>
  <c r="J100" i="11"/>
  <c r="N99" i="11"/>
  <c r="M99" i="11"/>
  <c r="L99" i="11"/>
  <c r="K99" i="11"/>
  <c r="J99" i="11"/>
  <c r="N98" i="11"/>
  <c r="M98" i="11"/>
  <c r="L98" i="11"/>
  <c r="K98" i="11"/>
  <c r="J98" i="11"/>
  <c r="I98" i="11"/>
  <c r="N97" i="11"/>
  <c r="M97" i="11"/>
  <c r="L97" i="11"/>
  <c r="K97" i="11"/>
  <c r="I97" i="11" s="1"/>
  <c r="J97" i="11"/>
  <c r="N96" i="11"/>
  <c r="M96" i="11"/>
  <c r="L96" i="11"/>
  <c r="K96" i="11"/>
  <c r="J96" i="11"/>
  <c r="I96" i="11"/>
  <c r="N95" i="11"/>
  <c r="M95" i="11"/>
  <c r="L95" i="11"/>
  <c r="K95" i="11"/>
  <c r="I95" i="11" s="1"/>
  <c r="J95" i="11"/>
  <c r="N94" i="11"/>
  <c r="M94" i="11"/>
  <c r="L94" i="11"/>
  <c r="I94" i="11" s="1"/>
  <c r="K94" i="11"/>
  <c r="J94" i="11"/>
  <c r="N93" i="11"/>
  <c r="M93" i="11"/>
  <c r="L93" i="11"/>
  <c r="K93" i="11"/>
  <c r="J93" i="11"/>
  <c r="N92" i="11"/>
  <c r="M92" i="11"/>
  <c r="L92" i="11"/>
  <c r="I92" i="11" s="1"/>
  <c r="K92" i="11"/>
  <c r="J92" i="11"/>
  <c r="N91" i="11"/>
  <c r="M91" i="11"/>
  <c r="L91" i="11"/>
  <c r="K91" i="11"/>
  <c r="J91" i="11"/>
  <c r="N90" i="11"/>
  <c r="M90" i="11"/>
  <c r="L90" i="11"/>
  <c r="K90" i="11"/>
  <c r="J90" i="11"/>
  <c r="I90" i="11"/>
  <c r="N89" i="11"/>
  <c r="M89" i="11"/>
  <c r="L89" i="11"/>
  <c r="J89" i="11"/>
  <c r="L88" i="11"/>
  <c r="K88" i="11"/>
  <c r="J88" i="11"/>
  <c r="L87" i="11"/>
  <c r="K87" i="11"/>
  <c r="J87" i="11"/>
  <c r="L86" i="11"/>
  <c r="K86" i="11"/>
  <c r="J86" i="11"/>
  <c r="L85" i="11"/>
  <c r="K85" i="11"/>
  <c r="J85" i="11"/>
  <c r="L84" i="11"/>
  <c r="K84" i="11"/>
  <c r="J84" i="11"/>
  <c r="L83" i="11"/>
  <c r="K83" i="11"/>
  <c r="J83" i="11"/>
  <c r="L82" i="11"/>
  <c r="K82" i="11"/>
  <c r="J82" i="11"/>
  <c r="L81" i="11"/>
  <c r="K81" i="11"/>
  <c r="J81" i="11"/>
  <c r="N80" i="11"/>
  <c r="M80" i="11"/>
  <c r="L80" i="11"/>
  <c r="K80" i="11"/>
  <c r="J80" i="11"/>
  <c r="I80" i="11"/>
  <c r="N79" i="11"/>
  <c r="M79" i="11"/>
  <c r="L79" i="11"/>
  <c r="K79" i="11"/>
  <c r="I79" i="11" s="1"/>
  <c r="J79" i="11"/>
  <c r="N78" i="11"/>
  <c r="M78" i="11"/>
  <c r="L78" i="11"/>
  <c r="J78" i="11"/>
  <c r="L77" i="11"/>
  <c r="K77" i="11"/>
  <c r="J77" i="11"/>
  <c r="J76" i="11"/>
  <c r="J75" i="11"/>
  <c r="J74" i="11"/>
  <c r="J73" i="11"/>
  <c r="J72" i="11"/>
  <c r="J71" i="11"/>
  <c r="J70" i="11"/>
  <c r="N69" i="11"/>
  <c r="M69" i="11"/>
  <c r="J69" i="11"/>
  <c r="N68" i="11"/>
  <c r="M68" i="11"/>
  <c r="J68" i="11"/>
  <c r="N67" i="11"/>
  <c r="M67" i="11"/>
  <c r="K67" i="11"/>
  <c r="I67" i="11" s="1"/>
  <c r="J67" i="11"/>
  <c r="E67" i="11"/>
  <c r="L67" i="11" s="1"/>
  <c r="N66" i="11"/>
  <c r="M66" i="11"/>
  <c r="L66" i="11"/>
  <c r="K66" i="11"/>
  <c r="J66" i="11"/>
  <c r="I66" i="11"/>
  <c r="N65" i="11"/>
  <c r="M65" i="11"/>
  <c r="L65" i="11"/>
  <c r="K65" i="11"/>
  <c r="I65" i="11" s="1"/>
  <c r="J65" i="11"/>
  <c r="N64" i="11"/>
  <c r="M64" i="11"/>
  <c r="L64" i="11"/>
  <c r="K64" i="11"/>
  <c r="J64" i="11"/>
  <c r="I64" i="11"/>
  <c r="N63" i="11"/>
  <c r="M63" i="11"/>
  <c r="L63" i="11"/>
  <c r="K63" i="11"/>
  <c r="I63" i="11" s="1"/>
  <c r="J63" i="11"/>
  <c r="N62" i="11"/>
  <c r="M62" i="11"/>
  <c r="L62" i="11"/>
  <c r="K62" i="11"/>
  <c r="J62" i="11"/>
  <c r="I62" i="11" s="1"/>
  <c r="N61" i="11"/>
  <c r="M61" i="11"/>
  <c r="L61" i="11"/>
  <c r="K61" i="11"/>
  <c r="J61" i="11"/>
  <c r="N60" i="11"/>
  <c r="M60" i="11"/>
  <c r="L60" i="11"/>
  <c r="K60" i="11"/>
  <c r="J60" i="11"/>
  <c r="I60" i="11" s="1"/>
  <c r="K35" i="11"/>
  <c r="L35" i="11" s="1"/>
  <c r="J35" i="11"/>
  <c r="U34" i="11"/>
  <c r="V34" i="11" s="1"/>
  <c r="T34" i="11"/>
  <c r="U33" i="11"/>
  <c r="V33" i="11" s="1"/>
  <c r="T33" i="11"/>
  <c r="K33" i="11"/>
  <c r="L33" i="11" s="1"/>
  <c r="J33" i="11"/>
  <c r="U32" i="11"/>
  <c r="V32" i="11" s="1"/>
  <c r="K32" i="11"/>
  <c r="U31" i="11"/>
  <c r="V31" i="11" s="1"/>
  <c r="T31" i="11"/>
  <c r="U28" i="11"/>
  <c r="V28" i="11" s="1"/>
  <c r="K28" i="11"/>
  <c r="U26" i="11"/>
  <c r="V26" i="11" s="1"/>
  <c r="K26" i="11"/>
  <c r="U24" i="11"/>
  <c r="V24" i="11" s="1"/>
  <c r="K24" i="11"/>
  <c r="E12" i="11"/>
  <c r="D12" i="11"/>
  <c r="K10" i="11"/>
  <c r="K9" i="11"/>
  <c r="K8" i="11"/>
  <c r="K7" i="11"/>
  <c r="K6" i="11"/>
  <c r="L5" i="11"/>
  <c r="K5" i="11"/>
  <c r="J5" i="11"/>
  <c r="L4" i="11"/>
  <c r="K4" i="11"/>
  <c r="J4" i="11"/>
  <c r="P3" i="11"/>
  <c r="O3" i="11"/>
  <c r="N3" i="11"/>
  <c r="M3" i="11"/>
  <c r="L3" i="11"/>
  <c r="K3" i="11"/>
  <c r="J3" i="11"/>
  <c r="K2" i="11"/>
  <c r="D1" i="11"/>
  <c r="C538" i="10"/>
  <c r="C536" i="10"/>
  <c r="E533" i="10" s="1"/>
  <c r="C532" i="10"/>
  <c r="L524" i="10"/>
  <c r="K524" i="10"/>
  <c r="L533" i="10" s="1"/>
  <c r="G524" i="10"/>
  <c r="H533" i="10" s="1"/>
  <c r="C523" i="10"/>
  <c r="I522" i="10"/>
  <c r="I521" i="10"/>
  <c r="AZ452" i="10" s="1"/>
  <c r="I520" i="10"/>
  <c r="I519" i="10"/>
  <c r="AZ450" i="10" s="1"/>
  <c r="C517" i="10"/>
  <c r="C515" i="10"/>
  <c r="C513" i="10"/>
  <c r="C511" i="10"/>
  <c r="C528" i="10" s="1"/>
  <c r="C509" i="10"/>
  <c r="P507" i="10"/>
  <c r="J507" i="10"/>
  <c r="I507" i="10"/>
  <c r="AK503" i="10"/>
  <c r="AK504" i="10" s="1"/>
  <c r="AK501" i="10"/>
  <c r="AK502" i="10" s="1"/>
  <c r="AK498" i="10"/>
  <c r="Z498" i="10"/>
  <c r="X497" i="10"/>
  <c r="X502" i="10" s="1"/>
  <c r="X503" i="10" s="1"/>
  <c r="S496" i="10"/>
  <c r="AK495" i="10"/>
  <c r="AK496" i="10" s="1"/>
  <c r="S495" i="10"/>
  <c r="S494" i="10"/>
  <c r="AE493" i="10"/>
  <c r="AE494" i="10" s="1"/>
  <c r="U493" i="10"/>
  <c r="S493" i="10"/>
  <c r="U492" i="10"/>
  <c r="S492" i="10"/>
  <c r="U491" i="10"/>
  <c r="S491" i="10"/>
  <c r="AK490" i="10"/>
  <c r="AK493" i="10" s="1"/>
  <c r="AK494" i="10" s="1"/>
  <c r="AE490" i="10"/>
  <c r="AE495" i="10" s="1"/>
  <c r="AE496" i="10" s="1"/>
  <c r="X489" i="10"/>
  <c r="J524" i="10" s="1"/>
  <c r="K533" i="10" s="1"/>
  <c r="U489" i="10"/>
  <c r="R489" i="10"/>
  <c r="Q489" i="10"/>
  <c r="D489" i="10"/>
  <c r="Q488" i="10"/>
  <c r="C512" i="10" s="1"/>
  <c r="C529" i="10" s="1"/>
  <c r="D488" i="10"/>
  <c r="D487" i="10"/>
  <c r="AK486" i="10"/>
  <c r="D486" i="10"/>
  <c r="AK485" i="10"/>
  <c r="J485" i="10"/>
  <c r="D485" i="10"/>
  <c r="X484" i="10"/>
  <c r="X485" i="10" s="1"/>
  <c r="D484" i="10"/>
  <c r="D483" i="10"/>
  <c r="AK482" i="10"/>
  <c r="AK487" i="10" s="1"/>
  <c r="AK488" i="10" s="1"/>
  <c r="D482" i="10"/>
  <c r="X481" i="10"/>
  <c r="F480" i="10"/>
  <c r="Q479" i="10"/>
  <c r="Q482" i="10" s="1"/>
  <c r="Q483" i="10" s="1"/>
  <c r="K478" i="10"/>
  <c r="K479" i="10" s="1"/>
  <c r="F478" i="10"/>
  <c r="M476" i="10"/>
  <c r="H476" i="10"/>
  <c r="AB462" i="10" s="1"/>
  <c r="G476" i="10"/>
  <c r="AA490" i="10" s="1"/>
  <c r="F476" i="10"/>
  <c r="F507" i="10" s="1"/>
  <c r="M507" i="10" s="1"/>
  <c r="E476" i="10"/>
  <c r="Y498" i="10" s="1"/>
  <c r="D476" i="10"/>
  <c r="X462" i="10" s="1"/>
  <c r="K475" i="10"/>
  <c r="K480" i="10" s="1"/>
  <c r="K481" i="10" s="1"/>
  <c r="D475" i="10"/>
  <c r="C508" i="10" s="1"/>
  <c r="Q473" i="10"/>
  <c r="Q474" i="10" s="1"/>
  <c r="AK472" i="10"/>
  <c r="L471" i="10"/>
  <c r="AB470" i="10"/>
  <c r="Z470" i="10"/>
  <c r="Y470" i="10"/>
  <c r="X470" i="10"/>
  <c r="Q470" i="10"/>
  <c r="Q475" i="10" s="1"/>
  <c r="Q476" i="10" s="1"/>
  <c r="L470" i="10"/>
  <c r="X469" i="10"/>
  <c r="X474" i="10" s="1"/>
  <c r="X475" i="10" s="1"/>
  <c r="N469" i="10"/>
  <c r="L469" i="10"/>
  <c r="S468" i="10"/>
  <c r="N468" i="10"/>
  <c r="L468" i="10"/>
  <c r="J468" i="10"/>
  <c r="J469" i="10" s="1"/>
  <c r="S467" i="10"/>
  <c r="X466" i="10"/>
  <c r="X467" i="10" s="1"/>
  <c r="S466" i="10"/>
  <c r="N466" i="10"/>
  <c r="L466" i="10"/>
  <c r="K466" i="10"/>
  <c r="J466" i="10"/>
  <c r="U465" i="10"/>
  <c r="S465" i="10"/>
  <c r="Q465" i="10"/>
  <c r="Q466" i="10" s="1"/>
  <c r="J465" i="10"/>
  <c r="J470" i="10" s="1"/>
  <c r="J471" i="10" s="1"/>
  <c r="X464" i="10"/>
  <c r="X465" i="10" s="1"/>
  <c r="U464" i="10"/>
  <c r="S464" i="10"/>
  <c r="U463" i="10"/>
  <c r="S463" i="10"/>
  <c r="Q463" i="10"/>
  <c r="Q464" i="10" s="1"/>
  <c r="Z462" i="10"/>
  <c r="Y462" i="10"/>
  <c r="AK461" i="10"/>
  <c r="AK466" i="10" s="1"/>
  <c r="AK467" i="10" s="1"/>
  <c r="AE461" i="10"/>
  <c r="X461" i="10"/>
  <c r="C514" i="10" s="1"/>
  <c r="S461" i="10"/>
  <c r="R461" i="10"/>
  <c r="Q460" i="10"/>
  <c r="BA455" i="10"/>
  <c r="AZ455" i="10"/>
  <c r="AB454" i="10"/>
  <c r="Z454" i="10"/>
  <c r="Y454" i="10"/>
  <c r="X454" i="10"/>
  <c r="AZ453" i="10"/>
  <c r="X453" i="10"/>
  <c r="F524" i="10" s="1"/>
  <c r="G533" i="10" s="1"/>
  <c r="AK452" i="10"/>
  <c r="AK457" i="10" s="1"/>
  <c r="AK458" i="10" s="1"/>
  <c r="AZ451" i="10"/>
  <c r="B450" i="10"/>
  <c r="AZ448" i="10"/>
  <c r="N399" i="10"/>
  <c r="M399" i="10"/>
  <c r="L399" i="10"/>
  <c r="K399" i="10"/>
  <c r="I399" i="10" s="1"/>
  <c r="J399" i="10"/>
  <c r="N398" i="10"/>
  <c r="M398" i="10"/>
  <c r="L398" i="10"/>
  <c r="K398" i="10"/>
  <c r="J398" i="10"/>
  <c r="I398" i="10"/>
  <c r="N397" i="10"/>
  <c r="M397" i="10"/>
  <c r="L397" i="10"/>
  <c r="K397" i="10"/>
  <c r="I397" i="10" s="1"/>
  <c r="J397" i="10"/>
  <c r="N396" i="10"/>
  <c r="M396" i="10"/>
  <c r="L396" i="10"/>
  <c r="K396" i="10"/>
  <c r="J396" i="10"/>
  <c r="I396" i="10"/>
  <c r="N395" i="10"/>
  <c r="M395" i="10"/>
  <c r="L395" i="10"/>
  <c r="K395" i="10"/>
  <c r="I395" i="10" s="1"/>
  <c r="J395" i="10"/>
  <c r="N394" i="10"/>
  <c r="M394" i="10"/>
  <c r="L394" i="10"/>
  <c r="K394" i="10"/>
  <c r="J394" i="10"/>
  <c r="I394" i="10"/>
  <c r="N393" i="10"/>
  <c r="M393" i="10"/>
  <c r="L393" i="10"/>
  <c r="K393" i="10"/>
  <c r="I393" i="10" s="1"/>
  <c r="J393" i="10"/>
  <c r="N392" i="10"/>
  <c r="M392" i="10"/>
  <c r="L392" i="10"/>
  <c r="K392" i="10"/>
  <c r="J392" i="10"/>
  <c r="I392" i="10"/>
  <c r="N391" i="10"/>
  <c r="M391" i="10"/>
  <c r="L391" i="10"/>
  <c r="K391" i="10"/>
  <c r="I391" i="10" s="1"/>
  <c r="J391" i="10"/>
  <c r="N390" i="10"/>
  <c r="M390" i="10"/>
  <c r="L390" i="10"/>
  <c r="K390" i="10"/>
  <c r="J390" i="10"/>
  <c r="I390" i="10"/>
  <c r="N389" i="10"/>
  <c r="M389" i="10"/>
  <c r="L389" i="10"/>
  <c r="K389" i="10"/>
  <c r="I389" i="10" s="1"/>
  <c r="J389" i="10"/>
  <c r="N388" i="10"/>
  <c r="M388" i="10"/>
  <c r="L388" i="10"/>
  <c r="K388" i="10"/>
  <c r="J388" i="10"/>
  <c r="I388" i="10"/>
  <c r="N387" i="10"/>
  <c r="M387" i="10"/>
  <c r="L387" i="10"/>
  <c r="K387" i="10"/>
  <c r="I387" i="10" s="1"/>
  <c r="J387" i="10"/>
  <c r="N386" i="10"/>
  <c r="M386" i="10"/>
  <c r="L386" i="10"/>
  <c r="K386" i="10"/>
  <c r="J386" i="10"/>
  <c r="I386" i="10"/>
  <c r="N385" i="10"/>
  <c r="M385" i="10"/>
  <c r="L385" i="10"/>
  <c r="K385" i="10"/>
  <c r="I385" i="10" s="1"/>
  <c r="J385" i="10"/>
  <c r="N384" i="10"/>
  <c r="M384" i="10"/>
  <c r="L384" i="10"/>
  <c r="K384" i="10"/>
  <c r="J384" i="10"/>
  <c r="I384" i="10"/>
  <c r="N383" i="10"/>
  <c r="M383" i="10"/>
  <c r="L383" i="10"/>
  <c r="K383" i="10"/>
  <c r="I383" i="10" s="1"/>
  <c r="J383" i="10"/>
  <c r="N382" i="10"/>
  <c r="M382" i="10"/>
  <c r="L382" i="10"/>
  <c r="K382" i="10"/>
  <c r="J382" i="10"/>
  <c r="I382" i="10"/>
  <c r="N381" i="10"/>
  <c r="M381" i="10"/>
  <c r="L381" i="10"/>
  <c r="K381" i="10"/>
  <c r="I381" i="10" s="1"/>
  <c r="J381" i="10"/>
  <c r="N380" i="10"/>
  <c r="M380" i="10"/>
  <c r="L380" i="10"/>
  <c r="K380" i="10"/>
  <c r="J380" i="10"/>
  <c r="I380" i="10"/>
  <c r="N379" i="10"/>
  <c r="M379" i="10"/>
  <c r="L379" i="10"/>
  <c r="K379" i="10"/>
  <c r="I379" i="10" s="1"/>
  <c r="J379" i="10"/>
  <c r="N378" i="10"/>
  <c r="M378" i="10"/>
  <c r="L378" i="10"/>
  <c r="K378" i="10"/>
  <c r="J378" i="10"/>
  <c r="I378" i="10"/>
  <c r="N377" i="10"/>
  <c r="M377" i="10"/>
  <c r="L377" i="10"/>
  <c r="K377" i="10"/>
  <c r="I377" i="10" s="1"/>
  <c r="J377" i="10"/>
  <c r="N376" i="10"/>
  <c r="M376" i="10"/>
  <c r="L376" i="10"/>
  <c r="K376" i="10"/>
  <c r="J376" i="10"/>
  <c r="I376" i="10"/>
  <c r="N375" i="10"/>
  <c r="M375" i="10"/>
  <c r="L375" i="10"/>
  <c r="K375" i="10"/>
  <c r="I375" i="10" s="1"/>
  <c r="J375" i="10"/>
  <c r="N374" i="10"/>
  <c r="M374" i="10"/>
  <c r="L374" i="10"/>
  <c r="K374" i="10"/>
  <c r="J374" i="10"/>
  <c r="I374" i="10"/>
  <c r="N373" i="10"/>
  <c r="M373" i="10"/>
  <c r="L373" i="10"/>
  <c r="K373" i="10"/>
  <c r="I373" i="10" s="1"/>
  <c r="J373" i="10"/>
  <c r="N372" i="10"/>
  <c r="M372" i="10"/>
  <c r="L372" i="10"/>
  <c r="K372" i="10"/>
  <c r="J372" i="10"/>
  <c r="I372" i="10"/>
  <c r="N371" i="10"/>
  <c r="M371" i="10"/>
  <c r="L371" i="10"/>
  <c r="K371" i="10"/>
  <c r="I371" i="10" s="1"/>
  <c r="J371" i="10"/>
  <c r="N370" i="10"/>
  <c r="M370" i="10"/>
  <c r="L370" i="10"/>
  <c r="K370" i="10"/>
  <c r="J370" i="10"/>
  <c r="I370" i="10"/>
  <c r="N369" i="10"/>
  <c r="M369" i="10"/>
  <c r="L369" i="10"/>
  <c r="K369" i="10"/>
  <c r="I369" i="10" s="1"/>
  <c r="J369" i="10"/>
  <c r="N368" i="10"/>
  <c r="M368" i="10"/>
  <c r="L368" i="10"/>
  <c r="K368" i="10"/>
  <c r="J368" i="10"/>
  <c r="I368" i="10"/>
  <c r="N367" i="10"/>
  <c r="M367" i="10"/>
  <c r="L367" i="10"/>
  <c r="K367" i="10"/>
  <c r="I367" i="10" s="1"/>
  <c r="J367" i="10"/>
  <c r="N366" i="10"/>
  <c r="M366" i="10"/>
  <c r="L366" i="10"/>
  <c r="K366" i="10"/>
  <c r="J366" i="10"/>
  <c r="I366" i="10"/>
  <c r="N365" i="10"/>
  <c r="M365" i="10"/>
  <c r="L365" i="10"/>
  <c r="K365" i="10"/>
  <c r="I365" i="10" s="1"/>
  <c r="J365" i="10"/>
  <c r="N364" i="10"/>
  <c r="M364" i="10"/>
  <c r="L364" i="10"/>
  <c r="K364" i="10"/>
  <c r="J364" i="10"/>
  <c r="I364" i="10"/>
  <c r="N363" i="10"/>
  <c r="M363" i="10"/>
  <c r="L363" i="10"/>
  <c r="K363" i="10"/>
  <c r="I363" i="10" s="1"/>
  <c r="J363" i="10"/>
  <c r="N362" i="10"/>
  <c r="M362" i="10"/>
  <c r="L362" i="10"/>
  <c r="K362" i="10"/>
  <c r="J362" i="10"/>
  <c r="I362" i="10"/>
  <c r="N361" i="10"/>
  <c r="M361" i="10"/>
  <c r="L361" i="10"/>
  <c r="K361" i="10"/>
  <c r="I361" i="10" s="1"/>
  <c r="J361" i="10"/>
  <c r="V360" i="10"/>
  <c r="N360" i="10"/>
  <c r="M360" i="10"/>
  <c r="L360" i="10"/>
  <c r="K360" i="10"/>
  <c r="I360" i="10" s="1"/>
  <c r="J360" i="10"/>
  <c r="N359" i="10"/>
  <c r="M359" i="10"/>
  <c r="L359" i="10"/>
  <c r="K359" i="10"/>
  <c r="J359" i="10"/>
  <c r="I359" i="10"/>
  <c r="N358" i="10"/>
  <c r="M358" i="10"/>
  <c r="L358" i="10"/>
  <c r="I358" i="10" s="1"/>
  <c r="K358" i="10"/>
  <c r="J358" i="10"/>
  <c r="N357" i="10"/>
  <c r="M357" i="10"/>
  <c r="L357" i="10"/>
  <c r="K357" i="10"/>
  <c r="I357" i="10" s="1"/>
  <c r="J357" i="10"/>
  <c r="N356" i="10"/>
  <c r="M356" i="10"/>
  <c r="L356" i="10"/>
  <c r="K356" i="10"/>
  <c r="J356" i="10"/>
  <c r="N355" i="10"/>
  <c r="M355" i="10"/>
  <c r="L355" i="10"/>
  <c r="K355" i="10"/>
  <c r="J355" i="10"/>
  <c r="I355" i="10"/>
  <c r="N354" i="10"/>
  <c r="M354" i="10"/>
  <c r="L354" i="10"/>
  <c r="I354" i="10" s="1"/>
  <c r="K354" i="10"/>
  <c r="J354" i="10"/>
  <c r="Z353" i="10"/>
  <c r="Y353" i="10"/>
  <c r="X353" i="10"/>
  <c r="W353" i="10"/>
  <c r="V353" i="10"/>
  <c r="N353" i="10"/>
  <c r="M353" i="10"/>
  <c r="L353" i="10"/>
  <c r="K353" i="10"/>
  <c r="J353" i="10"/>
  <c r="Z352" i="10"/>
  <c r="Y352" i="10"/>
  <c r="X352" i="10"/>
  <c r="W352" i="10"/>
  <c r="AA352" i="10" s="1"/>
  <c r="V352" i="10"/>
  <c r="N352" i="10"/>
  <c r="M352" i="10"/>
  <c r="L352" i="10"/>
  <c r="K352" i="10"/>
  <c r="J352" i="10"/>
  <c r="AE351" i="10"/>
  <c r="BE351" i="10" s="1"/>
  <c r="Z351" i="10"/>
  <c r="Y351" i="10"/>
  <c r="X351" i="10"/>
  <c r="W351" i="10"/>
  <c r="V351" i="10"/>
  <c r="AA351" i="10" s="1"/>
  <c r="N351" i="10"/>
  <c r="M351" i="10"/>
  <c r="L351" i="10"/>
  <c r="K351" i="10"/>
  <c r="J351" i="10"/>
  <c r="I351" i="10"/>
  <c r="BG351" i="10" s="1"/>
  <c r="BE350" i="10"/>
  <c r="AE350" i="10"/>
  <c r="Z350" i="10"/>
  <c r="Y350" i="10"/>
  <c r="X350" i="10"/>
  <c r="W350" i="10"/>
  <c r="V350" i="10"/>
  <c r="AA350" i="10" s="1"/>
  <c r="N350" i="10"/>
  <c r="M350" i="10"/>
  <c r="L350" i="10"/>
  <c r="I350" i="10" s="1"/>
  <c r="BG350" i="10" s="1"/>
  <c r="K350" i="10"/>
  <c r="J350" i="10"/>
  <c r="T350" i="10" s="1"/>
  <c r="BE349" i="10"/>
  <c r="AE349" i="10"/>
  <c r="Z349" i="10"/>
  <c r="Y349" i="10"/>
  <c r="X349" i="10"/>
  <c r="W349" i="10"/>
  <c r="V349" i="10"/>
  <c r="N349" i="10"/>
  <c r="M349" i="10"/>
  <c r="L349" i="10"/>
  <c r="K349" i="10"/>
  <c r="J349" i="10"/>
  <c r="Z348" i="10"/>
  <c r="Y348" i="10"/>
  <c r="X348" i="10"/>
  <c r="W348" i="10"/>
  <c r="AA348" i="10" s="1"/>
  <c r="V348" i="10"/>
  <c r="N348" i="10"/>
  <c r="M348" i="10"/>
  <c r="L348" i="10"/>
  <c r="K348" i="10"/>
  <c r="J348" i="10"/>
  <c r="AE347" i="10"/>
  <c r="BE347" i="10" s="1"/>
  <c r="Z347" i="10"/>
  <c r="Y347" i="10"/>
  <c r="X347" i="10"/>
  <c r="W347" i="10"/>
  <c r="V347" i="10"/>
  <c r="AA347" i="10" s="1"/>
  <c r="N347" i="10"/>
  <c r="M347" i="10"/>
  <c r="L347" i="10"/>
  <c r="K347" i="10"/>
  <c r="J347" i="10"/>
  <c r="I347" i="10"/>
  <c r="BG347" i="10" s="1"/>
  <c r="BE346" i="10"/>
  <c r="AE346" i="10"/>
  <c r="Z346" i="10"/>
  <c r="Y346" i="10"/>
  <c r="X346" i="10"/>
  <c r="W346" i="10"/>
  <c r="V346" i="10"/>
  <c r="AA346" i="10" s="1"/>
  <c r="N346" i="10"/>
  <c r="M346" i="10"/>
  <c r="L346" i="10"/>
  <c r="I346" i="10" s="1"/>
  <c r="BG346" i="10" s="1"/>
  <c r="K346" i="10"/>
  <c r="J346" i="10"/>
  <c r="T346" i="10" s="1"/>
  <c r="BE345" i="10"/>
  <c r="AE345" i="10"/>
  <c r="Z345" i="10"/>
  <c r="Y345" i="10"/>
  <c r="X345" i="10"/>
  <c r="W345" i="10"/>
  <c r="V345" i="10"/>
  <c r="N345" i="10"/>
  <c r="M345" i="10"/>
  <c r="L345" i="10"/>
  <c r="K345" i="10"/>
  <c r="J345" i="10"/>
  <c r="Z344" i="10"/>
  <c r="Y344" i="10"/>
  <c r="X344" i="10"/>
  <c r="W344" i="10"/>
  <c r="AA344" i="10" s="1"/>
  <c r="V344" i="10"/>
  <c r="N344" i="10"/>
  <c r="M344" i="10"/>
  <c r="L344" i="10"/>
  <c r="K344" i="10"/>
  <c r="J344" i="10"/>
  <c r="AE343" i="10"/>
  <c r="BE343" i="10" s="1"/>
  <c r="Z343" i="10"/>
  <c r="Y343" i="10"/>
  <c r="X343" i="10"/>
  <c r="W343" i="10"/>
  <c r="V343" i="10"/>
  <c r="AA343" i="10" s="1"/>
  <c r="N343" i="10"/>
  <c r="M343" i="10"/>
  <c r="L343" i="10"/>
  <c r="K343" i="10"/>
  <c r="J343" i="10"/>
  <c r="I343" i="10"/>
  <c r="BG343" i="10" s="1"/>
  <c r="BE342" i="10"/>
  <c r="AE342" i="10"/>
  <c r="Z342" i="10"/>
  <c r="Y342" i="10"/>
  <c r="X342" i="10"/>
  <c r="W342" i="10"/>
  <c r="V342" i="10"/>
  <c r="AA342" i="10" s="1"/>
  <c r="N342" i="10"/>
  <c r="M342" i="10"/>
  <c r="L342" i="10"/>
  <c r="I342" i="10" s="1"/>
  <c r="BG342" i="10" s="1"/>
  <c r="K342" i="10"/>
  <c r="J342" i="10"/>
  <c r="T342" i="10" s="1"/>
  <c r="BE341" i="10"/>
  <c r="AE341" i="10"/>
  <c r="Z341" i="10"/>
  <c r="Y341" i="10"/>
  <c r="X341" i="10"/>
  <c r="W341" i="10"/>
  <c r="V341" i="10"/>
  <c r="N341" i="10"/>
  <c r="M341" i="10"/>
  <c r="L341" i="10"/>
  <c r="K341" i="10"/>
  <c r="J341" i="10"/>
  <c r="Z340" i="10"/>
  <c r="Y340" i="10"/>
  <c r="X340" i="10"/>
  <c r="W340" i="10"/>
  <c r="AA340" i="10" s="1"/>
  <c r="V340" i="10"/>
  <c r="N340" i="10"/>
  <c r="M340" i="10"/>
  <c r="L340" i="10"/>
  <c r="K340" i="10"/>
  <c r="J340" i="10"/>
  <c r="AE339" i="10"/>
  <c r="BE339" i="10" s="1"/>
  <c r="Z339" i="10"/>
  <c r="Y339" i="10"/>
  <c r="X339" i="10"/>
  <c r="W339" i="10"/>
  <c r="V339" i="10"/>
  <c r="AA339" i="10" s="1"/>
  <c r="N339" i="10"/>
  <c r="M339" i="10"/>
  <c r="L339" i="10"/>
  <c r="K339" i="10"/>
  <c r="J339" i="10"/>
  <c r="I339" i="10"/>
  <c r="BG339" i="10" s="1"/>
  <c r="BE338" i="10"/>
  <c r="AE338" i="10"/>
  <c r="Z338" i="10"/>
  <c r="Y338" i="10"/>
  <c r="X338" i="10"/>
  <c r="W338" i="10"/>
  <c r="V338" i="10"/>
  <c r="AA338" i="10" s="1"/>
  <c r="N338" i="10"/>
  <c r="M338" i="10"/>
  <c r="L338" i="10"/>
  <c r="I338" i="10" s="1"/>
  <c r="BG338" i="10" s="1"/>
  <c r="K338" i="10"/>
  <c r="J338" i="10"/>
  <c r="T338" i="10" s="1"/>
  <c r="BE337" i="10"/>
  <c r="AE337" i="10"/>
  <c r="Z337" i="10"/>
  <c r="Y337" i="10"/>
  <c r="X337" i="10"/>
  <c r="W337" i="10"/>
  <c r="V337" i="10"/>
  <c r="N337" i="10"/>
  <c r="M337" i="10"/>
  <c r="L337" i="10"/>
  <c r="K337" i="10"/>
  <c r="J337" i="10"/>
  <c r="Z336" i="10"/>
  <c r="Y336" i="10"/>
  <c r="X336" i="10"/>
  <c r="W336" i="10"/>
  <c r="AA336" i="10" s="1"/>
  <c r="V336" i="10"/>
  <c r="N336" i="10"/>
  <c r="M336" i="10"/>
  <c r="L336" i="10"/>
  <c r="K336" i="10"/>
  <c r="J336" i="10"/>
  <c r="Z335" i="10"/>
  <c r="Y335" i="10"/>
  <c r="X335" i="10"/>
  <c r="W335" i="10"/>
  <c r="V335" i="10"/>
  <c r="AA335" i="10" s="1"/>
  <c r="N335" i="10"/>
  <c r="M335" i="10"/>
  <c r="L335" i="10"/>
  <c r="K335" i="10"/>
  <c r="J335" i="10"/>
  <c r="I335" i="10"/>
  <c r="BG335" i="10" s="1"/>
  <c r="AE334" i="10"/>
  <c r="BE334" i="10" s="1"/>
  <c r="Z334" i="10"/>
  <c r="Y334" i="10"/>
  <c r="X334" i="10"/>
  <c r="W334" i="10"/>
  <c r="V334" i="10"/>
  <c r="U334" i="10"/>
  <c r="N334" i="10"/>
  <c r="M334" i="10"/>
  <c r="L334" i="10"/>
  <c r="K334" i="10"/>
  <c r="J334" i="10"/>
  <c r="I334" i="10"/>
  <c r="BG334" i="10" s="1"/>
  <c r="BE333" i="10"/>
  <c r="AE333" i="10"/>
  <c r="Z333" i="10"/>
  <c r="Y333" i="10"/>
  <c r="X333" i="10"/>
  <c r="W333" i="10"/>
  <c r="V333" i="10"/>
  <c r="N333" i="10"/>
  <c r="M333" i="10"/>
  <c r="L333" i="10"/>
  <c r="T333" i="10" s="1"/>
  <c r="K333" i="10"/>
  <c r="U333" i="10" s="1"/>
  <c r="J333" i="10"/>
  <c r="Z332" i="10"/>
  <c r="Y332" i="10"/>
  <c r="X332" i="10"/>
  <c r="W332" i="10"/>
  <c r="AA332" i="10" s="1"/>
  <c r="V332" i="10"/>
  <c r="N332" i="10"/>
  <c r="M332" i="10"/>
  <c r="L332" i="10"/>
  <c r="K332" i="10"/>
  <c r="J332" i="10"/>
  <c r="AE331" i="10"/>
  <c r="BE331" i="10" s="1"/>
  <c r="Z331" i="10"/>
  <c r="Y331" i="10"/>
  <c r="X331" i="10"/>
  <c r="W331" i="10"/>
  <c r="V331" i="10"/>
  <c r="AA331" i="10" s="1"/>
  <c r="N331" i="10"/>
  <c r="M331" i="10"/>
  <c r="L331" i="10"/>
  <c r="K331" i="10"/>
  <c r="J331" i="10"/>
  <c r="I331" i="10"/>
  <c r="BG331" i="10" s="1"/>
  <c r="AE330" i="10"/>
  <c r="BE330" i="10" s="1"/>
  <c r="Z330" i="10"/>
  <c r="Y330" i="10"/>
  <c r="X330" i="10"/>
  <c r="W330" i="10"/>
  <c r="V330" i="10"/>
  <c r="N330" i="10"/>
  <c r="M330" i="10"/>
  <c r="L330" i="10"/>
  <c r="U330" i="10" s="1"/>
  <c r="K330" i="10"/>
  <c r="J330" i="10"/>
  <c r="I330" i="10"/>
  <c r="BG330" i="10" s="1"/>
  <c r="BE329" i="10"/>
  <c r="AE329" i="10"/>
  <c r="Z329" i="10"/>
  <c r="Y329" i="10"/>
  <c r="X329" i="10"/>
  <c r="W329" i="10"/>
  <c r="V329" i="10"/>
  <c r="AA329" i="10" s="1"/>
  <c r="N329" i="10"/>
  <c r="M329" i="10"/>
  <c r="L329" i="10"/>
  <c r="K329" i="10"/>
  <c r="J329" i="10"/>
  <c r="BG328" i="10"/>
  <c r="Z328" i="10"/>
  <c r="Y328" i="10"/>
  <c r="X328" i="10"/>
  <c r="W328" i="10"/>
  <c r="AA328" i="10" s="1"/>
  <c r="V328" i="10"/>
  <c r="U328" i="10"/>
  <c r="T328" i="10"/>
  <c r="P328" i="10"/>
  <c r="Z327" i="10"/>
  <c r="Y327" i="10"/>
  <c r="X327" i="10"/>
  <c r="W327" i="10"/>
  <c r="V327" i="10"/>
  <c r="U327" i="10"/>
  <c r="T327" i="10"/>
  <c r="N327" i="10"/>
  <c r="M327" i="10"/>
  <c r="L327" i="10"/>
  <c r="K327" i="10"/>
  <c r="J327" i="10"/>
  <c r="AE327" i="10" s="1"/>
  <c r="BE327" i="10" s="1"/>
  <c r="Z326" i="10"/>
  <c r="Y326" i="10"/>
  <c r="X326" i="10"/>
  <c r="W326" i="10"/>
  <c r="AA326" i="10" s="1"/>
  <c r="V326" i="10"/>
  <c r="N326" i="10"/>
  <c r="M326" i="10"/>
  <c r="L326" i="10"/>
  <c r="K326" i="10"/>
  <c r="I326" i="10" s="1"/>
  <c r="BG326" i="10" s="1"/>
  <c r="J326" i="10"/>
  <c r="Z325" i="10"/>
  <c r="Y325" i="10"/>
  <c r="X325" i="10"/>
  <c r="W325" i="10"/>
  <c r="AA325" i="10" s="1"/>
  <c r="V325" i="10"/>
  <c r="N325" i="10"/>
  <c r="M325" i="10"/>
  <c r="L325" i="10"/>
  <c r="K325" i="10"/>
  <c r="J325" i="10"/>
  <c r="AE324" i="10"/>
  <c r="BE324" i="10" s="1"/>
  <c r="Z324" i="10"/>
  <c r="Y324" i="10"/>
  <c r="X324" i="10"/>
  <c r="W324" i="10"/>
  <c r="V324" i="10"/>
  <c r="N324" i="10"/>
  <c r="M324" i="10"/>
  <c r="U324" i="10" s="1"/>
  <c r="L324" i="10"/>
  <c r="K324" i="10"/>
  <c r="J324" i="10"/>
  <c r="I324" i="10"/>
  <c r="BG324" i="10" s="1"/>
  <c r="BE323" i="10"/>
  <c r="AE323" i="10"/>
  <c r="Z323" i="10"/>
  <c r="Y323" i="10"/>
  <c r="X323" i="10"/>
  <c r="W323" i="10"/>
  <c r="V323" i="10"/>
  <c r="T323" i="10"/>
  <c r="N323" i="10"/>
  <c r="M323" i="10"/>
  <c r="L323" i="10"/>
  <c r="K323" i="10"/>
  <c r="J323" i="10"/>
  <c r="Z322" i="10"/>
  <c r="Y322" i="10"/>
  <c r="X322" i="10"/>
  <c r="W322" i="10"/>
  <c r="AA322" i="10" s="1"/>
  <c r="V322" i="10"/>
  <c r="T322" i="10"/>
  <c r="N322" i="10"/>
  <c r="M322" i="10"/>
  <c r="L322" i="10"/>
  <c r="K322" i="10"/>
  <c r="J322" i="10"/>
  <c r="BG321" i="10"/>
  <c r="AE321" i="10"/>
  <c r="BE321" i="10" s="1"/>
  <c r="Z321" i="10"/>
  <c r="Y321" i="10"/>
  <c r="X321" i="10"/>
  <c r="W321" i="10"/>
  <c r="V321" i="10"/>
  <c r="AA321" i="10" s="1"/>
  <c r="N321" i="10"/>
  <c r="M321" i="10"/>
  <c r="L321" i="10"/>
  <c r="K321" i="10"/>
  <c r="J321" i="10"/>
  <c r="I321" i="10"/>
  <c r="AE320" i="10"/>
  <c r="BE320" i="10" s="1"/>
  <c r="Z320" i="10"/>
  <c r="Y320" i="10"/>
  <c r="X320" i="10"/>
  <c r="W320" i="10"/>
  <c r="V320" i="10"/>
  <c r="N320" i="10"/>
  <c r="M320" i="10"/>
  <c r="L320" i="10"/>
  <c r="I320" i="10" s="1"/>
  <c r="BG320" i="10" s="1"/>
  <c r="K320" i="10"/>
  <c r="J320" i="10"/>
  <c r="Z319" i="10"/>
  <c r="Y319" i="10"/>
  <c r="X319" i="10"/>
  <c r="W319" i="10"/>
  <c r="V319" i="10"/>
  <c r="U319" i="10"/>
  <c r="N319" i="10"/>
  <c r="M319" i="10"/>
  <c r="L319" i="10"/>
  <c r="K319" i="10"/>
  <c r="J319" i="10"/>
  <c r="AE319" i="10" s="1"/>
  <c r="BE319" i="10" s="1"/>
  <c r="Z318" i="10"/>
  <c r="Y318" i="10"/>
  <c r="X318" i="10"/>
  <c r="W318" i="10"/>
  <c r="AA318" i="10" s="1"/>
  <c r="V318" i="10"/>
  <c r="N318" i="10"/>
  <c r="M318" i="10"/>
  <c r="L318" i="10"/>
  <c r="K318" i="10"/>
  <c r="I318" i="10" s="1"/>
  <c r="BG318" i="10" s="1"/>
  <c r="J318" i="10"/>
  <c r="T318" i="10" s="1"/>
  <c r="Z317" i="10"/>
  <c r="Y317" i="10"/>
  <c r="X317" i="10"/>
  <c r="W317" i="10"/>
  <c r="AA317" i="10" s="1"/>
  <c r="V317" i="10"/>
  <c r="N317" i="10"/>
  <c r="M317" i="10"/>
  <c r="L317" i="10"/>
  <c r="K317" i="10"/>
  <c r="J317" i="10"/>
  <c r="I317" i="10"/>
  <c r="BG317" i="10" s="1"/>
  <c r="BE316" i="10"/>
  <c r="AE316" i="10"/>
  <c r="Z316" i="10"/>
  <c r="Y316" i="10"/>
  <c r="X316" i="10"/>
  <c r="W316" i="10"/>
  <c r="V316" i="10"/>
  <c r="AA316" i="10" s="1"/>
  <c r="N316" i="10"/>
  <c r="M316" i="10"/>
  <c r="U316" i="10" s="1"/>
  <c r="L316" i="10"/>
  <c r="K316" i="10"/>
  <c r="J316" i="10"/>
  <c r="I316" i="10"/>
  <c r="BG316" i="10" s="1"/>
  <c r="BE315" i="10"/>
  <c r="Z315" i="10"/>
  <c r="Y315" i="10"/>
  <c r="X315" i="10"/>
  <c r="W315" i="10"/>
  <c r="V315" i="10"/>
  <c r="AA315" i="10" s="1"/>
  <c r="N315" i="10"/>
  <c r="M315" i="10"/>
  <c r="L315" i="10"/>
  <c r="K315" i="10"/>
  <c r="J315" i="10"/>
  <c r="AE315" i="10" s="1"/>
  <c r="Z314" i="10"/>
  <c r="Y314" i="10"/>
  <c r="X314" i="10"/>
  <c r="W314" i="10"/>
  <c r="AA314" i="10" s="1"/>
  <c r="V314" i="10"/>
  <c r="T314" i="10"/>
  <c r="N314" i="10"/>
  <c r="M314" i="10"/>
  <c r="L314" i="10"/>
  <c r="K314" i="10"/>
  <c r="J314" i="10"/>
  <c r="AE313" i="10"/>
  <c r="BE313" i="10" s="1"/>
  <c r="Z313" i="10"/>
  <c r="Y313" i="10"/>
  <c r="X313" i="10"/>
  <c r="W313" i="10"/>
  <c r="V313" i="10"/>
  <c r="AA313" i="10" s="1"/>
  <c r="N313" i="10"/>
  <c r="M313" i="10"/>
  <c r="L313" i="10"/>
  <c r="K313" i="10"/>
  <c r="J313" i="10"/>
  <c r="I313" i="10"/>
  <c r="BG313" i="10" s="1"/>
  <c r="BE312" i="10"/>
  <c r="AE312" i="10"/>
  <c r="Z312" i="10"/>
  <c r="Y312" i="10"/>
  <c r="X312" i="10"/>
  <c r="W312" i="10"/>
  <c r="V312" i="10"/>
  <c r="N312" i="10"/>
  <c r="M312" i="10"/>
  <c r="U312" i="10" s="1"/>
  <c r="L312" i="10"/>
  <c r="K312" i="10"/>
  <c r="J312" i="10"/>
  <c r="I312" i="10"/>
  <c r="BG312" i="10" s="1"/>
  <c r="BG311" i="10"/>
  <c r="Z311" i="10"/>
  <c r="Y311" i="10"/>
  <c r="X311" i="10"/>
  <c r="W311" i="10"/>
  <c r="V311" i="10"/>
  <c r="U311" i="10"/>
  <c r="T311" i="10"/>
  <c r="P311" i="10"/>
  <c r="AE310" i="10"/>
  <c r="BE310" i="10" s="1"/>
  <c r="Z310" i="10"/>
  <c r="Y310" i="10"/>
  <c r="X310" i="10"/>
  <c r="W310" i="10"/>
  <c r="V310" i="10"/>
  <c r="AA310" i="10" s="1"/>
  <c r="N310" i="10"/>
  <c r="M310" i="10"/>
  <c r="L310" i="10"/>
  <c r="K310" i="10"/>
  <c r="J310" i="10"/>
  <c r="BE309" i="10"/>
  <c r="AE309" i="10"/>
  <c r="Z309" i="10"/>
  <c r="Y309" i="10"/>
  <c r="X309" i="10"/>
  <c r="W309" i="10"/>
  <c r="V309" i="10"/>
  <c r="AA309" i="10" s="1"/>
  <c r="N309" i="10"/>
  <c r="M309" i="10"/>
  <c r="L309" i="10"/>
  <c r="K309" i="10"/>
  <c r="J309" i="10"/>
  <c r="Z308" i="10"/>
  <c r="Y308" i="10"/>
  <c r="X308" i="10"/>
  <c r="W308" i="10"/>
  <c r="AA308" i="10" s="1"/>
  <c r="V308" i="10"/>
  <c r="N308" i="10"/>
  <c r="M308" i="10"/>
  <c r="L308" i="10"/>
  <c r="K308" i="10"/>
  <c r="J308" i="10"/>
  <c r="T308" i="10" s="1"/>
  <c r="AE307" i="10"/>
  <c r="BE307" i="10" s="1"/>
  <c r="Z307" i="10"/>
  <c r="Y307" i="10"/>
  <c r="X307" i="10"/>
  <c r="W307" i="10"/>
  <c r="V307" i="10"/>
  <c r="AA307" i="10" s="1"/>
  <c r="N307" i="10"/>
  <c r="M307" i="10"/>
  <c r="L307" i="10"/>
  <c r="K307" i="10"/>
  <c r="J307" i="10"/>
  <c r="I307" i="10"/>
  <c r="BG307" i="10" s="1"/>
  <c r="BE306" i="10"/>
  <c r="AE306" i="10"/>
  <c r="Z306" i="10"/>
  <c r="Y306" i="10"/>
  <c r="X306" i="10"/>
  <c r="W306" i="10"/>
  <c r="V306" i="10"/>
  <c r="N306" i="10"/>
  <c r="M306" i="10"/>
  <c r="U306" i="10" s="1"/>
  <c r="L306" i="10"/>
  <c r="K306" i="10"/>
  <c r="J306" i="10"/>
  <c r="I306" i="10"/>
  <c r="BG306" i="10" s="1"/>
  <c r="BE305" i="10"/>
  <c r="AE305" i="10"/>
  <c r="Z305" i="10"/>
  <c r="Y305" i="10"/>
  <c r="X305" i="10"/>
  <c r="W305" i="10"/>
  <c r="V305" i="10"/>
  <c r="U305" i="10"/>
  <c r="N305" i="10"/>
  <c r="M305" i="10"/>
  <c r="L305" i="10"/>
  <c r="K305" i="10"/>
  <c r="J305" i="10"/>
  <c r="Z304" i="10"/>
  <c r="Y304" i="10"/>
  <c r="X304" i="10"/>
  <c r="W304" i="10"/>
  <c r="AA304" i="10" s="1"/>
  <c r="V304" i="10"/>
  <c r="N304" i="10"/>
  <c r="M304" i="10"/>
  <c r="L304" i="10"/>
  <c r="K304" i="10"/>
  <c r="J304" i="10"/>
  <c r="Z303" i="10"/>
  <c r="Y303" i="10"/>
  <c r="X303" i="10"/>
  <c r="W303" i="10"/>
  <c r="AA303" i="10" s="1"/>
  <c r="V303" i="10"/>
  <c r="N303" i="10"/>
  <c r="M303" i="10"/>
  <c r="L303" i="10"/>
  <c r="K303" i="10"/>
  <c r="J303" i="10"/>
  <c r="AE302" i="10"/>
  <c r="BE302" i="10" s="1"/>
  <c r="Z302" i="10"/>
  <c r="Y302" i="10"/>
  <c r="X302" i="10"/>
  <c r="W302" i="10"/>
  <c r="V302" i="10"/>
  <c r="AA302" i="10" s="1"/>
  <c r="N302" i="10"/>
  <c r="M302" i="10"/>
  <c r="L302" i="10"/>
  <c r="U302" i="10" s="1"/>
  <c r="K302" i="10"/>
  <c r="J302" i="10"/>
  <c r="T302" i="10" s="1"/>
  <c r="BE301" i="10"/>
  <c r="AE301" i="10"/>
  <c r="Z301" i="10"/>
  <c r="Y301" i="10"/>
  <c r="X301" i="10"/>
  <c r="W301" i="10"/>
  <c r="V301" i="10"/>
  <c r="T301" i="10"/>
  <c r="N301" i="10"/>
  <c r="M301" i="10"/>
  <c r="L301" i="10"/>
  <c r="K301" i="10"/>
  <c r="I301" i="10" s="1"/>
  <c r="BG301" i="10" s="1"/>
  <c r="J301" i="10"/>
  <c r="Z300" i="10"/>
  <c r="Y300" i="10"/>
  <c r="X300" i="10"/>
  <c r="W300" i="10"/>
  <c r="AA300" i="10" s="1"/>
  <c r="V300" i="10"/>
  <c r="N300" i="10"/>
  <c r="M300" i="10"/>
  <c r="L300" i="10"/>
  <c r="K300" i="10"/>
  <c r="J300" i="10"/>
  <c r="AE299" i="10"/>
  <c r="BE299" i="10" s="1"/>
  <c r="Z299" i="10"/>
  <c r="Y299" i="10"/>
  <c r="X299" i="10"/>
  <c r="W299" i="10"/>
  <c r="V299" i="10"/>
  <c r="AA299" i="10" s="1"/>
  <c r="N299" i="10"/>
  <c r="M299" i="10"/>
  <c r="L299" i="10"/>
  <c r="K299" i="10"/>
  <c r="J299" i="10"/>
  <c r="I299" i="10"/>
  <c r="BG299" i="10" s="1"/>
  <c r="BE298" i="10"/>
  <c r="AE298" i="10"/>
  <c r="Z298" i="10"/>
  <c r="Y298" i="10"/>
  <c r="X298" i="10"/>
  <c r="W298" i="10"/>
  <c r="V298" i="10"/>
  <c r="N298" i="10"/>
  <c r="M298" i="10"/>
  <c r="U298" i="10" s="1"/>
  <c r="L298" i="10"/>
  <c r="K298" i="10"/>
  <c r="J298" i="10"/>
  <c r="I298" i="10"/>
  <c r="BG298" i="10" s="1"/>
  <c r="BE297" i="10"/>
  <c r="AE297" i="10"/>
  <c r="Z297" i="10"/>
  <c r="Y297" i="10"/>
  <c r="X297" i="10"/>
  <c r="W297" i="10"/>
  <c r="V297" i="10"/>
  <c r="N297" i="10"/>
  <c r="M297" i="10"/>
  <c r="L297" i="10"/>
  <c r="U297" i="10" s="1"/>
  <c r="K297" i="10"/>
  <c r="J297" i="10"/>
  <c r="BG296" i="10"/>
  <c r="Z296" i="10"/>
  <c r="Y296" i="10"/>
  <c r="X296" i="10"/>
  <c r="W296" i="10"/>
  <c r="AA296" i="10" s="1"/>
  <c r="V296" i="10"/>
  <c r="T296" i="10"/>
  <c r="N296" i="10"/>
  <c r="M296" i="10"/>
  <c r="L296" i="10"/>
  <c r="K296" i="10"/>
  <c r="I296" i="10" s="1"/>
  <c r="J296" i="10"/>
  <c r="Z295" i="10"/>
  <c r="Y295" i="10"/>
  <c r="X295" i="10"/>
  <c r="W295" i="10"/>
  <c r="AA295" i="10" s="1"/>
  <c r="V295" i="10"/>
  <c r="N295" i="10"/>
  <c r="M295" i="10"/>
  <c r="L295" i="10"/>
  <c r="K295" i="10"/>
  <c r="J295" i="10"/>
  <c r="I295" i="10" s="1"/>
  <c r="BG295" i="10" s="1"/>
  <c r="AE294" i="10"/>
  <c r="BE294" i="10" s="1"/>
  <c r="Z294" i="10"/>
  <c r="Y294" i="10"/>
  <c r="X294" i="10"/>
  <c r="W294" i="10"/>
  <c r="V294" i="10"/>
  <c r="AA294" i="10" s="1"/>
  <c r="N294" i="10"/>
  <c r="M294" i="10"/>
  <c r="L294" i="10"/>
  <c r="K294" i="10"/>
  <c r="J294" i="10"/>
  <c r="Z293" i="10"/>
  <c r="Y293" i="10"/>
  <c r="X293" i="10"/>
  <c r="W293" i="10"/>
  <c r="V293" i="10"/>
  <c r="U293" i="10"/>
  <c r="N293" i="10"/>
  <c r="M293" i="10"/>
  <c r="L293" i="10"/>
  <c r="K293" i="10"/>
  <c r="J293" i="10"/>
  <c r="AE293" i="10" s="1"/>
  <c r="BE293" i="10" s="1"/>
  <c r="Z292" i="10"/>
  <c r="Y292" i="10"/>
  <c r="X292" i="10"/>
  <c r="W292" i="10"/>
  <c r="AA292" i="10" s="1"/>
  <c r="V292" i="10"/>
  <c r="N292" i="10"/>
  <c r="M292" i="10"/>
  <c r="L292" i="10"/>
  <c r="K292" i="10"/>
  <c r="J292" i="10"/>
  <c r="Z291" i="10"/>
  <c r="Y291" i="10"/>
  <c r="X291" i="10"/>
  <c r="W291" i="10"/>
  <c r="AA291" i="10" s="1"/>
  <c r="V291" i="10"/>
  <c r="N291" i="10"/>
  <c r="M291" i="10"/>
  <c r="L291" i="10"/>
  <c r="K291" i="10"/>
  <c r="J291" i="10"/>
  <c r="BE290" i="10"/>
  <c r="AE290" i="10"/>
  <c r="Z290" i="10"/>
  <c r="Y290" i="10"/>
  <c r="X290" i="10"/>
  <c r="W290" i="10"/>
  <c r="V290" i="10"/>
  <c r="AA290" i="10" s="1"/>
  <c r="N290" i="10"/>
  <c r="M290" i="10"/>
  <c r="L290" i="10"/>
  <c r="K290" i="10"/>
  <c r="J290" i="10"/>
  <c r="BE289" i="10"/>
  <c r="Z289" i="10"/>
  <c r="Y289" i="10"/>
  <c r="X289" i="10"/>
  <c r="W289" i="10"/>
  <c r="V289" i="10"/>
  <c r="U289" i="10"/>
  <c r="N289" i="10"/>
  <c r="M289" i="10"/>
  <c r="L289" i="10"/>
  <c r="K289" i="10"/>
  <c r="I289" i="10" s="1"/>
  <c r="BG289" i="10" s="1"/>
  <c r="J289" i="10"/>
  <c r="AE289" i="10" s="1"/>
  <c r="Z288" i="10"/>
  <c r="Y288" i="10"/>
  <c r="X288" i="10"/>
  <c r="W288" i="10"/>
  <c r="AA288" i="10" s="1"/>
  <c r="V288" i="10"/>
  <c r="N288" i="10"/>
  <c r="M288" i="10"/>
  <c r="L288" i="10"/>
  <c r="K288" i="10"/>
  <c r="I288" i="10" s="1"/>
  <c r="BG288" i="10" s="1"/>
  <c r="J288" i="10"/>
  <c r="U288" i="10" s="1"/>
  <c r="Z287" i="10"/>
  <c r="Y287" i="10"/>
  <c r="X287" i="10"/>
  <c r="W287" i="10"/>
  <c r="V287" i="10"/>
  <c r="AA287" i="10" s="1"/>
  <c r="N287" i="10"/>
  <c r="M287" i="10"/>
  <c r="L287" i="10"/>
  <c r="K287" i="10"/>
  <c r="J287" i="10"/>
  <c r="I287" i="10"/>
  <c r="BG287" i="10" s="1"/>
  <c r="AE286" i="10"/>
  <c r="BE286" i="10" s="1"/>
  <c r="Z286" i="10"/>
  <c r="Y286" i="10"/>
  <c r="X286" i="10"/>
  <c r="W286" i="10"/>
  <c r="V286" i="10"/>
  <c r="N286" i="10"/>
  <c r="M286" i="10"/>
  <c r="L286" i="10"/>
  <c r="K286" i="10"/>
  <c r="J286" i="10"/>
  <c r="Z285" i="10"/>
  <c r="Y285" i="10"/>
  <c r="X285" i="10"/>
  <c r="W285" i="10"/>
  <c r="AA285" i="10" s="1"/>
  <c r="V285" i="10"/>
  <c r="N285" i="10"/>
  <c r="M285" i="10"/>
  <c r="L285" i="10"/>
  <c r="K285" i="10"/>
  <c r="J285" i="10"/>
  <c r="Z284" i="10"/>
  <c r="Y284" i="10"/>
  <c r="X284" i="10"/>
  <c r="W284" i="10"/>
  <c r="V284" i="10"/>
  <c r="AA284" i="10" s="1"/>
  <c r="N284" i="10"/>
  <c r="M284" i="10"/>
  <c r="L284" i="10"/>
  <c r="K284" i="10"/>
  <c r="I284" i="10" s="1"/>
  <c r="BG284" i="10" s="1"/>
  <c r="J284" i="10"/>
  <c r="AE283" i="10"/>
  <c r="BE283" i="10" s="1"/>
  <c r="Z283" i="10"/>
  <c r="Y283" i="10"/>
  <c r="X283" i="10"/>
  <c r="W283" i="10"/>
  <c r="V283" i="10"/>
  <c r="N283" i="10"/>
  <c r="M283" i="10"/>
  <c r="L283" i="10"/>
  <c r="K283" i="10"/>
  <c r="I283" i="10" s="1"/>
  <c r="BG283" i="10" s="1"/>
  <c r="J283" i="10"/>
  <c r="U283" i="10" s="1"/>
  <c r="Z282" i="10"/>
  <c r="Y282" i="10"/>
  <c r="X282" i="10"/>
  <c r="W282" i="10"/>
  <c r="AA282" i="10" s="1"/>
  <c r="V282" i="10"/>
  <c r="N282" i="10"/>
  <c r="M282" i="10"/>
  <c r="L282" i="10"/>
  <c r="K282" i="10"/>
  <c r="J282" i="10"/>
  <c r="AE281" i="10"/>
  <c r="BE281" i="10" s="1"/>
  <c r="Z281" i="10"/>
  <c r="Y281" i="10"/>
  <c r="X281" i="10"/>
  <c r="W281" i="10"/>
  <c r="V281" i="10"/>
  <c r="AA281" i="10" s="1"/>
  <c r="N281" i="10"/>
  <c r="M281" i="10"/>
  <c r="L281" i="10"/>
  <c r="K281" i="10"/>
  <c r="T281" i="10" s="1"/>
  <c r="J281" i="10"/>
  <c r="U281" i="10" s="1"/>
  <c r="I281" i="10"/>
  <c r="BG281" i="10" s="1"/>
  <c r="Z280" i="10"/>
  <c r="Y280" i="10"/>
  <c r="X280" i="10"/>
  <c r="W280" i="10"/>
  <c r="V280" i="10"/>
  <c r="N280" i="10"/>
  <c r="M280" i="10"/>
  <c r="L280" i="10"/>
  <c r="U280" i="10" s="1"/>
  <c r="K280" i="10"/>
  <c r="J280" i="10"/>
  <c r="AE279" i="10"/>
  <c r="BE279" i="10" s="1"/>
  <c r="Z279" i="10"/>
  <c r="Y279" i="10"/>
  <c r="X279" i="10"/>
  <c r="W279" i="10"/>
  <c r="V279" i="10"/>
  <c r="AA279" i="10" s="1"/>
  <c r="T279" i="10"/>
  <c r="N279" i="10"/>
  <c r="M279" i="10"/>
  <c r="L279" i="10"/>
  <c r="K279" i="10"/>
  <c r="I279" i="10" s="1"/>
  <c r="BG279" i="10" s="1"/>
  <c r="J279" i="10"/>
  <c r="Z278" i="10"/>
  <c r="Y278" i="10"/>
  <c r="X278" i="10"/>
  <c r="W278" i="10"/>
  <c r="AA278" i="10" s="1"/>
  <c r="V278" i="10"/>
  <c r="N278" i="10"/>
  <c r="M278" i="10"/>
  <c r="L278" i="10"/>
  <c r="K278" i="10"/>
  <c r="J278" i="10"/>
  <c r="AE277" i="10"/>
  <c r="BE277" i="10" s="1"/>
  <c r="Z277" i="10"/>
  <c r="Y277" i="10"/>
  <c r="X277" i="10"/>
  <c r="W277" i="10"/>
  <c r="V277" i="10"/>
  <c r="AA277" i="10" s="1"/>
  <c r="N277" i="10"/>
  <c r="M277" i="10"/>
  <c r="L277" i="10"/>
  <c r="K277" i="10"/>
  <c r="J277" i="10"/>
  <c r="I277" i="10"/>
  <c r="BG277" i="10" s="1"/>
  <c r="Z276" i="10"/>
  <c r="Y276" i="10"/>
  <c r="X276" i="10"/>
  <c r="W276" i="10"/>
  <c r="AA276" i="10" s="1"/>
  <c r="V276" i="10"/>
  <c r="N276" i="10"/>
  <c r="M276" i="10"/>
  <c r="L276" i="10"/>
  <c r="U276" i="10" s="1"/>
  <c r="K276" i="10"/>
  <c r="J276" i="10"/>
  <c r="T276" i="10" s="1"/>
  <c r="AE275" i="10"/>
  <c r="BE275" i="10" s="1"/>
  <c r="Z275" i="10"/>
  <c r="Y275" i="10"/>
  <c r="X275" i="10"/>
  <c r="W275" i="10"/>
  <c r="V275" i="10"/>
  <c r="N275" i="10"/>
  <c r="M275" i="10"/>
  <c r="L275" i="10"/>
  <c r="K275" i="10"/>
  <c r="I275" i="10" s="1"/>
  <c r="BG275" i="10" s="1"/>
  <c r="J275" i="10"/>
  <c r="U275" i="10" s="1"/>
  <c r="Z274" i="10"/>
  <c r="Y274" i="10"/>
  <c r="X274" i="10"/>
  <c r="W274" i="10"/>
  <c r="AA274" i="10" s="1"/>
  <c r="V274" i="10"/>
  <c r="N274" i="10"/>
  <c r="M274" i="10"/>
  <c r="L274" i="10"/>
  <c r="K274" i="10"/>
  <c r="J274" i="10"/>
  <c r="AE273" i="10"/>
  <c r="BE273" i="10" s="1"/>
  <c r="Z273" i="10"/>
  <c r="Y273" i="10"/>
  <c r="X273" i="10"/>
  <c r="W273" i="10"/>
  <c r="V273" i="10"/>
  <c r="AA273" i="10" s="1"/>
  <c r="N273" i="10"/>
  <c r="M273" i="10"/>
  <c r="L273" i="10"/>
  <c r="K273" i="10"/>
  <c r="T273" i="10" s="1"/>
  <c r="J273" i="10"/>
  <c r="U273" i="10" s="1"/>
  <c r="I273" i="10"/>
  <c r="BG273" i="10" s="1"/>
  <c r="Z272" i="10"/>
  <c r="Y272" i="10"/>
  <c r="X272" i="10"/>
  <c r="W272" i="10"/>
  <c r="V272" i="10"/>
  <c r="N272" i="10"/>
  <c r="M272" i="10"/>
  <c r="L272" i="10"/>
  <c r="U272" i="10" s="1"/>
  <c r="K272" i="10"/>
  <c r="J272" i="10"/>
  <c r="BG271" i="10"/>
  <c r="Z271" i="10"/>
  <c r="Y271" i="10"/>
  <c r="X271" i="10"/>
  <c r="W271" i="10"/>
  <c r="V271" i="10"/>
  <c r="AA271" i="10" s="1"/>
  <c r="U271" i="10"/>
  <c r="T271" i="10"/>
  <c r="P271" i="10"/>
  <c r="Z270" i="10"/>
  <c r="Y270" i="10"/>
  <c r="X270" i="10"/>
  <c r="W270" i="10"/>
  <c r="V270" i="10"/>
  <c r="N270" i="10"/>
  <c r="M270" i="10"/>
  <c r="L270" i="10"/>
  <c r="U270" i="10" s="1"/>
  <c r="K270" i="10"/>
  <c r="J270" i="10"/>
  <c r="AE269" i="10"/>
  <c r="BE269" i="10" s="1"/>
  <c r="Z269" i="10"/>
  <c r="Y269" i="10"/>
  <c r="X269" i="10"/>
  <c r="W269" i="10"/>
  <c r="V269" i="10"/>
  <c r="AA269" i="10" s="1"/>
  <c r="T269" i="10"/>
  <c r="N269" i="10"/>
  <c r="M269" i="10"/>
  <c r="L269" i="10"/>
  <c r="K269" i="10"/>
  <c r="I269" i="10" s="1"/>
  <c r="BG269" i="10" s="1"/>
  <c r="J269" i="10"/>
  <c r="Z268" i="10"/>
  <c r="Y268" i="10"/>
  <c r="X268" i="10"/>
  <c r="W268" i="10"/>
  <c r="AA268" i="10" s="1"/>
  <c r="V268" i="10"/>
  <c r="N268" i="10"/>
  <c r="M268" i="10"/>
  <c r="L268" i="10"/>
  <c r="K268" i="10"/>
  <c r="J268" i="10"/>
  <c r="AE267" i="10"/>
  <c r="BE267" i="10" s="1"/>
  <c r="Z267" i="10"/>
  <c r="Y267" i="10"/>
  <c r="X267" i="10"/>
  <c r="W267" i="10"/>
  <c r="V267" i="10"/>
  <c r="AA267" i="10" s="1"/>
  <c r="N267" i="10"/>
  <c r="M267" i="10"/>
  <c r="L267" i="10"/>
  <c r="K267" i="10"/>
  <c r="J267" i="10"/>
  <c r="I267" i="10"/>
  <c r="BG267" i="10" s="1"/>
  <c r="Z266" i="10"/>
  <c r="Y266" i="10"/>
  <c r="X266" i="10"/>
  <c r="W266" i="10"/>
  <c r="AA266" i="10" s="1"/>
  <c r="V266" i="10"/>
  <c r="N266" i="10"/>
  <c r="M266" i="10"/>
  <c r="L266" i="10"/>
  <c r="U266" i="10" s="1"/>
  <c r="K266" i="10"/>
  <c r="J266" i="10"/>
  <c r="T266" i="10" s="1"/>
  <c r="AE265" i="10"/>
  <c r="BE265" i="10" s="1"/>
  <c r="Z265" i="10"/>
  <c r="Y265" i="10"/>
  <c r="X265" i="10"/>
  <c r="W265" i="10"/>
  <c r="V265" i="10"/>
  <c r="N265" i="10"/>
  <c r="M265" i="10"/>
  <c r="L265" i="10"/>
  <c r="K265" i="10"/>
  <c r="I265" i="10" s="1"/>
  <c r="BG265" i="10" s="1"/>
  <c r="J265" i="10"/>
  <c r="U265" i="10" s="1"/>
  <c r="Z264" i="10"/>
  <c r="Y264" i="10"/>
  <c r="X264" i="10"/>
  <c r="W264" i="10"/>
  <c r="AA264" i="10" s="1"/>
  <c r="V264" i="10"/>
  <c r="N264" i="10"/>
  <c r="M264" i="10"/>
  <c r="L264" i="10"/>
  <c r="K264" i="10"/>
  <c r="J264" i="10"/>
  <c r="AE263" i="10"/>
  <c r="BE263" i="10" s="1"/>
  <c r="Z263" i="10"/>
  <c r="Y263" i="10"/>
  <c r="X263" i="10"/>
  <c r="W263" i="10"/>
  <c r="V263" i="10"/>
  <c r="AA263" i="10" s="1"/>
  <c r="N263" i="10"/>
  <c r="M263" i="10"/>
  <c r="L263" i="10"/>
  <c r="K263" i="10"/>
  <c r="T263" i="10" s="1"/>
  <c r="J263" i="10"/>
  <c r="U263" i="10" s="1"/>
  <c r="I263" i="10"/>
  <c r="BG263" i="10" s="1"/>
  <c r="Z262" i="10"/>
  <c r="Y262" i="10"/>
  <c r="X262" i="10"/>
  <c r="W262" i="10"/>
  <c r="V262" i="10"/>
  <c r="N262" i="10"/>
  <c r="M262" i="10"/>
  <c r="L262" i="10"/>
  <c r="U262" i="10" s="1"/>
  <c r="K262" i="10"/>
  <c r="J262" i="10"/>
  <c r="AE261" i="10"/>
  <c r="BE261" i="10" s="1"/>
  <c r="Z261" i="10"/>
  <c r="Y261" i="10"/>
  <c r="X261" i="10"/>
  <c r="W261" i="10"/>
  <c r="V261" i="10"/>
  <c r="AA261" i="10" s="1"/>
  <c r="T261" i="10"/>
  <c r="N261" i="10"/>
  <c r="M261" i="10"/>
  <c r="L261" i="10"/>
  <c r="K261" i="10"/>
  <c r="I261" i="10" s="1"/>
  <c r="BG261" i="10" s="1"/>
  <c r="J261" i="10"/>
  <c r="Z260" i="10"/>
  <c r="Y260" i="10"/>
  <c r="X260" i="10"/>
  <c r="W260" i="10"/>
  <c r="AA260" i="10" s="1"/>
  <c r="V260" i="10"/>
  <c r="N260" i="10"/>
  <c r="M260" i="10"/>
  <c r="L260" i="10"/>
  <c r="K260" i="10"/>
  <c r="J260" i="10"/>
  <c r="AE259" i="10"/>
  <c r="BE259" i="10" s="1"/>
  <c r="Z259" i="10"/>
  <c r="Y259" i="10"/>
  <c r="X259" i="10"/>
  <c r="W259" i="10"/>
  <c r="V259" i="10"/>
  <c r="AA259" i="10" s="1"/>
  <c r="N259" i="10"/>
  <c r="M259" i="10"/>
  <c r="L259" i="10"/>
  <c r="K259" i="10"/>
  <c r="J259" i="10"/>
  <c r="I259" i="10"/>
  <c r="BG259" i="10" s="1"/>
  <c r="Z258" i="10"/>
  <c r="Y258" i="10"/>
  <c r="X258" i="10"/>
  <c r="W258" i="10"/>
  <c r="AA258" i="10" s="1"/>
  <c r="V258" i="10"/>
  <c r="N258" i="10"/>
  <c r="M258" i="10"/>
  <c r="L258" i="10"/>
  <c r="U258" i="10" s="1"/>
  <c r="K258" i="10"/>
  <c r="J258" i="10"/>
  <c r="T258" i="10" s="1"/>
  <c r="AE257" i="10"/>
  <c r="BE257" i="10" s="1"/>
  <c r="Z257" i="10"/>
  <c r="Y257" i="10"/>
  <c r="X257" i="10"/>
  <c r="W257" i="10"/>
  <c r="V257" i="10"/>
  <c r="N257" i="10"/>
  <c r="M257" i="10"/>
  <c r="L257" i="10"/>
  <c r="K257" i="10"/>
  <c r="I257" i="10" s="1"/>
  <c r="BG257" i="10" s="1"/>
  <c r="J257" i="10"/>
  <c r="U257" i="10" s="1"/>
  <c r="Z256" i="10"/>
  <c r="Y256" i="10"/>
  <c r="X256" i="10"/>
  <c r="W256" i="10"/>
  <c r="AA256" i="10" s="1"/>
  <c r="V256" i="10"/>
  <c r="N256" i="10"/>
  <c r="M256" i="10"/>
  <c r="L256" i="10"/>
  <c r="K256" i="10"/>
  <c r="J256" i="10"/>
  <c r="AE255" i="10"/>
  <c r="BE255" i="10" s="1"/>
  <c r="Z255" i="10"/>
  <c r="Y255" i="10"/>
  <c r="X255" i="10"/>
  <c r="W255" i="10"/>
  <c r="V255" i="10"/>
  <c r="AA255" i="10" s="1"/>
  <c r="N255" i="10"/>
  <c r="M255" i="10"/>
  <c r="L255" i="10"/>
  <c r="K255" i="10"/>
  <c r="T255" i="10" s="1"/>
  <c r="J255" i="10"/>
  <c r="U255" i="10" s="1"/>
  <c r="I255" i="10"/>
  <c r="BG255" i="10" s="1"/>
  <c r="Z254" i="10"/>
  <c r="Y254" i="10"/>
  <c r="X254" i="10"/>
  <c r="W254" i="10"/>
  <c r="V254" i="10"/>
  <c r="N254" i="10"/>
  <c r="M254" i="10"/>
  <c r="L254" i="10"/>
  <c r="U254" i="10" s="1"/>
  <c r="K254" i="10"/>
  <c r="J254" i="10"/>
  <c r="AE253" i="10"/>
  <c r="BE253" i="10" s="1"/>
  <c r="Z253" i="10"/>
  <c r="Y253" i="10"/>
  <c r="X253" i="10"/>
  <c r="W253" i="10"/>
  <c r="V253" i="10"/>
  <c r="AA253" i="10" s="1"/>
  <c r="T253" i="10"/>
  <c r="N253" i="10"/>
  <c r="M253" i="10"/>
  <c r="L253" i="10"/>
  <c r="K253" i="10"/>
  <c r="I253" i="10" s="1"/>
  <c r="BG253" i="10" s="1"/>
  <c r="J253" i="10"/>
  <c r="Z252" i="10"/>
  <c r="Y252" i="10"/>
  <c r="X252" i="10"/>
  <c r="W252" i="10"/>
  <c r="AA252" i="10" s="1"/>
  <c r="V252" i="10"/>
  <c r="N252" i="10"/>
  <c r="M252" i="10"/>
  <c r="L252" i="10"/>
  <c r="K252" i="10"/>
  <c r="J252" i="10"/>
  <c r="AE251" i="10"/>
  <c r="BE251" i="10" s="1"/>
  <c r="Z251" i="10"/>
  <c r="Y251" i="10"/>
  <c r="X251" i="10"/>
  <c r="W251" i="10"/>
  <c r="V251" i="10"/>
  <c r="AA251" i="10" s="1"/>
  <c r="N251" i="10"/>
  <c r="M251" i="10"/>
  <c r="L251" i="10"/>
  <c r="K251" i="10"/>
  <c r="J251" i="10"/>
  <c r="I251" i="10"/>
  <c r="BG251" i="10" s="1"/>
  <c r="Z250" i="10"/>
  <c r="Y250" i="10"/>
  <c r="X250" i="10"/>
  <c r="W250" i="10"/>
  <c r="AA250" i="10" s="1"/>
  <c r="V250" i="10"/>
  <c r="N250" i="10"/>
  <c r="M250" i="10"/>
  <c r="L250" i="10"/>
  <c r="U250" i="10" s="1"/>
  <c r="K250" i="10"/>
  <c r="J250" i="10"/>
  <c r="T250" i="10" s="1"/>
  <c r="AE249" i="10"/>
  <c r="BE249" i="10" s="1"/>
  <c r="Z249" i="10"/>
  <c r="Y249" i="10"/>
  <c r="X249" i="10"/>
  <c r="W249" i="10"/>
  <c r="V249" i="10"/>
  <c r="N249" i="10"/>
  <c r="M249" i="10"/>
  <c r="L249" i="10"/>
  <c r="K249" i="10"/>
  <c r="I249" i="10" s="1"/>
  <c r="BG249" i="10" s="1"/>
  <c r="J249" i="10"/>
  <c r="U249" i="10" s="1"/>
  <c r="Z248" i="10"/>
  <c r="Y248" i="10"/>
  <c r="X248" i="10"/>
  <c r="W248" i="10"/>
  <c r="AA248" i="10" s="1"/>
  <c r="V248" i="10"/>
  <c r="N248" i="10"/>
  <c r="M248" i="10"/>
  <c r="L248" i="10"/>
  <c r="K248" i="10"/>
  <c r="J248" i="10"/>
  <c r="AE247" i="10"/>
  <c r="BE247" i="10" s="1"/>
  <c r="Z247" i="10"/>
  <c r="Y247" i="10"/>
  <c r="X247" i="10"/>
  <c r="W247" i="10"/>
  <c r="V247" i="10"/>
  <c r="AA247" i="10" s="1"/>
  <c r="N247" i="10"/>
  <c r="M247" i="10"/>
  <c r="L247" i="10"/>
  <c r="K247" i="10"/>
  <c r="T247" i="10" s="1"/>
  <c r="J247" i="10"/>
  <c r="U247" i="10" s="1"/>
  <c r="I247" i="10"/>
  <c r="BG247" i="10" s="1"/>
  <c r="BG246" i="10"/>
  <c r="Z246" i="10"/>
  <c r="Y246" i="10"/>
  <c r="X246" i="10"/>
  <c r="W246" i="10"/>
  <c r="V246" i="10"/>
  <c r="U246" i="10"/>
  <c r="T246" i="10"/>
  <c r="P246" i="10"/>
  <c r="AE245" i="10"/>
  <c r="BE245" i="10" s="1"/>
  <c r="Z245" i="10"/>
  <c r="Y245" i="10"/>
  <c r="X245" i="10"/>
  <c r="W245" i="10"/>
  <c r="V245" i="10"/>
  <c r="AA245" i="10" s="1"/>
  <c r="N245" i="10"/>
  <c r="M245" i="10"/>
  <c r="L245" i="10"/>
  <c r="K245" i="10"/>
  <c r="T245" i="10" s="1"/>
  <c r="J245" i="10"/>
  <c r="U245" i="10" s="1"/>
  <c r="I245" i="10"/>
  <c r="BG245" i="10" s="1"/>
  <c r="Z244" i="10"/>
  <c r="Y244" i="10"/>
  <c r="X244" i="10"/>
  <c r="W244" i="10"/>
  <c r="V244" i="10"/>
  <c r="N244" i="10"/>
  <c r="M244" i="10"/>
  <c r="L244" i="10"/>
  <c r="U244" i="10" s="1"/>
  <c r="K244" i="10"/>
  <c r="J244" i="10"/>
  <c r="AE243" i="10"/>
  <c r="BE243" i="10" s="1"/>
  <c r="Z243" i="10"/>
  <c r="Y243" i="10"/>
  <c r="X243" i="10"/>
  <c r="W243" i="10"/>
  <c r="V243" i="10"/>
  <c r="AA243" i="10" s="1"/>
  <c r="T243" i="10"/>
  <c r="N243" i="10"/>
  <c r="M243" i="10"/>
  <c r="L243" i="10"/>
  <c r="K243" i="10"/>
  <c r="I243" i="10" s="1"/>
  <c r="BG243" i="10" s="1"/>
  <c r="J243" i="10"/>
  <c r="Z242" i="10"/>
  <c r="Y242" i="10"/>
  <c r="X242" i="10"/>
  <c r="W242" i="10"/>
  <c r="AA242" i="10" s="1"/>
  <c r="V242" i="10"/>
  <c r="N242" i="10"/>
  <c r="M242" i="10"/>
  <c r="L242" i="10"/>
  <c r="K242" i="10"/>
  <c r="J242" i="10"/>
  <c r="AE241" i="10"/>
  <c r="BE241" i="10" s="1"/>
  <c r="Z241" i="10"/>
  <c r="Y241" i="10"/>
  <c r="X241" i="10"/>
  <c r="W241" i="10"/>
  <c r="V241" i="10"/>
  <c r="N241" i="10"/>
  <c r="M241" i="10"/>
  <c r="L241" i="10"/>
  <c r="K241" i="10"/>
  <c r="T241" i="10" s="1"/>
  <c r="J241" i="10"/>
  <c r="Z240" i="10"/>
  <c r="Y240" i="10"/>
  <c r="X240" i="10"/>
  <c r="W240" i="10"/>
  <c r="AA240" i="10" s="1"/>
  <c r="V240" i="10"/>
  <c r="N240" i="10"/>
  <c r="M240" i="10"/>
  <c r="L240" i="10"/>
  <c r="U240" i="10" s="1"/>
  <c r="K240" i="10"/>
  <c r="J240" i="10"/>
  <c r="AE239" i="10"/>
  <c r="BE239" i="10" s="1"/>
  <c r="Z239" i="10"/>
  <c r="Y239" i="10"/>
  <c r="X239" i="10"/>
  <c r="W239" i="10"/>
  <c r="V239" i="10"/>
  <c r="N239" i="10"/>
  <c r="M239" i="10"/>
  <c r="T239" i="10" s="1"/>
  <c r="L239" i="10"/>
  <c r="K239" i="10"/>
  <c r="P239" i="10" s="1"/>
  <c r="J239" i="10"/>
  <c r="I239" i="10"/>
  <c r="BG239" i="10" s="1"/>
  <c r="Z238" i="10"/>
  <c r="Y238" i="10"/>
  <c r="X238" i="10"/>
  <c r="W238" i="10"/>
  <c r="AA238" i="10" s="1"/>
  <c r="V238" i="10"/>
  <c r="U238" i="10"/>
  <c r="N238" i="10"/>
  <c r="M238" i="10"/>
  <c r="L238" i="10"/>
  <c r="K238" i="10"/>
  <c r="J238" i="10"/>
  <c r="AE237" i="10"/>
  <c r="BE237" i="10" s="1"/>
  <c r="Z237" i="10"/>
  <c r="Y237" i="10"/>
  <c r="X237" i="10"/>
  <c r="W237" i="10"/>
  <c r="V237" i="10"/>
  <c r="AA237" i="10" s="1"/>
  <c r="N237" i="10"/>
  <c r="M237" i="10"/>
  <c r="T237" i="10" s="1"/>
  <c r="L237" i="10"/>
  <c r="K237" i="10"/>
  <c r="P237" i="10" s="1"/>
  <c r="J237" i="10"/>
  <c r="I237" i="10"/>
  <c r="BG237" i="10" s="1"/>
  <c r="Z236" i="10"/>
  <c r="Y236" i="10"/>
  <c r="X236" i="10"/>
  <c r="W236" i="10"/>
  <c r="AA236" i="10" s="1"/>
  <c r="V236" i="10"/>
  <c r="N236" i="10"/>
  <c r="M236" i="10"/>
  <c r="L236" i="10"/>
  <c r="K236" i="10"/>
  <c r="J236" i="10"/>
  <c r="AE235" i="10"/>
  <c r="BE235" i="10" s="1"/>
  <c r="Z235" i="10"/>
  <c r="Y235" i="10"/>
  <c r="X235" i="10"/>
  <c r="W235" i="10"/>
  <c r="V235" i="10"/>
  <c r="AA235" i="10" s="1"/>
  <c r="N235" i="10"/>
  <c r="M235" i="10"/>
  <c r="L235" i="10"/>
  <c r="K235" i="10"/>
  <c r="T235" i="10" s="1"/>
  <c r="J235" i="10"/>
  <c r="U235" i="10" s="1"/>
  <c r="Z234" i="10"/>
  <c r="Y234" i="10"/>
  <c r="X234" i="10"/>
  <c r="W234" i="10"/>
  <c r="AA234" i="10" s="1"/>
  <c r="V234" i="10"/>
  <c r="N234" i="10"/>
  <c r="M234" i="10"/>
  <c r="L234" i="10"/>
  <c r="K234" i="10"/>
  <c r="J234" i="10"/>
  <c r="U234" i="10" s="1"/>
  <c r="AE233" i="10"/>
  <c r="BE233" i="10" s="1"/>
  <c r="Z233" i="10"/>
  <c r="Y233" i="10"/>
  <c r="X233" i="10"/>
  <c r="W233" i="10"/>
  <c r="V233" i="10"/>
  <c r="N233" i="10"/>
  <c r="M233" i="10"/>
  <c r="L233" i="10"/>
  <c r="K233" i="10"/>
  <c r="T233" i="10" s="1"/>
  <c r="J233" i="10"/>
  <c r="Z232" i="10"/>
  <c r="Y232" i="10"/>
  <c r="X232" i="10"/>
  <c r="W232" i="10"/>
  <c r="AA232" i="10" s="1"/>
  <c r="V232" i="10"/>
  <c r="N232" i="10"/>
  <c r="M232" i="10"/>
  <c r="L232" i="10"/>
  <c r="U232" i="10" s="1"/>
  <c r="K232" i="10"/>
  <c r="J232" i="10"/>
  <c r="AE231" i="10"/>
  <c r="BE231" i="10" s="1"/>
  <c r="Z231" i="10"/>
  <c r="Y231" i="10"/>
  <c r="X231" i="10"/>
  <c r="W231" i="10"/>
  <c r="V231" i="10"/>
  <c r="N231" i="10"/>
  <c r="M231" i="10"/>
  <c r="T231" i="10" s="1"/>
  <c r="L231" i="10"/>
  <c r="K231" i="10"/>
  <c r="P231" i="10" s="1"/>
  <c r="J231" i="10"/>
  <c r="I231" i="10"/>
  <c r="BG231" i="10" s="1"/>
  <c r="Z230" i="10"/>
  <c r="Y230" i="10"/>
  <c r="X230" i="10"/>
  <c r="W230" i="10"/>
  <c r="AA230" i="10" s="1"/>
  <c r="V230" i="10"/>
  <c r="U230" i="10"/>
  <c r="N230" i="10"/>
  <c r="M230" i="10"/>
  <c r="L230" i="10"/>
  <c r="K230" i="10"/>
  <c r="J230" i="10"/>
  <c r="AE229" i="10"/>
  <c r="BE229" i="10" s="1"/>
  <c r="Z229" i="10"/>
  <c r="Y229" i="10"/>
  <c r="X229" i="10"/>
  <c r="W229" i="10"/>
  <c r="V229" i="10"/>
  <c r="AA229" i="10" s="1"/>
  <c r="N229" i="10"/>
  <c r="M229" i="10"/>
  <c r="T229" i="10" s="1"/>
  <c r="L229" i="10"/>
  <c r="K229" i="10"/>
  <c r="P229" i="10" s="1"/>
  <c r="J229" i="10"/>
  <c r="I229" i="10"/>
  <c r="BG229" i="10" s="1"/>
  <c r="Z228" i="10"/>
  <c r="Y228" i="10"/>
  <c r="X228" i="10"/>
  <c r="W228" i="10"/>
  <c r="AA228" i="10" s="1"/>
  <c r="V228" i="10"/>
  <c r="N228" i="10"/>
  <c r="M228" i="10"/>
  <c r="L228" i="10"/>
  <c r="K228" i="10"/>
  <c r="J228" i="10"/>
  <c r="BG227" i="10"/>
  <c r="Z227" i="10"/>
  <c r="Y227" i="10"/>
  <c r="X227" i="10"/>
  <c r="W227" i="10"/>
  <c r="V227" i="10"/>
  <c r="U227" i="10"/>
  <c r="T227" i="10"/>
  <c r="P227" i="10"/>
  <c r="Z226" i="10"/>
  <c r="Y226" i="10"/>
  <c r="X226" i="10"/>
  <c r="W226" i="10"/>
  <c r="AA226" i="10" s="1"/>
  <c r="V226" i="10"/>
  <c r="N226" i="10"/>
  <c r="M226" i="10"/>
  <c r="L226" i="10"/>
  <c r="K226" i="10"/>
  <c r="J226" i="10"/>
  <c r="U226" i="10" s="1"/>
  <c r="AE225" i="10"/>
  <c r="BE225" i="10" s="1"/>
  <c r="Z225" i="10"/>
  <c r="Y225" i="10"/>
  <c r="X225" i="10"/>
  <c r="W225" i="10"/>
  <c r="V225" i="10"/>
  <c r="N225" i="10"/>
  <c r="M225" i="10"/>
  <c r="L225" i="10"/>
  <c r="K225" i="10"/>
  <c r="T225" i="10" s="1"/>
  <c r="J225" i="10"/>
  <c r="Z224" i="10"/>
  <c r="Y224" i="10"/>
  <c r="X224" i="10"/>
  <c r="W224" i="10"/>
  <c r="AA224" i="10" s="1"/>
  <c r="V224" i="10"/>
  <c r="N224" i="10"/>
  <c r="M224" i="10"/>
  <c r="L224" i="10"/>
  <c r="U224" i="10" s="1"/>
  <c r="K224" i="10"/>
  <c r="J224" i="10"/>
  <c r="AE223" i="10"/>
  <c r="BE223" i="10" s="1"/>
  <c r="Z223" i="10"/>
  <c r="Y223" i="10"/>
  <c r="X223" i="10"/>
  <c r="W223" i="10"/>
  <c r="V223" i="10"/>
  <c r="N223" i="10"/>
  <c r="M223" i="10"/>
  <c r="T223" i="10" s="1"/>
  <c r="L223" i="10"/>
  <c r="K223" i="10"/>
  <c r="P223" i="10" s="1"/>
  <c r="J223" i="10"/>
  <c r="I223" i="10"/>
  <c r="BG223" i="10" s="1"/>
  <c r="Z222" i="10"/>
  <c r="Y222" i="10"/>
  <c r="X222" i="10"/>
  <c r="W222" i="10"/>
  <c r="AA222" i="10" s="1"/>
  <c r="V222" i="10"/>
  <c r="U222" i="10"/>
  <c r="N222" i="10"/>
  <c r="M222" i="10"/>
  <c r="L222" i="10"/>
  <c r="K222" i="10"/>
  <c r="J222" i="10"/>
  <c r="AE221" i="10"/>
  <c r="BE221" i="10" s="1"/>
  <c r="Z221" i="10"/>
  <c r="Y221" i="10"/>
  <c r="X221" i="10"/>
  <c r="W221" i="10"/>
  <c r="V221" i="10"/>
  <c r="AA221" i="10" s="1"/>
  <c r="N221" i="10"/>
  <c r="M221" i="10"/>
  <c r="T221" i="10" s="1"/>
  <c r="L221" i="10"/>
  <c r="K221" i="10"/>
  <c r="P221" i="10" s="1"/>
  <c r="J221" i="10"/>
  <c r="I221" i="10"/>
  <c r="BG221" i="10" s="1"/>
  <c r="Z220" i="10"/>
  <c r="Y220" i="10"/>
  <c r="X220" i="10"/>
  <c r="W220" i="10"/>
  <c r="AA220" i="10" s="1"/>
  <c r="V220" i="10"/>
  <c r="N220" i="10"/>
  <c r="M220" i="10"/>
  <c r="L220" i="10"/>
  <c r="K220" i="10"/>
  <c r="J220" i="10"/>
  <c r="AE219" i="10"/>
  <c r="BE219" i="10" s="1"/>
  <c r="Z219" i="10"/>
  <c r="Y219" i="10"/>
  <c r="X219" i="10"/>
  <c r="W219" i="10"/>
  <c r="V219" i="10"/>
  <c r="AA219" i="10" s="1"/>
  <c r="N219" i="10"/>
  <c r="M219" i="10"/>
  <c r="L219" i="10"/>
  <c r="K219" i="10"/>
  <c r="T219" i="10" s="1"/>
  <c r="J219" i="10"/>
  <c r="U219" i="10" s="1"/>
  <c r="Z218" i="10"/>
  <c r="Y218" i="10"/>
  <c r="X218" i="10"/>
  <c r="W218" i="10"/>
  <c r="AA218" i="10" s="1"/>
  <c r="V218" i="10"/>
  <c r="N218" i="10"/>
  <c r="M218" i="10"/>
  <c r="L218" i="10"/>
  <c r="K218" i="10"/>
  <c r="I218" i="10" s="1"/>
  <c r="BG218" i="10" s="1"/>
  <c r="J218" i="10"/>
  <c r="U218" i="10" s="1"/>
  <c r="AE217" i="10"/>
  <c r="BE217" i="10" s="1"/>
  <c r="Z217" i="10"/>
  <c r="Y217" i="10"/>
  <c r="X217" i="10"/>
  <c r="W217" i="10"/>
  <c r="V217" i="10"/>
  <c r="N217" i="10"/>
  <c r="M217" i="10"/>
  <c r="L217" i="10"/>
  <c r="K217" i="10"/>
  <c r="T217" i="10" s="1"/>
  <c r="J217" i="10"/>
  <c r="Z216" i="10"/>
  <c r="Y216" i="10"/>
  <c r="X216" i="10"/>
  <c r="W216" i="10"/>
  <c r="AA216" i="10" s="1"/>
  <c r="V216" i="10"/>
  <c r="N216" i="10"/>
  <c r="M216" i="10"/>
  <c r="L216" i="10"/>
  <c r="U216" i="10" s="1"/>
  <c r="K216" i="10"/>
  <c r="J216" i="10"/>
  <c r="AE215" i="10"/>
  <c r="BE215" i="10" s="1"/>
  <c r="Z215" i="10"/>
  <c r="Y215" i="10"/>
  <c r="X215" i="10"/>
  <c r="W215" i="10"/>
  <c r="V215" i="10"/>
  <c r="N215" i="10"/>
  <c r="M215" i="10"/>
  <c r="T215" i="10" s="1"/>
  <c r="L215" i="10"/>
  <c r="K215" i="10"/>
  <c r="P215" i="10" s="1"/>
  <c r="J215" i="10"/>
  <c r="I215" i="10"/>
  <c r="BG215" i="10" s="1"/>
  <c r="Z214" i="10"/>
  <c r="Y214" i="10"/>
  <c r="X214" i="10"/>
  <c r="W214" i="10"/>
  <c r="AA214" i="10" s="1"/>
  <c r="V214" i="10"/>
  <c r="U214" i="10"/>
  <c r="N214" i="10"/>
  <c r="M214" i="10"/>
  <c r="L214" i="10"/>
  <c r="K214" i="10"/>
  <c r="J214" i="10"/>
  <c r="AE213" i="10"/>
  <c r="BE213" i="10" s="1"/>
  <c r="Z213" i="10"/>
  <c r="Y213" i="10"/>
  <c r="X213" i="10"/>
  <c r="W213" i="10"/>
  <c r="V213" i="10"/>
  <c r="AA213" i="10" s="1"/>
  <c r="N213" i="10"/>
  <c r="M213" i="10"/>
  <c r="T213" i="10" s="1"/>
  <c r="L213" i="10"/>
  <c r="K213" i="10"/>
  <c r="P213" i="10" s="1"/>
  <c r="J213" i="10"/>
  <c r="I213" i="10"/>
  <c r="BG213" i="10" s="1"/>
  <c r="Z212" i="10"/>
  <c r="Y212" i="10"/>
  <c r="X212" i="10"/>
  <c r="W212" i="10"/>
  <c r="AA212" i="10" s="1"/>
  <c r="V212" i="10"/>
  <c r="N212" i="10"/>
  <c r="M212" i="10"/>
  <c r="L212" i="10"/>
  <c r="K212" i="10"/>
  <c r="J212" i="10"/>
  <c r="AE211" i="10"/>
  <c r="BE211" i="10" s="1"/>
  <c r="Z211" i="10"/>
  <c r="Y211" i="10"/>
  <c r="X211" i="10"/>
  <c r="W211" i="10"/>
  <c r="V211" i="10"/>
  <c r="AA211" i="10" s="1"/>
  <c r="N211" i="10"/>
  <c r="M211" i="10"/>
  <c r="L211" i="10"/>
  <c r="K211" i="10"/>
  <c r="T211" i="10" s="1"/>
  <c r="J211" i="10"/>
  <c r="U211" i="10" s="1"/>
  <c r="Z210" i="10"/>
  <c r="Y210" i="10"/>
  <c r="X210" i="10"/>
  <c r="W210" i="10"/>
  <c r="AA210" i="10" s="1"/>
  <c r="V210" i="10"/>
  <c r="N210" i="10"/>
  <c r="M210" i="10"/>
  <c r="L210" i="10"/>
  <c r="K210" i="10"/>
  <c r="J210" i="10"/>
  <c r="U210" i="10" s="1"/>
  <c r="AE209" i="10"/>
  <c r="BE209" i="10" s="1"/>
  <c r="Z209" i="10"/>
  <c r="Y209" i="10"/>
  <c r="X209" i="10"/>
  <c r="W209" i="10"/>
  <c r="V209" i="10"/>
  <c r="N209" i="10"/>
  <c r="M209" i="10"/>
  <c r="L209" i="10"/>
  <c r="K209" i="10"/>
  <c r="T209" i="10" s="1"/>
  <c r="J209" i="10"/>
  <c r="Z208" i="10"/>
  <c r="Y208" i="10"/>
  <c r="X208" i="10"/>
  <c r="W208" i="10"/>
  <c r="AA208" i="10" s="1"/>
  <c r="V208" i="10"/>
  <c r="N208" i="10"/>
  <c r="M208" i="10"/>
  <c r="L208" i="10"/>
  <c r="U208" i="10" s="1"/>
  <c r="K208" i="10"/>
  <c r="J208" i="10"/>
  <c r="AE207" i="10"/>
  <c r="BE207" i="10" s="1"/>
  <c r="Z207" i="10"/>
  <c r="Y207" i="10"/>
  <c r="X207" i="10"/>
  <c r="W207" i="10"/>
  <c r="V207" i="10"/>
  <c r="N207" i="10"/>
  <c r="M207" i="10"/>
  <c r="T207" i="10" s="1"/>
  <c r="L207" i="10"/>
  <c r="K207" i="10"/>
  <c r="P207" i="10" s="1"/>
  <c r="J207" i="10"/>
  <c r="I207" i="10"/>
  <c r="BG207" i="10" s="1"/>
  <c r="Z206" i="10"/>
  <c r="Y206" i="10"/>
  <c r="X206" i="10"/>
  <c r="W206" i="10"/>
  <c r="AA206" i="10" s="1"/>
  <c r="V206" i="10"/>
  <c r="U206" i="10"/>
  <c r="N206" i="10"/>
  <c r="M206" i="10"/>
  <c r="L206" i="10"/>
  <c r="K206" i="10"/>
  <c r="J206" i="10"/>
  <c r="BG205" i="10"/>
  <c r="Z205" i="10"/>
  <c r="Y205" i="10"/>
  <c r="X205" i="10"/>
  <c r="W205" i="10"/>
  <c r="V205" i="10"/>
  <c r="AA205" i="10" s="1"/>
  <c r="U205" i="10"/>
  <c r="T205" i="10"/>
  <c r="P205" i="10"/>
  <c r="Z204" i="10"/>
  <c r="Y204" i="10"/>
  <c r="X204" i="10"/>
  <c r="W204" i="10"/>
  <c r="AA204" i="10" s="1"/>
  <c r="V204" i="10"/>
  <c r="N204" i="10"/>
  <c r="M204" i="10"/>
  <c r="L204" i="10"/>
  <c r="K204" i="10"/>
  <c r="J204" i="10"/>
  <c r="AE203" i="10"/>
  <c r="BE203" i="10" s="1"/>
  <c r="Z203" i="10"/>
  <c r="Y203" i="10"/>
  <c r="X203" i="10"/>
  <c r="W203" i="10"/>
  <c r="V203" i="10"/>
  <c r="AA203" i="10" s="1"/>
  <c r="N203" i="10"/>
  <c r="M203" i="10"/>
  <c r="L203" i="10"/>
  <c r="K203" i="10"/>
  <c r="U203" i="10" s="1"/>
  <c r="J203" i="10"/>
  <c r="Z202" i="10"/>
  <c r="Y202" i="10"/>
  <c r="X202" i="10"/>
  <c r="W202" i="10"/>
  <c r="AA202" i="10" s="1"/>
  <c r="V202" i="10"/>
  <c r="N202" i="10"/>
  <c r="M202" i="10"/>
  <c r="L202" i="10"/>
  <c r="K202" i="10"/>
  <c r="I202" i="10" s="1"/>
  <c r="BG202" i="10" s="1"/>
  <c r="J202" i="10"/>
  <c r="U202" i="10" s="1"/>
  <c r="AE201" i="10"/>
  <c r="BE201" i="10" s="1"/>
  <c r="Z201" i="10"/>
  <c r="Y201" i="10"/>
  <c r="X201" i="10"/>
  <c r="W201" i="10"/>
  <c r="V201" i="10"/>
  <c r="N201" i="10"/>
  <c r="M201" i="10"/>
  <c r="L201" i="10"/>
  <c r="K201" i="10"/>
  <c r="J201" i="10"/>
  <c r="Z200" i="10"/>
  <c r="Y200" i="10"/>
  <c r="X200" i="10"/>
  <c r="W200" i="10"/>
  <c r="AA200" i="10" s="1"/>
  <c r="V200" i="10"/>
  <c r="N200" i="10"/>
  <c r="M200" i="10"/>
  <c r="L200" i="10"/>
  <c r="U200" i="10" s="1"/>
  <c r="K200" i="10"/>
  <c r="J200" i="10"/>
  <c r="AE199" i="10"/>
  <c r="BE199" i="10" s="1"/>
  <c r="Z199" i="10"/>
  <c r="Y199" i="10"/>
  <c r="X199" i="10"/>
  <c r="W199" i="10"/>
  <c r="V199" i="10"/>
  <c r="N199" i="10"/>
  <c r="M199" i="10"/>
  <c r="T199" i="10" s="1"/>
  <c r="L199" i="10"/>
  <c r="K199" i="10"/>
  <c r="P199" i="10" s="1"/>
  <c r="J199" i="10"/>
  <c r="I199" i="10"/>
  <c r="BG199" i="10" s="1"/>
  <c r="Z198" i="10"/>
  <c r="Y198" i="10"/>
  <c r="X198" i="10"/>
  <c r="W198" i="10"/>
  <c r="V198" i="10"/>
  <c r="U198" i="10"/>
  <c r="N198" i="10"/>
  <c r="M198" i="10"/>
  <c r="L198" i="10"/>
  <c r="K198" i="10"/>
  <c r="J198" i="10"/>
  <c r="AE197" i="10"/>
  <c r="BE197" i="10" s="1"/>
  <c r="Z197" i="10"/>
  <c r="Y197" i="10"/>
  <c r="X197" i="10"/>
  <c r="W197" i="10"/>
  <c r="V197" i="10"/>
  <c r="AA197" i="10" s="1"/>
  <c r="N197" i="10"/>
  <c r="M197" i="10"/>
  <c r="T197" i="10" s="1"/>
  <c r="L197" i="10"/>
  <c r="K197" i="10"/>
  <c r="J197" i="10"/>
  <c r="I197" i="10"/>
  <c r="BG197" i="10" s="1"/>
  <c r="Z196" i="10"/>
  <c r="Y196" i="10"/>
  <c r="X196" i="10"/>
  <c r="W196" i="10"/>
  <c r="AA196" i="10" s="1"/>
  <c r="V196" i="10"/>
  <c r="N196" i="10"/>
  <c r="M196" i="10"/>
  <c r="L196" i="10"/>
  <c r="K196" i="10"/>
  <c r="J196" i="10"/>
  <c r="AE195" i="10"/>
  <c r="BE195" i="10" s="1"/>
  <c r="Z195" i="10"/>
  <c r="Y195" i="10"/>
  <c r="X195" i="10"/>
  <c r="W195" i="10"/>
  <c r="V195" i="10"/>
  <c r="AA195" i="10" s="1"/>
  <c r="N195" i="10"/>
  <c r="M195" i="10"/>
  <c r="L195" i="10"/>
  <c r="K195" i="10"/>
  <c r="T195" i="10" s="1"/>
  <c r="J195" i="10"/>
  <c r="U195" i="10" s="1"/>
  <c r="Z194" i="10"/>
  <c r="Y194" i="10"/>
  <c r="X194" i="10"/>
  <c r="W194" i="10"/>
  <c r="AA194" i="10" s="1"/>
  <c r="V194" i="10"/>
  <c r="N194" i="10"/>
  <c r="M194" i="10"/>
  <c r="L194" i="10"/>
  <c r="K194" i="10"/>
  <c r="I194" i="10" s="1"/>
  <c r="BG194" i="10" s="1"/>
  <c r="J194" i="10"/>
  <c r="U194" i="10" s="1"/>
  <c r="AE193" i="10"/>
  <c r="BE193" i="10" s="1"/>
  <c r="Z193" i="10"/>
  <c r="Y193" i="10"/>
  <c r="X193" i="10"/>
  <c r="W193" i="10"/>
  <c r="V193" i="10"/>
  <c r="N193" i="10"/>
  <c r="M193" i="10"/>
  <c r="L193" i="10"/>
  <c r="K193" i="10"/>
  <c r="J193" i="10"/>
  <c r="Z192" i="10"/>
  <c r="Y192" i="10"/>
  <c r="X192" i="10"/>
  <c r="W192" i="10"/>
  <c r="AA192" i="10" s="1"/>
  <c r="V192" i="10"/>
  <c r="N192" i="10"/>
  <c r="M192" i="10"/>
  <c r="L192" i="10"/>
  <c r="U192" i="10" s="1"/>
  <c r="K192" i="10"/>
  <c r="J192" i="10"/>
  <c r="AE191" i="10"/>
  <c r="BE191" i="10" s="1"/>
  <c r="Z191" i="10"/>
  <c r="Y191" i="10"/>
  <c r="X191" i="10"/>
  <c r="W191" i="10"/>
  <c r="V191" i="10"/>
  <c r="N191" i="10"/>
  <c r="M191" i="10"/>
  <c r="T191" i="10" s="1"/>
  <c r="L191" i="10"/>
  <c r="K191" i="10"/>
  <c r="J191" i="10"/>
  <c r="I191" i="10"/>
  <c r="BG191" i="10" s="1"/>
  <c r="Z190" i="10"/>
  <c r="Y190" i="10"/>
  <c r="X190" i="10"/>
  <c r="W190" i="10"/>
  <c r="AA190" i="10" s="1"/>
  <c r="V190" i="10"/>
  <c r="U190" i="10"/>
  <c r="N190" i="10"/>
  <c r="M190" i="10"/>
  <c r="L190" i="10"/>
  <c r="K190" i="10"/>
  <c r="J190" i="10"/>
  <c r="AE189" i="10"/>
  <c r="BE189" i="10" s="1"/>
  <c r="Z189" i="10"/>
  <c r="Y189" i="10"/>
  <c r="X189" i="10"/>
  <c r="W189" i="10"/>
  <c r="V189" i="10"/>
  <c r="AA189" i="10" s="1"/>
  <c r="N189" i="10"/>
  <c r="M189" i="10"/>
  <c r="T189" i="10" s="1"/>
  <c r="L189" i="10"/>
  <c r="K189" i="10"/>
  <c r="J189" i="10"/>
  <c r="I189" i="10"/>
  <c r="BG189" i="10" s="1"/>
  <c r="Z188" i="10"/>
  <c r="Y188" i="10"/>
  <c r="X188" i="10"/>
  <c r="W188" i="10"/>
  <c r="AA188" i="10" s="1"/>
  <c r="V188" i="10"/>
  <c r="N188" i="10"/>
  <c r="M188" i="10"/>
  <c r="L188" i="10"/>
  <c r="K188" i="10"/>
  <c r="J188" i="10"/>
  <c r="AE187" i="10"/>
  <c r="BE187" i="10" s="1"/>
  <c r="Z187" i="10"/>
  <c r="Y187" i="10"/>
  <c r="X187" i="10"/>
  <c r="W187" i="10"/>
  <c r="V187" i="10"/>
  <c r="AA187" i="10" s="1"/>
  <c r="N187" i="10"/>
  <c r="M187" i="10"/>
  <c r="L187" i="10"/>
  <c r="K187" i="10"/>
  <c r="U187" i="10" s="1"/>
  <c r="J187" i="10"/>
  <c r="Z186" i="10"/>
  <c r="Y186" i="10"/>
  <c r="X186" i="10"/>
  <c r="W186" i="10"/>
  <c r="AA186" i="10" s="1"/>
  <c r="V186" i="10"/>
  <c r="N186" i="10"/>
  <c r="M186" i="10"/>
  <c r="L186" i="10"/>
  <c r="K186" i="10"/>
  <c r="I186" i="10" s="1"/>
  <c r="BG186" i="10" s="1"/>
  <c r="J186" i="10"/>
  <c r="U186" i="10" s="1"/>
  <c r="AE185" i="10"/>
  <c r="BE185" i="10" s="1"/>
  <c r="Z185" i="10"/>
  <c r="Y185" i="10"/>
  <c r="X185" i="10"/>
  <c r="W185" i="10"/>
  <c r="V185" i="10"/>
  <c r="N185" i="10"/>
  <c r="M185" i="10"/>
  <c r="L185" i="10"/>
  <c r="K185" i="10"/>
  <c r="J185" i="10"/>
  <c r="Z184" i="10"/>
  <c r="Y184" i="10"/>
  <c r="X184" i="10"/>
  <c r="W184" i="10"/>
  <c r="AA184" i="10" s="1"/>
  <c r="V184" i="10"/>
  <c r="N184" i="10"/>
  <c r="M184" i="10"/>
  <c r="L184" i="10"/>
  <c r="U184" i="10" s="1"/>
  <c r="K184" i="10"/>
  <c r="J184" i="10"/>
  <c r="AE183" i="10"/>
  <c r="BE183" i="10" s="1"/>
  <c r="Z183" i="10"/>
  <c r="Y183" i="10"/>
  <c r="X183" i="10"/>
  <c r="W183" i="10"/>
  <c r="V183" i="10"/>
  <c r="N183" i="10"/>
  <c r="M183" i="10"/>
  <c r="T183" i="10" s="1"/>
  <c r="L183" i="10"/>
  <c r="K183" i="10"/>
  <c r="J183" i="10"/>
  <c r="I183" i="10"/>
  <c r="BG183" i="10" s="1"/>
  <c r="Z182" i="10"/>
  <c r="Y182" i="10"/>
  <c r="X182" i="10"/>
  <c r="W182" i="10"/>
  <c r="AA182" i="10" s="1"/>
  <c r="V182" i="10"/>
  <c r="U182" i="10"/>
  <c r="N182" i="10"/>
  <c r="M182" i="10"/>
  <c r="L182" i="10"/>
  <c r="K182" i="10"/>
  <c r="J182" i="10"/>
  <c r="AE181" i="10"/>
  <c r="BE181" i="10" s="1"/>
  <c r="Z181" i="10"/>
  <c r="Y181" i="10"/>
  <c r="X181" i="10"/>
  <c r="W181" i="10"/>
  <c r="V181" i="10"/>
  <c r="AA181" i="10" s="1"/>
  <c r="T181" i="10"/>
  <c r="N181" i="10"/>
  <c r="M181" i="10"/>
  <c r="L181" i="10"/>
  <c r="K181" i="10"/>
  <c r="P181" i="10" s="1"/>
  <c r="J181" i="10"/>
  <c r="I181" i="10"/>
  <c r="BG181" i="10" s="1"/>
  <c r="Z180" i="10"/>
  <c r="Y180" i="10"/>
  <c r="X180" i="10"/>
  <c r="W180" i="10"/>
  <c r="AA180" i="10" s="1"/>
  <c r="V180" i="10"/>
  <c r="N180" i="10"/>
  <c r="M180" i="10"/>
  <c r="L180" i="10"/>
  <c r="K180" i="10"/>
  <c r="J180" i="10"/>
  <c r="AE179" i="10"/>
  <c r="BE179" i="10" s="1"/>
  <c r="Z179" i="10"/>
  <c r="Y179" i="10"/>
  <c r="X179" i="10"/>
  <c r="W179" i="10"/>
  <c r="V179" i="10"/>
  <c r="AA179" i="10" s="1"/>
  <c r="N179" i="10"/>
  <c r="M179" i="10"/>
  <c r="L179" i="10"/>
  <c r="I179" i="10" s="1"/>
  <c r="BG179" i="10" s="1"/>
  <c r="K179" i="10"/>
  <c r="J179" i="10"/>
  <c r="Z178" i="10"/>
  <c r="Y178" i="10"/>
  <c r="X178" i="10"/>
  <c r="W178" i="10"/>
  <c r="AA178" i="10" s="1"/>
  <c r="V178" i="10"/>
  <c r="N178" i="10"/>
  <c r="M178" i="10"/>
  <c r="L178" i="10"/>
  <c r="K178" i="10"/>
  <c r="I178" i="10" s="1"/>
  <c r="BG178" i="10" s="1"/>
  <c r="J178" i="10"/>
  <c r="AE178" i="10" s="1"/>
  <c r="BE178" i="10" s="1"/>
  <c r="Z177" i="10"/>
  <c r="Y177" i="10"/>
  <c r="X177" i="10"/>
  <c r="W177" i="10"/>
  <c r="AA177" i="10" s="1"/>
  <c r="V177" i="10"/>
  <c r="N177" i="10"/>
  <c r="M177" i="10"/>
  <c r="L177" i="10"/>
  <c r="K177" i="10"/>
  <c r="J177" i="10"/>
  <c r="AE176" i="10"/>
  <c r="BE176" i="10" s="1"/>
  <c r="Z176" i="10"/>
  <c r="Y176" i="10"/>
  <c r="X176" i="10"/>
  <c r="W176" i="10"/>
  <c r="V176" i="10"/>
  <c r="AA176" i="10" s="1"/>
  <c r="N176" i="10"/>
  <c r="M176" i="10"/>
  <c r="L176" i="10"/>
  <c r="K176" i="10"/>
  <c r="J176" i="10"/>
  <c r="I176" i="10"/>
  <c r="BG176" i="10" s="1"/>
  <c r="BE175" i="10"/>
  <c r="AE175" i="10"/>
  <c r="Z175" i="10"/>
  <c r="Y175" i="10"/>
  <c r="X175" i="10"/>
  <c r="W175" i="10"/>
  <c r="V175" i="10"/>
  <c r="N175" i="10"/>
  <c r="M175" i="10"/>
  <c r="L175" i="10"/>
  <c r="I175" i="10" s="1"/>
  <c r="BG175" i="10" s="1"/>
  <c r="K175" i="10"/>
  <c r="J175" i="10"/>
  <c r="Z174" i="10"/>
  <c r="Y174" i="10"/>
  <c r="X174" i="10"/>
  <c r="W174" i="10"/>
  <c r="AA174" i="10" s="1"/>
  <c r="V174" i="10"/>
  <c r="T174" i="10"/>
  <c r="N174" i="10"/>
  <c r="M174" i="10"/>
  <c r="L174" i="10"/>
  <c r="K174" i="10"/>
  <c r="J174" i="10"/>
  <c r="AE174" i="10" s="1"/>
  <c r="BE174" i="10" s="1"/>
  <c r="Z173" i="10"/>
  <c r="Y173" i="10"/>
  <c r="X173" i="10"/>
  <c r="W173" i="10"/>
  <c r="AA173" i="10" s="1"/>
  <c r="V173" i="10"/>
  <c r="N173" i="10"/>
  <c r="M173" i="10"/>
  <c r="L173" i="10"/>
  <c r="K173" i="10"/>
  <c r="I173" i="10" s="1"/>
  <c r="BG173" i="10" s="1"/>
  <c r="J173" i="10"/>
  <c r="AE172" i="10"/>
  <c r="BE172" i="10" s="1"/>
  <c r="Z172" i="10"/>
  <c r="Y172" i="10"/>
  <c r="X172" i="10"/>
  <c r="W172" i="10"/>
  <c r="V172" i="10"/>
  <c r="AA172" i="10" s="1"/>
  <c r="N172" i="10"/>
  <c r="M172" i="10"/>
  <c r="L172" i="10"/>
  <c r="K172" i="10"/>
  <c r="J172" i="10"/>
  <c r="I172" i="10"/>
  <c r="BG172" i="10" s="1"/>
  <c r="BE171" i="10"/>
  <c r="AE171" i="10"/>
  <c r="Z171" i="10"/>
  <c r="Y171" i="10"/>
  <c r="X171" i="10"/>
  <c r="W171" i="10"/>
  <c r="V171" i="10"/>
  <c r="AA171" i="10" s="1"/>
  <c r="N171" i="10"/>
  <c r="M171" i="10"/>
  <c r="L171" i="10"/>
  <c r="I171" i="10" s="1"/>
  <c r="BG171" i="10" s="1"/>
  <c r="K171" i="10"/>
  <c r="J171" i="10"/>
  <c r="Z170" i="10"/>
  <c r="Y170" i="10"/>
  <c r="X170" i="10"/>
  <c r="W170" i="10"/>
  <c r="AA170" i="10" s="1"/>
  <c r="V170" i="10"/>
  <c r="T170" i="10"/>
  <c r="N170" i="10"/>
  <c r="M170" i="10"/>
  <c r="L170" i="10"/>
  <c r="K170" i="10"/>
  <c r="J170" i="10"/>
  <c r="AE170" i="10" s="1"/>
  <c r="BE170" i="10" s="1"/>
  <c r="Z169" i="10"/>
  <c r="Y169" i="10"/>
  <c r="X169" i="10"/>
  <c r="W169" i="10"/>
  <c r="AA169" i="10" s="1"/>
  <c r="V169" i="10"/>
  <c r="N169" i="10"/>
  <c r="M169" i="10"/>
  <c r="L169" i="10"/>
  <c r="K169" i="10"/>
  <c r="I169" i="10" s="1"/>
  <c r="BG169" i="10" s="1"/>
  <c r="J169" i="10"/>
  <c r="AE168" i="10"/>
  <c r="BE168" i="10" s="1"/>
  <c r="Z168" i="10"/>
  <c r="Y168" i="10"/>
  <c r="X168" i="10"/>
  <c r="W168" i="10"/>
  <c r="V168" i="10"/>
  <c r="AA168" i="10" s="1"/>
  <c r="N168" i="10"/>
  <c r="M168" i="10"/>
  <c r="L168" i="10"/>
  <c r="K168" i="10"/>
  <c r="J168" i="10"/>
  <c r="I168" i="10"/>
  <c r="BG168" i="10" s="1"/>
  <c r="BE167" i="10"/>
  <c r="AE167" i="10"/>
  <c r="Z167" i="10"/>
  <c r="Y167" i="10"/>
  <c r="X167" i="10"/>
  <c r="W167" i="10"/>
  <c r="V167" i="10"/>
  <c r="N167" i="10"/>
  <c r="M167" i="10"/>
  <c r="L167" i="10"/>
  <c r="I167" i="10" s="1"/>
  <c r="BG167" i="10" s="1"/>
  <c r="K167" i="10"/>
  <c r="J167" i="10"/>
  <c r="Z166" i="10"/>
  <c r="Y166" i="10"/>
  <c r="X166" i="10"/>
  <c r="W166" i="10"/>
  <c r="AA166" i="10" s="1"/>
  <c r="V166" i="10"/>
  <c r="T166" i="10"/>
  <c r="N166" i="10"/>
  <c r="M166" i="10"/>
  <c r="L166" i="10"/>
  <c r="K166" i="10"/>
  <c r="J166" i="10"/>
  <c r="AE166" i="10" s="1"/>
  <c r="BE166" i="10" s="1"/>
  <c r="Z165" i="10"/>
  <c r="Y165" i="10"/>
  <c r="X165" i="10"/>
  <c r="W165" i="10"/>
  <c r="AA165" i="10" s="1"/>
  <c r="V165" i="10"/>
  <c r="N165" i="10"/>
  <c r="M165" i="10"/>
  <c r="L165" i="10"/>
  <c r="K165" i="10"/>
  <c r="I165" i="10" s="1"/>
  <c r="BG165" i="10" s="1"/>
  <c r="J165" i="10"/>
  <c r="AE164" i="10"/>
  <c r="BE164" i="10" s="1"/>
  <c r="Z164" i="10"/>
  <c r="Y164" i="10"/>
  <c r="X164" i="10"/>
  <c r="W164" i="10"/>
  <c r="V164" i="10"/>
  <c r="AA164" i="10" s="1"/>
  <c r="N164" i="10"/>
  <c r="M164" i="10"/>
  <c r="L164" i="10"/>
  <c r="K164" i="10"/>
  <c r="J164" i="10"/>
  <c r="I164" i="10"/>
  <c r="BG164" i="10" s="1"/>
  <c r="BE163" i="10"/>
  <c r="AE163" i="10"/>
  <c r="Z163" i="10"/>
  <c r="Y163" i="10"/>
  <c r="X163" i="10"/>
  <c r="W163" i="10"/>
  <c r="V163" i="10"/>
  <c r="AA163" i="10" s="1"/>
  <c r="N163" i="10"/>
  <c r="M163" i="10"/>
  <c r="L163" i="10"/>
  <c r="I163" i="10" s="1"/>
  <c r="BG163" i="10" s="1"/>
  <c r="K163" i="10"/>
  <c r="J163" i="10"/>
  <c r="Z162" i="10"/>
  <c r="Y162" i="10"/>
  <c r="X162" i="10"/>
  <c r="W162" i="10"/>
  <c r="AA162" i="10" s="1"/>
  <c r="V162" i="10"/>
  <c r="T162" i="10"/>
  <c r="N162" i="10"/>
  <c r="M162" i="10"/>
  <c r="L162" i="10"/>
  <c r="K162" i="10"/>
  <c r="J162" i="10"/>
  <c r="AE162" i="10" s="1"/>
  <c r="BE162" i="10" s="1"/>
  <c r="Z161" i="10"/>
  <c r="Y161" i="10"/>
  <c r="X161" i="10"/>
  <c r="W161" i="10"/>
  <c r="AA161" i="10" s="1"/>
  <c r="V161" i="10"/>
  <c r="N161" i="10"/>
  <c r="M161" i="10"/>
  <c r="L161" i="10"/>
  <c r="K161" i="10"/>
  <c r="I161" i="10" s="1"/>
  <c r="BG161" i="10" s="1"/>
  <c r="J161" i="10"/>
  <c r="AE160" i="10"/>
  <c r="BE160" i="10" s="1"/>
  <c r="Z160" i="10"/>
  <c r="Y160" i="10"/>
  <c r="X160" i="10"/>
  <c r="W160" i="10"/>
  <c r="V160" i="10"/>
  <c r="AA160" i="10" s="1"/>
  <c r="N160" i="10"/>
  <c r="M160" i="10"/>
  <c r="L160" i="10"/>
  <c r="K160" i="10"/>
  <c r="J160" i="10"/>
  <c r="I160" i="10"/>
  <c r="BG160" i="10" s="1"/>
  <c r="BE159" i="10"/>
  <c r="AE159" i="10"/>
  <c r="Z159" i="10"/>
  <c r="Y159" i="10"/>
  <c r="X159" i="10"/>
  <c r="W159" i="10"/>
  <c r="V159" i="10"/>
  <c r="N159" i="10"/>
  <c r="M159" i="10"/>
  <c r="L159" i="10"/>
  <c r="I159" i="10" s="1"/>
  <c r="BG159" i="10" s="1"/>
  <c r="K159" i="10"/>
  <c r="J159" i="10"/>
  <c r="Z158" i="10"/>
  <c r="Y158" i="10"/>
  <c r="X158" i="10"/>
  <c r="W158" i="10"/>
  <c r="AA158" i="10" s="1"/>
  <c r="V158" i="10"/>
  <c r="T158" i="10"/>
  <c r="N158" i="10"/>
  <c r="M158" i="10"/>
  <c r="L158" i="10"/>
  <c r="K158" i="10"/>
  <c r="J158" i="10"/>
  <c r="AE158" i="10" s="1"/>
  <c r="BE158" i="10" s="1"/>
  <c r="BG157" i="10"/>
  <c r="Z157" i="10"/>
  <c r="Y157" i="10"/>
  <c r="X157" i="10"/>
  <c r="W157" i="10"/>
  <c r="AA157" i="10" s="1"/>
  <c r="V157" i="10"/>
  <c r="U157" i="10"/>
  <c r="T157" i="10"/>
  <c r="P157" i="10"/>
  <c r="Z156" i="10"/>
  <c r="Y156" i="10"/>
  <c r="X156" i="10"/>
  <c r="W156" i="10"/>
  <c r="V156" i="10"/>
  <c r="N156" i="10"/>
  <c r="M156" i="10"/>
  <c r="L156" i="10"/>
  <c r="K156" i="10"/>
  <c r="T156" i="10" s="1"/>
  <c r="J156" i="10"/>
  <c r="AE156" i="10" s="1"/>
  <c r="BE156" i="10" s="1"/>
  <c r="Z155" i="10"/>
  <c r="Y155" i="10"/>
  <c r="X155" i="10"/>
  <c r="W155" i="10"/>
  <c r="AA155" i="10" s="1"/>
  <c r="V155" i="10"/>
  <c r="N155" i="10"/>
  <c r="M155" i="10"/>
  <c r="L155" i="10"/>
  <c r="K155" i="10"/>
  <c r="J155" i="10"/>
  <c r="AE154" i="10"/>
  <c r="BE154" i="10" s="1"/>
  <c r="Z154" i="10"/>
  <c r="Y154" i="10"/>
  <c r="X154" i="10"/>
  <c r="W154" i="10"/>
  <c r="V154" i="10"/>
  <c r="AA154" i="10" s="1"/>
  <c r="N154" i="10"/>
  <c r="M154" i="10"/>
  <c r="L154" i="10"/>
  <c r="K154" i="10"/>
  <c r="J154" i="10"/>
  <c r="U154" i="10" s="1"/>
  <c r="I154" i="10"/>
  <c r="BG154" i="10" s="1"/>
  <c r="BE153" i="10"/>
  <c r="AE153" i="10"/>
  <c r="Z153" i="10"/>
  <c r="Y153" i="10"/>
  <c r="X153" i="10"/>
  <c r="W153" i="10"/>
  <c r="V153" i="10"/>
  <c r="AA153" i="10" s="1"/>
  <c r="N153" i="10"/>
  <c r="M153" i="10"/>
  <c r="L153" i="10"/>
  <c r="I153" i="10" s="1"/>
  <c r="BG153" i="10" s="1"/>
  <c r="K153" i="10"/>
  <c r="T153" i="10" s="1"/>
  <c r="J153" i="10"/>
  <c r="Z152" i="10"/>
  <c r="Y152" i="10"/>
  <c r="X152" i="10"/>
  <c r="W152" i="10"/>
  <c r="V152" i="10"/>
  <c r="N152" i="10"/>
  <c r="M152" i="10"/>
  <c r="L152" i="10"/>
  <c r="K152" i="10"/>
  <c r="J152" i="10"/>
  <c r="AE152" i="10" s="1"/>
  <c r="BE152" i="10" s="1"/>
  <c r="Z151" i="10"/>
  <c r="Y151" i="10"/>
  <c r="X151" i="10"/>
  <c r="W151" i="10"/>
  <c r="AA151" i="10" s="1"/>
  <c r="V151" i="10"/>
  <c r="N151" i="10"/>
  <c r="M151" i="10"/>
  <c r="L151" i="10"/>
  <c r="K151" i="10"/>
  <c r="J151" i="10"/>
  <c r="AE150" i="10"/>
  <c r="BE150" i="10" s="1"/>
  <c r="Z150" i="10"/>
  <c r="Y150" i="10"/>
  <c r="X150" i="10"/>
  <c r="W150" i="10"/>
  <c r="V150" i="10"/>
  <c r="AA150" i="10" s="1"/>
  <c r="N150" i="10"/>
  <c r="M150" i="10"/>
  <c r="L150" i="10"/>
  <c r="K150" i="10"/>
  <c r="J150" i="10"/>
  <c r="U150" i="10" s="1"/>
  <c r="I150" i="10"/>
  <c r="BG150" i="10" s="1"/>
  <c r="BE149" i="10"/>
  <c r="AE149" i="10"/>
  <c r="Z149" i="10"/>
  <c r="Y149" i="10"/>
  <c r="X149" i="10"/>
  <c r="W149" i="10"/>
  <c r="V149" i="10"/>
  <c r="AA149" i="10" s="1"/>
  <c r="N149" i="10"/>
  <c r="M149" i="10"/>
  <c r="L149" i="10"/>
  <c r="I149" i="10" s="1"/>
  <c r="BG149" i="10" s="1"/>
  <c r="K149" i="10"/>
  <c r="T149" i="10" s="1"/>
  <c r="J149" i="10"/>
  <c r="Z148" i="10"/>
  <c r="Y148" i="10"/>
  <c r="X148" i="10"/>
  <c r="W148" i="10"/>
  <c r="V148" i="10"/>
  <c r="N148" i="10"/>
  <c r="M148" i="10"/>
  <c r="L148" i="10"/>
  <c r="K148" i="10"/>
  <c r="T148" i="10" s="1"/>
  <c r="J148" i="10"/>
  <c r="AE148" i="10" s="1"/>
  <c r="BE148" i="10" s="1"/>
  <c r="Z147" i="10"/>
  <c r="Y147" i="10"/>
  <c r="X147" i="10"/>
  <c r="W147" i="10"/>
  <c r="AA147" i="10" s="1"/>
  <c r="V147" i="10"/>
  <c r="N147" i="10"/>
  <c r="M147" i="10"/>
  <c r="L147" i="10"/>
  <c r="K147" i="10"/>
  <c r="J147" i="10"/>
  <c r="AE146" i="10"/>
  <c r="BE146" i="10" s="1"/>
  <c r="Z146" i="10"/>
  <c r="Y146" i="10"/>
  <c r="X146" i="10"/>
  <c r="W146" i="10"/>
  <c r="V146" i="10"/>
  <c r="AA146" i="10" s="1"/>
  <c r="N146" i="10"/>
  <c r="M146" i="10"/>
  <c r="L146" i="10"/>
  <c r="K146" i="10"/>
  <c r="J146" i="10"/>
  <c r="U146" i="10" s="1"/>
  <c r="I146" i="10"/>
  <c r="BG146" i="10" s="1"/>
  <c r="BE145" i="10"/>
  <c r="AE145" i="10"/>
  <c r="Z145" i="10"/>
  <c r="Y145" i="10"/>
  <c r="X145" i="10"/>
  <c r="W145" i="10"/>
  <c r="V145" i="10"/>
  <c r="V357" i="10" s="1"/>
  <c r="N145" i="10"/>
  <c r="M145" i="10"/>
  <c r="L145" i="10"/>
  <c r="I145" i="10" s="1"/>
  <c r="BG145" i="10" s="1"/>
  <c r="K145" i="10"/>
  <c r="T145" i="10" s="1"/>
  <c r="J145" i="10"/>
  <c r="BH144" i="10"/>
  <c r="BG144" i="10"/>
  <c r="BF144" i="10"/>
  <c r="BE144" i="10"/>
  <c r="BC144" i="10"/>
  <c r="BA144" i="10"/>
  <c r="AZ144" i="10"/>
  <c r="AF144" i="10"/>
  <c r="AE144" i="10"/>
  <c r="AC144" i="10"/>
  <c r="AB144" i="10"/>
  <c r="AA144" i="10"/>
  <c r="Z144" i="10"/>
  <c r="W144" i="10"/>
  <c r="V144" i="10"/>
  <c r="U144" i="10"/>
  <c r="T144" i="10"/>
  <c r="S144" i="10"/>
  <c r="R144" i="10"/>
  <c r="Q144" i="10"/>
  <c r="P144" i="10"/>
  <c r="N144" i="10"/>
  <c r="M144" i="10"/>
  <c r="AF157" i="10" s="1"/>
  <c r="BH157" i="10" s="1"/>
  <c r="L144" i="10"/>
  <c r="X144" i="10" s="1"/>
  <c r="K144" i="10"/>
  <c r="J144" i="10"/>
  <c r="I144" i="10"/>
  <c r="V143" i="10"/>
  <c r="N143" i="10"/>
  <c r="M143" i="10"/>
  <c r="L143" i="10"/>
  <c r="I143" i="10" s="1"/>
  <c r="K143" i="10"/>
  <c r="J143" i="10"/>
  <c r="N142" i="10"/>
  <c r="M142" i="10"/>
  <c r="L142" i="10"/>
  <c r="K142" i="10"/>
  <c r="I142" i="10" s="1"/>
  <c r="J142" i="10"/>
  <c r="N141" i="10"/>
  <c r="M141" i="10"/>
  <c r="L141" i="10"/>
  <c r="I141" i="10" s="1"/>
  <c r="K141" i="10"/>
  <c r="J141" i="10"/>
  <c r="N140" i="10"/>
  <c r="M140" i="10"/>
  <c r="L140" i="10"/>
  <c r="K140" i="10"/>
  <c r="I140" i="10" s="1"/>
  <c r="J140" i="10"/>
  <c r="N139" i="10"/>
  <c r="M139" i="10"/>
  <c r="L139" i="10"/>
  <c r="I139" i="10" s="1"/>
  <c r="K139" i="10"/>
  <c r="J139" i="10"/>
  <c r="N138" i="10"/>
  <c r="M138" i="10"/>
  <c r="L138" i="10"/>
  <c r="K138" i="10"/>
  <c r="I138" i="10" s="1"/>
  <c r="J138" i="10"/>
  <c r="N137" i="10"/>
  <c r="M137" i="10"/>
  <c r="L137" i="10"/>
  <c r="I137" i="10" s="1"/>
  <c r="K137" i="10"/>
  <c r="J137" i="10"/>
  <c r="N136" i="10"/>
  <c r="M136" i="10"/>
  <c r="L136" i="10"/>
  <c r="K136" i="10"/>
  <c r="I136" i="10" s="1"/>
  <c r="J136" i="10"/>
  <c r="N135" i="10"/>
  <c r="M135" i="10"/>
  <c r="L135" i="10"/>
  <c r="I135" i="10" s="1"/>
  <c r="K135" i="10"/>
  <c r="J135" i="10"/>
  <c r="N134" i="10"/>
  <c r="M134" i="10"/>
  <c r="L134" i="10"/>
  <c r="K134" i="10"/>
  <c r="I134" i="10" s="1"/>
  <c r="J134" i="10"/>
  <c r="N133" i="10"/>
  <c r="M133" i="10"/>
  <c r="L133" i="10"/>
  <c r="I133" i="10" s="1"/>
  <c r="K133" i="10"/>
  <c r="J133" i="10"/>
  <c r="N132" i="10"/>
  <c r="M132" i="10"/>
  <c r="L132" i="10"/>
  <c r="K132" i="10"/>
  <c r="I132" i="10" s="1"/>
  <c r="J132" i="10"/>
  <c r="N131" i="10"/>
  <c r="M131" i="10"/>
  <c r="L131" i="10"/>
  <c r="I131" i="10" s="1"/>
  <c r="K131" i="10"/>
  <c r="J131" i="10"/>
  <c r="N130" i="10"/>
  <c r="M130" i="10"/>
  <c r="L130" i="10"/>
  <c r="K130" i="10"/>
  <c r="I130" i="10" s="1"/>
  <c r="J130" i="10"/>
  <c r="N129" i="10"/>
  <c r="M129" i="10"/>
  <c r="L129" i="10"/>
  <c r="I129" i="10" s="1"/>
  <c r="K129" i="10"/>
  <c r="J129" i="10"/>
  <c r="N128" i="10"/>
  <c r="M128" i="10"/>
  <c r="L128" i="10"/>
  <c r="K128" i="10"/>
  <c r="I128" i="10" s="1"/>
  <c r="J128" i="10"/>
  <c r="N127" i="10"/>
  <c r="M127" i="10"/>
  <c r="L127" i="10"/>
  <c r="I127" i="10" s="1"/>
  <c r="K127" i="10"/>
  <c r="J127" i="10"/>
  <c r="N126" i="10"/>
  <c r="M126" i="10"/>
  <c r="L126" i="10"/>
  <c r="K126" i="10"/>
  <c r="I126" i="10" s="1"/>
  <c r="J126" i="10"/>
  <c r="N125" i="10"/>
  <c r="M125" i="10"/>
  <c r="L125" i="10"/>
  <c r="I125" i="10" s="1"/>
  <c r="K125" i="10"/>
  <c r="J125" i="10"/>
  <c r="N124" i="10"/>
  <c r="M124" i="10"/>
  <c r="L124" i="10"/>
  <c r="K124" i="10"/>
  <c r="I124" i="10" s="1"/>
  <c r="J124" i="10"/>
  <c r="N123" i="10"/>
  <c r="M123" i="10"/>
  <c r="L123" i="10"/>
  <c r="I123" i="10" s="1"/>
  <c r="K123" i="10"/>
  <c r="J123" i="10"/>
  <c r="N122" i="10"/>
  <c r="M122" i="10"/>
  <c r="L122" i="10"/>
  <c r="K122" i="10"/>
  <c r="I122" i="10" s="1"/>
  <c r="J122" i="10"/>
  <c r="N121" i="10"/>
  <c r="M121" i="10"/>
  <c r="L121" i="10"/>
  <c r="I121" i="10" s="1"/>
  <c r="K121" i="10"/>
  <c r="J121" i="10"/>
  <c r="N120" i="10"/>
  <c r="M120" i="10"/>
  <c r="L120" i="10"/>
  <c r="K120" i="10"/>
  <c r="I120" i="10" s="1"/>
  <c r="J120" i="10"/>
  <c r="N119" i="10"/>
  <c r="M119" i="10"/>
  <c r="L119" i="10"/>
  <c r="I119" i="10" s="1"/>
  <c r="K119" i="10"/>
  <c r="J119" i="10"/>
  <c r="N118" i="10"/>
  <c r="M118" i="10"/>
  <c r="L118" i="10"/>
  <c r="K118" i="10"/>
  <c r="I118" i="10" s="1"/>
  <c r="J118" i="10"/>
  <c r="N117" i="10"/>
  <c r="M117" i="10"/>
  <c r="L117" i="10"/>
  <c r="I117" i="10" s="1"/>
  <c r="K117" i="10"/>
  <c r="J117" i="10"/>
  <c r="N116" i="10"/>
  <c r="M116" i="10"/>
  <c r="L116" i="10"/>
  <c r="K116" i="10"/>
  <c r="I116" i="10" s="1"/>
  <c r="J116" i="10"/>
  <c r="N115" i="10"/>
  <c r="M115" i="10"/>
  <c r="L115" i="10"/>
  <c r="I115" i="10" s="1"/>
  <c r="K115" i="10"/>
  <c r="J115" i="10"/>
  <c r="N114" i="10"/>
  <c r="M114" i="10"/>
  <c r="L114" i="10"/>
  <c r="K114" i="10"/>
  <c r="I114" i="10" s="1"/>
  <c r="J114" i="10"/>
  <c r="N113" i="10"/>
  <c r="M113" i="10"/>
  <c r="L113" i="10"/>
  <c r="I113" i="10" s="1"/>
  <c r="K113" i="10"/>
  <c r="J113" i="10"/>
  <c r="N112" i="10"/>
  <c r="M112" i="10"/>
  <c r="L112" i="10"/>
  <c r="K112" i="10"/>
  <c r="I112" i="10" s="1"/>
  <c r="J112" i="10"/>
  <c r="N111" i="10"/>
  <c r="M111" i="10"/>
  <c r="L111" i="10"/>
  <c r="I111" i="10" s="1"/>
  <c r="K111" i="10"/>
  <c r="J111" i="10"/>
  <c r="N110" i="10"/>
  <c r="M110" i="10"/>
  <c r="L110" i="10"/>
  <c r="K110" i="10"/>
  <c r="I110" i="10" s="1"/>
  <c r="J110" i="10"/>
  <c r="N109" i="10"/>
  <c r="M109" i="10"/>
  <c r="L109" i="10"/>
  <c r="I109" i="10" s="1"/>
  <c r="K109" i="10"/>
  <c r="J109" i="10"/>
  <c r="N108" i="10"/>
  <c r="M108" i="10"/>
  <c r="L108" i="10"/>
  <c r="K108" i="10"/>
  <c r="I108" i="10" s="1"/>
  <c r="J108" i="10"/>
  <c r="N107" i="10"/>
  <c r="M107" i="10"/>
  <c r="L107" i="10"/>
  <c r="I107" i="10" s="1"/>
  <c r="K107" i="10"/>
  <c r="J107" i="10"/>
  <c r="N106" i="10"/>
  <c r="M106" i="10"/>
  <c r="L106" i="10"/>
  <c r="K106" i="10"/>
  <c r="I106" i="10" s="1"/>
  <c r="J106" i="10"/>
  <c r="N105" i="10"/>
  <c r="M105" i="10"/>
  <c r="L105" i="10"/>
  <c r="I105" i="10" s="1"/>
  <c r="K105" i="10"/>
  <c r="J105" i="10"/>
  <c r="N104" i="10"/>
  <c r="M104" i="10"/>
  <c r="L104" i="10"/>
  <c r="K104" i="10"/>
  <c r="I104" i="10" s="1"/>
  <c r="J104" i="10"/>
  <c r="N103" i="10"/>
  <c r="M103" i="10"/>
  <c r="L103" i="10"/>
  <c r="I103" i="10" s="1"/>
  <c r="K103" i="10"/>
  <c r="J103" i="10"/>
  <c r="N102" i="10"/>
  <c r="M102" i="10"/>
  <c r="L102" i="10"/>
  <c r="K102" i="10"/>
  <c r="I102" i="10" s="1"/>
  <c r="J102" i="10"/>
  <c r="N101" i="10"/>
  <c r="M101" i="10"/>
  <c r="L101" i="10"/>
  <c r="I101" i="10" s="1"/>
  <c r="K101" i="10"/>
  <c r="J101" i="10"/>
  <c r="N100" i="10"/>
  <c r="M100" i="10"/>
  <c r="L100" i="10"/>
  <c r="K100" i="10"/>
  <c r="I100" i="10" s="1"/>
  <c r="J100" i="10"/>
  <c r="N99" i="10"/>
  <c r="M99" i="10"/>
  <c r="L99" i="10"/>
  <c r="I99" i="10" s="1"/>
  <c r="K99" i="10"/>
  <c r="J99" i="10"/>
  <c r="N98" i="10"/>
  <c r="M98" i="10"/>
  <c r="L98" i="10"/>
  <c r="K98" i="10"/>
  <c r="I98" i="10" s="1"/>
  <c r="J98" i="10"/>
  <c r="N97" i="10"/>
  <c r="M97" i="10"/>
  <c r="L97" i="10"/>
  <c r="I97" i="10" s="1"/>
  <c r="K97" i="10"/>
  <c r="J97" i="10"/>
  <c r="N96" i="10"/>
  <c r="M96" i="10"/>
  <c r="L96" i="10"/>
  <c r="K96" i="10"/>
  <c r="I96" i="10" s="1"/>
  <c r="J96" i="10"/>
  <c r="N95" i="10"/>
  <c r="M95" i="10"/>
  <c r="L95" i="10"/>
  <c r="I95" i="10" s="1"/>
  <c r="K95" i="10"/>
  <c r="J95" i="10"/>
  <c r="N94" i="10"/>
  <c r="M94" i="10"/>
  <c r="L94" i="10"/>
  <c r="K94" i="10"/>
  <c r="I94" i="10" s="1"/>
  <c r="J94" i="10"/>
  <c r="N93" i="10"/>
  <c r="M93" i="10"/>
  <c r="L93" i="10"/>
  <c r="I93" i="10" s="1"/>
  <c r="K93" i="10"/>
  <c r="J93" i="10"/>
  <c r="N92" i="10"/>
  <c r="M92" i="10"/>
  <c r="L92" i="10"/>
  <c r="K92" i="10"/>
  <c r="I92" i="10" s="1"/>
  <c r="J92" i="10"/>
  <c r="N91" i="10"/>
  <c r="M91" i="10"/>
  <c r="L91" i="10"/>
  <c r="I91" i="10" s="1"/>
  <c r="K91" i="10"/>
  <c r="J91" i="10"/>
  <c r="N90" i="10"/>
  <c r="M90" i="10"/>
  <c r="L90" i="10"/>
  <c r="K90" i="10"/>
  <c r="I90" i="10" s="1"/>
  <c r="J90" i="10"/>
  <c r="N89" i="10"/>
  <c r="M89" i="10"/>
  <c r="L89" i="10"/>
  <c r="J89" i="10"/>
  <c r="L88" i="10"/>
  <c r="K88" i="10"/>
  <c r="J88" i="10"/>
  <c r="L87" i="10"/>
  <c r="K87" i="10"/>
  <c r="J87" i="10"/>
  <c r="L86" i="10"/>
  <c r="K86" i="10"/>
  <c r="J86" i="10"/>
  <c r="L85" i="10"/>
  <c r="K85" i="10"/>
  <c r="J85" i="10"/>
  <c r="L84" i="10"/>
  <c r="K84" i="10"/>
  <c r="J84" i="10"/>
  <c r="L83" i="10"/>
  <c r="K83" i="10"/>
  <c r="J83" i="10"/>
  <c r="L82" i="10"/>
  <c r="K82" i="10"/>
  <c r="J82" i="10"/>
  <c r="L81" i="10"/>
  <c r="K81" i="10"/>
  <c r="J81" i="10"/>
  <c r="N80" i="10"/>
  <c r="M80" i="10"/>
  <c r="L80" i="10"/>
  <c r="K80" i="10"/>
  <c r="I80" i="10" s="1"/>
  <c r="J80" i="10"/>
  <c r="N79" i="10"/>
  <c r="M79" i="10"/>
  <c r="L79" i="10"/>
  <c r="K79" i="10"/>
  <c r="J79" i="10"/>
  <c r="I79" i="10"/>
  <c r="N78" i="10"/>
  <c r="M78" i="10"/>
  <c r="L78" i="10"/>
  <c r="J78" i="10"/>
  <c r="L77" i="10"/>
  <c r="K77" i="10"/>
  <c r="J77" i="10"/>
  <c r="J76" i="10"/>
  <c r="J75" i="10"/>
  <c r="J74" i="10"/>
  <c r="J73" i="10"/>
  <c r="J72" i="10"/>
  <c r="J71" i="10"/>
  <c r="J70" i="10"/>
  <c r="N69" i="10"/>
  <c r="M69" i="10"/>
  <c r="J69" i="10"/>
  <c r="N68" i="10"/>
  <c r="M68" i="10"/>
  <c r="J68" i="10"/>
  <c r="N67" i="10"/>
  <c r="M67" i="10"/>
  <c r="L67" i="10"/>
  <c r="I67" i="10" s="1"/>
  <c r="K67" i="10"/>
  <c r="J67" i="10"/>
  <c r="E67" i="10"/>
  <c r="N66" i="10"/>
  <c r="M66" i="10"/>
  <c r="L66" i="10"/>
  <c r="K66" i="10"/>
  <c r="I66" i="10" s="1"/>
  <c r="J66" i="10"/>
  <c r="N65" i="10"/>
  <c r="M65" i="10"/>
  <c r="L65" i="10"/>
  <c r="K65" i="10"/>
  <c r="J65" i="10"/>
  <c r="I65" i="10"/>
  <c r="N64" i="10"/>
  <c r="M64" i="10"/>
  <c r="L64" i="10"/>
  <c r="K64" i="10"/>
  <c r="I64" i="10" s="1"/>
  <c r="J64" i="10"/>
  <c r="N63" i="10"/>
  <c r="M63" i="10"/>
  <c r="L63" i="10"/>
  <c r="K63" i="10"/>
  <c r="J63" i="10"/>
  <c r="I63" i="10"/>
  <c r="N62" i="10"/>
  <c r="M62" i="10"/>
  <c r="L62" i="10"/>
  <c r="K62" i="10"/>
  <c r="I62" i="10" s="1"/>
  <c r="J62" i="10"/>
  <c r="N61" i="10"/>
  <c r="M61" i="10"/>
  <c r="L61" i="10"/>
  <c r="K61" i="10"/>
  <c r="J61" i="10"/>
  <c r="I61" i="10"/>
  <c r="N60" i="10"/>
  <c r="M60" i="10"/>
  <c r="L60" i="10"/>
  <c r="K60" i="10"/>
  <c r="I60" i="10" s="1"/>
  <c r="J60" i="10"/>
  <c r="L38" i="10"/>
  <c r="K38" i="10"/>
  <c r="J38" i="10" s="1"/>
  <c r="L36" i="10"/>
  <c r="K36" i="10"/>
  <c r="J36" i="10" s="1"/>
  <c r="V35" i="10"/>
  <c r="U35" i="10"/>
  <c r="T35" i="10" s="1"/>
  <c r="V34" i="10"/>
  <c r="U34" i="10"/>
  <c r="T34" i="10" s="1"/>
  <c r="V33" i="10"/>
  <c r="U33" i="10"/>
  <c r="T33" i="10" s="1"/>
  <c r="V31" i="10"/>
  <c r="U31" i="10"/>
  <c r="T31" i="10" s="1"/>
  <c r="L31" i="10"/>
  <c r="K31" i="10"/>
  <c r="J31" i="10" s="1"/>
  <c r="V30" i="10"/>
  <c r="U30" i="10"/>
  <c r="T30" i="10" s="1"/>
  <c r="V29" i="10"/>
  <c r="U29" i="10"/>
  <c r="T29" i="10" s="1"/>
  <c r="V28" i="10"/>
  <c r="U28" i="10"/>
  <c r="T28" i="10" s="1"/>
  <c r="L28" i="10"/>
  <c r="K28" i="10"/>
  <c r="J28" i="10" s="1"/>
  <c r="L27" i="10"/>
  <c r="K27" i="10"/>
  <c r="J27" i="10" s="1"/>
  <c r="V26" i="10"/>
  <c r="U26" i="10"/>
  <c r="T26" i="10" s="1"/>
  <c r="L25" i="10"/>
  <c r="K25" i="10"/>
  <c r="J25" i="10" s="1"/>
  <c r="V24" i="10"/>
  <c r="U24" i="10"/>
  <c r="T24" i="10" s="1"/>
  <c r="L24" i="10"/>
  <c r="K24" i="10"/>
  <c r="J24" i="10" s="1"/>
  <c r="L23" i="10"/>
  <c r="K23" i="10"/>
  <c r="J23" i="10" s="1"/>
  <c r="V22" i="10"/>
  <c r="W22" i="10" s="1"/>
  <c r="U22" i="10"/>
  <c r="T22" i="10" s="1"/>
  <c r="L22" i="10"/>
  <c r="M22" i="10" s="1"/>
  <c r="K22" i="10"/>
  <c r="J22" i="10" s="1"/>
  <c r="E12" i="10"/>
  <c r="D12" i="10"/>
  <c r="K10" i="10"/>
  <c r="K9" i="10"/>
  <c r="K8" i="10"/>
  <c r="K7" i="10"/>
  <c r="K6" i="10"/>
  <c r="J5" i="10"/>
  <c r="L4" i="10"/>
  <c r="K4" i="10"/>
  <c r="J4" i="10"/>
  <c r="P3" i="10"/>
  <c r="O3" i="10"/>
  <c r="N3" i="10"/>
  <c r="M3" i="10"/>
  <c r="L3" i="10"/>
  <c r="K3" i="10"/>
  <c r="J3" i="10"/>
  <c r="K2" i="10"/>
  <c r="D1" i="10"/>
  <c r="C538" i="9"/>
  <c r="L533" i="9"/>
  <c r="C532" i="9"/>
  <c r="C528" i="9"/>
  <c r="D524" i="9" s="1"/>
  <c r="L524" i="9"/>
  <c r="K524" i="9"/>
  <c r="J524" i="9"/>
  <c r="K533" i="9" s="1"/>
  <c r="I524" i="9"/>
  <c r="J533" i="9" s="1"/>
  <c r="F524" i="9"/>
  <c r="G533" i="9" s="1"/>
  <c r="C523" i="9"/>
  <c r="I522" i="9"/>
  <c r="AZ453" i="9" s="1"/>
  <c r="I521" i="9"/>
  <c r="I520" i="9"/>
  <c r="AZ451" i="9" s="1"/>
  <c r="I519" i="9"/>
  <c r="C518" i="9"/>
  <c r="C517" i="9"/>
  <c r="C516" i="9"/>
  <c r="C512" i="9"/>
  <c r="C510" i="9"/>
  <c r="C527" i="9" s="1"/>
  <c r="D533" i="9" s="1"/>
  <c r="C508" i="9"/>
  <c r="C525" i="9" s="1"/>
  <c r="P507" i="9"/>
  <c r="J507" i="9"/>
  <c r="I507" i="9"/>
  <c r="X502" i="9"/>
  <c r="X503" i="9" s="1"/>
  <c r="AK498" i="9"/>
  <c r="AB498" i="9"/>
  <c r="X498" i="9"/>
  <c r="X497" i="9"/>
  <c r="X500" i="9" s="1"/>
  <c r="X501" i="9" s="1"/>
  <c r="AK496" i="9"/>
  <c r="S496" i="9"/>
  <c r="S495" i="9"/>
  <c r="S494" i="9"/>
  <c r="AK493" i="9"/>
  <c r="AK494" i="9" s="1"/>
  <c r="X493" i="9"/>
  <c r="U493" i="9"/>
  <c r="S493" i="9"/>
  <c r="X492" i="9"/>
  <c r="U492" i="9"/>
  <c r="S492" i="9"/>
  <c r="U491" i="9"/>
  <c r="S491" i="9"/>
  <c r="Q491" i="9"/>
  <c r="Q492" i="9" s="1"/>
  <c r="AK490" i="9"/>
  <c r="AK495" i="9" s="1"/>
  <c r="AE490" i="9"/>
  <c r="AE493" i="9" s="1"/>
  <c r="AE494" i="9" s="1"/>
  <c r="J490" i="9"/>
  <c r="J491" i="9" s="1"/>
  <c r="X489" i="9"/>
  <c r="X494" i="9" s="1"/>
  <c r="X495" i="9" s="1"/>
  <c r="U489" i="9"/>
  <c r="T489" i="9"/>
  <c r="S489" i="9"/>
  <c r="Q489" i="9"/>
  <c r="D489" i="9"/>
  <c r="Q488" i="9"/>
  <c r="Q493" i="9" s="1"/>
  <c r="Q494" i="9" s="1"/>
  <c r="J488" i="9"/>
  <c r="J489" i="9" s="1"/>
  <c r="D488" i="9"/>
  <c r="D487" i="9"/>
  <c r="X486" i="9"/>
  <c r="X487" i="9" s="1"/>
  <c r="L486" i="9"/>
  <c r="D486" i="9"/>
  <c r="J485" i="9"/>
  <c r="D485" i="9"/>
  <c r="Q484" i="9"/>
  <c r="Q485" i="9" s="1"/>
  <c r="D484" i="9"/>
  <c r="D483" i="9"/>
  <c r="AK482" i="9"/>
  <c r="AK485" i="9" s="1"/>
  <c r="AK486" i="9" s="1"/>
  <c r="Q482" i="9"/>
  <c r="Q483" i="9" s="1"/>
  <c r="D482" i="9"/>
  <c r="X481" i="9"/>
  <c r="X484" i="9" s="1"/>
  <c r="X485" i="9" s="1"/>
  <c r="K480" i="9"/>
  <c r="K481" i="9" s="1"/>
  <c r="F480" i="9"/>
  <c r="D480" i="9"/>
  <c r="D481" i="9" s="1"/>
  <c r="Q479" i="9"/>
  <c r="F478" i="9"/>
  <c r="AK477" i="9"/>
  <c r="AK478" i="9" s="1"/>
  <c r="H476" i="9"/>
  <c r="H507" i="9" s="1"/>
  <c r="O507" i="9" s="1"/>
  <c r="G476" i="9"/>
  <c r="AA498" i="9" s="1"/>
  <c r="F476" i="9"/>
  <c r="E476" i="9"/>
  <c r="Y498" i="9" s="1"/>
  <c r="D476" i="9"/>
  <c r="D507" i="9" s="1"/>
  <c r="K507" i="9" s="1"/>
  <c r="AK475" i="9"/>
  <c r="AK476" i="9" s="1"/>
  <c r="Q475" i="9"/>
  <c r="Q476" i="9" s="1"/>
  <c r="K475" i="9"/>
  <c r="K478" i="9" s="1"/>
  <c r="K479" i="9" s="1"/>
  <c r="D475" i="9"/>
  <c r="D478" i="9" s="1"/>
  <c r="D479" i="9" s="1"/>
  <c r="AK472" i="9"/>
  <c r="L471" i="9"/>
  <c r="AB470" i="9"/>
  <c r="AA470" i="9"/>
  <c r="Z470" i="9"/>
  <c r="X470" i="9"/>
  <c r="Q470" i="9"/>
  <c r="Q473" i="9" s="1"/>
  <c r="Q474" i="9" s="1"/>
  <c r="L470" i="9"/>
  <c r="X469" i="9"/>
  <c r="N469" i="9"/>
  <c r="L469" i="9"/>
  <c r="S468" i="9"/>
  <c r="N468" i="9"/>
  <c r="L468" i="9"/>
  <c r="AK467" i="9"/>
  <c r="S467" i="9"/>
  <c r="AE466" i="9"/>
  <c r="AE467" i="9" s="1"/>
  <c r="S466" i="9"/>
  <c r="N466" i="9"/>
  <c r="M466" i="9"/>
  <c r="L466" i="9"/>
  <c r="J466" i="9"/>
  <c r="U465" i="9"/>
  <c r="S465" i="9"/>
  <c r="Q465" i="9"/>
  <c r="Q466" i="9" s="1"/>
  <c r="J465" i="9"/>
  <c r="J470" i="9" s="1"/>
  <c r="J471" i="9" s="1"/>
  <c r="AE464" i="9"/>
  <c r="AE465" i="9" s="1"/>
  <c r="U464" i="9"/>
  <c r="S464" i="9"/>
  <c r="Q464" i="9"/>
  <c r="U463" i="9"/>
  <c r="S463" i="9"/>
  <c r="Q463" i="9"/>
  <c r="AB462" i="9"/>
  <c r="AA462" i="9"/>
  <c r="X462" i="9"/>
  <c r="AK461" i="9"/>
  <c r="AK466" i="9" s="1"/>
  <c r="AE461" i="9"/>
  <c r="X461" i="9"/>
  <c r="U461" i="9"/>
  <c r="Q461" i="9"/>
  <c r="Q460" i="9"/>
  <c r="C511" i="9" s="1"/>
  <c r="C536" i="9" s="1"/>
  <c r="E533" i="9" s="1"/>
  <c r="X459" i="9"/>
  <c r="X458" i="9"/>
  <c r="X456" i="9"/>
  <c r="X457" i="9" s="1"/>
  <c r="BA455" i="9"/>
  <c r="AZ455" i="9"/>
  <c r="AB454" i="9"/>
  <c r="AA454" i="9"/>
  <c r="Z454" i="9"/>
  <c r="X454" i="9"/>
  <c r="X453" i="9"/>
  <c r="C513" i="9" s="1"/>
  <c r="AZ452" i="9"/>
  <c r="AK452" i="9"/>
  <c r="AK457" i="9" s="1"/>
  <c r="AK458" i="9" s="1"/>
  <c r="AZ450" i="9"/>
  <c r="B450" i="9"/>
  <c r="AZ448" i="9"/>
  <c r="N399" i="9"/>
  <c r="M399" i="9"/>
  <c r="L399" i="9"/>
  <c r="K399" i="9"/>
  <c r="J399" i="9"/>
  <c r="I399" i="9"/>
  <c r="N398" i="9"/>
  <c r="M398" i="9"/>
  <c r="L398" i="9"/>
  <c r="K398" i="9"/>
  <c r="I398" i="9" s="1"/>
  <c r="J398" i="9"/>
  <c r="N397" i="9"/>
  <c r="M397" i="9"/>
  <c r="L397" i="9"/>
  <c r="K397" i="9"/>
  <c r="J397" i="9"/>
  <c r="I397" i="9" s="1"/>
  <c r="N396" i="9"/>
  <c r="M396" i="9"/>
  <c r="L396" i="9"/>
  <c r="K396" i="9"/>
  <c r="J396" i="9"/>
  <c r="N395" i="9"/>
  <c r="M395" i="9"/>
  <c r="L395" i="9"/>
  <c r="K395" i="9"/>
  <c r="J395" i="9"/>
  <c r="I395" i="9"/>
  <c r="N394" i="9"/>
  <c r="M394" i="9"/>
  <c r="L394" i="9"/>
  <c r="K394" i="9"/>
  <c r="I394" i="9" s="1"/>
  <c r="J394" i="9"/>
  <c r="N393" i="9"/>
  <c r="M393" i="9"/>
  <c r="L393" i="9"/>
  <c r="K393" i="9"/>
  <c r="J393" i="9"/>
  <c r="I393" i="9" s="1"/>
  <c r="N392" i="9"/>
  <c r="M392" i="9"/>
  <c r="L392" i="9"/>
  <c r="K392" i="9"/>
  <c r="J392" i="9"/>
  <c r="N391" i="9"/>
  <c r="M391" i="9"/>
  <c r="L391" i="9"/>
  <c r="K391" i="9"/>
  <c r="J391" i="9"/>
  <c r="I391" i="9"/>
  <c r="N390" i="9"/>
  <c r="M390" i="9"/>
  <c r="L390" i="9"/>
  <c r="K390" i="9"/>
  <c r="I390" i="9" s="1"/>
  <c r="J390" i="9"/>
  <c r="N389" i="9"/>
  <c r="M389" i="9"/>
  <c r="L389" i="9"/>
  <c r="K389" i="9"/>
  <c r="J389" i="9"/>
  <c r="I389" i="9" s="1"/>
  <c r="N388" i="9"/>
  <c r="M388" i="9"/>
  <c r="L388" i="9"/>
  <c r="K388" i="9"/>
  <c r="J388" i="9"/>
  <c r="N387" i="9"/>
  <c r="M387" i="9"/>
  <c r="L387" i="9"/>
  <c r="K387" i="9"/>
  <c r="J387" i="9"/>
  <c r="I387" i="9"/>
  <c r="N386" i="9"/>
  <c r="M386" i="9"/>
  <c r="L386" i="9"/>
  <c r="K386" i="9"/>
  <c r="I386" i="9" s="1"/>
  <c r="J386" i="9"/>
  <c r="N385" i="9"/>
  <c r="M385" i="9"/>
  <c r="L385" i="9"/>
  <c r="K385" i="9"/>
  <c r="J385" i="9"/>
  <c r="I385" i="9" s="1"/>
  <c r="N384" i="9"/>
  <c r="M384" i="9"/>
  <c r="L384" i="9"/>
  <c r="K384" i="9"/>
  <c r="J384" i="9"/>
  <c r="N383" i="9"/>
  <c r="M383" i="9"/>
  <c r="L383" i="9"/>
  <c r="K383" i="9"/>
  <c r="J383" i="9"/>
  <c r="I383" i="9"/>
  <c r="N382" i="9"/>
  <c r="M382" i="9"/>
  <c r="L382" i="9"/>
  <c r="K382" i="9"/>
  <c r="I382" i="9" s="1"/>
  <c r="J382" i="9"/>
  <c r="N381" i="9"/>
  <c r="M381" i="9"/>
  <c r="L381" i="9"/>
  <c r="K381" i="9"/>
  <c r="J381" i="9"/>
  <c r="I381" i="9" s="1"/>
  <c r="N380" i="9"/>
  <c r="M380" i="9"/>
  <c r="L380" i="9"/>
  <c r="K380" i="9"/>
  <c r="J380" i="9"/>
  <c r="N379" i="9"/>
  <c r="M379" i="9"/>
  <c r="L379" i="9"/>
  <c r="K379" i="9"/>
  <c r="J379" i="9"/>
  <c r="I379" i="9"/>
  <c r="N378" i="9"/>
  <c r="M378" i="9"/>
  <c r="L378" i="9"/>
  <c r="K378" i="9"/>
  <c r="I378" i="9" s="1"/>
  <c r="J378" i="9"/>
  <c r="N377" i="9"/>
  <c r="M377" i="9"/>
  <c r="L377" i="9"/>
  <c r="K377" i="9"/>
  <c r="J377" i="9"/>
  <c r="I377" i="9" s="1"/>
  <c r="N376" i="9"/>
  <c r="M376" i="9"/>
  <c r="L376" i="9"/>
  <c r="K376" i="9"/>
  <c r="J376" i="9"/>
  <c r="N375" i="9"/>
  <c r="M375" i="9"/>
  <c r="L375" i="9"/>
  <c r="K375" i="9"/>
  <c r="J375" i="9"/>
  <c r="I375" i="9"/>
  <c r="N374" i="9"/>
  <c r="M374" i="9"/>
  <c r="L374" i="9"/>
  <c r="K374" i="9"/>
  <c r="I374" i="9" s="1"/>
  <c r="J374" i="9"/>
  <c r="N373" i="9"/>
  <c r="M373" i="9"/>
  <c r="L373" i="9"/>
  <c r="K373" i="9"/>
  <c r="J373" i="9"/>
  <c r="I373" i="9" s="1"/>
  <c r="N372" i="9"/>
  <c r="M372" i="9"/>
  <c r="L372" i="9"/>
  <c r="K372" i="9"/>
  <c r="J372" i="9"/>
  <c r="N371" i="9"/>
  <c r="M371" i="9"/>
  <c r="L371" i="9"/>
  <c r="K371" i="9"/>
  <c r="J371" i="9"/>
  <c r="I371" i="9"/>
  <c r="N370" i="9"/>
  <c r="M370" i="9"/>
  <c r="L370" i="9"/>
  <c r="K370" i="9"/>
  <c r="I370" i="9" s="1"/>
  <c r="J370" i="9"/>
  <c r="N369" i="9"/>
  <c r="M369" i="9"/>
  <c r="L369" i="9"/>
  <c r="K369" i="9"/>
  <c r="J369" i="9"/>
  <c r="I369" i="9" s="1"/>
  <c r="N368" i="9"/>
  <c r="M368" i="9"/>
  <c r="L368" i="9"/>
  <c r="K368" i="9"/>
  <c r="J368" i="9"/>
  <c r="N367" i="9"/>
  <c r="M367" i="9"/>
  <c r="L367" i="9"/>
  <c r="K367" i="9"/>
  <c r="J367" i="9"/>
  <c r="I367" i="9"/>
  <c r="N366" i="9"/>
  <c r="M366" i="9"/>
  <c r="L366" i="9"/>
  <c r="K366" i="9"/>
  <c r="I366" i="9" s="1"/>
  <c r="J366" i="9"/>
  <c r="N365" i="9"/>
  <c r="M365" i="9"/>
  <c r="L365" i="9"/>
  <c r="K365" i="9"/>
  <c r="J365" i="9"/>
  <c r="I365" i="9" s="1"/>
  <c r="N364" i="9"/>
  <c r="M364" i="9"/>
  <c r="L364" i="9"/>
  <c r="K364" i="9"/>
  <c r="J364" i="9"/>
  <c r="N363" i="9"/>
  <c r="M363" i="9"/>
  <c r="L363" i="9"/>
  <c r="K363" i="9"/>
  <c r="J363" i="9"/>
  <c r="I363" i="9"/>
  <c r="N362" i="9"/>
  <c r="M362" i="9"/>
  <c r="L362" i="9"/>
  <c r="K362" i="9"/>
  <c r="I362" i="9" s="1"/>
  <c r="J362" i="9"/>
  <c r="N361" i="9"/>
  <c r="M361" i="9"/>
  <c r="L361" i="9"/>
  <c r="K361" i="9"/>
  <c r="J361" i="9"/>
  <c r="I361" i="9" s="1"/>
  <c r="V360" i="9"/>
  <c r="N360" i="9"/>
  <c r="M360" i="9"/>
  <c r="L360" i="9"/>
  <c r="K360" i="9"/>
  <c r="J360" i="9"/>
  <c r="I360" i="9"/>
  <c r="N359" i="9"/>
  <c r="M359" i="9"/>
  <c r="L359" i="9"/>
  <c r="K359" i="9"/>
  <c r="I359" i="9" s="1"/>
  <c r="J359" i="9"/>
  <c r="N358" i="9"/>
  <c r="M358" i="9"/>
  <c r="L358" i="9"/>
  <c r="K358" i="9"/>
  <c r="I358" i="9" s="1"/>
  <c r="J358" i="9"/>
  <c r="N357" i="9"/>
  <c r="M357" i="9"/>
  <c r="L357" i="9"/>
  <c r="K357" i="9"/>
  <c r="J357" i="9"/>
  <c r="I357" i="9" s="1"/>
  <c r="N356" i="9"/>
  <c r="M356" i="9"/>
  <c r="L356" i="9"/>
  <c r="I356" i="9" s="1"/>
  <c r="K356" i="9"/>
  <c r="J356" i="9"/>
  <c r="N355" i="9"/>
  <c r="M355" i="9"/>
  <c r="L355" i="9"/>
  <c r="K355" i="9"/>
  <c r="I355" i="9" s="1"/>
  <c r="J355" i="9"/>
  <c r="N354" i="9"/>
  <c r="M354" i="9"/>
  <c r="L354" i="9"/>
  <c r="K354" i="9"/>
  <c r="I354" i="9" s="1"/>
  <c r="J354" i="9"/>
  <c r="Y353" i="9"/>
  <c r="X353" i="9"/>
  <c r="W353" i="9"/>
  <c r="V353" i="9"/>
  <c r="T353" i="9"/>
  <c r="N353" i="9"/>
  <c r="M353" i="9"/>
  <c r="L353" i="9"/>
  <c r="K353" i="9"/>
  <c r="J353" i="9"/>
  <c r="I353" i="9" s="1"/>
  <c r="AE352" i="9"/>
  <c r="BE352" i="9" s="1"/>
  <c r="V352" i="9"/>
  <c r="N352" i="9"/>
  <c r="M352" i="9"/>
  <c r="L352" i="9"/>
  <c r="U352" i="9" s="1"/>
  <c r="K352" i="9"/>
  <c r="J352" i="9"/>
  <c r="T351" i="9"/>
  <c r="N351" i="9"/>
  <c r="M351" i="9"/>
  <c r="L351" i="9"/>
  <c r="K351" i="9"/>
  <c r="U351" i="9" s="1"/>
  <c r="J351" i="9"/>
  <c r="N350" i="9"/>
  <c r="M350" i="9"/>
  <c r="L350" i="9"/>
  <c r="K350" i="9"/>
  <c r="I350" i="9" s="1"/>
  <c r="BG350" i="9" s="1"/>
  <c r="J350" i="9"/>
  <c r="N349" i="9"/>
  <c r="M349" i="9"/>
  <c r="L349" i="9"/>
  <c r="K349" i="9"/>
  <c r="J349" i="9"/>
  <c r="N348" i="9"/>
  <c r="M348" i="9"/>
  <c r="L348" i="9"/>
  <c r="U348" i="9" s="1"/>
  <c r="K348" i="9"/>
  <c r="J348" i="9"/>
  <c r="T347" i="9"/>
  <c r="N347" i="9"/>
  <c r="M347" i="9"/>
  <c r="L347" i="9"/>
  <c r="K347" i="9"/>
  <c r="U347" i="9" s="1"/>
  <c r="J347" i="9"/>
  <c r="V346" i="9"/>
  <c r="N346" i="9"/>
  <c r="M346" i="9"/>
  <c r="L346" i="9"/>
  <c r="K346" i="9"/>
  <c r="J346" i="9"/>
  <c r="T346" i="9" s="1"/>
  <c r="N345" i="9"/>
  <c r="M345" i="9"/>
  <c r="L345" i="9"/>
  <c r="K345" i="9"/>
  <c r="J345" i="9"/>
  <c r="I345" i="9"/>
  <c r="BG345" i="9" s="1"/>
  <c r="BE344" i="9"/>
  <c r="AE344" i="9"/>
  <c r="Z344" i="9"/>
  <c r="Y344" i="9"/>
  <c r="X344" i="9"/>
  <c r="W344" i="9"/>
  <c r="V344" i="9"/>
  <c r="N344" i="9"/>
  <c r="M344" i="9"/>
  <c r="U344" i="9" s="1"/>
  <c r="L344" i="9"/>
  <c r="K344" i="9"/>
  <c r="T344" i="9" s="1"/>
  <c r="J344" i="9"/>
  <c r="I344" i="9"/>
  <c r="BG344" i="9" s="1"/>
  <c r="U343" i="9"/>
  <c r="N343" i="9"/>
  <c r="M343" i="9"/>
  <c r="L343" i="9"/>
  <c r="K343" i="9"/>
  <c r="J343" i="9"/>
  <c r="N342" i="9"/>
  <c r="M342" i="9"/>
  <c r="L342" i="9"/>
  <c r="K342" i="9"/>
  <c r="J342" i="9"/>
  <c r="T342" i="9" s="1"/>
  <c r="N341" i="9"/>
  <c r="M341" i="9"/>
  <c r="L341" i="9"/>
  <c r="K341" i="9"/>
  <c r="J341" i="9"/>
  <c r="I341" i="9"/>
  <c r="BG341" i="9" s="1"/>
  <c r="N340" i="9"/>
  <c r="M340" i="9"/>
  <c r="U340" i="9" s="1"/>
  <c r="L340" i="9"/>
  <c r="K340" i="9"/>
  <c r="J340" i="9"/>
  <c r="I340" i="9"/>
  <c r="BG340" i="9" s="1"/>
  <c r="N339" i="9"/>
  <c r="M339" i="9"/>
  <c r="L339" i="9"/>
  <c r="U339" i="9" s="1"/>
  <c r="K339" i="9"/>
  <c r="J339" i="9"/>
  <c r="Z338" i="9"/>
  <c r="Y338" i="9"/>
  <c r="X338" i="9"/>
  <c r="W338" i="9"/>
  <c r="AA338" i="9" s="1"/>
  <c r="V338" i="9"/>
  <c r="N338" i="9"/>
  <c r="M338" i="9"/>
  <c r="L338" i="9"/>
  <c r="K338" i="9"/>
  <c r="I338" i="9" s="1"/>
  <c r="BG338" i="9" s="1"/>
  <c r="J338" i="9"/>
  <c r="N337" i="9"/>
  <c r="M337" i="9"/>
  <c r="L337" i="9"/>
  <c r="K337" i="9"/>
  <c r="J337" i="9"/>
  <c r="AE336" i="9"/>
  <c r="BE336" i="9" s="1"/>
  <c r="Z336" i="9"/>
  <c r="Y336" i="9"/>
  <c r="X336" i="9"/>
  <c r="W336" i="9"/>
  <c r="V336" i="9"/>
  <c r="AA336" i="9" s="1"/>
  <c r="N336" i="9"/>
  <c r="M336" i="9"/>
  <c r="L336" i="9"/>
  <c r="U336" i="9" s="1"/>
  <c r="K336" i="9"/>
  <c r="J336" i="9"/>
  <c r="T335" i="9"/>
  <c r="N335" i="9"/>
  <c r="M335" i="9"/>
  <c r="L335" i="9"/>
  <c r="K335" i="9"/>
  <c r="U335" i="9" s="1"/>
  <c r="J335" i="9"/>
  <c r="N334" i="9"/>
  <c r="M334" i="9"/>
  <c r="L334" i="9"/>
  <c r="K334" i="9"/>
  <c r="I334" i="9" s="1"/>
  <c r="BG334" i="9" s="1"/>
  <c r="J334" i="9"/>
  <c r="X333" i="9"/>
  <c r="W333" i="9"/>
  <c r="V333" i="9"/>
  <c r="N333" i="9"/>
  <c r="M333" i="9"/>
  <c r="L333" i="9"/>
  <c r="K333" i="9"/>
  <c r="J333" i="9"/>
  <c r="I333" i="9"/>
  <c r="BG333" i="9" s="1"/>
  <c r="N332" i="9"/>
  <c r="M332" i="9"/>
  <c r="U332" i="9" s="1"/>
  <c r="L332" i="9"/>
  <c r="K332" i="9"/>
  <c r="J332" i="9"/>
  <c r="I332" i="9"/>
  <c r="BG332" i="9" s="1"/>
  <c r="Z331" i="9"/>
  <c r="Y331" i="9"/>
  <c r="N331" i="9"/>
  <c r="M331" i="9"/>
  <c r="L331" i="9"/>
  <c r="K331" i="9"/>
  <c r="U331" i="9" s="1"/>
  <c r="J331" i="9"/>
  <c r="Z330" i="9"/>
  <c r="Y330" i="9"/>
  <c r="X330" i="9"/>
  <c r="W330" i="9"/>
  <c r="AA330" i="9" s="1"/>
  <c r="V330" i="9"/>
  <c r="N330" i="9"/>
  <c r="M330" i="9"/>
  <c r="L330" i="9"/>
  <c r="K330" i="9"/>
  <c r="J330" i="9"/>
  <c r="T330" i="9" s="1"/>
  <c r="Z329" i="9"/>
  <c r="Y329" i="9"/>
  <c r="N329" i="9"/>
  <c r="M329" i="9"/>
  <c r="L329" i="9"/>
  <c r="K329" i="9"/>
  <c r="J329" i="9"/>
  <c r="BG328" i="9"/>
  <c r="U328" i="9"/>
  <c r="T328" i="9"/>
  <c r="P328" i="9"/>
  <c r="AE327" i="9"/>
  <c r="BE327" i="9" s="1"/>
  <c r="Z327" i="9"/>
  <c r="Y327" i="9"/>
  <c r="X327" i="9"/>
  <c r="W327" i="9"/>
  <c r="V327" i="9"/>
  <c r="AA327" i="9" s="1"/>
  <c r="N327" i="9"/>
  <c r="M327" i="9"/>
  <c r="L327" i="9"/>
  <c r="K327" i="9"/>
  <c r="J327" i="9"/>
  <c r="I327" i="9"/>
  <c r="BG327" i="9" s="1"/>
  <c r="N326" i="9"/>
  <c r="M326" i="9"/>
  <c r="U326" i="9" s="1"/>
  <c r="L326" i="9"/>
  <c r="K326" i="9"/>
  <c r="J326" i="9"/>
  <c r="I326" i="9"/>
  <c r="BG326" i="9" s="1"/>
  <c r="BE325" i="9"/>
  <c r="V325" i="9"/>
  <c r="N325" i="9"/>
  <c r="M325" i="9"/>
  <c r="L325" i="9"/>
  <c r="K325" i="9"/>
  <c r="T325" i="9" s="1"/>
  <c r="J325" i="9"/>
  <c r="AE325" i="9" s="1"/>
  <c r="N324" i="9"/>
  <c r="M324" i="9"/>
  <c r="L324" i="9"/>
  <c r="K324" i="9"/>
  <c r="T324" i="9" s="1"/>
  <c r="J324" i="9"/>
  <c r="X323" i="9"/>
  <c r="W323" i="9"/>
  <c r="N323" i="9"/>
  <c r="M323" i="9"/>
  <c r="L323" i="9"/>
  <c r="K323" i="9"/>
  <c r="J323" i="9"/>
  <c r="I323" i="9"/>
  <c r="BG323" i="9" s="1"/>
  <c r="Z322" i="9"/>
  <c r="Y322" i="9"/>
  <c r="X322" i="9"/>
  <c r="N322" i="9"/>
  <c r="M322" i="9"/>
  <c r="L322" i="9"/>
  <c r="K322" i="9"/>
  <c r="J322" i="9"/>
  <c r="T322" i="9" s="1"/>
  <c r="Z321" i="9"/>
  <c r="Y321" i="9"/>
  <c r="X321" i="9"/>
  <c r="W321" i="9"/>
  <c r="V321" i="9"/>
  <c r="N321" i="9"/>
  <c r="M321" i="9"/>
  <c r="L321" i="9"/>
  <c r="T321" i="9" s="1"/>
  <c r="K321" i="9"/>
  <c r="J321" i="9"/>
  <c r="AE321" i="9" s="1"/>
  <c r="BE321" i="9" s="1"/>
  <c r="Z320" i="9"/>
  <c r="Y320" i="9"/>
  <c r="X320" i="9"/>
  <c r="W320" i="9"/>
  <c r="AA320" i="9" s="1"/>
  <c r="V320" i="9"/>
  <c r="N320" i="9"/>
  <c r="M320" i="9"/>
  <c r="L320" i="9"/>
  <c r="K320" i="9"/>
  <c r="I320" i="9" s="1"/>
  <c r="BG320" i="9" s="1"/>
  <c r="J320" i="9"/>
  <c r="Z319" i="9"/>
  <c r="Y319" i="9"/>
  <c r="X319" i="9"/>
  <c r="W319" i="9"/>
  <c r="AA319" i="9" s="1"/>
  <c r="V319" i="9"/>
  <c r="N319" i="9"/>
  <c r="M319" i="9"/>
  <c r="L319" i="9"/>
  <c r="K319" i="9"/>
  <c r="J319" i="9"/>
  <c r="AE318" i="9"/>
  <c r="BE318" i="9" s="1"/>
  <c r="Z318" i="9"/>
  <c r="Y318" i="9"/>
  <c r="X318" i="9"/>
  <c r="W318" i="9"/>
  <c r="N318" i="9"/>
  <c r="M318" i="9"/>
  <c r="L318" i="9"/>
  <c r="K318" i="9"/>
  <c r="J318" i="9"/>
  <c r="N317" i="9"/>
  <c r="M317" i="9"/>
  <c r="L317" i="9"/>
  <c r="K317" i="9"/>
  <c r="T317" i="9" s="1"/>
  <c r="J317" i="9"/>
  <c r="N316" i="9"/>
  <c r="M316" i="9"/>
  <c r="L316" i="9"/>
  <c r="K316" i="9"/>
  <c r="T316" i="9" s="1"/>
  <c r="J316" i="9"/>
  <c r="V315" i="9"/>
  <c r="N315" i="9"/>
  <c r="M315" i="9"/>
  <c r="L315" i="9"/>
  <c r="K315" i="9"/>
  <c r="J315" i="9"/>
  <c r="AE314" i="9"/>
  <c r="BE314" i="9" s="1"/>
  <c r="Z314" i="9"/>
  <c r="Y314" i="9"/>
  <c r="X314" i="9"/>
  <c r="W314" i="9"/>
  <c r="V314" i="9"/>
  <c r="AA314" i="9" s="1"/>
  <c r="N314" i="9"/>
  <c r="M314" i="9"/>
  <c r="L314" i="9"/>
  <c r="K314" i="9"/>
  <c r="J314" i="9"/>
  <c r="T314" i="9" s="1"/>
  <c r="N313" i="9"/>
  <c r="M313" i="9"/>
  <c r="L313" i="9"/>
  <c r="K313" i="9"/>
  <c r="J313" i="9"/>
  <c r="N312" i="9"/>
  <c r="M312" i="9"/>
  <c r="L312" i="9"/>
  <c r="K312" i="9"/>
  <c r="J312" i="9"/>
  <c r="BG311" i="9"/>
  <c r="Z311" i="9"/>
  <c r="W311" i="9"/>
  <c r="V311" i="9"/>
  <c r="U311" i="9"/>
  <c r="T311" i="9"/>
  <c r="Y311" i="9" s="1"/>
  <c r="P311" i="9"/>
  <c r="Z310" i="9"/>
  <c r="Y310" i="9"/>
  <c r="X310" i="9"/>
  <c r="W310" i="9"/>
  <c r="AA310" i="9" s="1"/>
  <c r="V310" i="9"/>
  <c r="T310" i="9"/>
  <c r="N310" i="9"/>
  <c r="M310" i="9"/>
  <c r="L310" i="9"/>
  <c r="K310" i="9"/>
  <c r="I310" i="9" s="1"/>
  <c r="BG310" i="9" s="1"/>
  <c r="J310" i="9"/>
  <c r="N309" i="9"/>
  <c r="M309" i="9"/>
  <c r="L309" i="9"/>
  <c r="K309" i="9"/>
  <c r="J309" i="9"/>
  <c r="AE308" i="9"/>
  <c r="BE308" i="9" s="1"/>
  <c r="V308" i="9"/>
  <c r="N308" i="9"/>
  <c r="M308" i="9"/>
  <c r="L308" i="9"/>
  <c r="K308" i="9"/>
  <c r="J308" i="9"/>
  <c r="T307" i="9"/>
  <c r="N307" i="9"/>
  <c r="M307" i="9"/>
  <c r="L307" i="9"/>
  <c r="K307" i="9"/>
  <c r="J307" i="9"/>
  <c r="N306" i="9"/>
  <c r="M306" i="9"/>
  <c r="L306" i="9"/>
  <c r="K306" i="9"/>
  <c r="J306" i="9"/>
  <c r="N305" i="9"/>
  <c r="M305" i="9"/>
  <c r="L305" i="9"/>
  <c r="K305" i="9"/>
  <c r="J305" i="9"/>
  <c r="N304" i="9"/>
  <c r="M304" i="9"/>
  <c r="L304" i="9"/>
  <c r="I304" i="9" s="1"/>
  <c r="BG304" i="9" s="1"/>
  <c r="K304" i="9"/>
  <c r="J304" i="9"/>
  <c r="N303" i="9"/>
  <c r="M303" i="9"/>
  <c r="L303" i="9"/>
  <c r="K303" i="9"/>
  <c r="T303" i="9" s="1"/>
  <c r="J303" i="9"/>
  <c r="Z302" i="9"/>
  <c r="Y302" i="9"/>
  <c r="X302" i="9"/>
  <c r="W302" i="9"/>
  <c r="AA302" i="9" s="1"/>
  <c r="V302" i="9"/>
  <c r="N302" i="9"/>
  <c r="M302" i="9"/>
  <c r="L302" i="9"/>
  <c r="K302" i="9"/>
  <c r="J302" i="9"/>
  <c r="T302" i="9" s="1"/>
  <c r="N301" i="9"/>
  <c r="M301" i="9"/>
  <c r="L301" i="9"/>
  <c r="K301" i="9"/>
  <c r="J301" i="9"/>
  <c r="I301" i="9"/>
  <c r="BG301" i="9" s="1"/>
  <c r="N300" i="9"/>
  <c r="M300" i="9"/>
  <c r="U300" i="9" s="1"/>
  <c r="L300" i="9"/>
  <c r="K300" i="9"/>
  <c r="J300" i="9"/>
  <c r="I300" i="9"/>
  <c r="BG300" i="9" s="1"/>
  <c r="BE299" i="9"/>
  <c r="Z299" i="9"/>
  <c r="Y299" i="9"/>
  <c r="X299" i="9"/>
  <c r="W299" i="9"/>
  <c r="AA299" i="9" s="1"/>
  <c r="V299" i="9"/>
  <c r="N299" i="9"/>
  <c r="M299" i="9"/>
  <c r="L299" i="9"/>
  <c r="K299" i="9"/>
  <c r="U299" i="9" s="1"/>
  <c r="J299" i="9"/>
  <c r="AE299" i="9" s="1"/>
  <c r="N298" i="9"/>
  <c r="M298" i="9"/>
  <c r="L298" i="9"/>
  <c r="K298" i="9"/>
  <c r="J298" i="9"/>
  <c r="T298" i="9" s="1"/>
  <c r="N297" i="9"/>
  <c r="M297" i="9"/>
  <c r="L297" i="9"/>
  <c r="K297" i="9"/>
  <c r="J297" i="9"/>
  <c r="N296" i="9"/>
  <c r="M296" i="9"/>
  <c r="U296" i="9" s="1"/>
  <c r="L296" i="9"/>
  <c r="K296" i="9"/>
  <c r="J296" i="9"/>
  <c r="I296" i="9"/>
  <c r="BG296" i="9" s="1"/>
  <c r="N295" i="9"/>
  <c r="M295" i="9"/>
  <c r="L295" i="9"/>
  <c r="K295" i="9"/>
  <c r="U295" i="9" s="1"/>
  <c r="J295" i="9"/>
  <c r="N294" i="9"/>
  <c r="M294" i="9"/>
  <c r="L294" i="9"/>
  <c r="K294" i="9"/>
  <c r="J294" i="9"/>
  <c r="T294" i="9" s="1"/>
  <c r="V293" i="9"/>
  <c r="N293" i="9"/>
  <c r="M293" i="9"/>
  <c r="L293" i="9"/>
  <c r="K293" i="9"/>
  <c r="J293" i="9"/>
  <c r="AE293" i="9" s="1"/>
  <c r="BE293" i="9" s="1"/>
  <c r="N292" i="9"/>
  <c r="M292" i="9"/>
  <c r="U292" i="9" s="1"/>
  <c r="L292" i="9"/>
  <c r="K292" i="9"/>
  <c r="J292" i="9"/>
  <c r="I292" i="9"/>
  <c r="BG292" i="9" s="1"/>
  <c r="N291" i="9"/>
  <c r="M291" i="9"/>
  <c r="L291" i="9"/>
  <c r="K291" i="9"/>
  <c r="U291" i="9" s="1"/>
  <c r="J291" i="9"/>
  <c r="Z290" i="9"/>
  <c r="Y290" i="9"/>
  <c r="X290" i="9"/>
  <c r="W290" i="9"/>
  <c r="AA290" i="9" s="1"/>
  <c r="V290" i="9"/>
  <c r="T290" i="9"/>
  <c r="N290" i="9"/>
  <c r="M290" i="9"/>
  <c r="L290" i="9"/>
  <c r="K290" i="9"/>
  <c r="J290" i="9"/>
  <c r="N289" i="9"/>
  <c r="M289" i="9"/>
  <c r="L289" i="9"/>
  <c r="K289" i="9"/>
  <c r="J289" i="9"/>
  <c r="N288" i="9"/>
  <c r="M288" i="9"/>
  <c r="L288" i="9"/>
  <c r="K288" i="9"/>
  <c r="J288" i="9"/>
  <c r="N287" i="9"/>
  <c r="M287" i="9"/>
  <c r="L287" i="9"/>
  <c r="K287" i="9"/>
  <c r="T287" i="9" s="1"/>
  <c r="J287" i="9"/>
  <c r="N286" i="9"/>
  <c r="M286" i="9"/>
  <c r="L286" i="9"/>
  <c r="K286" i="9"/>
  <c r="T286" i="9" s="1"/>
  <c r="J286" i="9"/>
  <c r="N285" i="9"/>
  <c r="M285" i="9"/>
  <c r="L285" i="9"/>
  <c r="K285" i="9"/>
  <c r="J285" i="9"/>
  <c r="N284" i="9"/>
  <c r="M284" i="9"/>
  <c r="L284" i="9"/>
  <c r="U284" i="9" s="1"/>
  <c r="K284" i="9"/>
  <c r="J284" i="9"/>
  <c r="T284" i="9" s="1"/>
  <c r="I284" i="9"/>
  <c r="BG284" i="9" s="1"/>
  <c r="BE283" i="9"/>
  <c r="AE283" i="9"/>
  <c r="Z283" i="9"/>
  <c r="Y283" i="9"/>
  <c r="X283" i="9"/>
  <c r="W283" i="9"/>
  <c r="V283" i="9"/>
  <c r="AA283" i="9" s="1"/>
  <c r="N283" i="9"/>
  <c r="M283" i="9"/>
  <c r="L283" i="9"/>
  <c r="U283" i="9" s="1"/>
  <c r="K283" i="9"/>
  <c r="T283" i="9" s="1"/>
  <c r="J283" i="9"/>
  <c r="Z282" i="9"/>
  <c r="Y282" i="9"/>
  <c r="X282" i="9"/>
  <c r="W282" i="9"/>
  <c r="AA282" i="9" s="1"/>
  <c r="V282" i="9"/>
  <c r="N282" i="9"/>
  <c r="M282" i="9"/>
  <c r="L282" i="9"/>
  <c r="K282" i="9"/>
  <c r="T282" i="9" s="1"/>
  <c r="J282" i="9"/>
  <c r="AE282" i="9" s="1"/>
  <c r="BE282" i="9" s="1"/>
  <c r="Z281" i="9"/>
  <c r="Y281" i="9"/>
  <c r="X281" i="9"/>
  <c r="W281" i="9"/>
  <c r="AA281" i="9" s="1"/>
  <c r="V281" i="9"/>
  <c r="N281" i="9"/>
  <c r="M281" i="9"/>
  <c r="L281" i="9"/>
  <c r="K281" i="9"/>
  <c r="J281" i="9"/>
  <c r="AE281" i="9" s="1"/>
  <c r="BE281" i="9" s="1"/>
  <c r="N280" i="9"/>
  <c r="M280" i="9"/>
  <c r="L280" i="9"/>
  <c r="K280" i="9"/>
  <c r="J280" i="9"/>
  <c r="U280" i="9" s="1"/>
  <c r="I280" i="9"/>
  <c r="BG280" i="9" s="1"/>
  <c r="BE279" i="9"/>
  <c r="AE279" i="9"/>
  <c r="Z279" i="9"/>
  <c r="Y279" i="9"/>
  <c r="X279" i="9"/>
  <c r="W279" i="9"/>
  <c r="V279" i="9"/>
  <c r="AA279" i="9" s="1"/>
  <c r="N279" i="9"/>
  <c r="M279" i="9"/>
  <c r="L279" i="9"/>
  <c r="U279" i="9" s="1"/>
  <c r="K279" i="9"/>
  <c r="T279" i="9" s="1"/>
  <c r="J279" i="9"/>
  <c r="N278" i="9"/>
  <c r="M278" i="9"/>
  <c r="L278" i="9"/>
  <c r="K278" i="9"/>
  <c r="T278" i="9" s="1"/>
  <c r="J278" i="9"/>
  <c r="N277" i="9"/>
  <c r="M277" i="9"/>
  <c r="L277" i="9"/>
  <c r="K277" i="9"/>
  <c r="J277" i="9"/>
  <c r="N276" i="9"/>
  <c r="M276" i="9"/>
  <c r="L276" i="9"/>
  <c r="K276" i="9"/>
  <c r="J276" i="9"/>
  <c r="U276" i="9" s="1"/>
  <c r="I276" i="9"/>
  <c r="BG276" i="9" s="1"/>
  <c r="Z275" i="9"/>
  <c r="Y275" i="9"/>
  <c r="X275" i="9"/>
  <c r="N275" i="9"/>
  <c r="M275" i="9"/>
  <c r="L275" i="9"/>
  <c r="U275" i="9" s="1"/>
  <c r="K275" i="9"/>
  <c r="T275" i="9" s="1"/>
  <c r="V275" i="9" s="1"/>
  <c r="J275" i="9"/>
  <c r="Z274" i="9"/>
  <c r="Y274" i="9"/>
  <c r="X274" i="9"/>
  <c r="W274" i="9"/>
  <c r="AA274" i="9" s="1"/>
  <c r="V274" i="9"/>
  <c r="N274" i="9"/>
  <c r="M274" i="9"/>
  <c r="L274" i="9"/>
  <c r="K274" i="9"/>
  <c r="T274" i="9" s="1"/>
  <c r="J274" i="9"/>
  <c r="AE274" i="9" s="1"/>
  <c r="BE274" i="9" s="1"/>
  <c r="Z273" i="9"/>
  <c r="Y273" i="9"/>
  <c r="X273" i="9"/>
  <c r="N273" i="9"/>
  <c r="M273" i="9"/>
  <c r="L273" i="9"/>
  <c r="K273" i="9"/>
  <c r="J273" i="9"/>
  <c r="AE273" i="9" s="1"/>
  <c r="BE273" i="9" s="1"/>
  <c r="N272" i="9"/>
  <c r="M272" i="9"/>
  <c r="L272" i="9"/>
  <c r="K272" i="9"/>
  <c r="J272" i="9"/>
  <c r="U272" i="9" s="1"/>
  <c r="I272" i="9"/>
  <c r="BG272" i="9" s="1"/>
  <c r="BG271" i="9"/>
  <c r="Z271" i="9"/>
  <c r="Y271" i="9"/>
  <c r="X271" i="9"/>
  <c r="W271" i="9"/>
  <c r="V271" i="9"/>
  <c r="AA271" i="9" s="1"/>
  <c r="U271" i="9"/>
  <c r="T271" i="9"/>
  <c r="P271" i="9"/>
  <c r="N270" i="9"/>
  <c r="M270" i="9"/>
  <c r="L270" i="9"/>
  <c r="K270" i="9"/>
  <c r="J270" i="9"/>
  <c r="U270" i="9" s="1"/>
  <c r="I270" i="9"/>
  <c r="BG270" i="9" s="1"/>
  <c r="BE269" i="9"/>
  <c r="AE269" i="9"/>
  <c r="Z269" i="9"/>
  <c r="Y269" i="9"/>
  <c r="X269" i="9"/>
  <c r="W269" i="9"/>
  <c r="V269" i="9"/>
  <c r="AA269" i="9" s="1"/>
  <c r="N269" i="9"/>
  <c r="M269" i="9"/>
  <c r="L269" i="9"/>
  <c r="U269" i="9" s="1"/>
  <c r="K269" i="9"/>
  <c r="T269" i="9" s="1"/>
  <c r="J269" i="9"/>
  <c r="N268" i="9"/>
  <c r="M268" i="9"/>
  <c r="L268" i="9"/>
  <c r="K268" i="9"/>
  <c r="T268" i="9" s="1"/>
  <c r="J268" i="9"/>
  <c r="N267" i="9"/>
  <c r="M267" i="9"/>
  <c r="L267" i="9"/>
  <c r="K267" i="9"/>
  <c r="I267" i="9" s="1"/>
  <c r="BG267" i="9" s="1"/>
  <c r="J267" i="9"/>
  <c r="AE266" i="9"/>
  <c r="BE266" i="9" s="1"/>
  <c r="Z266" i="9"/>
  <c r="Y266" i="9"/>
  <c r="X266" i="9"/>
  <c r="W266" i="9"/>
  <c r="V266" i="9"/>
  <c r="AA266" i="9" s="1"/>
  <c r="N266" i="9"/>
  <c r="M266" i="9"/>
  <c r="L266" i="9"/>
  <c r="K266" i="9"/>
  <c r="J266" i="9"/>
  <c r="U266" i="9" s="1"/>
  <c r="I266" i="9"/>
  <c r="BG266" i="9" s="1"/>
  <c r="BE265" i="9"/>
  <c r="AE265" i="9"/>
  <c r="Z265" i="9"/>
  <c r="Y265" i="9"/>
  <c r="X265" i="9"/>
  <c r="W265" i="9"/>
  <c r="V265" i="9"/>
  <c r="AA265" i="9" s="1"/>
  <c r="N265" i="9"/>
  <c r="M265" i="9"/>
  <c r="L265" i="9"/>
  <c r="U265" i="9" s="1"/>
  <c r="K265" i="9"/>
  <c r="T265" i="9" s="1"/>
  <c r="J265" i="9"/>
  <c r="Z264" i="9"/>
  <c r="Y264" i="9"/>
  <c r="X264" i="9"/>
  <c r="W264" i="9"/>
  <c r="AA264" i="9" s="1"/>
  <c r="V264" i="9"/>
  <c r="N264" i="9"/>
  <c r="M264" i="9"/>
  <c r="L264" i="9"/>
  <c r="K264" i="9"/>
  <c r="T264" i="9" s="1"/>
  <c r="J264" i="9"/>
  <c r="AE264" i="9" s="1"/>
  <c r="BE264" i="9" s="1"/>
  <c r="X263" i="9"/>
  <c r="W263" i="9"/>
  <c r="V263" i="9"/>
  <c r="N263" i="9"/>
  <c r="M263" i="9"/>
  <c r="L263" i="9"/>
  <c r="K263" i="9"/>
  <c r="I263" i="9" s="1"/>
  <c r="BG263" i="9" s="1"/>
  <c r="J263" i="9"/>
  <c r="AE263" i="9" s="1"/>
  <c r="BE263" i="9" s="1"/>
  <c r="AE262" i="9"/>
  <c r="BE262" i="9" s="1"/>
  <c r="Z262" i="9"/>
  <c r="Y262" i="9"/>
  <c r="W262" i="9"/>
  <c r="V262" i="9"/>
  <c r="N262" i="9"/>
  <c r="M262" i="9"/>
  <c r="L262" i="9"/>
  <c r="K262" i="9"/>
  <c r="J262" i="9"/>
  <c r="U262" i="9" s="1"/>
  <c r="I262" i="9"/>
  <c r="BG262" i="9" s="1"/>
  <c r="BE261" i="9"/>
  <c r="AE261" i="9"/>
  <c r="Z261" i="9"/>
  <c r="Y261" i="9"/>
  <c r="X261" i="9"/>
  <c r="W261" i="9"/>
  <c r="V261" i="9"/>
  <c r="AA261" i="9" s="1"/>
  <c r="N261" i="9"/>
  <c r="M261" i="9"/>
  <c r="L261" i="9"/>
  <c r="U261" i="9" s="1"/>
  <c r="K261" i="9"/>
  <c r="T261" i="9" s="1"/>
  <c r="J261" i="9"/>
  <c r="N260" i="9"/>
  <c r="M260" i="9"/>
  <c r="L260" i="9"/>
  <c r="K260" i="9"/>
  <c r="T260" i="9" s="1"/>
  <c r="J260" i="9"/>
  <c r="N259" i="9"/>
  <c r="M259" i="9"/>
  <c r="L259" i="9"/>
  <c r="K259" i="9"/>
  <c r="J259" i="9"/>
  <c r="N258" i="9"/>
  <c r="M258" i="9"/>
  <c r="L258" i="9"/>
  <c r="K258" i="9"/>
  <c r="J258" i="9"/>
  <c r="U258" i="9" s="1"/>
  <c r="I258" i="9"/>
  <c r="BG258" i="9" s="1"/>
  <c r="N257" i="9"/>
  <c r="M257" i="9"/>
  <c r="L257" i="9"/>
  <c r="U257" i="9" s="1"/>
  <c r="K257" i="9"/>
  <c r="T257" i="9" s="1"/>
  <c r="J257" i="9"/>
  <c r="N256" i="9"/>
  <c r="M256" i="9"/>
  <c r="L256" i="9"/>
  <c r="K256" i="9"/>
  <c r="T256" i="9" s="1"/>
  <c r="J256" i="9"/>
  <c r="N255" i="9"/>
  <c r="M255" i="9"/>
  <c r="L255" i="9"/>
  <c r="K255" i="9"/>
  <c r="I255" i="9" s="1"/>
  <c r="BG255" i="9" s="1"/>
  <c r="J255" i="9"/>
  <c r="AE254" i="9"/>
  <c r="BE254" i="9" s="1"/>
  <c r="Z254" i="9"/>
  <c r="Y254" i="9"/>
  <c r="X254" i="9"/>
  <c r="W254" i="9"/>
  <c r="V254" i="9"/>
  <c r="AA254" i="9" s="1"/>
  <c r="N254" i="9"/>
  <c r="M254" i="9"/>
  <c r="L254" i="9"/>
  <c r="K254" i="9"/>
  <c r="J254" i="9"/>
  <c r="U254" i="9" s="1"/>
  <c r="I254" i="9"/>
  <c r="BG254" i="9" s="1"/>
  <c r="N253" i="9"/>
  <c r="M253" i="9"/>
  <c r="L253" i="9"/>
  <c r="U253" i="9" s="1"/>
  <c r="K253" i="9"/>
  <c r="T253" i="9" s="1"/>
  <c r="J253" i="9"/>
  <c r="V252" i="9"/>
  <c r="N252" i="9"/>
  <c r="M252" i="9"/>
  <c r="L252" i="9"/>
  <c r="K252" i="9"/>
  <c r="T252" i="9" s="1"/>
  <c r="J252" i="9"/>
  <c r="AE252" i="9" s="1"/>
  <c r="BE252" i="9" s="1"/>
  <c r="V251" i="9"/>
  <c r="N251" i="9"/>
  <c r="M251" i="9"/>
  <c r="L251" i="9"/>
  <c r="K251" i="9"/>
  <c r="I251" i="9" s="1"/>
  <c r="BG251" i="9" s="1"/>
  <c r="J251" i="9"/>
  <c r="AE251" i="9" s="1"/>
  <c r="BE251" i="9" s="1"/>
  <c r="N250" i="9"/>
  <c r="M250" i="9"/>
  <c r="L250" i="9"/>
  <c r="K250" i="9"/>
  <c r="J250" i="9"/>
  <c r="U250" i="9" s="1"/>
  <c r="I250" i="9"/>
  <c r="BG250" i="9" s="1"/>
  <c r="N249" i="9"/>
  <c r="M249" i="9"/>
  <c r="L249" i="9"/>
  <c r="U249" i="9" s="1"/>
  <c r="K249" i="9"/>
  <c r="J249" i="9"/>
  <c r="T249" i="9" s="1"/>
  <c r="Z248" i="9"/>
  <c r="Y248" i="9"/>
  <c r="X248" i="9"/>
  <c r="W248" i="9"/>
  <c r="AA248" i="9" s="1"/>
  <c r="V248" i="9"/>
  <c r="N248" i="9"/>
  <c r="M248" i="9"/>
  <c r="L248" i="9"/>
  <c r="K248" i="9"/>
  <c r="T248" i="9" s="1"/>
  <c r="J248" i="9"/>
  <c r="AE248" i="9" s="1"/>
  <c r="BE248" i="9" s="1"/>
  <c r="N247" i="9"/>
  <c r="M247" i="9"/>
  <c r="L247" i="9"/>
  <c r="K247" i="9"/>
  <c r="I247" i="9" s="1"/>
  <c r="BG247" i="9" s="1"/>
  <c r="J247" i="9"/>
  <c r="BG246" i="9"/>
  <c r="Z246" i="9"/>
  <c r="W246" i="9"/>
  <c r="V246" i="9"/>
  <c r="U246" i="9"/>
  <c r="Y246" i="9" s="1"/>
  <c r="T246" i="9"/>
  <c r="X246" i="9" s="1"/>
  <c r="P246" i="9"/>
  <c r="Z245" i="9"/>
  <c r="Y245" i="9"/>
  <c r="X245" i="9"/>
  <c r="W245" i="9"/>
  <c r="AA245" i="9" s="1"/>
  <c r="V245" i="9"/>
  <c r="N245" i="9"/>
  <c r="M245" i="9"/>
  <c r="L245" i="9"/>
  <c r="K245" i="9"/>
  <c r="I245" i="9" s="1"/>
  <c r="BG245" i="9" s="1"/>
  <c r="J245" i="9"/>
  <c r="AE245" i="9" s="1"/>
  <c r="BE245" i="9" s="1"/>
  <c r="AE244" i="9"/>
  <c r="BE244" i="9" s="1"/>
  <c r="V244" i="9"/>
  <c r="N244" i="9"/>
  <c r="M244" i="9"/>
  <c r="L244" i="9"/>
  <c r="K244" i="9"/>
  <c r="J244" i="9"/>
  <c r="U244" i="9" s="1"/>
  <c r="I244" i="9"/>
  <c r="BG244" i="9" s="1"/>
  <c r="N243" i="9"/>
  <c r="M243" i="9"/>
  <c r="L243" i="9"/>
  <c r="U243" i="9" s="1"/>
  <c r="K243" i="9"/>
  <c r="W243" i="9" s="1"/>
  <c r="J243" i="9"/>
  <c r="T243" i="9" s="1"/>
  <c r="N242" i="9"/>
  <c r="M242" i="9"/>
  <c r="L242" i="9"/>
  <c r="K242" i="9"/>
  <c r="T242" i="9" s="1"/>
  <c r="J242" i="9"/>
  <c r="N241" i="9"/>
  <c r="M241" i="9"/>
  <c r="L241" i="9"/>
  <c r="K241" i="9"/>
  <c r="I241" i="9" s="1"/>
  <c r="BG241" i="9" s="1"/>
  <c r="J241" i="9"/>
  <c r="N240" i="9"/>
  <c r="M240" i="9"/>
  <c r="L240" i="9"/>
  <c r="K240" i="9"/>
  <c r="J240" i="9"/>
  <c r="U240" i="9" s="1"/>
  <c r="I240" i="9"/>
  <c r="BG240" i="9" s="1"/>
  <c r="N239" i="9"/>
  <c r="M239" i="9"/>
  <c r="L239" i="9"/>
  <c r="U239" i="9" s="1"/>
  <c r="K239" i="9"/>
  <c r="J239" i="9"/>
  <c r="T239" i="9" s="1"/>
  <c r="N238" i="9"/>
  <c r="M238" i="9"/>
  <c r="L238" i="9"/>
  <c r="K238" i="9"/>
  <c r="T238" i="9" s="1"/>
  <c r="J238" i="9"/>
  <c r="W237" i="9"/>
  <c r="V237" i="9"/>
  <c r="N237" i="9"/>
  <c r="M237" i="9"/>
  <c r="L237" i="9"/>
  <c r="K237" i="9"/>
  <c r="I237" i="9" s="1"/>
  <c r="BG237" i="9" s="1"/>
  <c r="J237" i="9"/>
  <c r="AE237" i="9" s="1"/>
  <c r="BE237" i="9" s="1"/>
  <c r="AE236" i="9"/>
  <c r="BE236" i="9" s="1"/>
  <c r="Z236" i="9"/>
  <c r="Y236" i="9"/>
  <c r="X236" i="9"/>
  <c r="W236" i="9"/>
  <c r="V236" i="9"/>
  <c r="AA236" i="9" s="1"/>
  <c r="N236" i="9"/>
  <c r="M236" i="9"/>
  <c r="L236" i="9"/>
  <c r="K236" i="9"/>
  <c r="J236" i="9"/>
  <c r="U236" i="9" s="1"/>
  <c r="I236" i="9"/>
  <c r="BG236" i="9" s="1"/>
  <c r="BE235" i="9"/>
  <c r="AE235" i="9"/>
  <c r="Z235" i="9"/>
  <c r="Y235" i="9"/>
  <c r="X235" i="9"/>
  <c r="W235" i="9"/>
  <c r="V235" i="9"/>
  <c r="AA235" i="9" s="1"/>
  <c r="N235" i="9"/>
  <c r="M235" i="9"/>
  <c r="L235" i="9"/>
  <c r="U235" i="9" s="1"/>
  <c r="K235" i="9"/>
  <c r="J235" i="9"/>
  <c r="T235" i="9" s="1"/>
  <c r="N234" i="9"/>
  <c r="M234" i="9"/>
  <c r="L234" i="9"/>
  <c r="K234" i="9"/>
  <c r="T234" i="9" s="1"/>
  <c r="J234" i="9"/>
  <c r="Z233" i="9"/>
  <c r="Y233" i="9"/>
  <c r="X233" i="9"/>
  <c r="W233" i="9"/>
  <c r="AA233" i="9" s="1"/>
  <c r="V233" i="9"/>
  <c r="N233" i="9"/>
  <c r="M233" i="9"/>
  <c r="L233" i="9"/>
  <c r="K233" i="9"/>
  <c r="I233" i="9" s="1"/>
  <c r="BG233" i="9" s="1"/>
  <c r="J233" i="9"/>
  <c r="AE233" i="9" s="1"/>
  <c r="BE233" i="9" s="1"/>
  <c r="N232" i="9"/>
  <c r="M232" i="9"/>
  <c r="L232" i="9"/>
  <c r="K232" i="9"/>
  <c r="J232" i="9"/>
  <c r="U232" i="9" s="1"/>
  <c r="I232" i="9"/>
  <c r="BG232" i="9" s="1"/>
  <c r="N231" i="9"/>
  <c r="M231" i="9"/>
  <c r="L231" i="9"/>
  <c r="U231" i="9" s="1"/>
  <c r="K231" i="9"/>
  <c r="J231" i="9"/>
  <c r="T231" i="9" s="1"/>
  <c r="N230" i="9"/>
  <c r="M230" i="9"/>
  <c r="L230" i="9"/>
  <c r="K230" i="9"/>
  <c r="T230" i="9" s="1"/>
  <c r="J230" i="9"/>
  <c r="N229" i="9"/>
  <c r="M229" i="9"/>
  <c r="L229" i="9"/>
  <c r="K229" i="9"/>
  <c r="I229" i="9" s="1"/>
  <c r="BG229" i="9" s="1"/>
  <c r="J229" i="9"/>
  <c r="N228" i="9"/>
  <c r="M228" i="9"/>
  <c r="L228" i="9"/>
  <c r="K228" i="9"/>
  <c r="J228" i="9"/>
  <c r="U228" i="9" s="1"/>
  <c r="I228" i="9"/>
  <c r="BG228" i="9" s="1"/>
  <c r="BG227" i="9"/>
  <c r="U227" i="9"/>
  <c r="Y227" i="9" s="1"/>
  <c r="T227" i="9"/>
  <c r="X227" i="9" s="1"/>
  <c r="P227" i="9"/>
  <c r="AE226" i="9"/>
  <c r="BE226" i="9" s="1"/>
  <c r="Z226" i="9"/>
  <c r="Y226" i="9"/>
  <c r="X226" i="9"/>
  <c r="W226" i="9"/>
  <c r="V226" i="9"/>
  <c r="AA226" i="9" s="1"/>
  <c r="N226" i="9"/>
  <c r="M226" i="9"/>
  <c r="L226" i="9"/>
  <c r="K226" i="9"/>
  <c r="J226" i="9"/>
  <c r="U226" i="9" s="1"/>
  <c r="I226" i="9"/>
  <c r="BG226" i="9" s="1"/>
  <c r="N225" i="9"/>
  <c r="M225" i="9"/>
  <c r="L225" i="9"/>
  <c r="U225" i="9" s="1"/>
  <c r="K225" i="9"/>
  <c r="J225" i="9"/>
  <c r="T225" i="9" s="1"/>
  <c r="N224" i="9"/>
  <c r="M224" i="9"/>
  <c r="L224" i="9"/>
  <c r="K224" i="9"/>
  <c r="T224" i="9" s="1"/>
  <c r="J224" i="9"/>
  <c r="N223" i="9"/>
  <c r="M223" i="9"/>
  <c r="L223" i="9"/>
  <c r="K223" i="9"/>
  <c r="I223" i="9" s="1"/>
  <c r="BG223" i="9" s="1"/>
  <c r="J223" i="9"/>
  <c r="N222" i="9"/>
  <c r="M222" i="9"/>
  <c r="L222" i="9"/>
  <c r="K222" i="9"/>
  <c r="J222" i="9"/>
  <c r="U222" i="9" s="1"/>
  <c r="I222" i="9"/>
  <c r="BG222" i="9" s="1"/>
  <c r="N221" i="9"/>
  <c r="M221" i="9"/>
  <c r="L221" i="9"/>
  <c r="U221" i="9" s="1"/>
  <c r="K221" i="9"/>
  <c r="J221" i="9"/>
  <c r="T221" i="9" s="1"/>
  <c r="N220" i="9"/>
  <c r="M220" i="9"/>
  <c r="L220" i="9"/>
  <c r="K220" i="9"/>
  <c r="T220" i="9" s="1"/>
  <c r="J220" i="9"/>
  <c r="N219" i="9"/>
  <c r="M219" i="9"/>
  <c r="L219" i="9"/>
  <c r="K219" i="9"/>
  <c r="I219" i="9" s="1"/>
  <c r="BG219" i="9" s="1"/>
  <c r="J219" i="9"/>
  <c r="N218" i="9"/>
  <c r="M218" i="9"/>
  <c r="L218" i="9"/>
  <c r="K218" i="9"/>
  <c r="J218" i="9"/>
  <c r="U218" i="9" s="1"/>
  <c r="I218" i="9"/>
  <c r="BG218" i="9" s="1"/>
  <c r="N217" i="9"/>
  <c r="M217" i="9"/>
  <c r="L217" i="9"/>
  <c r="U217" i="9" s="1"/>
  <c r="K217" i="9"/>
  <c r="W217" i="9" s="1"/>
  <c r="J217" i="9"/>
  <c r="T217" i="9" s="1"/>
  <c r="V216" i="9"/>
  <c r="N216" i="9"/>
  <c r="M216" i="9"/>
  <c r="L216" i="9"/>
  <c r="K216" i="9"/>
  <c r="T216" i="9" s="1"/>
  <c r="J216" i="9"/>
  <c r="AE216" i="9" s="1"/>
  <c r="BE216" i="9" s="1"/>
  <c r="Z215" i="9"/>
  <c r="Y215" i="9"/>
  <c r="X215" i="9"/>
  <c r="W215" i="9"/>
  <c r="AA215" i="9" s="1"/>
  <c r="V215" i="9"/>
  <c r="N215" i="9"/>
  <c r="M215" i="9"/>
  <c r="L215" i="9"/>
  <c r="K215" i="9"/>
  <c r="I215" i="9" s="1"/>
  <c r="BG215" i="9" s="1"/>
  <c r="J215" i="9"/>
  <c r="AE215" i="9" s="1"/>
  <c r="BE215" i="9" s="1"/>
  <c r="N214" i="9"/>
  <c r="M214" i="9"/>
  <c r="L214" i="9"/>
  <c r="K214" i="9"/>
  <c r="J214" i="9"/>
  <c r="U214" i="9" s="1"/>
  <c r="I214" i="9"/>
  <c r="BG214" i="9" s="1"/>
  <c r="N213" i="9"/>
  <c r="M213" i="9"/>
  <c r="L213" i="9"/>
  <c r="U213" i="9" s="1"/>
  <c r="K213" i="9"/>
  <c r="J213" i="9"/>
  <c r="T213" i="9" s="1"/>
  <c r="N212" i="9"/>
  <c r="M212" i="9"/>
  <c r="L212" i="9"/>
  <c r="K212" i="9"/>
  <c r="T212" i="9" s="1"/>
  <c r="J212" i="9"/>
  <c r="N211" i="9"/>
  <c r="M211" i="9"/>
  <c r="L211" i="9"/>
  <c r="K211" i="9"/>
  <c r="I211" i="9" s="1"/>
  <c r="BG211" i="9" s="1"/>
  <c r="J211" i="9"/>
  <c r="N210" i="9"/>
  <c r="M210" i="9"/>
  <c r="L210" i="9"/>
  <c r="K210" i="9"/>
  <c r="J210" i="9"/>
  <c r="U210" i="9" s="1"/>
  <c r="I210" i="9"/>
  <c r="BG210" i="9" s="1"/>
  <c r="BE209" i="9"/>
  <c r="AE209" i="9"/>
  <c r="V209" i="9"/>
  <c r="N209" i="9"/>
  <c r="M209" i="9"/>
  <c r="L209" i="9"/>
  <c r="U209" i="9" s="1"/>
  <c r="K209" i="9"/>
  <c r="J209" i="9"/>
  <c r="T209" i="9" s="1"/>
  <c r="Z208" i="9"/>
  <c r="Y208" i="9"/>
  <c r="X208" i="9"/>
  <c r="W208" i="9"/>
  <c r="V208" i="9"/>
  <c r="AA208" i="9" s="1"/>
  <c r="N208" i="9"/>
  <c r="M208" i="9"/>
  <c r="L208" i="9"/>
  <c r="K208" i="9"/>
  <c r="T208" i="9" s="1"/>
  <c r="J208" i="9"/>
  <c r="AE208" i="9" s="1"/>
  <c r="BE208" i="9" s="1"/>
  <c r="N207" i="9"/>
  <c r="M207" i="9"/>
  <c r="L207" i="9"/>
  <c r="K207" i="9"/>
  <c r="I207" i="9" s="1"/>
  <c r="BG207" i="9" s="1"/>
  <c r="J207" i="9"/>
  <c r="N206" i="9"/>
  <c r="M206" i="9"/>
  <c r="L206" i="9"/>
  <c r="K206" i="9"/>
  <c r="J206" i="9"/>
  <c r="U206" i="9" s="1"/>
  <c r="I206" i="9"/>
  <c r="BG206" i="9" s="1"/>
  <c r="BG205" i="9"/>
  <c r="Y205" i="9"/>
  <c r="U205" i="9"/>
  <c r="T205" i="9"/>
  <c r="X205" i="9" s="1"/>
  <c r="P205" i="9"/>
  <c r="AE204" i="9"/>
  <c r="BE204" i="9" s="1"/>
  <c r="Z204" i="9"/>
  <c r="Y204" i="9"/>
  <c r="X204" i="9"/>
  <c r="W204" i="9"/>
  <c r="V204" i="9"/>
  <c r="AA204" i="9" s="1"/>
  <c r="N204" i="9"/>
  <c r="M204" i="9"/>
  <c r="L204" i="9"/>
  <c r="K204" i="9"/>
  <c r="J204" i="9"/>
  <c r="U204" i="9" s="1"/>
  <c r="I204" i="9"/>
  <c r="BG204" i="9" s="1"/>
  <c r="BE203" i="9"/>
  <c r="AE203" i="9"/>
  <c r="Y203" i="9"/>
  <c r="X203" i="9"/>
  <c r="W203" i="9"/>
  <c r="V203" i="9"/>
  <c r="N203" i="9"/>
  <c r="M203" i="9"/>
  <c r="L203" i="9"/>
  <c r="I203" i="9" s="1"/>
  <c r="BG203" i="9" s="1"/>
  <c r="K203" i="9"/>
  <c r="J203" i="9"/>
  <c r="T203" i="9" s="1"/>
  <c r="V202" i="9"/>
  <c r="N202" i="9"/>
  <c r="M202" i="9"/>
  <c r="L202" i="9"/>
  <c r="K202" i="9"/>
  <c r="J202" i="9"/>
  <c r="AE202" i="9" s="1"/>
  <c r="BE202" i="9" s="1"/>
  <c r="N201" i="9"/>
  <c r="M201" i="9"/>
  <c r="L201" i="9"/>
  <c r="K201" i="9"/>
  <c r="J201" i="9"/>
  <c r="N200" i="9"/>
  <c r="M200" i="9"/>
  <c r="L200" i="9"/>
  <c r="K200" i="9"/>
  <c r="J200" i="9"/>
  <c r="I200" i="9"/>
  <c r="BG200" i="9" s="1"/>
  <c r="BE199" i="9"/>
  <c r="AE199" i="9"/>
  <c r="V199" i="9"/>
  <c r="N199" i="9"/>
  <c r="M199" i="9"/>
  <c r="L199" i="9"/>
  <c r="K199" i="9"/>
  <c r="J199" i="9"/>
  <c r="T199" i="9" s="1"/>
  <c r="N198" i="9"/>
  <c r="M198" i="9"/>
  <c r="L198" i="9"/>
  <c r="K198" i="9"/>
  <c r="J198" i="9"/>
  <c r="T197" i="9"/>
  <c r="N197" i="9"/>
  <c r="M197" i="9"/>
  <c r="L197" i="9"/>
  <c r="K197" i="9"/>
  <c r="I197" i="9" s="1"/>
  <c r="BG197" i="9" s="1"/>
  <c r="J197" i="9"/>
  <c r="V196" i="9"/>
  <c r="N196" i="9"/>
  <c r="M196" i="9"/>
  <c r="L196" i="9"/>
  <c r="K196" i="9"/>
  <c r="J196" i="9"/>
  <c r="N195" i="9"/>
  <c r="M195" i="9"/>
  <c r="L195" i="9"/>
  <c r="K195" i="9"/>
  <c r="J195" i="9"/>
  <c r="N194" i="9"/>
  <c r="M194" i="9"/>
  <c r="L194" i="9"/>
  <c r="K194" i="9"/>
  <c r="J194" i="9"/>
  <c r="Z193" i="9"/>
  <c r="Y193" i="9"/>
  <c r="N193" i="9"/>
  <c r="M193" i="9"/>
  <c r="L193" i="9"/>
  <c r="K193" i="9"/>
  <c r="J193" i="9"/>
  <c r="U193" i="9" s="1"/>
  <c r="N192" i="9"/>
  <c r="M192" i="9"/>
  <c r="L192" i="9"/>
  <c r="K192" i="9"/>
  <c r="J192" i="9"/>
  <c r="AE192" i="9" s="1"/>
  <c r="BE192" i="9" s="1"/>
  <c r="AE191" i="9"/>
  <c r="BE191" i="9" s="1"/>
  <c r="Z191" i="9"/>
  <c r="Y191" i="9"/>
  <c r="X191" i="9"/>
  <c r="W191" i="9"/>
  <c r="V191" i="9"/>
  <c r="AA191" i="9" s="1"/>
  <c r="N191" i="9"/>
  <c r="M191" i="9"/>
  <c r="L191" i="9"/>
  <c r="U191" i="9" s="1"/>
  <c r="K191" i="9"/>
  <c r="J191" i="9"/>
  <c r="T191" i="9" s="1"/>
  <c r="I191" i="9"/>
  <c r="BG191" i="9" s="1"/>
  <c r="BE190" i="9"/>
  <c r="AE190" i="9"/>
  <c r="Z190" i="9"/>
  <c r="Y190" i="9"/>
  <c r="X190" i="9"/>
  <c r="W190" i="9"/>
  <c r="V190" i="9"/>
  <c r="AA190" i="9" s="1"/>
  <c r="N190" i="9"/>
  <c r="M190" i="9"/>
  <c r="L190" i="9"/>
  <c r="U190" i="9" s="1"/>
  <c r="K190" i="9"/>
  <c r="T190" i="9" s="1"/>
  <c r="J190" i="9"/>
  <c r="Z189" i="9"/>
  <c r="Y189" i="9"/>
  <c r="W189" i="9"/>
  <c r="V189" i="9"/>
  <c r="N189" i="9"/>
  <c r="M189" i="9"/>
  <c r="L189" i="9"/>
  <c r="K189" i="9"/>
  <c r="I189" i="9" s="1"/>
  <c r="BG189" i="9" s="1"/>
  <c r="J189" i="9"/>
  <c r="AE189" i="9" s="1"/>
  <c r="BE189" i="9" s="1"/>
  <c r="Z188" i="9"/>
  <c r="Y188" i="9"/>
  <c r="W188" i="9"/>
  <c r="V188" i="9"/>
  <c r="N188" i="9"/>
  <c r="M188" i="9"/>
  <c r="L188" i="9"/>
  <c r="K188" i="9"/>
  <c r="J188" i="9"/>
  <c r="AE188" i="9" s="1"/>
  <c r="BE188" i="9" s="1"/>
  <c r="AE187" i="9"/>
  <c r="BE187" i="9" s="1"/>
  <c r="Y187" i="9"/>
  <c r="X187" i="9"/>
  <c r="W187" i="9"/>
  <c r="V187" i="9"/>
  <c r="N187" i="9"/>
  <c r="M187" i="9"/>
  <c r="L187" i="9"/>
  <c r="U187" i="9" s="1"/>
  <c r="K187" i="9"/>
  <c r="J187" i="9"/>
  <c r="T187" i="9" s="1"/>
  <c r="Z187" i="9" s="1"/>
  <c r="I187" i="9"/>
  <c r="BG187" i="9" s="1"/>
  <c r="V186" i="9"/>
  <c r="N186" i="9"/>
  <c r="M186" i="9"/>
  <c r="L186" i="9"/>
  <c r="K186" i="9"/>
  <c r="T186" i="9" s="1"/>
  <c r="J186" i="9"/>
  <c r="AE186" i="9" s="1"/>
  <c r="BE186" i="9" s="1"/>
  <c r="N185" i="9"/>
  <c r="M185" i="9"/>
  <c r="L185" i="9"/>
  <c r="K185" i="9"/>
  <c r="J185" i="9"/>
  <c r="AE185" i="9" s="1"/>
  <c r="BE185" i="9" s="1"/>
  <c r="N184" i="9"/>
  <c r="M184" i="9"/>
  <c r="L184" i="9"/>
  <c r="K184" i="9"/>
  <c r="J184" i="9"/>
  <c r="AE184" i="9" s="1"/>
  <c r="BE184" i="9" s="1"/>
  <c r="N183" i="9"/>
  <c r="M183" i="9"/>
  <c r="L183" i="9"/>
  <c r="U183" i="9" s="1"/>
  <c r="K183" i="9"/>
  <c r="J183" i="9"/>
  <c r="T183" i="9" s="1"/>
  <c r="I183" i="9"/>
  <c r="BG183" i="9" s="1"/>
  <c r="BE182" i="9"/>
  <c r="AE182" i="9"/>
  <c r="Z182" i="9"/>
  <c r="Y182" i="9"/>
  <c r="X182" i="9"/>
  <c r="V182" i="9"/>
  <c r="N182" i="9"/>
  <c r="M182" i="9"/>
  <c r="L182" i="9"/>
  <c r="U182" i="9" s="1"/>
  <c r="K182" i="9"/>
  <c r="T182" i="9" s="1"/>
  <c r="J182" i="9"/>
  <c r="Z181" i="9"/>
  <c r="Y181" i="9"/>
  <c r="X181" i="9"/>
  <c r="W181" i="9"/>
  <c r="AA181" i="9" s="1"/>
  <c r="V181" i="9"/>
  <c r="N181" i="9"/>
  <c r="M181" i="9"/>
  <c r="L181" i="9"/>
  <c r="K181" i="9"/>
  <c r="I181" i="9" s="1"/>
  <c r="BG181" i="9" s="1"/>
  <c r="J181" i="9"/>
  <c r="AE181" i="9" s="1"/>
  <c r="BE181" i="9" s="1"/>
  <c r="Z180" i="9"/>
  <c r="Y180" i="9"/>
  <c r="X180" i="9"/>
  <c r="W180" i="9"/>
  <c r="AA180" i="9" s="1"/>
  <c r="V180" i="9"/>
  <c r="N180" i="9"/>
  <c r="M180" i="9"/>
  <c r="L180" i="9"/>
  <c r="K180" i="9"/>
  <c r="J180" i="9"/>
  <c r="AE180" i="9" s="1"/>
  <c r="BE180" i="9" s="1"/>
  <c r="N179" i="9"/>
  <c r="M179" i="9"/>
  <c r="Y179" i="9" s="1"/>
  <c r="L179" i="9"/>
  <c r="U179" i="9" s="1"/>
  <c r="K179" i="9"/>
  <c r="J179" i="9"/>
  <c r="T179" i="9" s="1"/>
  <c r="I179" i="9"/>
  <c r="BG179" i="9" s="1"/>
  <c r="N178" i="9"/>
  <c r="M178" i="9"/>
  <c r="L178" i="9"/>
  <c r="K178" i="9"/>
  <c r="T178" i="9" s="1"/>
  <c r="J178" i="9"/>
  <c r="AE178" i="9" s="1"/>
  <c r="BE178" i="9" s="1"/>
  <c r="N177" i="9"/>
  <c r="M177" i="9"/>
  <c r="L177" i="9"/>
  <c r="K177" i="9"/>
  <c r="J177" i="9"/>
  <c r="AE177" i="9" s="1"/>
  <c r="BE177" i="9" s="1"/>
  <c r="N176" i="9"/>
  <c r="M176" i="9"/>
  <c r="L176" i="9"/>
  <c r="K176" i="9"/>
  <c r="J176" i="9"/>
  <c r="AE176" i="9" s="1"/>
  <c r="BE176" i="9" s="1"/>
  <c r="N175" i="9"/>
  <c r="M175" i="9"/>
  <c r="L175" i="9"/>
  <c r="K175" i="9"/>
  <c r="J175" i="9"/>
  <c r="U175" i="9" s="1"/>
  <c r="I175" i="9"/>
  <c r="BG175" i="9" s="1"/>
  <c r="Y174" i="9"/>
  <c r="X174" i="9"/>
  <c r="W174" i="9"/>
  <c r="V174" i="9"/>
  <c r="N174" i="9"/>
  <c r="M174" i="9"/>
  <c r="L174" i="9"/>
  <c r="U174" i="9" s="1"/>
  <c r="K174" i="9"/>
  <c r="T174" i="9" s="1"/>
  <c r="J174" i="9"/>
  <c r="AE174" i="9" s="1"/>
  <c r="BE174" i="9" s="1"/>
  <c r="V173" i="9"/>
  <c r="N173" i="9"/>
  <c r="M173" i="9"/>
  <c r="L173" i="9"/>
  <c r="K173" i="9"/>
  <c r="J173" i="9"/>
  <c r="AE173" i="9" s="1"/>
  <c r="BE173" i="9" s="1"/>
  <c r="N172" i="9"/>
  <c r="M172" i="9"/>
  <c r="L172" i="9"/>
  <c r="K172" i="9"/>
  <c r="J172" i="9"/>
  <c r="AE172" i="9" s="1"/>
  <c r="BE172" i="9" s="1"/>
  <c r="AE171" i="9"/>
  <c r="BE171" i="9" s="1"/>
  <c r="Z171" i="9"/>
  <c r="Y171" i="9"/>
  <c r="X171" i="9"/>
  <c r="W171" i="9"/>
  <c r="V171" i="9"/>
  <c r="AA171" i="9" s="1"/>
  <c r="N171" i="9"/>
  <c r="M171" i="9"/>
  <c r="L171" i="9"/>
  <c r="U171" i="9" s="1"/>
  <c r="K171" i="9"/>
  <c r="J171" i="9"/>
  <c r="T171" i="9" s="1"/>
  <c r="I171" i="9"/>
  <c r="BG171" i="9" s="1"/>
  <c r="N170" i="9"/>
  <c r="M170" i="9"/>
  <c r="L170" i="9"/>
  <c r="K170" i="9"/>
  <c r="J170" i="9"/>
  <c r="T170" i="9" s="1"/>
  <c r="V169" i="9"/>
  <c r="N169" i="9"/>
  <c r="M169" i="9"/>
  <c r="L169" i="9"/>
  <c r="K169" i="9"/>
  <c r="J169" i="9"/>
  <c r="AE169" i="9" s="1"/>
  <c r="BE169" i="9" s="1"/>
  <c r="N168" i="9"/>
  <c r="M168" i="9"/>
  <c r="L168" i="9"/>
  <c r="K168" i="9"/>
  <c r="J168" i="9"/>
  <c r="AE168" i="9" s="1"/>
  <c r="BE168" i="9" s="1"/>
  <c r="AE167" i="9"/>
  <c r="BE167" i="9" s="1"/>
  <c r="Z167" i="9"/>
  <c r="Y167" i="9"/>
  <c r="X167" i="9"/>
  <c r="W167" i="9"/>
  <c r="V167" i="9"/>
  <c r="AA167" i="9" s="1"/>
  <c r="N167" i="9"/>
  <c r="M167" i="9"/>
  <c r="L167" i="9"/>
  <c r="K167" i="9"/>
  <c r="J167" i="9"/>
  <c r="U167" i="9" s="1"/>
  <c r="I167" i="9"/>
  <c r="BG167" i="9" s="1"/>
  <c r="Z166" i="9"/>
  <c r="Y166" i="9"/>
  <c r="X166" i="9"/>
  <c r="W166" i="9"/>
  <c r="V166" i="9"/>
  <c r="AA166" i="9" s="1"/>
  <c r="N166" i="9"/>
  <c r="M166" i="9"/>
  <c r="L166" i="9"/>
  <c r="U166" i="9" s="1"/>
  <c r="K166" i="9"/>
  <c r="J166" i="9"/>
  <c r="T166" i="9" s="1"/>
  <c r="N165" i="9"/>
  <c r="M165" i="9"/>
  <c r="L165" i="9"/>
  <c r="K165" i="9"/>
  <c r="J165" i="9"/>
  <c r="AE165" i="9" s="1"/>
  <c r="BE165" i="9" s="1"/>
  <c r="N164" i="9"/>
  <c r="M164" i="9"/>
  <c r="L164" i="9"/>
  <c r="K164" i="9"/>
  <c r="J164" i="9"/>
  <c r="AE164" i="9" s="1"/>
  <c r="BE164" i="9" s="1"/>
  <c r="N163" i="9"/>
  <c r="M163" i="9"/>
  <c r="L163" i="9"/>
  <c r="K163" i="9"/>
  <c r="J163" i="9"/>
  <c r="U163" i="9" s="1"/>
  <c r="I163" i="9"/>
  <c r="BG163" i="9" s="1"/>
  <c r="X162" i="9"/>
  <c r="W162" i="9"/>
  <c r="V162" i="9"/>
  <c r="N162" i="9"/>
  <c r="M162" i="9"/>
  <c r="L162" i="9"/>
  <c r="U162" i="9" s="1"/>
  <c r="K162" i="9"/>
  <c r="J162" i="9"/>
  <c r="T162" i="9" s="1"/>
  <c r="V161" i="9"/>
  <c r="N161" i="9"/>
  <c r="M161" i="9"/>
  <c r="L161" i="9"/>
  <c r="K161" i="9"/>
  <c r="J161" i="9"/>
  <c r="AE161" i="9" s="1"/>
  <c r="BE161" i="9" s="1"/>
  <c r="N160" i="9"/>
  <c r="M160" i="9"/>
  <c r="L160" i="9"/>
  <c r="K160" i="9"/>
  <c r="J160" i="9"/>
  <c r="AE160" i="9" s="1"/>
  <c r="BE160" i="9" s="1"/>
  <c r="N159" i="9"/>
  <c r="M159" i="9"/>
  <c r="L159" i="9"/>
  <c r="K159" i="9"/>
  <c r="J159" i="9"/>
  <c r="U159" i="9" s="1"/>
  <c r="I159" i="9"/>
  <c r="BG159" i="9" s="1"/>
  <c r="N158" i="9"/>
  <c r="M158" i="9"/>
  <c r="L158" i="9"/>
  <c r="K158" i="9"/>
  <c r="J158" i="9"/>
  <c r="T158" i="9" s="1"/>
  <c r="BG157" i="9"/>
  <c r="U157" i="9"/>
  <c r="T157" i="9"/>
  <c r="W157" i="9" s="1"/>
  <c r="P157" i="9"/>
  <c r="Z156" i="9"/>
  <c r="Y156" i="9"/>
  <c r="X156" i="9"/>
  <c r="W156" i="9"/>
  <c r="AA156" i="9" s="1"/>
  <c r="V156" i="9"/>
  <c r="N156" i="9"/>
  <c r="M156" i="9"/>
  <c r="L156" i="9"/>
  <c r="U156" i="9" s="1"/>
  <c r="K156" i="9"/>
  <c r="J156" i="9"/>
  <c r="T156" i="9" s="1"/>
  <c r="AE155" i="9"/>
  <c r="BE155" i="9" s="1"/>
  <c r="Y155" i="9"/>
  <c r="X155" i="9"/>
  <c r="W155" i="9"/>
  <c r="V155" i="9"/>
  <c r="N155" i="9"/>
  <c r="M155" i="9"/>
  <c r="L155" i="9"/>
  <c r="K155" i="9"/>
  <c r="I155" i="9" s="1"/>
  <c r="J155" i="9"/>
  <c r="U155" i="9" s="1"/>
  <c r="V154" i="9"/>
  <c r="N154" i="9"/>
  <c r="M154" i="9"/>
  <c r="L154" i="9"/>
  <c r="K154" i="9"/>
  <c r="J154" i="9"/>
  <c r="AE154" i="9" s="1"/>
  <c r="BE154" i="9" s="1"/>
  <c r="N153" i="9"/>
  <c r="M153" i="9"/>
  <c r="Y153" i="9" s="1"/>
  <c r="L153" i="9"/>
  <c r="K153" i="9"/>
  <c r="T153" i="9" s="1"/>
  <c r="J153" i="9"/>
  <c r="U153" i="9" s="1"/>
  <c r="I153" i="9"/>
  <c r="BG153" i="9" s="1"/>
  <c r="V152" i="9"/>
  <c r="N152" i="9"/>
  <c r="M152" i="9"/>
  <c r="L152" i="9"/>
  <c r="K152" i="9"/>
  <c r="J152" i="9"/>
  <c r="T152" i="9" s="1"/>
  <c r="N151" i="9"/>
  <c r="M151" i="9"/>
  <c r="L151" i="9"/>
  <c r="K151" i="9"/>
  <c r="J151" i="9"/>
  <c r="U151" i="9" s="1"/>
  <c r="N150" i="9"/>
  <c r="M150" i="9"/>
  <c r="L150" i="9"/>
  <c r="K150" i="9"/>
  <c r="J150" i="9"/>
  <c r="AE150" i="9" s="1"/>
  <c r="BE150" i="9" s="1"/>
  <c r="N149" i="9"/>
  <c r="M149" i="9"/>
  <c r="L149" i="9"/>
  <c r="K149" i="9"/>
  <c r="T149" i="9" s="1"/>
  <c r="J149" i="9"/>
  <c r="U149" i="9" s="1"/>
  <c r="I149" i="9"/>
  <c r="BG149" i="9" s="1"/>
  <c r="N148" i="9"/>
  <c r="M148" i="9"/>
  <c r="L148" i="9"/>
  <c r="K148" i="9"/>
  <c r="J148" i="9"/>
  <c r="T148" i="9" s="1"/>
  <c r="N147" i="9"/>
  <c r="M147" i="9"/>
  <c r="L147" i="9"/>
  <c r="K147" i="9"/>
  <c r="J147" i="9"/>
  <c r="U147" i="9" s="1"/>
  <c r="V146" i="9"/>
  <c r="N146" i="9"/>
  <c r="M146" i="9"/>
  <c r="L146" i="9"/>
  <c r="K146" i="9"/>
  <c r="J146" i="9"/>
  <c r="AE146" i="9" s="1"/>
  <c r="BE146" i="9" s="1"/>
  <c r="N145" i="9"/>
  <c r="M145" i="9"/>
  <c r="Y145" i="9" s="1"/>
  <c r="L145" i="9"/>
  <c r="K145" i="9"/>
  <c r="T145" i="9" s="1"/>
  <c r="J145" i="9"/>
  <c r="U145" i="9" s="1"/>
  <c r="I145" i="9"/>
  <c r="BG145" i="9" s="1"/>
  <c r="BH144" i="9"/>
  <c r="BG144" i="9"/>
  <c r="BF144" i="9"/>
  <c r="BE144" i="9"/>
  <c r="BC144" i="9"/>
  <c r="BA144" i="9"/>
  <c r="AZ144" i="9"/>
  <c r="AF144" i="9"/>
  <c r="AE144" i="9"/>
  <c r="AC144" i="9"/>
  <c r="AB144" i="9"/>
  <c r="AA144" i="9"/>
  <c r="Y144" i="9"/>
  <c r="W144" i="9"/>
  <c r="U144" i="9"/>
  <c r="T144" i="9"/>
  <c r="S144" i="9"/>
  <c r="R144" i="9"/>
  <c r="Q144" i="9"/>
  <c r="P144" i="9"/>
  <c r="N144" i="9"/>
  <c r="Z144" i="9" s="1"/>
  <c r="M144" i="9"/>
  <c r="L144" i="9"/>
  <c r="X144" i="9" s="1"/>
  <c r="K144" i="9"/>
  <c r="I144" i="9" s="1"/>
  <c r="J144" i="9"/>
  <c r="V143" i="9"/>
  <c r="N143" i="9"/>
  <c r="M143" i="9"/>
  <c r="L143" i="9"/>
  <c r="K143" i="9"/>
  <c r="J143" i="9"/>
  <c r="I143" i="9"/>
  <c r="N142" i="9"/>
  <c r="M142" i="9"/>
  <c r="L142" i="9"/>
  <c r="K142" i="9"/>
  <c r="I142" i="9" s="1"/>
  <c r="J142" i="9"/>
  <c r="N141" i="9"/>
  <c r="M141" i="9"/>
  <c r="L141" i="9"/>
  <c r="K141" i="9"/>
  <c r="J141" i="9"/>
  <c r="I141" i="9"/>
  <c r="N140" i="9"/>
  <c r="M140" i="9"/>
  <c r="L140" i="9"/>
  <c r="K140" i="9"/>
  <c r="I140" i="9" s="1"/>
  <c r="J140" i="9"/>
  <c r="N139" i="9"/>
  <c r="M139" i="9"/>
  <c r="L139" i="9"/>
  <c r="K139" i="9"/>
  <c r="J139" i="9"/>
  <c r="I139" i="9"/>
  <c r="N138" i="9"/>
  <c r="M138" i="9"/>
  <c r="L138" i="9"/>
  <c r="K138" i="9"/>
  <c r="I138" i="9" s="1"/>
  <c r="J138" i="9"/>
  <c r="N137" i="9"/>
  <c r="M137" i="9"/>
  <c r="L137" i="9"/>
  <c r="K137" i="9"/>
  <c r="J137" i="9"/>
  <c r="I137" i="9"/>
  <c r="N136" i="9"/>
  <c r="M136" i="9"/>
  <c r="L136" i="9"/>
  <c r="K136" i="9"/>
  <c r="I136" i="9" s="1"/>
  <c r="J136" i="9"/>
  <c r="N135" i="9"/>
  <c r="M135" i="9"/>
  <c r="L135" i="9"/>
  <c r="K135" i="9"/>
  <c r="J135" i="9"/>
  <c r="I135" i="9"/>
  <c r="N134" i="9"/>
  <c r="M134" i="9"/>
  <c r="L134" i="9"/>
  <c r="K134" i="9"/>
  <c r="I134" i="9" s="1"/>
  <c r="J134" i="9"/>
  <c r="N133" i="9"/>
  <c r="M133" i="9"/>
  <c r="L133" i="9"/>
  <c r="K133" i="9"/>
  <c r="J133" i="9"/>
  <c r="I133" i="9"/>
  <c r="N132" i="9"/>
  <c r="M132" i="9"/>
  <c r="L132" i="9"/>
  <c r="K132" i="9"/>
  <c r="I132" i="9" s="1"/>
  <c r="J132" i="9"/>
  <c r="N131" i="9"/>
  <c r="M131" i="9"/>
  <c r="L131" i="9"/>
  <c r="K131" i="9"/>
  <c r="J131" i="9"/>
  <c r="I131" i="9"/>
  <c r="N130" i="9"/>
  <c r="M130" i="9"/>
  <c r="L130" i="9"/>
  <c r="K130" i="9"/>
  <c r="I130" i="9" s="1"/>
  <c r="J130" i="9"/>
  <c r="N129" i="9"/>
  <c r="M129" i="9"/>
  <c r="L129" i="9"/>
  <c r="K129" i="9"/>
  <c r="J129" i="9"/>
  <c r="I129" i="9"/>
  <c r="N128" i="9"/>
  <c r="M128" i="9"/>
  <c r="L128" i="9"/>
  <c r="K128" i="9"/>
  <c r="I128" i="9" s="1"/>
  <c r="J128" i="9"/>
  <c r="N127" i="9"/>
  <c r="M127" i="9"/>
  <c r="L127" i="9"/>
  <c r="K127" i="9"/>
  <c r="J127" i="9"/>
  <c r="I127" i="9"/>
  <c r="N126" i="9"/>
  <c r="M126" i="9"/>
  <c r="L126" i="9"/>
  <c r="K126" i="9"/>
  <c r="I126" i="9" s="1"/>
  <c r="J126" i="9"/>
  <c r="N125" i="9"/>
  <c r="M125" i="9"/>
  <c r="L125" i="9"/>
  <c r="K125" i="9"/>
  <c r="J125" i="9"/>
  <c r="I125" i="9"/>
  <c r="N124" i="9"/>
  <c r="M124" i="9"/>
  <c r="L124" i="9"/>
  <c r="K124" i="9"/>
  <c r="I124" i="9" s="1"/>
  <c r="J124" i="9"/>
  <c r="N123" i="9"/>
  <c r="M123" i="9"/>
  <c r="L123" i="9"/>
  <c r="K123" i="9"/>
  <c r="J123" i="9"/>
  <c r="I123" i="9"/>
  <c r="N122" i="9"/>
  <c r="M122" i="9"/>
  <c r="L122" i="9"/>
  <c r="K122" i="9"/>
  <c r="I122" i="9" s="1"/>
  <c r="J122" i="9"/>
  <c r="N121" i="9"/>
  <c r="M121" i="9"/>
  <c r="L121" i="9"/>
  <c r="K121" i="9"/>
  <c r="J121" i="9"/>
  <c r="I121" i="9"/>
  <c r="N120" i="9"/>
  <c r="M120" i="9"/>
  <c r="L120" i="9"/>
  <c r="K120" i="9"/>
  <c r="I120" i="9" s="1"/>
  <c r="J120" i="9"/>
  <c r="N119" i="9"/>
  <c r="M119" i="9"/>
  <c r="L119" i="9"/>
  <c r="K119" i="9"/>
  <c r="J119" i="9"/>
  <c r="I119" i="9"/>
  <c r="N118" i="9"/>
  <c r="M118" i="9"/>
  <c r="L118" i="9"/>
  <c r="K118" i="9"/>
  <c r="I118" i="9" s="1"/>
  <c r="J118" i="9"/>
  <c r="N117" i="9"/>
  <c r="M117" i="9"/>
  <c r="L117" i="9"/>
  <c r="K117" i="9"/>
  <c r="J117" i="9"/>
  <c r="I117" i="9"/>
  <c r="N116" i="9"/>
  <c r="M116" i="9"/>
  <c r="L116" i="9"/>
  <c r="K116" i="9"/>
  <c r="I116" i="9" s="1"/>
  <c r="J116" i="9"/>
  <c r="N115" i="9"/>
  <c r="M115" i="9"/>
  <c r="L115" i="9"/>
  <c r="K115" i="9"/>
  <c r="J115" i="9"/>
  <c r="I115" i="9"/>
  <c r="N114" i="9"/>
  <c r="M114" i="9"/>
  <c r="L114" i="9"/>
  <c r="K114" i="9"/>
  <c r="I114" i="9" s="1"/>
  <c r="J114" i="9"/>
  <c r="N113" i="9"/>
  <c r="M113" i="9"/>
  <c r="L113" i="9"/>
  <c r="K113" i="9"/>
  <c r="J113" i="9"/>
  <c r="I113" i="9"/>
  <c r="N112" i="9"/>
  <c r="M112" i="9"/>
  <c r="L112" i="9"/>
  <c r="K112" i="9"/>
  <c r="I112" i="9" s="1"/>
  <c r="J112" i="9"/>
  <c r="N111" i="9"/>
  <c r="M111" i="9"/>
  <c r="L111" i="9"/>
  <c r="K111" i="9"/>
  <c r="J111" i="9"/>
  <c r="I111" i="9"/>
  <c r="N110" i="9"/>
  <c r="M110" i="9"/>
  <c r="L110" i="9"/>
  <c r="K110" i="9"/>
  <c r="I110" i="9" s="1"/>
  <c r="J110" i="9"/>
  <c r="N109" i="9"/>
  <c r="M109" i="9"/>
  <c r="L109" i="9"/>
  <c r="K109" i="9"/>
  <c r="J109" i="9"/>
  <c r="I109" i="9"/>
  <c r="N108" i="9"/>
  <c r="M108" i="9"/>
  <c r="L108" i="9"/>
  <c r="K108" i="9"/>
  <c r="I108" i="9" s="1"/>
  <c r="J108" i="9"/>
  <c r="N107" i="9"/>
  <c r="M107" i="9"/>
  <c r="L107" i="9"/>
  <c r="K107" i="9"/>
  <c r="J107" i="9"/>
  <c r="I107" i="9"/>
  <c r="N106" i="9"/>
  <c r="M106" i="9"/>
  <c r="L106" i="9"/>
  <c r="K106" i="9"/>
  <c r="I106" i="9" s="1"/>
  <c r="J106" i="9"/>
  <c r="N105" i="9"/>
  <c r="M105" i="9"/>
  <c r="L105" i="9"/>
  <c r="K105" i="9"/>
  <c r="J105" i="9"/>
  <c r="I105" i="9"/>
  <c r="N104" i="9"/>
  <c r="M104" i="9"/>
  <c r="L104" i="9"/>
  <c r="K104" i="9"/>
  <c r="I104" i="9" s="1"/>
  <c r="J104" i="9"/>
  <c r="N103" i="9"/>
  <c r="M103" i="9"/>
  <c r="L103" i="9"/>
  <c r="K103" i="9"/>
  <c r="J103" i="9"/>
  <c r="I103" i="9"/>
  <c r="N102" i="9"/>
  <c r="M102" i="9"/>
  <c r="L102" i="9"/>
  <c r="K102" i="9"/>
  <c r="I102" i="9" s="1"/>
  <c r="J102" i="9"/>
  <c r="N101" i="9"/>
  <c r="M101" i="9"/>
  <c r="L101" i="9"/>
  <c r="K101" i="9"/>
  <c r="J101" i="9"/>
  <c r="I101" i="9"/>
  <c r="N100" i="9"/>
  <c r="M100" i="9"/>
  <c r="L100" i="9"/>
  <c r="K100" i="9"/>
  <c r="I100" i="9" s="1"/>
  <c r="J100" i="9"/>
  <c r="N99" i="9"/>
  <c r="M99" i="9"/>
  <c r="L99" i="9"/>
  <c r="K99" i="9"/>
  <c r="J99" i="9"/>
  <c r="I99" i="9"/>
  <c r="N98" i="9"/>
  <c r="M98" i="9"/>
  <c r="L98" i="9"/>
  <c r="K98" i="9"/>
  <c r="I98" i="9" s="1"/>
  <c r="J98" i="9"/>
  <c r="N97" i="9"/>
  <c r="M97" i="9"/>
  <c r="L97" i="9"/>
  <c r="K97" i="9"/>
  <c r="J97" i="9"/>
  <c r="I97" i="9"/>
  <c r="N96" i="9"/>
  <c r="M96" i="9"/>
  <c r="L96" i="9"/>
  <c r="K96" i="9"/>
  <c r="I96" i="9" s="1"/>
  <c r="J96" i="9"/>
  <c r="N95" i="9"/>
  <c r="M95" i="9"/>
  <c r="L95" i="9"/>
  <c r="K95" i="9"/>
  <c r="J95" i="9"/>
  <c r="I95" i="9"/>
  <c r="N94" i="9"/>
  <c r="M94" i="9"/>
  <c r="L94" i="9"/>
  <c r="K94" i="9"/>
  <c r="I94" i="9" s="1"/>
  <c r="J94" i="9"/>
  <c r="N93" i="9"/>
  <c r="M93" i="9"/>
  <c r="L93" i="9"/>
  <c r="K93" i="9"/>
  <c r="J93" i="9"/>
  <c r="I93" i="9"/>
  <c r="N92" i="9"/>
  <c r="M92" i="9"/>
  <c r="L92" i="9"/>
  <c r="K92" i="9"/>
  <c r="I92" i="9" s="1"/>
  <c r="J92" i="9"/>
  <c r="N91" i="9"/>
  <c r="M91" i="9"/>
  <c r="L91" i="9"/>
  <c r="K91" i="9"/>
  <c r="J91" i="9"/>
  <c r="I91" i="9"/>
  <c r="N90" i="9"/>
  <c r="M90" i="9"/>
  <c r="L90" i="9"/>
  <c r="K90" i="9"/>
  <c r="I90" i="9" s="1"/>
  <c r="J90" i="9"/>
  <c r="N89" i="9"/>
  <c r="M89" i="9"/>
  <c r="L89" i="9"/>
  <c r="J89" i="9"/>
  <c r="L88" i="9"/>
  <c r="K88" i="9"/>
  <c r="J88" i="9"/>
  <c r="L87" i="9"/>
  <c r="K87" i="9"/>
  <c r="J87" i="9"/>
  <c r="L86" i="9"/>
  <c r="K86" i="9"/>
  <c r="J86" i="9"/>
  <c r="L85" i="9"/>
  <c r="K85" i="9"/>
  <c r="J85" i="9"/>
  <c r="L84" i="9"/>
  <c r="K84" i="9"/>
  <c r="J84" i="9"/>
  <c r="L83" i="9"/>
  <c r="K83" i="9"/>
  <c r="J83" i="9"/>
  <c r="L82" i="9"/>
  <c r="K82" i="9"/>
  <c r="J82" i="9"/>
  <c r="L81" i="9"/>
  <c r="K81" i="9"/>
  <c r="J81" i="9"/>
  <c r="N80" i="9"/>
  <c r="M80" i="9"/>
  <c r="L80" i="9"/>
  <c r="K80" i="9"/>
  <c r="I80" i="9" s="1"/>
  <c r="J80" i="9"/>
  <c r="N79" i="9"/>
  <c r="M79" i="9"/>
  <c r="L79" i="9"/>
  <c r="K79" i="9"/>
  <c r="J79" i="9"/>
  <c r="I79" i="9" s="1"/>
  <c r="N78" i="9"/>
  <c r="M78" i="9"/>
  <c r="L78" i="9"/>
  <c r="J78" i="9"/>
  <c r="L77" i="9"/>
  <c r="K77" i="9"/>
  <c r="J77" i="9"/>
  <c r="J76" i="9"/>
  <c r="J75" i="9"/>
  <c r="J74" i="9"/>
  <c r="J73" i="9"/>
  <c r="J72" i="9"/>
  <c r="J71" i="9"/>
  <c r="J70" i="9"/>
  <c r="N69" i="9"/>
  <c r="M69" i="9"/>
  <c r="J69" i="9"/>
  <c r="N68" i="9"/>
  <c r="M68" i="9"/>
  <c r="J68" i="9"/>
  <c r="N67" i="9"/>
  <c r="M67" i="9"/>
  <c r="K67" i="9"/>
  <c r="J67" i="9"/>
  <c r="E67" i="9"/>
  <c r="L67" i="9" s="1"/>
  <c r="I67" i="9" s="1"/>
  <c r="N66" i="9"/>
  <c r="M66" i="9"/>
  <c r="L66" i="9"/>
  <c r="K66" i="9"/>
  <c r="I66" i="9" s="1"/>
  <c r="J66" i="9"/>
  <c r="N65" i="9"/>
  <c r="M65" i="9"/>
  <c r="L65" i="9"/>
  <c r="K65" i="9"/>
  <c r="J65" i="9"/>
  <c r="I65" i="9" s="1"/>
  <c r="N64" i="9"/>
  <c r="M64" i="9"/>
  <c r="L64" i="9"/>
  <c r="K64" i="9"/>
  <c r="I64" i="9" s="1"/>
  <c r="J64" i="9"/>
  <c r="N63" i="9"/>
  <c r="M63" i="9"/>
  <c r="L63" i="9"/>
  <c r="K63" i="9"/>
  <c r="J63" i="9"/>
  <c r="I63" i="9" s="1"/>
  <c r="N62" i="9"/>
  <c r="M62" i="9"/>
  <c r="L62" i="9"/>
  <c r="K62" i="9"/>
  <c r="I62" i="9" s="1"/>
  <c r="J62" i="9"/>
  <c r="N61" i="9"/>
  <c r="M61" i="9"/>
  <c r="L61" i="9"/>
  <c r="K61" i="9"/>
  <c r="J61" i="9"/>
  <c r="I61" i="9" s="1"/>
  <c r="N60" i="9"/>
  <c r="M60" i="9"/>
  <c r="L60" i="9"/>
  <c r="K60" i="9"/>
  <c r="I60" i="9" s="1"/>
  <c r="J60" i="9"/>
  <c r="V38" i="9"/>
  <c r="U38" i="9"/>
  <c r="T38" i="9"/>
  <c r="L37" i="9"/>
  <c r="K37" i="9"/>
  <c r="J37" i="9"/>
  <c r="V34" i="9"/>
  <c r="U34" i="9"/>
  <c r="T34" i="9"/>
  <c r="L32" i="9"/>
  <c r="K32" i="9"/>
  <c r="J32" i="9"/>
  <c r="V28" i="9"/>
  <c r="U28" i="9"/>
  <c r="T28" i="9"/>
  <c r="V26" i="9"/>
  <c r="U26" i="9"/>
  <c r="T26" i="9"/>
  <c r="L24" i="9"/>
  <c r="K24" i="9"/>
  <c r="J24" i="9"/>
  <c r="V22" i="9"/>
  <c r="W22" i="9" s="1"/>
  <c r="U22" i="9"/>
  <c r="T22" i="9"/>
  <c r="L22" i="9"/>
  <c r="M22" i="9" s="1"/>
  <c r="K22" i="9"/>
  <c r="J22" i="9"/>
  <c r="E12" i="9"/>
  <c r="K8" i="9" s="1"/>
  <c r="D12" i="9"/>
  <c r="K10" i="9"/>
  <c r="K9" i="9"/>
  <c r="K7" i="9"/>
  <c r="K6" i="9"/>
  <c r="J5" i="9"/>
  <c r="L4" i="9"/>
  <c r="K4" i="9"/>
  <c r="J4" i="9"/>
  <c r="P3" i="9"/>
  <c r="O3" i="9"/>
  <c r="N3" i="9"/>
  <c r="M3" i="9"/>
  <c r="L3" i="9"/>
  <c r="K3" i="9"/>
  <c r="J3" i="9"/>
  <c r="K2" i="9"/>
  <c r="D1" i="9"/>
  <c r="L5" i="9" s="1"/>
  <c r="C538" i="8"/>
  <c r="C532" i="8"/>
  <c r="L524" i="8"/>
  <c r="J524" i="8"/>
  <c r="K533" i="8" s="1"/>
  <c r="C523" i="8"/>
  <c r="I522" i="8"/>
  <c r="I521" i="8"/>
  <c r="I520" i="8"/>
  <c r="I519" i="8"/>
  <c r="P507" i="8"/>
  <c r="J507" i="8"/>
  <c r="I507" i="8"/>
  <c r="X502" i="8"/>
  <c r="X503" i="8" s="1"/>
  <c r="AK498" i="8"/>
  <c r="AK503" i="8" s="1"/>
  <c r="AK504" i="8" s="1"/>
  <c r="Y498" i="8"/>
  <c r="X497" i="8"/>
  <c r="C518" i="8" s="1"/>
  <c r="S496" i="8"/>
  <c r="AE495" i="8"/>
  <c r="AE496" i="8" s="1"/>
  <c r="S495" i="8"/>
  <c r="AE494" i="8"/>
  <c r="S494" i="8"/>
  <c r="AE493" i="8"/>
  <c r="U493" i="8"/>
  <c r="S493" i="8"/>
  <c r="X492" i="8"/>
  <c r="X493" i="8" s="1"/>
  <c r="U492" i="8"/>
  <c r="S492" i="8"/>
  <c r="U491" i="8"/>
  <c r="S491" i="8"/>
  <c r="AK490" i="8"/>
  <c r="AK495" i="8" s="1"/>
  <c r="AK496" i="8" s="1"/>
  <c r="AE490" i="8"/>
  <c r="X489" i="8"/>
  <c r="X494" i="8" s="1"/>
  <c r="X495" i="8" s="1"/>
  <c r="T489" i="8"/>
  <c r="D489" i="8"/>
  <c r="Q488" i="8"/>
  <c r="C512" i="8" s="1"/>
  <c r="J488" i="8"/>
  <c r="J489" i="8" s="1"/>
  <c r="D488" i="8"/>
  <c r="AK487" i="8"/>
  <c r="AK488" i="8" s="1"/>
  <c r="D487" i="8"/>
  <c r="D486" i="8"/>
  <c r="AK485" i="8"/>
  <c r="AK486" i="8" s="1"/>
  <c r="J485" i="8"/>
  <c r="C510" i="8" s="1"/>
  <c r="C527" i="8" s="1"/>
  <c r="D533" i="8" s="1"/>
  <c r="D485" i="8"/>
  <c r="D484" i="8"/>
  <c r="D483" i="8"/>
  <c r="AK482" i="8"/>
  <c r="Q482" i="8"/>
  <c r="Q483" i="8" s="1"/>
  <c r="D482" i="8"/>
  <c r="X481" i="8"/>
  <c r="I524" i="8" s="1"/>
  <c r="J533" i="8" s="1"/>
  <c r="F480" i="8"/>
  <c r="Q479" i="8"/>
  <c r="Q484" i="8" s="1"/>
  <c r="Q485" i="8" s="1"/>
  <c r="K479" i="8"/>
  <c r="K478" i="8"/>
  <c r="F478" i="8"/>
  <c r="AK477" i="8"/>
  <c r="AK478" i="8" s="1"/>
  <c r="H476" i="8"/>
  <c r="AB498" i="8" s="1"/>
  <c r="G476" i="8"/>
  <c r="AA498" i="8" s="1"/>
  <c r="F476" i="8"/>
  <c r="S489" i="8" s="1"/>
  <c r="E476" i="8"/>
  <c r="E507" i="8" s="1"/>
  <c r="L507" i="8" s="1"/>
  <c r="D476" i="8"/>
  <c r="X498" i="8" s="1"/>
  <c r="AK475" i="8"/>
  <c r="AK476" i="8" s="1"/>
  <c r="K475" i="8"/>
  <c r="K480" i="8" s="1"/>
  <c r="K481" i="8" s="1"/>
  <c r="D475" i="8"/>
  <c r="C508" i="8" s="1"/>
  <c r="X474" i="8"/>
  <c r="X475" i="8" s="1"/>
  <c r="AK472" i="8"/>
  <c r="L471" i="8"/>
  <c r="AA470" i="8"/>
  <c r="Y470" i="8"/>
  <c r="Q470" i="8"/>
  <c r="Q473" i="8" s="1"/>
  <c r="Q474" i="8" s="1"/>
  <c r="L470" i="8"/>
  <c r="X469" i="8"/>
  <c r="X472" i="8" s="1"/>
  <c r="X473" i="8" s="1"/>
  <c r="N469" i="8"/>
  <c r="L469" i="8"/>
  <c r="S468" i="8"/>
  <c r="N468" i="8"/>
  <c r="L468" i="8"/>
  <c r="S467" i="8"/>
  <c r="AE466" i="8"/>
  <c r="AE467" i="8" s="1"/>
  <c r="S466" i="8"/>
  <c r="M466" i="8"/>
  <c r="K466" i="8"/>
  <c r="U465" i="8"/>
  <c r="S465" i="8"/>
  <c r="J465" i="8"/>
  <c r="C509" i="8" s="1"/>
  <c r="AE464" i="8"/>
  <c r="AE465" i="8" s="1"/>
  <c r="U464" i="8"/>
  <c r="S464" i="8"/>
  <c r="U463" i="8"/>
  <c r="S463" i="8"/>
  <c r="AB462" i="8"/>
  <c r="AA462" i="8"/>
  <c r="Y462" i="8"/>
  <c r="X462" i="8"/>
  <c r="AK461" i="8"/>
  <c r="AK466" i="8" s="1"/>
  <c r="AK467" i="8" s="1"/>
  <c r="AE461" i="8"/>
  <c r="X461" i="8"/>
  <c r="C514" i="8" s="1"/>
  <c r="U461" i="8"/>
  <c r="T461" i="8"/>
  <c r="R461" i="8"/>
  <c r="Q461" i="8"/>
  <c r="Q460" i="8"/>
  <c r="C511" i="8" s="1"/>
  <c r="BA455" i="8"/>
  <c r="AZ455" i="8"/>
  <c r="AB454" i="8"/>
  <c r="AA454" i="8"/>
  <c r="Y454" i="8"/>
  <c r="X454" i="8"/>
  <c r="AZ453" i="8"/>
  <c r="X453" i="8"/>
  <c r="X458" i="8" s="1"/>
  <c r="X459" i="8" s="1"/>
  <c r="AZ452" i="8"/>
  <c r="AK452" i="8"/>
  <c r="AK457" i="8" s="1"/>
  <c r="AK458" i="8" s="1"/>
  <c r="AZ451" i="8"/>
  <c r="AZ450" i="8"/>
  <c r="B450" i="8"/>
  <c r="AZ448" i="8"/>
  <c r="N399" i="8"/>
  <c r="M399" i="8"/>
  <c r="L399" i="8"/>
  <c r="K399" i="8"/>
  <c r="J399" i="8"/>
  <c r="I399" i="8" s="1"/>
  <c r="N398" i="8"/>
  <c r="M398" i="8"/>
  <c r="L398" i="8"/>
  <c r="K398" i="8"/>
  <c r="I398" i="8" s="1"/>
  <c r="J398" i="8"/>
  <c r="N397" i="8"/>
  <c r="M397" i="8"/>
  <c r="L397" i="8"/>
  <c r="K397" i="8"/>
  <c r="J397" i="8"/>
  <c r="I397" i="8" s="1"/>
  <c r="N396" i="8"/>
  <c r="M396" i="8"/>
  <c r="L396" i="8"/>
  <c r="K396" i="8"/>
  <c r="I396" i="8" s="1"/>
  <c r="J396" i="8"/>
  <c r="N395" i="8"/>
  <c r="M395" i="8"/>
  <c r="L395" i="8"/>
  <c r="K395" i="8"/>
  <c r="J395" i="8"/>
  <c r="I395" i="8" s="1"/>
  <c r="N394" i="8"/>
  <c r="M394" i="8"/>
  <c r="L394" i="8"/>
  <c r="K394" i="8"/>
  <c r="I394" i="8" s="1"/>
  <c r="J394" i="8"/>
  <c r="N393" i="8"/>
  <c r="M393" i="8"/>
  <c r="L393" i="8"/>
  <c r="K393" i="8"/>
  <c r="J393" i="8"/>
  <c r="I393" i="8" s="1"/>
  <c r="N392" i="8"/>
  <c r="M392" i="8"/>
  <c r="L392" i="8"/>
  <c r="K392" i="8"/>
  <c r="I392" i="8" s="1"/>
  <c r="J392" i="8"/>
  <c r="N391" i="8"/>
  <c r="M391" i="8"/>
  <c r="L391" i="8"/>
  <c r="K391" i="8"/>
  <c r="J391" i="8"/>
  <c r="I391" i="8" s="1"/>
  <c r="N390" i="8"/>
  <c r="M390" i="8"/>
  <c r="L390" i="8"/>
  <c r="K390" i="8"/>
  <c r="I390" i="8" s="1"/>
  <c r="J390" i="8"/>
  <c r="N389" i="8"/>
  <c r="M389" i="8"/>
  <c r="L389" i="8"/>
  <c r="K389" i="8"/>
  <c r="J389" i="8"/>
  <c r="I389" i="8" s="1"/>
  <c r="N388" i="8"/>
  <c r="M388" i="8"/>
  <c r="L388" i="8"/>
  <c r="K388" i="8"/>
  <c r="I388" i="8" s="1"/>
  <c r="J388" i="8"/>
  <c r="N387" i="8"/>
  <c r="M387" i="8"/>
  <c r="L387" i="8"/>
  <c r="K387" i="8"/>
  <c r="J387" i="8"/>
  <c r="I387" i="8" s="1"/>
  <c r="N386" i="8"/>
  <c r="M386" i="8"/>
  <c r="L386" i="8"/>
  <c r="K386" i="8"/>
  <c r="I386" i="8" s="1"/>
  <c r="J386" i="8"/>
  <c r="N385" i="8"/>
  <c r="M385" i="8"/>
  <c r="L385" i="8"/>
  <c r="K385" i="8"/>
  <c r="J385" i="8"/>
  <c r="I385" i="8" s="1"/>
  <c r="N384" i="8"/>
  <c r="M384" i="8"/>
  <c r="L384" i="8"/>
  <c r="K384" i="8"/>
  <c r="I384" i="8" s="1"/>
  <c r="J384" i="8"/>
  <c r="N383" i="8"/>
  <c r="M383" i="8"/>
  <c r="L383" i="8"/>
  <c r="K383" i="8"/>
  <c r="J383" i="8"/>
  <c r="I383" i="8" s="1"/>
  <c r="N382" i="8"/>
  <c r="M382" i="8"/>
  <c r="L382" i="8"/>
  <c r="K382" i="8"/>
  <c r="I382" i="8" s="1"/>
  <c r="J382" i="8"/>
  <c r="N381" i="8"/>
  <c r="M381" i="8"/>
  <c r="L381" i="8"/>
  <c r="K381" i="8"/>
  <c r="J381" i="8"/>
  <c r="I381" i="8" s="1"/>
  <c r="N380" i="8"/>
  <c r="M380" i="8"/>
  <c r="L380" i="8"/>
  <c r="K380" i="8"/>
  <c r="I380" i="8" s="1"/>
  <c r="J380" i="8"/>
  <c r="N379" i="8"/>
  <c r="M379" i="8"/>
  <c r="L379" i="8"/>
  <c r="K379" i="8"/>
  <c r="J379" i="8"/>
  <c r="I379" i="8" s="1"/>
  <c r="N378" i="8"/>
  <c r="M378" i="8"/>
  <c r="L378" i="8"/>
  <c r="K378" i="8"/>
  <c r="I378" i="8" s="1"/>
  <c r="J378" i="8"/>
  <c r="N377" i="8"/>
  <c r="M377" i="8"/>
  <c r="L377" i="8"/>
  <c r="K377" i="8"/>
  <c r="J377" i="8"/>
  <c r="I377" i="8" s="1"/>
  <c r="N376" i="8"/>
  <c r="M376" i="8"/>
  <c r="L376" i="8"/>
  <c r="K376" i="8"/>
  <c r="I376" i="8" s="1"/>
  <c r="J376" i="8"/>
  <c r="N375" i="8"/>
  <c r="M375" i="8"/>
  <c r="L375" i="8"/>
  <c r="K375" i="8"/>
  <c r="J375" i="8"/>
  <c r="I375" i="8" s="1"/>
  <c r="N374" i="8"/>
  <c r="M374" i="8"/>
  <c r="L374" i="8"/>
  <c r="K374" i="8"/>
  <c r="I374" i="8" s="1"/>
  <c r="J374" i="8"/>
  <c r="N373" i="8"/>
  <c r="M373" i="8"/>
  <c r="L373" i="8"/>
  <c r="K373" i="8"/>
  <c r="J373" i="8"/>
  <c r="I373" i="8" s="1"/>
  <c r="N372" i="8"/>
  <c r="M372" i="8"/>
  <c r="L372" i="8"/>
  <c r="K372" i="8"/>
  <c r="I372" i="8" s="1"/>
  <c r="J372" i="8"/>
  <c r="N371" i="8"/>
  <c r="M371" i="8"/>
  <c r="L371" i="8"/>
  <c r="K371" i="8"/>
  <c r="J371" i="8"/>
  <c r="I371" i="8" s="1"/>
  <c r="N370" i="8"/>
  <c r="M370" i="8"/>
  <c r="L370" i="8"/>
  <c r="K370" i="8"/>
  <c r="I370" i="8" s="1"/>
  <c r="J370" i="8"/>
  <c r="N369" i="8"/>
  <c r="M369" i="8"/>
  <c r="L369" i="8"/>
  <c r="K369" i="8"/>
  <c r="J369" i="8"/>
  <c r="I369" i="8" s="1"/>
  <c r="N368" i="8"/>
  <c r="M368" i="8"/>
  <c r="L368" i="8"/>
  <c r="K368" i="8"/>
  <c r="I368" i="8" s="1"/>
  <c r="J368" i="8"/>
  <c r="N367" i="8"/>
  <c r="M367" i="8"/>
  <c r="L367" i="8"/>
  <c r="K367" i="8"/>
  <c r="J367" i="8"/>
  <c r="I367" i="8" s="1"/>
  <c r="N366" i="8"/>
  <c r="M366" i="8"/>
  <c r="L366" i="8"/>
  <c r="K366" i="8"/>
  <c r="I366" i="8" s="1"/>
  <c r="J366" i="8"/>
  <c r="N365" i="8"/>
  <c r="M365" i="8"/>
  <c r="L365" i="8"/>
  <c r="K365" i="8"/>
  <c r="J365" i="8"/>
  <c r="I365" i="8" s="1"/>
  <c r="N364" i="8"/>
  <c r="M364" i="8"/>
  <c r="L364" i="8"/>
  <c r="K364" i="8"/>
  <c r="I364" i="8" s="1"/>
  <c r="J364" i="8"/>
  <c r="N363" i="8"/>
  <c r="M363" i="8"/>
  <c r="L363" i="8"/>
  <c r="K363" i="8"/>
  <c r="J363" i="8"/>
  <c r="I363" i="8" s="1"/>
  <c r="N362" i="8"/>
  <c r="M362" i="8"/>
  <c r="L362" i="8"/>
  <c r="K362" i="8"/>
  <c r="I362" i="8" s="1"/>
  <c r="J362" i="8"/>
  <c r="N361" i="8"/>
  <c r="M361" i="8"/>
  <c r="L361" i="8"/>
  <c r="K361" i="8"/>
  <c r="J361" i="8"/>
  <c r="I361" i="8" s="1"/>
  <c r="V360" i="8"/>
  <c r="N360" i="8"/>
  <c r="M360" i="8"/>
  <c r="L360" i="8"/>
  <c r="K360" i="8"/>
  <c r="J360" i="8"/>
  <c r="I360" i="8" s="1"/>
  <c r="N359" i="8"/>
  <c r="M359" i="8"/>
  <c r="L359" i="8"/>
  <c r="K359" i="8"/>
  <c r="I359" i="8" s="1"/>
  <c r="J359" i="8"/>
  <c r="N358" i="8"/>
  <c r="M358" i="8"/>
  <c r="L358" i="8"/>
  <c r="K358" i="8"/>
  <c r="I358" i="8" s="1"/>
  <c r="J358" i="8"/>
  <c r="N357" i="8"/>
  <c r="M357" i="8"/>
  <c r="L357" i="8"/>
  <c r="K357" i="8"/>
  <c r="J357" i="8"/>
  <c r="I357" i="8" s="1"/>
  <c r="N356" i="8"/>
  <c r="M356" i="8"/>
  <c r="L356" i="8"/>
  <c r="K356" i="8"/>
  <c r="J356" i="8"/>
  <c r="I356" i="8"/>
  <c r="N355" i="8"/>
  <c r="M355" i="8"/>
  <c r="L355" i="8"/>
  <c r="K355" i="8"/>
  <c r="I355" i="8" s="1"/>
  <c r="J355" i="8"/>
  <c r="N354" i="8"/>
  <c r="M354" i="8"/>
  <c r="L354" i="8"/>
  <c r="K354" i="8"/>
  <c r="I354" i="8" s="1"/>
  <c r="J354" i="8"/>
  <c r="Z353" i="8"/>
  <c r="Y353" i="8"/>
  <c r="X353" i="8"/>
  <c r="W353" i="8"/>
  <c r="N353" i="8"/>
  <c r="M353" i="8"/>
  <c r="L353" i="8"/>
  <c r="K353" i="8"/>
  <c r="J353" i="8"/>
  <c r="I353" i="8" s="1"/>
  <c r="AE352" i="8"/>
  <c r="BE352" i="8" s="1"/>
  <c r="Z352" i="8"/>
  <c r="Y352" i="8"/>
  <c r="X352" i="8"/>
  <c r="W352" i="8"/>
  <c r="N352" i="8"/>
  <c r="M352" i="8"/>
  <c r="L352" i="8"/>
  <c r="K352" i="8"/>
  <c r="T352" i="8" s="1"/>
  <c r="J352" i="8"/>
  <c r="U352" i="8" s="1"/>
  <c r="I352" i="8"/>
  <c r="BG352" i="8" s="1"/>
  <c r="Z351" i="8"/>
  <c r="Y351" i="8"/>
  <c r="X351" i="8"/>
  <c r="W351" i="8"/>
  <c r="N351" i="8"/>
  <c r="M351" i="8"/>
  <c r="L351" i="8"/>
  <c r="U351" i="8" s="1"/>
  <c r="K351" i="8"/>
  <c r="J351" i="8"/>
  <c r="T351" i="8" s="1"/>
  <c r="Z350" i="8"/>
  <c r="Y350" i="8"/>
  <c r="X350" i="8"/>
  <c r="W350" i="8"/>
  <c r="N350" i="8"/>
  <c r="M350" i="8"/>
  <c r="L350" i="8"/>
  <c r="K350" i="8"/>
  <c r="AE350" i="8" s="1"/>
  <c r="BE350" i="8" s="1"/>
  <c r="J350" i="8"/>
  <c r="U350" i="8" s="1"/>
  <c r="Z349" i="8"/>
  <c r="Y349" i="8"/>
  <c r="X349" i="8"/>
  <c r="W349" i="8"/>
  <c r="N349" i="8"/>
  <c r="M349" i="8"/>
  <c r="L349" i="8"/>
  <c r="K349" i="8"/>
  <c r="J349" i="8"/>
  <c r="AE349" i="8" s="1"/>
  <c r="BE349" i="8" s="1"/>
  <c r="AE348" i="8"/>
  <c r="BE348" i="8" s="1"/>
  <c r="Z348" i="8"/>
  <c r="Y348" i="8"/>
  <c r="X348" i="8"/>
  <c r="W348" i="8"/>
  <c r="N348" i="8"/>
  <c r="M348" i="8"/>
  <c r="L348" i="8"/>
  <c r="K348" i="8"/>
  <c r="T348" i="8" s="1"/>
  <c r="J348" i="8"/>
  <c r="U348" i="8" s="1"/>
  <c r="I348" i="8"/>
  <c r="BG348" i="8" s="1"/>
  <c r="Z347" i="8"/>
  <c r="Y347" i="8"/>
  <c r="X347" i="8"/>
  <c r="W347" i="8"/>
  <c r="AA347" i="8" s="1"/>
  <c r="V347" i="8"/>
  <c r="N347" i="8"/>
  <c r="M347" i="8"/>
  <c r="L347" i="8"/>
  <c r="U347" i="8" s="1"/>
  <c r="K347" i="8"/>
  <c r="J347" i="8"/>
  <c r="T347" i="8" s="1"/>
  <c r="AE346" i="8"/>
  <c r="BE346" i="8" s="1"/>
  <c r="Z346" i="8"/>
  <c r="Y346" i="8"/>
  <c r="X346" i="8"/>
  <c r="W346" i="8"/>
  <c r="V346" i="8"/>
  <c r="AA346" i="8" s="1"/>
  <c r="N346" i="8"/>
  <c r="M346" i="8"/>
  <c r="L346" i="8"/>
  <c r="K346" i="8"/>
  <c r="I346" i="8" s="1"/>
  <c r="BG346" i="8" s="1"/>
  <c r="J346" i="8"/>
  <c r="U346" i="8" s="1"/>
  <c r="Z345" i="8"/>
  <c r="Y345" i="8"/>
  <c r="X345" i="8"/>
  <c r="W345" i="8"/>
  <c r="N345" i="8"/>
  <c r="M345" i="8"/>
  <c r="L345" i="8"/>
  <c r="K345" i="8"/>
  <c r="J345" i="8"/>
  <c r="AE345" i="8" s="1"/>
  <c r="BE345" i="8" s="1"/>
  <c r="AE344" i="8"/>
  <c r="BE344" i="8" s="1"/>
  <c r="Z344" i="8"/>
  <c r="Y344" i="8"/>
  <c r="X344" i="8"/>
  <c r="W344" i="8"/>
  <c r="N344" i="8"/>
  <c r="M344" i="8"/>
  <c r="L344" i="8"/>
  <c r="K344" i="8"/>
  <c r="T344" i="8" s="1"/>
  <c r="V344" i="8" s="1"/>
  <c r="AA344" i="8" s="1"/>
  <c r="J344" i="8"/>
  <c r="U344" i="8" s="1"/>
  <c r="I344" i="8"/>
  <c r="BG344" i="8" s="1"/>
  <c r="Z343" i="8"/>
  <c r="Y343" i="8"/>
  <c r="X343" i="8"/>
  <c r="W343" i="8"/>
  <c r="N343" i="8"/>
  <c r="M343" i="8"/>
  <c r="L343" i="8"/>
  <c r="U343" i="8" s="1"/>
  <c r="K343" i="8"/>
  <c r="J343" i="8"/>
  <c r="T343" i="8" s="1"/>
  <c r="AE342" i="8"/>
  <c r="BE342" i="8" s="1"/>
  <c r="Z342" i="8"/>
  <c r="Y342" i="8"/>
  <c r="X342" i="8"/>
  <c r="W342" i="8"/>
  <c r="N342" i="8"/>
  <c r="M342" i="8"/>
  <c r="L342" i="8"/>
  <c r="K342" i="8"/>
  <c r="I342" i="8" s="1"/>
  <c r="BG342" i="8" s="1"/>
  <c r="J342" i="8"/>
  <c r="Z341" i="8"/>
  <c r="Y341" i="8"/>
  <c r="X341" i="8"/>
  <c r="W341" i="8"/>
  <c r="N341" i="8"/>
  <c r="M341" i="8"/>
  <c r="L341" i="8"/>
  <c r="K341" i="8"/>
  <c r="I341" i="8" s="1"/>
  <c r="BG341" i="8" s="1"/>
  <c r="J341" i="8"/>
  <c r="AE341" i="8" s="1"/>
  <c r="BE341" i="8" s="1"/>
  <c r="AE340" i="8"/>
  <c r="BE340" i="8" s="1"/>
  <c r="Z340" i="8"/>
  <c r="Y340" i="8"/>
  <c r="X340" i="8"/>
  <c r="W340" i="8"/>
  <c r="N340" i="8"/>
  <c r="M340" i="8"/>
  <c r="L340" i="8"/>
  <c r="K340" i="8"/>
  <c r="T340" i="8" s="1"/>
  <c r="J340" i="8"/>
  <c r="U340" i="8" s="1"/>
  <c r="I340" i="8"/>
  <c r="BG340" i="8" s="1"/>
  <c r="Z339" i="8"/>
  <c r="Y339" i="8"/>
  <c r="X339" i="8"/>
  <c r="W339" i="8"/>
  <c r="AA339" i="8" s="1"/>
  <c r="V339" i="8"/>
  <c r="N339" i="8"/>
  <c r="M339" i="8"/>
  <c r="L339" i="8"/>
  <c r="U339" i="8" s="1"/>
  <c r="K339" i="8"/>
  <c r="J339" i="8"/>
  <c r="T339" i="8" s="1"/>
  <c r="AE338" i="8"/>
  <c r="BE338" i="8" s="1"/>
  <c r="Y338" i="8"/>
  <c r="X338" i="8"/>
  <c r="W338" i="8"/>
  <c r="V338" i="8"/>
  <c r="N338" i="8"/>
  <c r="M338" i="8"/>
  <c r="L338" i="8"/>
  <c r="K338" i="8"/>
  <c r="I338" i="8" s="1"/>
  <c r="BG338" i="8" s="1"/>
  <c r="J338" i="8"/>
  <c r="V337" i="8"/>
  <c r="N337" i="8"/>
  <c r="M337" i="8"/>
  <c r="L337" i="8"/>
  <c r="K337" i="8"/>
  <c r="I337" i="8" s="1"/>
  <c r="BG337" i="8" s="1"/>
  <c r="J337" i="8"/>
  <c r="AE337" i="8" s="1"/>
  <c r="BE337" i="8" s="1"/>
  <c r="N336" i="8"/>
  <c r="M336" i="8"/>
  <c r="L336" i="8"/>
  <c r="K336" i="8"/>
  <c r="T336" i="8" s="1"/>
  <c r="J336" i="8"/>
  <c r="U336" i="8" s="1"/>
  <c r="I336" i="8"/>
  <c r="BG336" i="8" s="1"/>
  <c r="N335" i="8"/>
  <c r="M335" i="8"/>
  <c r="L335" i="8"/>
  <c r="K335" i="8"/>
  <c r="J335" i="8"/>
  <c r="T335" i="8" s="1"/>
  <c r="N334" i="8"/>
  <c r="M334" i="8"/>
  <c r="L334" i="8"/>
  <c r="K334" i="8"/>
  <c r="J334" i="8"/>
  <c r="Z333" i="8"/>
  <c r="Y333" i="8"/>
  <c r="X333" i="8"/>
  <c r="W333" i="8"/>
  <c r="AA333" i="8" s="1"/>
  <c r="V333" i="8"/>
  <c r="N333" i="8"/>
  <c r="M333" i="8"/>
  <c r="L333" i="8"/>
  <c r="K333" i="8"/>
  <c r="I333" i="8" s="1"/>
  <c r="BG333" i="8" s="1"/>
  <c r="J333" i="8"/>
  <c r="AE333" i="8" s="1"/>
  <c r="BE333" i="8" s="1"/>
  <c r="N332" i="8"/>
  <c r="M332" i="8"/>
  <c r="L332" i="8"/>
  <c r="K332" i="8"/>
  <c r="T332" i="8" s="1"/>
  <c r="J332" i="8"/>
  <c r="U332" i="8" s="1"/>
  <c r="I332" i="8"/>
  <c r="BG332" i="8" s="1"/>
  <c r="V331" i="8"/>
  <c r="N331" i="8"/>
  <c r="M331" i="8"/>
  <c r="L331" i="8"/>
  <c r="K331" i="8"/>
  <c r="J331" i="8"/>
  <c r="T331" i="8" s="1"/>
  <c r="N330" i="8"/>
  <c r="M330" i="8"/>
  <c r="L330" i="8"/>
  <c r="K330" i="8"/>
  <c r="J330" i="8"/>
  <c r="Z329" i="8"/>
  <c r="Y329" i="8"/>
  <c r="X329" i="8"/>
  <c r="W329" i="8"/>
  <c r="AA329" i="8" s="1"/>
  <c r="V329" i="8"/>
  <c r="N329" i="8"/>
  <c r="M329" i="8"/>
  <c r="L329" i="8"/>
  <c r="K329" i="8"/>
  <c r="J329" i="8"/>
  <c r="BG328" i="8"/>
  <c r="Z328" i="8"/>
  <c r="Y328" i="8"/>
  <c r="X328" i="8"/>
  <c r="W328" i="8"/>
  <c r="V328" i="8"/>
  <c r="AA328" i="8" s="1"/>
  <c r="U328" i="8"/>
  <c r="T328" i="8"/>
  <c r="P328" i="8"/>
  <c r="Z327" i="8"/>
  <c r="Y327" i="8"/>
  <c r="X327" i="8"/>
  <c r="W327" i="8"/>
  <c r="AA327" i="8" s="1"/>
  <c r="V327" i="8"/>
  <c r="N327" i="8"/>
  <c r="M327" i="8"/>
  <c r="L327" i="8"/>
  <c r="K327" i="8"/>
  <c r="J327" i="8"/>
  <c r="Z326" i="8"/>
  <c r="N326" i="8"/>
  <c r="M326" i="8"/>
  <c r="L326" i="8"/>
  <c r="K326" i="8"/>
  <c r="T326" i="8" s="1"/>
  <c r="J326" i="8"/>
  <c r="I326" i="8"/>
  <c r="BG326" i="8" s="1"/>
  <c r="Z325" i="8"/>
  <c r="Y325" i="8"/>
  <c r="W325" i="8"/>
  <c r="V325" i="8"/>
  <c r="N325" i="8"/>
  <c r="M325" i="8"/>
  <c r="L325" i="8"/>
  <c r="K325" i="8"/>
  <c r="J325" i="8"/>
  <c r="T325" i="8" s="1"/>
  <c r="Z324" i="8"/>
  <c r="N324" i="8"/>
  <c r="M324" i="8"/>
  <c r="L324" i="8"/>
  <c r="K324" i="8"/>
  <c r="T324" i="8" s="1"/>
  <c r="J324" i="8"/>
  <c r="N323" i="8"/>
  <c r="M323" i="8"/>
  <c r="L323" i="8"/>
  <c r="K323" i="8"/>
  <c r="J323" i="8"/>
  <c r="N322" i="8"/>
  <c r="M322" i="8"/>
  <c r="AE322" i="8" s="1"/>
  <c r="BE322" i="8" s="1"/>
  <c r="L322" i="8"/>
  <c r="K322" i="8"/>
  <c r="J322" i="8"/>
  <c r="I322" i="8"/>
  <c r="BG322" i="8" s="1"/>
  <c r="Y321" i="8"/>
  <c r="X321" i="8"/>
  <c r="V321" i="8"/>
  <c r="N321" i="8"/>
  <c r="M321" i="8"/>
  <c r="L321" i="8"/>
  <c r="U321" i="8" s="1"/>
  <c r="K321" i="8"/>
  <c r="J321" i="8"/>
  <c r="T321" i="8" s="1"/>
  <c r="AE320" i="8"/>
  <c r="BE320" i="8" s="1"/>
  <c r="Y320" i="8"/>
  <c r="X320" i="8"/>
  <c r="V320" i="8"/>
  <c r="T320" i="8"/>
  <c r="N320" i="8"/>
  <c r="M320" i="8"/>
  <c r="L320" i="8"/>
  <c r="K320" i="8"/>
  <c r="J320" i="8"/>
  <c r="Z319" i="8"/>
  <c r="Y319" i="8"/>
  <c r="W319" i="8"/>
  <c r="N319" i="8"/>
  <c r="M319" i="8"/>
  <c r="L319" i="8"/>
  <c r="K319" i="8"/>
  <c r="I319" i="8" s="1"/>
  <c r="BG319" i="8" s="1"/>
  <c r="J319" i="8"/>
  <c r="AE318" i="8"/>
  <c r="BE318" i="8" s="1"/>
  <c r="Y318" i="8"/>
  <c r="N318" i="8"/>
  <c r="M318" i="8"/>
  <c r="L318" i="8"/>
  <c r="K318" i="8"/>
  <c r="T318" i="8" s="1"/>
  <c r="J318" i="8"/>
  <c r="I318" i="8"/>
  <c r="BG318" i="8" s="1"/>
  <c r="Y317" i="8"/>
  <c r="N317" i="8"/>
  <c r="M317" i="8"/>
  <c r="L317" i="8"/>
  <c r="K317" i="8"/>
  <c r="J317" i="8"/>
  <c r="T317" i="8" s="1"/>
  <c r="AE316" i="8"/>
  <c r="BE316" i="8" s="1"/>
  <c r="Z316" i="8"/>
  <c r="X316" i="8"/>
  <c r="W316" i="8"/>
  <c r="V316" i="8"/>
  <c r="N316" i="8"/>
  <c r="M316" i="8"/>
  <c r="L316" i="8"/>
  <c r="K316" i="8"/>
  <c r="T316" i="8" s="1"/>
  <c r="J316" i="8"/>
  <c r="V315" i="8"/>
  <c r="N315" i="8"/>
  <c r="M315" i="8"/>
  <c r="L315" i="8"/>
  <c r="K315" i="8"/>
  <c r="I315" i="8" s="1"/>
  <c r="BG315" i="8" s="1"/>
  <c r="J315" i="8"/>
  <c r="N314" i="8"/>
  <c r="M314" i="8"/>
  <c r="L314" i="8"/>
  <c r="K314" i="8"/>
  <c r="J314" i="8"/>
  <c r="U314" i="8" s="1"/>
  <c r="I314" i="8"/>
  <c r="BG314" i="8" s="1"/>
  <c r="N313" i="8"/>
  <c r="M313" i="8"/>
  <c r="L313" i="8"/>
  <c r="K313" i="8"/>
  <c r="J313" i="8"/>
  <c r="T313" i="8" s="1"/>
  <c r="T312" i="8"/>
  <c r="N312" i="8"/>
  <c r="M312" i="8"/>
  <c r="L312" i="8"/>
  <c r="K312" i="8"/>
  <c r="J312" i="8"/>
  <c r="BG311" i="8"/>
  <c r="W311" i="8"/>
  <c r="U311" i="8"/>
  <c r="Y311" i="8" s="1"/>
  <c r="T311" i="8"/>
  <c r="Z311" i="8" s="1"/>
  <c r="P311" i="8"/>
  <c r="AE310" i="8"/>
  <c r="BE310" i="8" s="1"/>
  <c r="Z310" i="8"/>
  <c r="Y310" i="8"/>
  <c r="X310" i="8"/>
  <c r="W310" i="8"/>
  <c r="V310" i="8"/>
  <c r="T310" i="8"/>
  <c r="N310" i="8"/>
  <c r="M310" i="8"/>
  <c r="L310" i="8"/>
  <c r="K310" i="8"/>
  <c r="J310" i="8"/>
  <c r="N309" i="8"/>
  <c r="M309" i="8"/>
  <c r="L309" i="8"/>
  <c r="K309" i="8"/>
  <c r="I309" i="8" s="1"/>
  <c r="BG309" i="8" s="1"/>
  <c r="J309" i="8"/>
  <c r="AE308" i="8"/>
  <c r="BE308" i="8" s="1"/>
  <c r="V308" i="8"/>
  <c r="N308" i="8"/>
  <c r="M308" i="8"/>
  <c r="L308" i="8"/>
  <c r="K308" i="8"/>
  <c r="J308" i="8"/>
  <c r="I308" i="8"/>
  <c r="BG308" i="8" s="1"/>
  <c r="N307" i="8"/>
  <c r="M307" i="8"/>
  <c r="L307" i="8"/>
  <c r="K307" i="8"/>
  <c r="J307" i="8"/>
  <c r="U307" i="8" s="1"/>
  <c r="AE306" i="8"/>
  <c r="BE306" i="8" s="1"/>
  <c r="Z306" i="8"/>
  <c r="Y306" i="8"/>
  <c r="X306" i="8"/>
  <c r="W306" i="8"/>
  <c r="V306" i="8"/>
  <c r="AA306" i="8" s="1"/>
  <c r="N306" i="8"/>
  <c r="M306" i="8"/>
  <c r="L306" i="8"/>
  <c r="K306" i="8"/>
  <c r="U306" i="8" s="1"/>
  <c r="J306" i="8"/>
  <c r="Y305" i="8"/>
  <c r="X305" i="8"/>
  <c r="W305" i="8"/>
  <c r="V305" i="8"/>
  <c r="N305" i="8"/>
  <c r="M305" i="8"/>
  <c r="L305" i="8"/>
  <c r="K305" i="8"/>
  <c r="I305" i="8" s="1"/>
  <c r="BG305" i="8" s="1"/>
  <c r="J305" i="8"/>
  <c r="U305" i="8" s="1"/>
  <c r="AE304" i="8"/>
  <c r="BE304" i="8" s="1"/>
  <c r="X304" i="8"/>
  <c r="W304" i="8"/>
  <c r="V304" i="8"/>
  <c r="N304" i="8"/>
  <c r="M304" i="8"/>
  <c r="L304" i="8"/>
  <c r="K304" i="8"/>
  <c r="P304" i="8" s="1"/>
  <c r="J304" i="8"/>
  <c r="U304" i="8" s="1"/>
  <c r="I304" i="8"/>
  <c r="BG304" i="8" s="1"/>
  <c r="N303" i="8"/>
  <c r="M303" i="8"/>
  <c r="L303" i="8"/>
  <c r="K303" i="8"/>
  <c r="J303" i="8"/>
  <c r="U303" i="8" s="1"/>
  <c r="N302" i="8"/>
  <c r="M302" i="8"/>
  <c r="L302" i="8"/>
  <c r="K302" i="8"/>
  <c r="J302" i="8"/>
  <c r="I302" i="8"/>
  <c r="BG302" i="8" s="1"/>
  <c r="N301" i="8"/>
  <c r="M301" i="8"/>
  <c r="L301" i="8"/>
  <c r="K301" i="8"/>
  <c r="J301" i="8"/>
  <c r="U301" i="8" s="1"/>
  <c r="N300" i="8"/>
  <c r="M300" i="8"/>
  <c r="L300" i="8"/>
  <c r="K300" i="8"/>
  <c r="J300" i="8"/>
  <c r="U300" i="8" s="1"/>
  <c r="I300" i="8"/>
  <c r="BG300" i="8" s="1"/>
  <c r="N299" i="8"/>
  <c r="M299" i="8"/>
  <c r="L299" i="8"/>
  <c r="K299" i="8"/>
  <c r="J299" i="8"/>
  <c r="U299" i="8" s="1"/>
  <c r="AE298" i="8"/>
  <c r="BE298" i="8" s="1"/>
  <c r="Z298" i="8"/>
  <c r="Y298" i="8"/>
  <c r="X298" i="8"/>
  <c r="W298" i="8"/>
  <c r="V298" i="8"/>
  <c r="N298" i="8"/>
  <c r="M298" i="8"/>
  <c r="L298" i="8"/>
  <c r="K298" i="8"/>
  <c r="U298" i="8" s="1"/>
  <c r="J298" i="8"/>
  <c r="Z297" i="8"/>
  <c r="Y297" i="8"/>
  <c r="X297" i="8"/>
  <c r="W297" i="8"/>
  <c r="AA297" i="8" s="1"/>
  <c r="V297" i="8"/>
  <c r="U297" i="8"/>
  <c r="N297" i="8"/>
  <c r="M297" i="8"/>
  <c r="L297" i="8"/>
  <c r="K297" i="8"/>
  <c r="J297" i="8"/>
  <c r="N296" i="8"/>
  <c r="M296" i="8"/>
  <c r="L296" i="8"/>
  <c r="K296" i="8"/>
  <c r="AE296" i="8" s="1"/>
  <c r="BE296" i="8" s="1"/>
  <c r="J296" i="8"/>
  <c r="U295" i="8"/>
  <c r="N295" i="8"/>
  <c r="M295" i="8"/>
  <c r="L295" i="8"/>
  <c r="K295" i="8"/>
  <c r="J295" i="8"/>
  <c r="N294" i="8"/>
  <c r="M294" i="8"/>
  <c r="L294" i="8"/>
  <c r="K294" i="8"/>
  <c r="AE294" i="8" s="1"/>
  <c r="BE294" i="8" s="1"/>
  <c r="J294" i="8"/>
  <c r="Z293" i="8"/>
  <c r="Y293" i="8"/>
  <c r="X293" i="8"/>
  <c r="W293" i="8"/>
  <c r="AA293" i="8" s="1"/>
  <c r="V293" i="8"/>
  <c r="N293" i="8"/>
  <c r="M293" i="8"/>
  <c r="L293" i="8"/>
  <c r="K293" i="8"/>
  <c r="J293" i="8"/>
  <c r="U293" i="8" s="1"/>
  <c r="N292" i="8"/>
  <c r="M292" i="8"/>
  <c r="L292" i="8"/>
  <c r="K292" i="8"/>
  <c r="J292" i="8"/>
  <c r="U292" i="8" s="1"/>
  <c r="I292" i="8"/>
  <c r="BG292" i="8" s="1"/>
  <c r="N291" i="8"/>
  <c r="M291" i="8"/>
  <c r="L291" i="8"/>
  <c r="K291" i="8"/>
  <c r="J291" i="8"/>
  <c r="AE291" i="8" s="1"/>
  <c r="BE291" i="8" s="1"/>
  <c r="Z290" i="8"/>
  <c r="Y290" i="8"/>
  <c r="X290" i="8"/>
  <c r="W290" i="8"/>
  <c r="AA290" i="8" s="1"/>
  <c r="V290" i="8"/>
  <c r="N290" i="8"/>
  <c r="M290" i="8"/>
  <c r="L290" i="8"/>
  <c r="K290" i="8"/>
  <c r="T290" i="8" s="1"/>
  <c r="J290" i="8"/>
  <c r="AE290" i="8" s="1"/>
  <c r="BE290" i="8" s="1"/>
  <c r="Y289" i="8"/>
  <c r="X289" i="8"/>
  <c r="W289" i="8"/>
  <c r="V289" i="8"/>
  <c r="N289" i="8"/>
  <c r="M289" i="8"/>
  <c r="L289" i="8"/>
  <c r="K289" i="8"/>
  <c r="J289" i="8"/>
  <c r="AE289" i="8" s="1"/>
  <c r="BE289" i="8" s="1"/>
  <c r="N288" i="8"/>
  <c r="M288" i="8"/>
  <c r="AE288" i="8" s="1"/>
  <c r="BE288" i="8" s="1"/>
  <c r="L288" i="8"/>
  <c r="U288" i="8" s="1"/>
  <c r="K288" i="8"/>
  <c r="T288" i="8" s="1"/>
  <c r="J288" i="8"/>
  <c r="I288" i="8"/>
  <c r="BG288" i="8" s="1"/>
  <c r="N287" i="8"/>
  <c r="M287" i="8"/>
  <c r="L287" i="8"/>
  <c r="U287" i="8" s="1"/>
  <c r="K287" i="8"/>
  <c r="T287" i="8" s="1"/>
  <c r="J287" i="8"/>
  <c r="AE287" i="8" s="1"/>
  <c r="BE287" i="8" s="1"/>
  <c r="N286" i="8"/>
  <c r="M286" i="8"/>
  <c r="L286" i="8"/>
  <c r="K286" i="8"/>
  <c r="T286" i="8" s="1"/>
  <c r="J286" i="8"/>
  <c r="AE286" i="8" s="1"/>
  <c r="BE286" i="8" s="1"/>
  <c r="N285" i="8"/>
  <c r="M285" i="8"/>
  <c r="L285" i="8"/>
  <c r="K285" i="8"/>
  <c r="J285" i="8"/>
  <c r="AE285" i="8" s="1"/>
  <c r="BE285" i="8" s="1"/>
  <c r="N284" i="8"/>
  <c r="M284" i="8"/>
  <c r="AE284" i="8" s="1"/>
  <c r="BE284" i="8" s="1"/>
  <c r="L284" i="8"/>
  <c r="U284" i="8" s="1"/>
  <c r="K284" i="8"/>
  <c r="T284" i="8" s="1"/>
  <c r="J284" i="8"/>
  <c r="I284" i="8"/>
  <c r="BG284" i="8" s="1"/>
  <c r="Z283" i="8"/>
  <c r="Y283" i="8"/>
  <c r="X283" i="8"/>
  <c r="W283" i="8"/>
  <c r="AA283" i="8" s="1"/>
  <c r="V283" i="8"/>
  <c r="N283" i="8"/>
  <c r="M283" i="8"/>
  <c r="L283" i="8"/>
  <c r="U283" i="8" s="1"/>
  <c r="K283" i="8"/>
  <c r="T283" i="8" s="1"/>
  <c r="J283" i="8"/>
  <c r="AE283" i="8" s="1"/>
  <c r="BE283" i="8" s="1"/>
  <c r="V282" i="8"/>
  <c r="N282" i="8"/>
  <c r="M282" i="8"/>
  <c r="L282" i="8"/>
  <c r="K282" i="8"/>
  <c r="T282" i="8" s="1"/>
  <c r="J282" i="8"/>
  <c r="AE282" i="8" s="1"/>
  <c r="BE282" i="8" s="1"/>
  <c r="Z281" i="8"/>
  <c r="Y281" i="8"/>
  <c r="X281" i="8"/>
  <c r="W281" i="8"/>
  <c r="AA281" i="8" s="1"/>
  <c r="V281" i="8"/>
  <c r="N281" i="8"/>
  <c r="M281" i="8"/>
  <c r="L281" i="8"/>
  <c r="K281" i="8"/>
  <c r="J281" i="8"/>
  <c r="AE281" i="8" s="1"/>
  <c r="BE281" i="8" s="1"/>
  <c r="AE280" i="8"/>
  <c r="BE280" i="8" s="1"/>
  <c r="Z280" i="8"/>
  <c r="Y280" i="8"/>
  <c r="X280" i="8"/>
  <c r="W280" i="8"/>
  <c r="V280" i="8"/>
  <c r="AA280" i="8" s="1"/>
  <c r="N280" i="8"/>
  <c r="M280" i="8"/>
  <c r="L280" i="8"/>
  <c r="U280" i="8" s="1"/>
  <c r="K280" i="8"/>
  <c r="T280" i="8" s="1"/>
  <c r="J280" i="8"/>
  <c r="I280" i="8"/>
  <c r="BG280" i="8" s="1"/>
  <c r="N279" i="8"/>
  <c r="M279" i="8"/>
  <c r="L279" i="8"/>
  <c r="U279" i="8" s="1"/>
  <c r="K279" i="8"/>
  <c r="T279" i="8" s="1"/>
  <c r="J279" i="8"/>
  <c r="AE279" i="8" s="1"/>
  <c r="BE279" i="8" s="1"/>
  <c r="Z278" i="8"/>
  <c r="Y278" i="8"/>
  <c r="X278" i="8"/>
  <c r="W278" i="8"/>
  <c r="AA278" i="8" s="1"/>
  <c r="V278" i="8"/>
  <c r="N278" i="8"/>
  <c r="M278" i="8"/>
  <c r="L278" i="8"/>
  <c r="K278" i="8"/>
  <c r="T278" i="8" s="1"/>
  <c r="J278" i="8"/>
  <c r="AE278" i="8" s="1"/>
  <c r="BE278" i="8" s="1"/>
  <c r="N277" i="8"/>
  <c r="M277" i="8"/>
  <c r="L277" i="8"/>
  <c r="K277" i="8"/>
  <c r="J277" i="8"/>
  <c r="AE277" i="8" s="1"/>
  <c r="BE277" i="8" s="1"/>
  <c r="N276" i="8"/>
  <c r="M276" i="8"/>
  <c r="AE276" i="8" s="1"/>
  <c r="BE276" i="8" s="1"/>
  <c r="L276" i="8"/>
  <c r="U276" i="8" s="1"/>
  <c r="K276" i="8"/>
  <c r="T276" i="8" s="1"/>
  <c r="J276" i="8"/>
  <c r="I276" i="8"/>
  <c r="BG276" i="8" s="1"/>
  <c r="W275" i="8"/>
  <c r="N275" i="8"/>
  <c r="M275" i="8"/>
  <c r="L275" i="8"/>
  <c r="U275" i="8" s="1"/>
  <c r="K275" i="8"/>
  <c r="T275" i="8" s="1"/>
  <c r="Y275" i="8" s="1"/>
  <c r="J275" i="8"/>
  <c r="AE275" i="8" s="1"/>
  <c r="BE275" i="8" s="1"/>
  <c r="Z274" i="8"/>
  <c r="Y274" i="8"/>
  <c r="X274" i="8"/>
  <c r="V274" i="8"/>
  <c r="N274" i="8"/>
  <c r="M274" i="8"/>
  <c r="L274" i="8"/>
  <c r="K274" i="8"/>
  <c r="T274" i="8" s="1"/>
  <c r="J274" i="8"/>
  <c r="AE274" i="8" s="1"/>
  <c r="BE274" i="8" s="1"/>
  <c r="N273" i="8"/>
  <c r="M273" i="8"/>
  <c r="L273" i="8"/>
  <c r="K273" i="8"/>
  <c r="J273" i="8"/>
  <c r="AE273" i="8" s="1"/>
  <c r="BE273" i="8" s="1"/>
  <c r="N272" i="8"/>
  <c r="M272" i="8"/>
  <c r="AE272" i="8" s="1"/>
  <c r="BE272" i="8" s="1"/>
  <c r="L272" i="8"/>
  <c r="U272" i="8" s="1"/>
  <c r="K272" i="8"/>
  <c r="T272" i="8" s="1"/>
  <c r="J272" i="8"/>
  <c r="I272" i="8"/>
  <c r="BG272" i="8" s="1"/>
  <c r="BG271" i="8"/>
  <c r="U271" i="8"/>
  <c r="Y271" i="8" s="1"/>
  <c r="T271" i="8"/>
  <c r="X271" i="8" s="1"/>
  <c r="P271" i="8"/>
  <c r="N270" i="8"/>
  <c r="M270" i="8"/>
  <c r="AE270" i="8" s="1"/>
  <c r="BE270" i="8" s="1"/>
  <c r="L270" i="8"/>
  <c r="U270" i="8" s="1"/>
  <c r="K270" i="8"/>
  <c r="T270" i="8" s="1"/>
  <c r="J270" i="8"/>
  <c r="I270" i="8"/>
  <c r="BG270" i="8" s="1"/>
  <c r="N269" i="8"/>
  <c r="Z269" i="8" s="1"/>
  <c r="M269" i="8"/>
  <c r="L269" i="8"/>
  <c r="U269" i="8" s="1"/>
  <c r="K269" i="8"/>
  <c r="T269" i="8" s="1"/>
  <c r="Y269" i="8" s="1"/>
  <c r="J269" i="8"/>
  <c r="AE269" i="8" s="1"/>
  <c r="BE269" i="8" s="1"/>
  <c r="V268" i="8"/>
  <c r="N268" i="8"/>
  <c r="M268" i="8"/>
  <c r="L268" i="8"/>
  <c r="K268" i="8"/>
  <c r="T268" i="8" s="1"/>
  <c r="J268" i="8"/>
  <c r="AE268" i="8" s="1"/>
  <c r="BE268" i="8" s="1"/>
  <c r="Z267" i="8"/>
  <c r="Y267" i="8"/>
  <c r="X267" i="8"/>
  <c r="W267" i="8"/>
  <c r="AA267" i="8" s="1"/>
  <c r="V267" i="8"/>
  <c r="N267" i="8"/>
  <c r="M267" i="8"/>
  <c r="L267" i="8"/>
  <c r="K267" i="8"/>
  <c r="J267" i="8"/>
  <c r="AE267" i="8" s="1"/>
  <c r="BE267" i="8" s="1"/>
  <c r="N266" i="8"/>
  <c r="M266" i="8"/>
  <c r="AE266" i="8" s="1"/>
  <c r="BE266" i="8" s="1"/>
  <c r="L266" i="8"/>
  <c r="U266" i="8" s="1"/>
  <c r="K266" i="8"/>
  <c r="T266" i="8" s="1"/>
  <c r="J266" i="8"/>
  <c r="I266" i="8"/>
  <c r="BG266" i="8" s="1"/>
  <c r="N265" i="8"/>
  <c r="M265" i="8"/>
  <c r="L265" i="8"/>
  <c r="U265" i="8" s="1"/>
  <c r="K265" i="8"/>
  <c r="J265" i="8"/>
  <c r="T265" i="8" s="1"/>
  <c r="Y265" i="8" s="1"/>
  <c r="N264" i="8"/>
  <c r="M264" i="8"/>
  <c r="L264" i="8"/>
  <c r="K264" i="8"/>
  <c r="T264" i="8" s="1"/>
  <c r="J264" i="8"/>
  <c r="AE264" i="8" s="1"/>
  <c r="BE264" i="8" s="1"/>
  <c r="V263" i="8"/>
  <c r="N263" i="8"/>
  <c r="M263" i="8"/>
  <c r="L263" i="8"/>
  <c r="K263" i="8"/>
  <c r="J263" i="8"/>
  <c r="AE263" i="8" s="1"/>
  <c r="BE263" i="8" s="1"/>
  <c r="N262" i="8"/>
  <c r="M262" i="8"/>
  <c r="AE262" i="8" s="1"/>
  <c r="BE262" i="8" s="1"/>
  <c r="L262" i="8"/>
  <c r="K262" i="8"/>
  <c r="J262" i="8"/>
  <c r="U262" i="8" s="1"/>
  <c r="I262" i="8"/>
  <c r="BG262" i="8" s="1"/>
  <c r="N261" i="8"/>
  <c r="M261" i="8"/>
  <c r="L261" i="8"/>
  <c r="U261" i="8" s="1"/>
  <c r="K261" i="8"/>
  <c r="W261" i="8" s="1"/>
  <c r="J261" i="8"/>
  <c r="T261" i="8" s="1"/>
  <c r="V260" i="8"/>
  <c r="N260" i="8"/>
  <c r="M260" i="8"/>
  <c r="L260" i="8"/>
  <c r="K260" i="8"/>
  <c r="T260" i="8" s="1"/>
  <c r="J260" i="8"/>
  <c r="AE260" i="8" s="1"/>
  <c r="BE260" i="8" s="1"/>
  <c r="Z259" i="8"/>
  <c r="Y259" i="8"/>
  <c r="X259" i="8"/>
  <c r="W259" i="8"/>
  <c r="AA259" i="8" s="1"/>
  <c r="V259" i="8"/>
  <c r="N259" i="8"/>
  <c r="M259" i="8"/>
  <c r="L259" i="8"/>
  <c r="K259" i="8"/>
  <c r="I259" i="8" s="1"/>
  <c r="BG259" i="8" s="1"/>
  <c r="J259" i="8"/>
  <c r="AE259" i="8" s="1"/>
  <c r="BE259" i="8" s="1"/>
  <c r="N258" i="8"/>
  <c r="M258" i="8"/>
  <c r="AE258" i="8" s="1"/>
  <c r="BE258" i="8" s="1"/>
  <c r="L258" i="8"/>
  <c r="K258" i="8"/>
  <c r="J258" i="8"/>
  <c r="U258" i="8" s="1"/>
  <c r="I258" i="8"/>
  <c r="BG258" i="8" s="1"/>
  <c r="N257" i="8"/>
  <c r="M257" i="8"/>
  <c r="L257" i="8"/>
  <c r="U257" i="8" s="1"/>
  <c r="K257" i="8"/>
  <c r="J257" i="8"/>
  <c r="T257" i="8" s="1"/>
  <c r="N256" i="8"/>
  <c r="M256" i="8"/>
  <c r="L256" i="8"/>
  <c r="K256" i="8"/>
  <c r="T256" i="8" s="1"/>
  <c r="J256" i="8"/>
  <c r="AE256" i="8" s="1"/>
  <c r="BE256" i="8" s="1"/>
  <c r="N255" i="8"/>
  <c r="M255" i="8"/>
  <c r="L255" i="8"/>
  <c r="K255" i="8"/>
  <c r="I255" i="8" s="1"/>
  <c r="BG255" i="8" s="1"/>
  <c r="J255" i="8"/>
  <c r="AE255" i="8" s="1"/>
  <c r="BE255" i="8" s="1"/>
  <c r="AE254" i="8"/>
  <c r="BE254" i="8" s="1"/>
  <c r="Z254" i="8"/>
  <c r="Y254" i="8"/>
  <c r="X254" i="8"/>
  <c r="W254" i="8"/>
  <c r="V254" i="8"/>
  <c r="AA254" i="8" s="1"/>
  <c r="N254" i="8"/>
  <c r="M254" i="8"/>
  <c r="L254" i="8"/>
  <c r="K254" i="8"/>
  <c r="J254" i="8"/>
  <c r="U254" i="8" s="1"/>
  <c r="I254" i="8"/>
  <c r="BG254" i="8" s="1"/>
  <c r="BE253" i="8"/>
  <c r="AE253" i="8"/>
  <c r="Y253" i="8"/>
  <c r="X253" i="8"/>
  <c r="W253" i="8"/>
  <c r="V253" i="8"/>
  <c r="N253" i="8"/>
  <c r="M253" i="8"/>
  <c r="L253" i="8"/>
  <c r="U253" i="8" s="1"/>
  <c r="K253" i="8"/>
  <c r="J253" i="8"/>
  <c r="T253" i="8" s="1"/>
  <c r="V252" i="8"/>
  <c r="N252" i="8"/>
  <c r="M252" i="8"/>
  <c r="L252" i="8"/>
  <c r="K252" i="8"/>
  <c r="T252" i="8" s="1"/>
  <c r="J252" i="8"/>
  <c r="AE252" i="8" s="1"/>
  <c r="BE252" i="8" s="1"/>
  <c r="N251" i="8"/>
  <c r="M251" i="8"/>
  <c r="L251" i="8"/>
  <c r="K251" i="8"/>
  <c r="I251" i="8" s="1"/>
  <c r="J251" i="8"/>
  <c r="AE251" i="8" s="1"/>
  <c r="BE251" i="8" s="1"/>
  <c r="N250" i="8"/>
  <c r="M250" i="8"/>
  <c r="AE250" i="8" s="1"/>
  <c r="BE250" i="8" s="1"/>
  <c r="L250" i="8"/>
  <c r="K250" i="8"/>
  <c r="J250" i="8"/>
  <c r="U250" i="8" s="1"/>
  <c r="I250" i="8"/>
  <c r="BG250" i="8" s="1"/>
  <c r="N249" i="8"/>
  <c r="M249" i="8"/>
  <c r="L249" i="8"/>
  <c r="U249" i="8" s="1"/>
  <c r="K249" i="8"/>
  <c r="J249" i="8"/>
  <c r="T249" i="8" s="1"/>
  <c r="N248" i="8"/>
  <c r="M248" i="8"/>
  <c r="L248" i="8"/>
  <c r="K248" i="8"/>
  <c r="T248" i="8" s="1"/>
  <c r="J248" i="8"/>
  <c r="AE248" i="8" s="1"/>
  <c r="BE248" i="8" s="1"/>
  <c r="N247" i="8"/>
  <c r="M247" i="8"/>
  <c r="L247" i="8"/>
  <c r="K247" i="8"/>
  <c r="I247" i="8" s="1"/>
  <c r="BG247" i="8" s="1"/>
  <c r="J247" i="8"/>
  <c r="AE247" i="8" s="1"/>
  <c r="BE247" i="8" s="1"/>
  <c r="BG246" i="8"/>
  <c r="Z246" i="8"/>
  <c r="W246" i="8"/>
  <c r="V246" i="8"/>
  <c r="U246" i="8"/>
  <c r="T246" i="8"/>
  <c r="Y246" i="8" s="1"/>
  <c r="P246" i="8"/>
  <c r="Z245" i="8"/>
  <c r="Y245" i="8"/>
  <c r="X245" i="8"/>
  <c r="W245" i="8"/>
  <c r="AA245" i="8" s="1"/>
  <c r="V245" i="8"/>
  <c r="N245" i="8"/>
  <c r="M245" i="8"/>
  <c r="L245" i="8"/>
  <c r="K245" i="8"/>
  <c r="I245" i="8" s="1"/>
  <c r="BG245" i="8" s="1"/>
  <c r="J245" i="8"/>
  <c r="AE245" i="8" s="1"/>
  <c r="BE245" i="8" s="1"/>
  <c r="AE244" i="8"/>
  <c r="BE244" i="8" s="1"/>
  <c r="Z244" i="8"/>
  <c r="Y244" i="8"/>
  <c r="X244" i="8"/>
  <c r="W244" i="8"/>
  <c r="V244" i="8"/>
  <c r="AA244" i="8" s="1"/>
  <c r="N244" i="8"/>
  <c r="M244" i="8"/>
  <c r="L244" i="8"/>
  <c r="K244" i="8"/>
  <c r="J244" i="8"/>
  <c r="U244" i="8" s="1"/>
  <c r="I244" i="8"/>
  <c r="BG244" i="8" s="1"/>
  <c r="BE243" i="8"/>
  <c r="AE243" i="8"/>
  <c r="V243" i="8"/>
  <c r="N243" i="8"/>
  <c r="M243" i="8"/>
  <c r="L243" i="8"/>
  <c r="U243" i="8" s="1"/>
  <c r="K243" i="8"/>
  <c r="J243" i="8"/>
  <c r="T243" i="8" s="1"/>
  <c r="Z242" i="8"/>
  <c r="Y242" i="8"/>
  <c r="X242" i="8"/>
  <c r="W242" i="8"/>
  <c r="V242" i="8"/>
  <c r="AA242" i="8" s="1"/>
  <c r="N242" i="8"/>
  <c r="M242" i="8"/>
  <c r="L242" i="8"/>
  <c r="K242" i="8"/>
  <c r="T242" i="8" s="1"/>
  <c r="J242" i="8"/>
  <c r="AE242" i="8" s="1"/>
  <c r="BE242" i="8" s="1"/>
  <c r="N241" i="8"/>
  <c r="M241" i="8"/>
  <c r="L241" i="8"/>
  <c r="K241" i="8"/>
  <c r="I241" i="8" s="1"/>
  <c r="BG241" i="8" s="1"/>
  <c r="J241" i="8"/>
  <c r="AE241" i="8" s="1"/>
  <c r="BE241" i="8" s="1"/>
  <c r="AE240" i="8"/>
  <c r="BE240" i="8" s="1"/>
  <c r="Z240" i="8"/>
  <c r="Y240" i="8"/>
  <c r="X240" i="8"/>
  <c r="W240" i="8"/>
  <c r="V240" i="8"/>
  <c r="AA240" i="8" s="1"/>
  <c r="N240" i="8"/>
  <c r="M240" i="8"/>
  <c r="L240" i="8"/>
  <c r="K240" i="8"/>
  <c r="J240" i="8"/>
  <c r="U240" i="8" s="1"/>
  <c r="I240" i="8"/>
  <c r="BG240" i="8" s="1"/>
  <c r="BE239" i="8"/>
  <c r="AE239" i="8"/>
  <c r="Z239" i="8"/>
  <c r="Y239" i="8"/>
  <c r="X239" i="8"/>
  <c r="W239" i="8"/>
  <c r="V239" i="8"/>
  <c r="AA239" i="8" s="1"/>
  <c r="N239" i="8"/>
  <c r="M239" i="8"/>
  <c r="L239" i="8"/>
  <c r="U239" i="8" s="1"/>
  <c r="K239" i="8"/>
  <c r="J239" i="8"/>
  <c r="T239" i="8" s="1"/>
  <c r="Z238" i="8"/>
  <c r="Y238" i="8"/>
  <c r="X238" i="8"/>
  <c r="W238" i="8"/>
  <c r="V238" i="8"/>
  <c r="AA238" i="8" s="1"/>
  <c r="N238" i="8"/>
  <c r="M238" i="8"/>
  <c r="L238" i="8"/>
  <c r="K238" i="8"/>
  <c r="T238" i="8" s="1"/>
  <c r="J238" i="8"/>
  <c r="AE238" i="8" s="1"/>
  <c r="BE238" i="8" s="1"/>
  <c r="Z237" i="8"/>
  <c r="Y237" i="8"/>
  <c r="X237" i="8"/>
  <c r="W237" i="8"/>
  <c r="AA237" i="8" s="1"/>
  <c r="V237" i="8"/>
  <c r="N237" i="8"/>
  <c r="M237" i="8"/>
  <c r="L237" i="8"/>
  <c r="K237" i="8"/>
  <c r="I237" i="8" s="1"/>
  <c r="BG237" i="8" s="1"/>
  <c r="J237" i="8"/>
  <c r="AE237" i="8" s="1"/>
  <c r="BE237" i="8" s="1"/>
  <c r="AE236" i="8"/>
  <c r="BE236" i="8" s="1"/>
  <c r="Z236" i="8"/>
  <c r="Y236" i="8"/>
  <c r="X236" i="8"/>
  <c r="W236" i="8"/>
  <c r="V236" i="8"/>
  <c r="AA236" i="8" s="1"/>
  <c r="N236" i="8"/>
  <c r="M236" i="8"/>
  <c r="L236" i="8"/>
  <c r="K236" i="8"/>
  <c r="J236" i="8"/>
  <c r="U236" i="8" s="1"/>
  <c r="I236" i="8"/>
  <c r="BG236" i="8" s="1"/>
  <c r="N235" i="8"/>
  <c r="M235" i="8"/>
  <c r="L235" i="8"/>
  <c r="U235" i="8" s="1"/>
  <c r="K235" i="8"/>
  <c r="J235" i="8"/>
  <c r="T235" i="8" s="1"/>
  <c r="N234" i="8"/>
  <c r="M234" i="8"/>
  <c r="L234" i="8"/>
  <c r="K234" i="8"/>
  <c r="T234" i="8" s="1"/>
  <c r="J234" i="8"/>
  <c r="AE234" i="8" s="1"/>
  <c r="BE234" i="8" s="1"/>
  <c r="N233" i="8"/>
  <c r="M233" i="8"/>
  <c r="L233" i="8"/>
  <c r="K233" i="8"/>
  <c r="I233" i="8" s="1"/>
  <c r="BG233" i="8" s="1"/>
  <c r="J233" i="8"/>
  <c r="AE233" i="8" s="1"/>
  <c r="BE233" i="8" s="1"/>
  <c r="N232" i="8"/>
  <c r="M232" i="8"/>
  <c r="AE232" i="8" s="1"/>
  <c r="BE232" i="8" s="1"/>
  <c r="L232" i="8"/>
  <c r="K232" i="8"/>
  <c r="J232" i="8"/>
  <c r="U232" i="8" s="1"/>
  <c r="I232" i="8"/>
  <c r="BG232" i="8" s="1"/>
  <c r="N231" i="8"/>
  <c r="M231" i="8"/>
  <c r="L231" i="8"/>
  <c r="U231" i="8" s="1"/>
  <c r="K231" i="8"/>
  <c r="J231" i="8"/>
  <c r="T231" i="8" s="1"/>
  <c r="V230" i="8"/>
  <c r="N230" i="8"/>
  <c r="M230" i="8"/>
  <c r="L230" i="8"/>
  <c r="K230" i="8"/>
  <c r="T230" i="8" s="1"/>
  <c r="J230" i="8"/>
  <c r="AE230" i="8" s="1"/>
  <c r="BE230" i="8" s="1"/>
  <c r="N229" i="8"/>
  <c r="M229" i="8"/>
  <c r="L229" i="8"/>
  <c r="K229" i="8"/>
  <c r="I229" i="8" s="1"/>
  <c r="BG229" i="8" s="1"/>
  <c r="J229" i="8"/>
  <c r="AE229" i="8" s="1"/>
  <c r="BE229" i="8" s="1"/>
  <c r="N228" i="8"/>
  <c r="M228" i="8"/>
  <c r="AE228" i="8" s="1"/>
  <c r="BE228" i="8" s="1"/>
  <c r="L228" i="8"/>
  <c r="K228" i="8"/>
  <c r="J228" i="8"/>
  <c r="U228" i="8" s="1"/>
  <c r="I228" i="8"/>
  <c r="BG228" i="8" s="1"/>
  <c r="BG227" i="8"/>
  <c r="U227" i="8"/>
  <c r="Y227" i="8" s="1"/>
  <c r="T227" i="8"/>
  <c r="X227" i="8" s="1"/>
  <c r="P227" i="8"/>
  <c r="N226" i="8"/>
  <c r="M226" i="8"/>
  <c r="AE226" i="8" s="1"/>
  <c r="BE226" i="8" s="1"/>
  <c r="L226" i="8"/>
  <c r="K226" i="8"/>
  <c r="J226" i="8"/>
  <c r="U226" i="8" s="1"/>
  <c r="I226" i="8"/>
  <c r="BG226" i="8" s="1"/>
  <c r="BE225" i="8"/>
  <c r="AE225" i="8"/>
  <c r="X225" i="8"/>
  <c r="V225" i="8"/>
  <c r="N225" i="8"/>
  <c r="M225" i="8"/>
  <c r="L225" i="8"/>
  <c r="U225" i="8" s="1"/>
  <c r="K225" i="8"/>
  <c r="W225" i="8" s="1"/>
  <c r="J225" i="8"/>
  <c r="T225" i="8" s="1"/>
  <c r="N224" i="8"/>
  <c r="M224" i="8"/>
  <c r="L224" i="8"/>
  <c r="K224" i="8"/>
  <c r="T224" i="8" s="1"/>
  <c r="J224" i="8"/>
  <c r="AE224" i="8" s="1"/>
  <c r="BE224" i="8" s="1"/>
  <c r="Z223" i="8"/>
  <c r="Y223" i="8"/>
  <c r="X223" i="8"/>
  <c r="W223" i="8"/>
  <c r="AA223" i="8" s="1"/>
  <c r="V223" i="8"/>
  <c r="N223" i="8"/>
  <c r="M223" i="8"/>
  <c r="L223" i="8"/>
  <c r="K223" i="8"/>
  <c r="I223" i="8" s="1"/>
  <c r="BG223" i="8" s="1"/>
  <c r="J223" i="8"/>
  <c r="AE223" i="8" s="1"/>
  <c r="BE223" i="8" s="1"/>
  <c r="AE222" i="8"/>
  <c r="BE222" i="8" s="1"/>
  <c r="Z222" i="8"/>
  <c r="Y222" i="8"/>
  <c r="X222" i="8"/>
  <c r="W222" i="8"/>
  <c r="V222" i="8"/>
  <c r="AA222" i="8" s="1"/>
  <c r="N222" i="8"/>
  <c r="M222" i="8"/>
  <c r="L222" i="8"/>
  <c r="K222" i="8"/>
  <c r="J222" i="8"/>
  <c r="U222" i="8" s="1"/>
  <c r="I222" i="8"/>
  <c r="BG222" i="8" s="1"/>
  <c r="BE221" i="8"/>
  <c r="AE221" i="8"/>
  <c r="Z221" i="8"/>
  <c r="Y221" i="8"/>
  <c r="X221" i="8"/>
  <c r="W221" i="8"/>
  <c r="V221" i="8"/>
  <c r="AA221" i="8" s="1"/>
  <c r="N221" i="8"/>
  <c r="M221" i="8"/>
  <c r="L221" i="8"/>
  <c r="U221" i="8" s="1"/>
  <c r="K221" i="8"/>
  <c r="J221" i="8"/>
  <c r="T221" i="8" s="1"/>
  <c r="Z220" i="8"/>
  <c r="Y220" i="8"/>
  <c r="X220" i="8"/>
  <c r="W220" i="8"/>
  <c r="V220" i="8"/>
  <c r="AA220" i="8" s="1"/>
  <c r="N220" i="8"/>
  <c r="M220" i="8"/>
  <c r="L220" i="8"/>
  <c r="K220" i="8"/>
  <c r="T220" i="8" s="1"/>
  <c r="J220" i="8"/>
  <c r="AE220" i="8" s="1"/>
  <c r="BE220" i="8" s="1"/>
  <c r="N219" i="8"/>
  <c r="M219" i="8"/>
  <c r="L219" i="8"/>
  <c r="K219" i="8"/>
  <c r="I219" i="8" s="1"/>
  <c r="BG219" i="8" s="1"/>
  <c r="J219" i="8"/>
  <c r="AE219" i="8" s="1"/>
  <c r="BE219" i="8" s="1"/>
  <c r="AE218" i="8"/>
  <c r="BE218" i="8" s="1"/>
  <c r="V218" i="8"/>
  <c r="N218" i="8"/>
  <c r="M218" i="8"/>
  <c r="L218" i="8"/>
  <c r="K218" i="8"/>
  <c r="J218" i="8"/>
  <c r="U218" i="8" s="1"/>
  <c r="I218" i="8"/>
  <c r="BG218" i="8" s="1"/>
  <c r="N217" i="8"/>
  <c r="M217" i="8"/>
  <c r="L217" i="8"/>
  <c r="U217" i="8" s="1"/>
  <c r="K217" i="8"/>
  <c r="J217" i="8"/>
  <c r="T217" i="8" s="1"/>
  <c r="N216" i="8"/>
  <c r="M216" i="8"/>
  <c r="L216" i="8"/>
  <c r="K216" i="8"/>
  <c r="T216" i="8" s="1"/>
  <c r="J216" i="8"/>
  <c r="AE216" i="8" s="1"/>
  <c r="BE216" i="8" s="1"/>
  <c r="Z215" i="8"/>
  <c r="Y215" i="8"/>
  <c r="X215" i="8"/>
  <c r="W215" i="8"/>
  <c r="AA215" i="8" s="1"/>
  <c r="V215" i="8"/>
  <c r="N215" i="8"/>
  <c r="M215" i="8"/>
  <c r="L215" i="8"/>
  <c r="K215" i="8"/>
  <c r="I215" i="8" s="1"/>
  <c r="BG215" i="8" s="1"/>
  <c r="J215" i="8"/>
  <c r="AE215" i="8" s="1"/>
  <c r="BE215" i="8" s="1"/>
  <c r="N214" i="8"/>
  <c r="M214" i="8"/>
  <c r="AE214" i="8" s="1"/>
  <c r="BE214" i="8" s="1"/>
  <c r="L214" i="8"/>
  <c r="K214" i="8"/>
  <c r="J214" i="8"/>
  <c r="U214" i="8" s="1"/>
  <c r="I214" i="8"/>
  <c r="BG214" i="8" s="1"/>
  <c r="BE213" i="8"/>
  <c r="AE213" i="8"/>
  <c r="V213" i="8"/>
  <c r="N213" i="8"/>
  <c r="M213" i="8"/>
  <c r="L213" i="8"/>
  <c r="U213" i="8" s="1"/>
  <c r="K213" i="8"/>
  <c r="W213" i="8" s="1"/>
  <c r="J213" i="8"/>
  <c r="T213" i="8" s="1"/>
  <c r="N212" i="8"/>
  <c r="M212" i="8"/>
  <c r="L212" i="8"/>
  <c r="K212" i="8"/>
  <c r="T212" i="8" s="1"/>
  <c r="J212" i="8"/>
  <c r="AE212" i="8" s="1"/>
  <c r="BE212" i="8" s="1"/>
  <c r="N211" i="8"/>
  <c r="M211" i="8"/>
  <c r="L211" i="8"/>
  <c r="K211" i="8"/>
  <c r="I211" i="8" s="1"/>
  <c r="BG211" i="8" s="1"/>
  <c r="J211" i="8"/>
  <c r="AE211" i="8" s="1"/>
  <c r="BE211" i="8" s="1"/>
  <c r="AE210" i="8"/>
  <c r="BE210" i="8" s="1"/>
  <c r="V210" i="8"/>
  <c r="N210" i="8"/>
  <c r="M210" i="8"/>
  <c r="L210" i="8"/>
  <c r="K210" i="8"/>
  <c r="J210" i="8"/>
  <c r="U210" i="8" s="1"/>
  <c r="I210" i="8"/>
  <c r="BG210" i="8" s="1"/>
  <c r="N209" i="8"/>
  <c r="M209" i="8"/>
  <c r="L209" i="8"/>
  <c r="U209" i="8" s="1"/>
  <c r="K209" i="8"/>
  <c r="J209" i="8"/>
  <c r="T209" i="8" s="1"/>
  <c r="N208" i="8"/>
  <c r="M208" i="8"/>
  <c r="L208" i="8"/>
  <c r="K208" i="8"/>
  <c r="T208" i="8" s="1"/>
  <c r="J208" i="8"/>
  <c r="AE208" i="8" s="1"/>
  <c r="BE208" i="8" s="1"/>
  <c r="N207" i="8"/>
  <c r="M207" i="8"/>
  <c r="L207" i="8"/>
  <c r="K207" i="8"/>
  <c r="I207" i="8" s="1"/>
  <c r="BG207" i="8" s="1"/>
  <c r="J207" i="8"/>
  <c r="AE207" i="8" s="1"/>
  <c r="BE207" i="8" s="1"/>
  <c r="AE206" i="8"/>
  <c r="BE206" i="8" s="1"/>
  <c r="Z206" i="8"/>
  <c r="Y206" i="8"/>
  <c r="X206" i="8"/>
  <c r="W206" i="8"/>
  <c r="V206" i="8"/>
  <c r="AA206" i="8" s="1"/>
  <c r="N206" i="8"/>
  <c r="M206" i="8"/>
  <c r="L206" i="8"/>
  <c r="K206" i="8"/>
  <c r="T206" i="8" s="1"/>
  <c r="J206" i="8"/>
  <c r="U206" i="8" s="1"/>
  <c r="I206" i="8"/>
  <c r="BG206" i="8" s="1"/>
  <c r="BG205" i="8"/>
  <c r="Z205" i="8"/>
  <c r="Y205" i="8"/>
  <c r="X205" i="8"/>
  <c r="W205" i="8"/>
  <c r="AA205" i="8" s="1"/>
  <c r="V205" i="8"/>
  <c r="U205" i="8"/>
  <c r="T205" i="8"/>
  <c r="P205" i="8"/>
  <c r="AE204" i="8"/>
  <c r="BE204" i="8" s="1"/>
  <c r="Z204" i="8"/>
  <c r="Y204" i="8"/>
  <c r="X204" i="8"/>
  <c r="W204" i="8"/>
  <c r="V204" i="8"/>
  <c r="AA204" i="8" s="1"/>
  <c r="N204" i="8"/>
  <c r="M204" i="8"/>
  <c r="L204" i="8"/>
  <c r="K204" i="8"/>
  <c r="T204" i="8" s="1"/>
  <c r="J204" i="8"/>
  <c r="U204" i="8" s="1"/>
  <c r="I204" i="8"/>
  <c r="BG204" i="8" s="1"/>
  <c r="Z203" i="8"/>
  <c r="Y203" i="8"/>
  <c r="X203" i="8"/>
  <c r="W203" i="8"/>
  <c r="AA203" i="8" s="1"/>
  <c r="V203" i="8"/>
  <c r="N203" i="8"/>
  <c r="M203" i="8"/>
  <c r="L203" i="8"/>
  <c r="U203" i="8" s="1"/>
  <c r="K203" i="8"/>
  <c r="J203" i="8"/>
  <c r="T203" i="8" s="1"/>
  <c r="AE202" i="8"/>
  <c r="BE202" i="8" s="1"/>
  <c r="Z202" i="8"/>
  <c r="Y202" i="8"/>
  <c r="X202" i="8"/>
  <c r="W202" i="8"/>
  <c r="V202" i="8"/>
  <c r="AA202" i="8" s="1"/>
  <c r="N202" i="8"/>
  <c r="M202" i="8"/>
  <c r="L202" i="8"/>
  <c r="K202" i="8"/>
  <c r="T202" i="8" s="1"/>
  <c r="J202" i="8"/>
  <c r="Y201" i="8"/>
  <c r="X201" i="8"/>
  <c r="W201" i="8"/>
  <c r="V201" i="8"/>
  <c r="N201" i="8"/>
  <c r="M201" i="8"/>
  <c r="L201" i="8"/>
  <c r="K201" i="8"/>
  <c r="I201" i="8" s="1"/>
  <c r="J201" i="8"/>
  <c r="AE201" i="8" s="1"/>
  <c r="BE201" i="8" s="1"/>
  <c r="AE200" i="8"/>
  <c r="BE200" i="8" s="1"/>
  <c r="V200" i="8"/>
  <c r="N200" i="8"/>
  <c r="M200" i="8"/>
  <c r="L200" i="8"/>
  <c r="K200" i="8"/>
  <c r="T200" i="8" s="1"/>
  <c r="J200" i="8"/>
  <c r="U200" i="8" s="1"/>
  <c r="I200" i="8"/>
  <c r="BG200" i="8" s="1"/>
  <c r="N199" i="8"/>
  <c r="M199" i="8"/>
  <c r="L199" i="8"/>
  <c r="U199" i="8" s="1"/>
  <c r="K199" i="8"/>
  <c r="J199" i="8"/>
  <c r="T199" i="8" s="1"/>
  <c r="AE198" i="8"/>
  <c r="BE198" i="8" s="1"/>
  <c r="Z198" i="8"/>
  <c r="Y198" i="8"/>
  <c r="X198" i="8"/>
  <c r="W198" i="8"/>
  <c r="V198" i="8"/>
  <c r="AA198" i="8" s="1"/>
  <c r="N198" i="8"/>
  <c r="M198" i="8"/>
  <c r="L198" i="8"/>
  <c r="K198" i="8"/>
  <c r="T198" i="8" s="1"/>
  <c r="J198" i="8"/>
  <c r="N197" i="8"/>
  <c r="M197" i="8"/>
  <c r="L197" i="8"/>
  <c r="K197" i="8"/>
  <c r="I197" i="8" s="1"/>
  <c r="BG197" i="8" s="1"/>
  <c r="J197" i="8"/>
  <c r="AE197" i="8" s="1"/>
  <c r="BE197" i="8" s="1"/>
  <c r="AE196" i="8"/>
  <c r="BE196" i="8" s="1"/>
  <c r="Z196" i="8"/>
  <c r="Y196" i="8"/>
  <c r="X196" i="8"/>
  <c r="W196" i="8"/>
  <c r="V196" i="8"/>
  <c r="AA196" i="8" s="1"/>
  <c r="N196" i="8"/>
  <c r="M196" i="8"/>
  <c r="L196" i="8"/>
  <c r="K196" i="8"/>
  <c r="T196" i="8" s="1"/>
  <c r="J196" i="8"/>
  <c r="U196" i="8" s="1"/>
  <c r="I196" i="8"/>
  <c r="BG196" i="8" s="1"/>
  <c r="Z195" i="8"/>
  <c r="Y195" i="8"/>
  <c r="X195" i="8"/>
  <c r="W195" i="8"/>
  <c r="AA195" i="8" s="1"/>
  <c r="V195" i="8"/>
  <c r="N195" i="8"/>
  <c r="M195" i="8"/>
  <c r="L195" i="8"/>
  <c r="U195" i="8" s="1"/>
  <c r="K195" i="8"/>
  <c r="J195" i="8"/>
  <c r="T195" i="8" s="1"/>
  <c r="AE194" i="8"/>
  <c r="BE194" i="8" s="1"/>
  <c r="Z194" i="8"/>
  <c r="Y194" i="8"/>
  <c r="X194" i="8"/>
  <c r="W194" i="8"/>
  <c r="V194" i="8"/>
  <c r="AA194" i="8" s="1"/>
  <c r="N194" i="8"/>
  <c r="M194" i="8"/>
  <c r="L194" i="8"/>
  <c r="K194" i="8"/>
  <c r="T194" i="8" s="1"/>
  <c r="J194" i="8"/>
  <c r="Z193" i="8"/>
  <c r="Y193" i="8"/>
  <c r="X193" i="8"/>
  <c r="W193" i="8"/>
  <c r="AA193" i="8" s="1"/>
  <c r="V193" i="8"/>
  <c r="N193" i="8"/>
  <c r="M193" i="8"/>
  <c r="L193" i="8"/>
  <c r="K193" i="8"/>
  <c r="I193" i="8" s="1"/>
  <c r="BG193" i="8" s="1"/>
  <c r="J193" i="8"/>
  <c r="AE193" i="8" s="1"/>
  <c r="BE193" i="8" s="1"/>
  <c r="N192" i="8"/>
  <c r="M192" i="8"/>
  <c r="L192" i="8"/>
  <c r="K192" i="8"/>
  <c r="AE192" i="8" s="1"/>
  <c r="BE192" i="8" s="1"/>
  <c r="J192" i="8"/>
  <c r="U192" i="8" s="1"/>
  <c r="I192" i="8"/>
  <c r="BG192" i="8" s="1"/>
  <c r="Z191" i="8"/>
  <c r="Y191" i="8"/>
  <c r="X191" i="8"/>
  <c r="W191" i="8"/>
  <c r="AA191" i="8" s="1"/>
  <c r="V191" i="8"/>
  <c r="N191" i="8"/>
  <c r="M191" i="8"/>
  <c r="L191" i="8"/>
  <c r="U191" i="8" s="1"/>
  <c r="K191" i="8"/>
  <c r="J191" i="8"/>
  <c r="T191" i="8" s="1"/>
  <c r="N190" i="8"/>
  <c r="M190" i="8"/>
  <c r="L190" i="8"/>
  <c r="K190" i="8"/>
  <c r="T190" i="8" s="1"/>
  <c r="J190" i="8"/>
  <c r="N189" i="8"/>
  <c r="M189" i="8"/>
  <c r="L189" i="8"/>
  <c r="K189" i="8"/>
  <c r="I189" i="8" s="1"/>
  <c r="BG189" i="8" s="1"/>
  <c r="J189" i="8"/>
  <c r="AE189" i="8" s="1"/>
  <c r="BE189" i="8" s="1"/>
  <c r="AE188" i="8"/>
  <c r="BE188" i="8" s="1"/>
  <c r="Y188" i="8"/>
  <c r="X188" i="8"/>
  <c r="W188" i="8"/>
  <c r="V188" i="8"/>
  <c r="N188" i="8"/>
  <c r="M188" i="8"/>
  <c r="L188" i="8"/>
  <c r="K188" i="8"/>
  <c r="T188" i="8" s="1"/>
  <c r="Z188" i="8" s="1"/>
  <c r="J188" i="8"/>
  <c r="U188" i="8" s="1"/>
  <c r="I188" i="8"/>
  <c r="BG188" i="8" s="1"/>
  <c r="V187" i="8"/>
  <c r="N187" i="8"/>
  <c r="M187" i="8"/>
  <c r="L187" i="8"/>
  <c r="U187" i="8" s="1"/>
  <c r="K187" i="8"/>
  <c r="J187" i="8"/>
  <c r="T187" i="8" s="1"/>
  <c r="N186" i="8"/>
  <c r="M186" i="8"/>
  <c r="L186" i="8"/>
  <c r="K186" i="8"/>
  <c r="T186" i="8" s="1"/>
  <c r="J186" i="8"/>
  <c r="Z185" i="8"/>
  <c r="Y185" i="8"/>
  <c r="X185" i="8"/>
  <c r="W185" i="8"/>
  <c r="AA185" i="8" s="1"/>
  <c r="V185" i="8"/>
  <c r="N185" i="8"/>
  <c r="M185" i="8"/>
  <c r="L185" i="8"/>
  <c r="K185" i="8"/>
  <c r="I185" i="8" s="1"/>
  <c r="J185" i="8"/>
  <c r="AE185" i="8" s="1"/>
  <c r="BE185" i="8" s="1"/>
  <c r="AE184" i="8"/>
  <c r="BE184" i="8" s="1"/>
  <c r="Z184" i="8"/>
  <c r="Y184" i="8"/>
  <c r="X184" i="8"/>
  <c r="W184" i="8"/>
  <c r="V184" i="8"/>
  <c r="AA184" i="8" s="1"/>
  <c r="N184" i="8"/>
  <c r="M184" i="8"/>
  <c r="L184" i="8"/>
  <c r="K184" i="8"/>
  <c r="T184" i="8" s="1"/>
  <c r="J184" i="8"/>
  <c r="U184" i="8" s="1"/>
  <c r="I184" i="8"/>
  <c r="BG184" i="8" s="1"/>
  <c r="Z183" i="8"/>
  <c r="Y183" i="8"/>
  <c r="X183" i="8"/>
  <c r="W183" i="8"/>
  <c r="AA183" i="8" s="1"/>
  <c r="V183" i="8"/>
  <c r="N183" i="8"/>
  <c r="M183" i="8"/>
  <c r="L183" i="8"/>
  <c r="U183" i="8" s="1"/>
  <c r="K183" i="8"/>
  <c r="J183" i="8"/>
  <c r="T183" i="8" s="1"/>
  <c r="AE182" i="8"/>
  <c r="BE182" i="8" s="1"/>
  <c r="Z182" i="8"/>
  <c r="Y182" i="8"/>
  <c r="X182" i="8"/>
  <c r="W182" i="8"/>
  <c r="V182" i="8"/>
  <c r="AA182" i="8" s="1"/>
  <c r="N182" i="8"/>
  <c r="M182" i="8"/>
  <c r="L182" i="8"/>
  <c r="K182" i="8"/>
  <c r="T182" i="8" s="1"/>
  <c r="J182" i="8"/>
  <c r="Z181" i="8"/>
  <c r="Y181" i="8"/>
  <c r="X181" i="8"/>
  <c r="W181" i="8"/>
  <c r="AA181" i="8" s="1"/>
  <c r="V181" i="8"/>
  <c r="N181" i="8"/>
  <c r="M181" i="8"/>
  <c r="L181" i="8"/>
  <c r="K181" i="8"/>
  <c r="I181" i="8" s="1"/>
  <c r="BG181" i="8" s="1"/>
  <c r="J181" i="8"/>
  <c r="AE181" i="8" s="1"/>
  <c r="BE181" i="8" s="1"/>
  <c r="AE180" i="8"/>
  <c r="BE180" i="8" s="1"/>
  <c r="Y180" i="8"/>
  <c r="X180" i="8"/>
  <c r="W180" i="8"/>
  <c r="V180" i="8"/>
  <c r="N180" i="8"/>
  <c r="M180" i="8"/>
  <c r="L180" i="8"/>
  <c r="K180" i="8"/>
  <c r="T180" i="8" s="1"/>
  <c r="J180" i="8"/>
  <c r="U180" i="8" s="1"/>
  <c r="I180" i="8"/>
  <c r="BG180" i="8" s="1"/>
  <c r="V179" i="8"/>
  <c r="N179" i="8"/>
  <c r="M179" i="8"/>
  <c r="L179" i="8"/>
  <c r="U179" i="8" s="1"/>
  <c r="K179" i="8"/>
  <c r="J179" i="8"/>
  <c r="T179" i="8" s="1"/>
  <c r="N178" i="8"/>
  <c r="M178" i="8"/>
  <c r="L178" i="8"/>
  <c r="K178" i="8"/>
  <c r="T178" i="8" s="1"/>
  <c r="J178" i="8"/>
  <c r="N177" i="8"/>
  <c r="M177" i="8"/>
  <c r="L177" i="8"/>
  <c r="K177" i="8"/>
  <c r="I177" i="8" s="1"/>
  <c r="BG177" i="8" s="1"/>
  <c r="J177" i="8"/>
  <c r="AE177" i="8" s="1"/>
  <c r="BE177" i="8" s="1"/>
  <c r="N176" i="8"/>
  <c r="M176" i="8"/>
  <c r="AE176" i="8" s="1"/>
  <c r="BE176" i="8" s="1"/>
  <c r="L176" i="8"/>
  <c r="K176" i="8"/>
  <c r="T176" i="8" s="1"/>
  <c r="J176" i="8"/>
  <c r="U176" i="8" s="1"/>
  <c r="I176" i="8"/>
  <c r="BG176" i="8" s="1"/>
  <c r="N175" i="8"/>
  <c r="M175" i="8"/>
  <c r="L175" i="8"/>
  <c r="U175" i="8" s="1"/>
  <c r="K175" i="8"/>
  <c r="J175" i="8"/>
  <c r="T175" i="8" s="1"/>
  <c r="N174" i="8"/>
  <c r="M174" i="8"/>
  <c r="L174" i="8"/>
  <c r="K174" i="8"/>
  <c r="T174" i="8" s="1"/>
  <c r="J174" i="8"/>
  <c r="N173" i="8"/>
  <c r="M173" i="8"/>
  <c r="L173" i="8"/>
  <c r="K173" i="8"/>
  <c r="I173" i="8" s="1"/>
  <c r="J173" i="8"/>
  <c r="AE173" i="8" s="1"/>
  <c r="BE173" i="8" s="1"/>
  <c r="N172" i="8"/>
  <c r="M172" i="8"/>
  <c r="AE172" i="8" s="1"/>
  <c r="BE172" i="8" s="1"/>
  <c r="L172" i="8"/>
  <c r="K172" i="8"/>
  <c r="T172" i="8" s="1"/>
  <c r="J172" i="8"/>
  <c r="U172" i="8" s="1"/>
  <c r="I172" i="8"/>
  <c r="BG172" i="8" s="1"/>
  <c r="N171" i="8"/>
  <c r="M171" i="8"/>
  <c r="L171" i="8"/>
  <c r="U171" i="8" s="1"/>
  <c r="K171" i="8"/>
  <c r="J171" i="8"/>
  <c r="T171" i="8" s="1"/>
  <c r="AE170" i="8"/>
  <c r="BE170" i="8" s="1"/>
  <c r="Z170" i="8"/>
  <c r="Y170" i="8"/>
  <c r="X170" i="8"/>
  <c r="W170" i="8"/>
  <c r="V170" i="8"/>
  <c r="AA170" i="8" s="1"/>
  <c r="N170" i="8"/>
  <c r="M170" i="8"/>
  <c r="L170" i="8"/>
  <c r="K170" i="8"/>
  <c r="T170" i="8" s="1"/>
  <c r="J170" i="8"/>
  <c r="N169" i="8"/>
  <c r="M169" i="8"/>
  <c r="L169" i="8"/>
  <c r="K169" i="8"/>
  <c r="I169" i="8" s="1"/>
  <c r="BG169" i="8" s="1"/>
  <c r="J169" i="8"/>
  <c r="AE169" i="8" s="1"/>
  <c r="BE169" i="8" s="1"/>
  <c r="N168" i="8"/>
  <c r="M168" i="8"/>
  <c r="AE168" i="8" s="1"/>
  <c r="BE168" i="8" s="1"/>
  <c r="L168" i="8"/>
  <c r="K168" i="8"/>
  <c r="T168" i="8" s="1"/>
  <c r="J168" i="8"/>
  <c r="U168" i="8" s="1"/>
  <c r="I168" i="8"/>
  <c r="BG168" i="8" s="1"/>
  <c r="Y167" i="8"/>
  <c r="X167" i="8"/>
  <c r="W167" i="8"/>
  <c r="V167" i="8"/>
  <c r="N167" i="8"/>
  <c r="M167" i="8"/>
  <c r="L167" i="8"/>
  <c r="U167" i="8" s="1"/>
  <c r="K167" i="8"/>
  <c r="J167" i="8"/>
  <c r="T167" i="8" s="1"/>
  <c r="AE166" i="8"/>
  <c r="BE166" i="8" s="1"/>
  <c r="V166" i="8"/>
  <c r="N166" i="8"/>
  <c r="M166" i="8"/>
  <c r="L166" i="8"/>
  <c r="K166" i="8"/>
  <c r="T166" i="8" s="1"/>
  <c r="J166" i="8"/>
  <c r="N165" i="8"/>
  <c r="M165" i="8"/>
  <c r="L165" i="8"/>
  <c r="K165" i="8"/>
  <c r="I165" i="8" s="1"/>
  <c r="BG165" i="8" s="1"/>
  <c r="J165" i="8"/>
  <c r="AE165" i="8" s="1"/>
  <c r="BE165" i="8" s="1"/>
  <c r="AE164" i="8"/>
  <c r="BE164" i="8" s="1"/>
  <c r="V164" i="8"/>
  <c r="N164" i="8"/>
  <c r="M164" i="8"/>
  <c r="L164" i="8"/>
  <c r="K164" i="8"/>
  <c r="T164" i="8" s="1"/>
  <c r="J164" i="8"/>
  <c r="U164" i="8" s="1"/>
  <c r="I164" i="8"/>
  <c r="BG164" i="8" s="1"/>
  <c r="N163" i="8"/>
  <c r="M163" i="8"/>
  <c r="L163" i="8"/>
  <c r="U163" i="8" s="1"/>
  <c r="K163" i="8"/>
  <c r="J163" i="8"/>
  <c r="T163" i="8" s="1"/>
  <c r="AE162" i="8"/>
  <c r="BE162" i="8" s="1"/>
  <c r="V162" i="8"/>
  <c r="N162" i="8"/>
  <c r="M162" i="8"/>
  <c r="L162" i="8"/>
  <c r="K162" i="8"/>
  <c r="T162" i="8" s="1"/>
  <c r="J162" i="8"/>
  <c r="N161" i="8"/>
  <c r="M161" i="8"/>
  <c r="L161" i="8"/>
  <c r="K161" i="8"/>
  <c r="I161" i="8" s="1"/>
  <c r="J161" i="8"/>
  <c r="AE161" i="8" s="1"/>
  <c r="BE161" i="8" s="1"/>
  <c r="N160" i="8"/>
  <c r="M160" i="8"/>
  <c r="AE160" i="8" s="1"/>
  <c r="BE160" i="8" s="1"/>
  <c r="L160" i="8"/>
  <c r="K160" i="8"/>
  <c r="T160" i="8" s="1"/>
  <c r="J160" i="8"/>
  <c r="U160" i="8" s="1"/>
  <c r="I160" i="8"/>
  <c r="BG160" i="8" s="1"/>
  <c r="Z159" i="8"/>
  <c r="Y159" i="8"/>
  <c r="X159" i="8"/>
  <c r="W159" i="8"/>
  <c r="AA159" i="8" s="1"/>
  <c r="V159" i="8"/>
  <c r="N159" i="8"/>
  <c r="M159" i="8"/>
  <c r="L159" i="8"/>
  <c r="U159" i="8" s="1"/>
  <c r="K159" i="8"/>
  <c r="J159" i="8"/>
  <c r="T159" i="8" s="1"/>
  <c r="V158" i="8"/>
  <c r="N158" i="8"/>
  <c r="M158" i="8"/>
  <c r="L158" i="8"/>
  <c r="K158" i="8"/>
  <c r="T158" i="8" s="1"/>
  <c r="J158" i="8"/>
  <c r="BG157" i="8"/>
  <c r="Z157" i="8"/>
  <c r="Y157" i="8"/>
  <c r="X157" i="8"/>
  <c r="W157" i="8"/>
  <c r="AA157" i="8" s="1"/>
  <c r="V157" i="8"/>
  <c r="U157" i="8"/>
  <c r="T157" i="8"/>
  <c r="P157" i="8"/>
  <c r="AE156" i="8"/>
  <c r="BE156" i="8" s="1"/>
  <c r="Z156" i="8"/>
  <c r="Y156" i="8"/>
  <c r="X156" i="8"/>
  <c r="W156" i="8"/>
  <c r="V156" i="8"/>
  <c r="AA156" i="8" s="1"/>
  <c r="N156" i="8"/>
  <c r="M156" i="8"/>
  <c r="L156" i="8"/>
  <c r="K156" i="8"/>
  <c r="T156" i="8" s="1"/>
  <c r="J156" i="8"/>
  <c r="N155" i="8"/>
  <c r="M155" i="8"/>
  <c r="L155" i="8"/>
  <c r="K155" i="8"/>
  <c r="I155" i="8" s="1"/>
  <c r="J155" i="8"/>
  <c r="AE155" i="8" s="1"/>
  <c r="BE155" i="8" s="1"/>
  <c r="N154" i="8"/>
  <c r="M154" i="8"/>
  <c r="AE154" i="8" s="1"/>
  <c r="BE154" i="8" s="1"/>
  <c r="L154" i="8"/>
  <c r="K154" i="8"/>
  <c r="T154" i="8" s="1"/>
  <c r="J154" i="8"/>
  <c r="U154" i="8" s="1"/>
  <c r="I154" i="8"/>
  <c r="BG154" i="8" s="1"/>
  <c r="N153" i="8"/>
  <c r="M153" i="8"/>
  <c r="L153" i="8"/>
  <c r="U153" i="8" s="1"/>
  <c r="K153" i="8"/>
  <c r="J153" i="8"/>
  <c r="T153" i="8" s="1"/>
  <c r="N152" i="8"/>
  <c r="M152" i="8"/>
  <c r="L152" i="8"/>
  <c r="K152" i="8"/>
  <c r="T152" i="8" s="1"/>
  <c r="J152" i="8"/>
  <c r="V151" i="8"/>
  <c r="N151" i="8"/>
  <c r="M151" i="8"/>
  <c r="L151" i="8"/>
  <c r="K151" i="8"/>
  <c r="I151" i="8" s="1"/>
  <c r="J151" i="8"/>
  <c r="AE151" i="8" s="1"/>
  <c r="BE151" i="8" s="1"/>
  <c r="N150" i="8"/>
  <c r="M150" i="8"/>
  <c r="AE150" i="8" s="1"/>
  <c r="BE150" i="8" s="1"/>
  <c r="L150" i="8"/>
  <c r="K150" i="8"/>
  <c r="T150" i="8" s="1"/>
  <c r="J150" i="8"/>
  <c r="U150" i="8" s="1"/>
  <c r="I150" i="8"/>
  <c r="BG150" i="8" s="1"/>
  <c r="Y149" i="8"/>
  <c r="X149" i="8"/>
  <c r="W149" i="8"/>
  <c r="V149" i="8"/>
  <c r="N149" i="8"/>
  <c r="M149" i="8"/>
  <c r="L149" i="8"/>
  <c r="U149" i="8" s="1"/>
  <c r="K149" i="8"/>
  <c r="J149" i="8"/>
  <c r="T149" i="8" s="1"/>
  <c r="AE148" i="8"/>
  <c r="BE148" i="8" s="1"/>
  <c r="Z148" i="8"/>
  <c r="Y148" i="8"/>
  <c r="X148" i="8"/>
  <c r="W148" i="8"/>
  <c r="V148" i="8"/>
  <c r="AA148" i="8" s="1"/>
  <c r="N148" i="8"/>
  <c r="M148" i="8"/>
  <c r="L148" i="8"/>
  <c r="K148" i="8"/>
  <c r="T148" i="8" s="1"/>
  <c r="J148" i="8"/>
  <c r="Z147" i="8"/>
  <c r="N147" i="8"/>
  <c r="M147" i="8"/>
  <c r="L147" i="8"/>
  <c r="K147" i="8"/>
  <c r="I147" i="8" s="1"/>
  <c r="BG147" i="8" s="1"/>
  <c r="J147" i="8"/>
  <c r="AE147" i="8" s="1"/>
  <c r="BE147" i="8" s="1"/>
  <c r="N146" i="8"/>
  <c r="M146" i="8"/>
  <c r="AE146" i="8" s="1"/>
  <c r="BE146" i="8" s="1"/>
  <c r="L146" i="8"/>
  <c r="K146" i="8"/>
  <c r="J146" i="8"/>
  <c r="U146" i="8" s="1"/>
  <c r="I146" i="8"/>
  <c r="BG146" i="8" s="1"/>
  <c r="N145" i="8"/>
  <c r="M145" i="8"/>
  <c r="L145" i="8"/>
  <c r="U145" i="8" s="1"/>
  <c r="K145" i="8"/>
  <c r="J145" i="8"/>
  <c r="T145" i="8" s="1"/>
  <c r="BH144" i="8"/>
  <c r="BG144" i="8"/>
  <c r="BF144" i="8"/>
  <c r="BE144" i="8"/>
  <c r="BC144" i="8"/>
  <c r="BA144" i="8"/>
  <c r="AZ144" i="8"/>
  <c r="AF144" i="8"/>
  <c r="AE144" i="8"/>
  <c r="AC144" i="8"/>
  <c r="AB144" i="8"/>
  <c r="AA144" i="8"/>
  <c r="Z144" i="8"/>
  <c r="X144" i="8"/>
  <c r="U144" i="8"/>
  <c r="T144" i="8"/>
  <c r="S144" i="8"/>
  <c r="R144" i="8"/>
  <c r="Q144" i="8"/>
  <c r="P144" i="8"/>
  <c r="N144" i="8"/>
  <c r="M144" i="8"/>
  <c r="Y144" i="8" s="1"/>
  <c r="L144" i="8"/>
  <c r="K144" i="8"/>
  <c r="W144" i="8" s="1"/>
  <c r="J144" i="8"/>
  <c r="I144" i="8"/>
  <c r="V143" i="8"/>
  <c r="N143" i="8"/>
  <c r="M143" i="8"/>
  <c r="L143" i="8"/>
  <c r="K143" i="8"/>
  <c r="J143" i="8"/>
  <c r="I143" i="8" s="1"/>
  <c r="N142" i="8"/>
  <c r="M142" i="8"/>
  <c r="L142" i="8"/>
  <c r="K142" i="8"/>
  <c r="I142" i="8" s="1"/>
  <c r="J142" i="8"/>
  <c r="N141" i="8"/>
  <c r="M141" i="8"/>
  <c r="L141" i="8"/>
  <c r="K141" i="8"/>
  <c r="J141" i="8"/>
  <c r="I141" i="8" s="1"/>
  <c r="N140" i="8"/>
  <c r="M140" i="8"/>
  <c r="L140" i="8"/>
  <c r="K140" i="8"/>
  <c r="I140" i="8" s="1"/>
  <c r="J140" i="8"/>
  <c r="N139" i="8"/>
  <c r="M139" i="8"/>
  <c r="L139" i="8"/>
  <c r="K139" i="8"/>
  <c r="J139" i="8"/>
  <c r="I139" i="8" s="1"/>
  <c r="N138" i="8"/>
  <c r="M138" i="8"/>
  <c r="L138" i="8"/>
  <c r="K138" i="8"/>
  <c r="I138" i="8" s="1"/>
  <c r="J138" i="8"/>
  <c r="N137" i="8"/>
  <c r="M137" i="8"/>
  <c r="L137" i="8"/>
  <c r="K137" i="8"/>
  <c r="J137" i="8"/>
  <c r="I137" i="8" s="1"/>
  <c r="N136" i="8"/>
  <c r="M136" i="8"/>
  <c r="L136" i="8"/>
  <c r="K136" i="8"/>
  <c r="I136" i="8" s="1"/>
  <c r="J136" i="8"/>
  <c r="N135" i="8"/>
  <c r="M135" i="8"/>
  <c r="L135" i="8"/>
  <c r="K135" i="8"/>
  <c r="J135" i="8"/>
  <c r="I135" i="8" s="1"/>
  <c r="N134" i="8"/>
  <c r="M134" i="8"/>
  <c r="L134" i="8"/>
  <c r="K134" i="8"/>
  <c r="I134" i="8" s="1"/>
  <c r="J134" i="8"/>
  <c r="N133" i="8"/>
  <c r="M133" i="8"/>
  <c r="L133" i="8"/>
  <c r="K133" i="8"/>
  <c r="J133" i="8"/>
  <c r="I133" i="8" s="1"/>
  <c r="N132" i="8"/>
  <c r="M132" i="8"/>
  <c r="L132" i="8"/>
  <c r="K132" i="8"/>
  <c r="I132" i="8" s="1"/>
  <c r="J132" i="8"/>
  <c r="N131" i="8"/>
  <c r="M131" i="8"/>
  <c r="L131" i="8"/>
  <c r="K131" i="8"/>
  <c r="J131" i="8"/>
  <c r="I131" i="8" s="1"/>
  <c r="N130" i="8"/>
  <c r="M130" i="8"/>
  <c r="L130" i="8"/>
  <c r="K130" i="8"/>
  <c r="I130" i="8" s="1"/>
  <c r="J130" i="8"/>
  <c r="N129" i="8"/>
  <c r="M129" i="8"/>
  <c r="L129" i="8"/>
  <c r="K129" i="8"/>
  <c r="J129" i="8"/>
  <c r="I129" i="8" s="1"/>
  <c r="N128" i="8"/>
  <c r="M128" i="8"/>
  <c r="L128" i="8"/>
  <c r="K128" i="8"/>
  <c r="I128" i="8" s="1"/>
  <c r="J128" i="8"/>
  <c r="N127" i="8"/>
  <c r="M127" i="8"/>
  <c r="L127" i="8"/>
  <c r="K127" i="8"/>
  <c r="J127" i="8"/>
  <c r="I127" i="8" s="1"/>
  <c r="N126" i="8"/>
  <c r="M126" i="8"/>
  <c r="L126" i="8"/>
  <c r="K126" i="8"/>
  <c r="I126" i="8" s="1"/>
  <c r="J126" i="8"/>
  <c r="N125" i="8"/>
  <c r="M125" i="8"/>
  <c r="L125" i="8"/>
  <c r="K125" i="8"/>
  <c r="J125" i="8"/>
  <c r="I125" i="8" s="1"/>
  <c r="N124" i="8"/>
  <c r="M124" i="8"/>
  <c r="L124" i="8"/>
  <c r="K124" i="8"/>
  <c r="I124" i="8" s="1"/>
  <c r="J124" i="8"/>
  <c r="N123" i="8"/>
  <c r="M123" i="8"/>
  <c r="L123" i="8"/>
  <c r="K123" i="8"/>
  <c r="J123" i="8"/>
  <c r="I123" i="8" s="1"/>
  <c r="N122" i="8"/>
  <c r="M122" i="8"/>
  <c r="L122" i="8"/>
  <c r="K122" i="8"/>
  <c r="I122" i="8" s="1"/>
  <c r="J122" i="8"/>
  <c r="N121" i="8"/>
  <c r="M121" i="8"/>
  <c r="L121" i="8"/>
  <c r="K121" i="8"/>
  <c r="J121" i="8"/>
  <c r="I121" i="8" s="1"/>
  <c r="N120" i="8"/>
  <c r="M120" i="8"/>
  <c r="L120" i="8"/>
  <c r="K120" i="8"/>
  <c r="I120" i="8" s="1"/>
  <c r="J120" i="8"/>
  <c r="N119" i="8"/>
  <c r="M119" i="8"/>
  <c r="L119" i="8"/>
  <c r="K119" i="8"/>
  <c r="J119" i="8"/>
  <c r="I119" i="8" s="1"/>
  <c r="N118" i="8"/>
  <c r="M118" i="8"/>
  <c r="L118" i="8"/>
  <c r="K118" i="8"/>
  <c r="I118" i="8" s="1"/>
  <c r="J118" i="8"/>
  <c r="N117" i="8"/>
  <c r="M117" i="8"/>
  <c r="L117" i="8"/>
  <c r="K117" i="8"/>
  <c r="J117" i="8"/>
  <c r="I117" i="8" s="1"/>
  <c r="N116" i="8"/>
  <c r="M116" i="8"/>
  <c r="L116" i="8"/>
  <c r="K116" i="8"/>
  <c r="I116" i="8" s="1"/>
  <c r="J116" i="8"/>
  <c r="N115" i="8"/>
  <c r="M115" i="8"/>
  <c r="L115" i="8"/>
  <c r="K115" i="8"/>
  <c r="J115" i="8"/>
  <c r="I115" i="8" s="1"/>
  <c r="N114" i="8"/>
  <c r="M114" i="8"/>
  <c r="L114" i="8"/>
  <c r="K114" i="8"/>
  <c r="I114" i="8" s="1"/>
  <c r="J114" i="8"/>
  <c r="N113" i="8"/>
  <c r="M113" i="8"/>
  <c r="L113" i="8"/>
  <c r="K113" i="8"/>
  <c r="J113" i="8"/>
  <c r="I113" i="8" s="1"/>
  <c r="N112" i="8"/>
  <c r="M112" i="8"/>
  <c r="L112" i="8"/>
  <c r="K112" i="8"/>
  <c r="I112" i="8" s="1"/>
  <c r="J112" i="8"/>
  <c r="N111" i="8"/>
  <c r="M111" i="8"/>
  <c r="L111" i="8"/>
  <c r="K111" i="8"/>
  <c r="J111" i="8"/>
  <c r="I111" i="8" s="1"/>
  <c r="N110" i="8"/>
  <c r="M110" i="8"/>
  <c r="L110" i="8"/>
  <c r="K110" i="8"/>
  <c r="I110" i="8" s="1"/>
  <c r="J110" i="8"/>
  <c r="N109" i="8"/>
  <c r="M109" i="8"/>
  <c r="L109" i="8"/>
  <c r="K109" i="8"/>
  <c r="J109" i="8"/>
  <c r="I109" i="8" s="1"/>
  <c r="N108" i="8"/>
  <c r="M108" i="8"/>
  <c r="L108" i="8"/>
  <c r="K108" i="8"/>
  <c r="I108" i="8" s="1"/>
  <c r="J108" i="8"/>
  <c r="N107" i="8"/>
  <c r="M107" i="8"/>
  <c r="L107" i="8"/>
  <c r="K107" i="8"/>
  <c r="J107" i="8"/>
  <c r="I107" i="8" s="1"/>
  <c r="N106" i="8"/>
  <c r="M106" i="8"/>
  <c r="L106" i="8"/>
  <c r="K106" i="8"/>
  <c r="I106" i="8" s="1"/>
  <c r="J106" i="8"/>
  <c r="N105" i="8"/>
  <c r="M105" i="8"/>
  <c r="L105" i="8"/>
  <c r="K105" i="8"/>
  <c r="J105" i="8"/>
  <c r="I105" i="8" s="1"/>
  <c r="N104" i="8"/>
  <c r="M104" i="8"/>
  <c r="L104" i="8"/>
  <c r="K104" i="8"/>
  <c r="I104" i="8" s="1"/>
  <c r="J104" i="8"/>
  <c r="N103" i="8"/>
  <c r="M103" i="8"/>
  <c r="L103" i="8"/>
  <c r="K103" i="8"/>
  <c r="J103" i="8"/>
  <c r="I103" i="8" s="1"/>
  <c r="N102" i="8"/>
  <c r="M102" i="8"/>
  <c r="L102" i="8"/>
  <c r="K102" i="8"/>
  <c r="I102" i="8" s="1"/>
  <c r="J102" i="8"/>
  <c r="N101" i="8"/>
  <c r="M101" i="8"/>
  <c r="L101" i="8"/>
  <c r="K101" i="8"/>
  <c r="J101" i="8"/>
  <c r="I101" i="8" s="1"/>
  <c r="N100" i="8"/>
  <c r="M100" i="8"/>
  <c r="L100" i="8"/>
  <c r="K100" i="8"/>
  <c r="I100" i="8" s="1"/>
  <c r="J100" i="8"/>
  <c r="N99" i="8"/>
  <c r="M99" i="8"/>
  <c r="L99" i="8"/>
  <c r="K99" i="8"/>
  <c r="J99" i="8"/>
  <c r="I99" i="8" s="1"/>
  <c r="N98" i="8"/>
  <c r="M98" i="8"/>
  <c r="L98" i="8"/>
  <c r="K98" i="8"/>
  <c r="I98" i="8" s="1"/>
  <c r="J98" i="8"/>
  <c r="N97" i="8"/>
  <c r="M97" i="8"/>
  <c r="L97" i="8"/>
  <c r="K97" i="8"/>
  <c r="J97" i="8"/>
  <c r="I97" i="8" s="1"/>
  <c r="N96" i="8"/>
  <c r="M96" i="8"/>
  <c r="L96" i="8"/>
  <c r="K96" i="8"/>
  <c r="I96" i="8" s="1"/>
  <c r="J96" i="8"/>
  <c r="N95" i="8"/>
  <c r="M95" i="8"/>
  <c r="L95" i="8"/>
  <c r="K95" i="8"/>
  <c r="J95" i="8"/>
  <c r="I95" i="8" s="1"/>
  <c r="N94" i="8"/>
  <c r="M94" i="8"/>
  <c r="L94" i="8"/>
  <c r="K94" i="8"/>
  <c r="I94" i="8" s="1"/>
  <c r="J94" i="8"/>
  <c r="N93" i="8"/>
  <c r="M93" i="8"/>
  <c r="L93" i="8"/>
  <c r="K93" i="8"/>
  <c r="J93" i="8"/>
  <c r="I93" i="8" s="1"/>
  <c r="N92" i="8"/>
  <c r="M92" i="8"/>
  <c r="L92" i="8"/>
  <c r="K92" i="8"/>
  <c r="I92" i="8" s="1"/>
  <c r="J92" i="8"/>
  <c r="N91" i="8"/>
  <c r="M91" i="8"/>
  <c r="L91" i="8"/>
  <c r="K91" i="8"/>
  <c r="J91" i="8"/>
  <c r="I91" i="8" s="1"/>
  <c r="N90" i="8"/>
  <c r="M90" i="8"/>
  <c r="L90" i="8"/>
  <c r="K90" i="8"/>
  <c r="I90" i="8" s="1"/>
  <c r="J90" i="8"/>
  <c r="N89" i="8"/>
  <c r="M89" i="8"/>
  <c r="L89" i="8"/>
  <c r="J89" i="8"/>
  <c r="L88" i="8"/>
  <c r="K88" i="8"/>
  <c r="J88" i="8"/>
  <c r="L87" i="8"/>
  <c r="K87" i="8"/>
  <c r="J87" i="8"/>
  <c r="L86" i="8"/>
  <c r="K86" i="8"/>
  <c r="J86" i="8"/>
  <c r="L85" i="8"/>
  <c r="K85" i="8"/>
  <c r="J85" i="8"/>
  <c r="L84" i="8"/>
  <c r="K84" i="8"/>
  <c r="J84" i="8"/>
  <c r="L83" i="8"/>
  <c r="K83" i="8"/>
  <c r="J83" i="8"/>
  <c r="L82" i="8"/>
  <c r="K82" i="8"/>
  <c r="J82" i="8"/>
  <c r="L81" i="8"/>
  <c r="K81" i="8"/>
  <c r="J81" i="8"/>
  <c r="N80" i="8"/>
  <c r="M80" i="8"/>
  <c r="L80" i="8"/>
  <c r="K80" i="8"/>
  <c r="I80" i="8" s="1"/>
  <c r="J80" i="8"/>
  <c r="N79" i="8"/>
  <c r="M79" i="8"/>
  <c r="L79" i="8"/>
  <c r="K79" i="8"/>
  <c r="J79" i="8"/>
  <c r="I79" i="8"/>
  <c r="N78" i="8"/>
  <c r="M78" i="8"/>
  <c r="L78" i="8"/>
  <c r="J78" i="8"/>
  <c r="L77" i="8"/>
  <c r="K77" i="8"/>
  <c r="J77" i="8"/>
  <c r="J76" i="8"/>
  <c r="J75" i="8"/>
  <c r="J74" i="8"/>
  <c r="J73" i="8"/>
  <c r="J72" i="8"/>
  <c r="J71" i="8"/>
  <c r="J70" i="8"/>
  <c r="N69" i="8"/>
  <c r="M69" i="8"/>
  <c r="J69" i="8"/>
  <c r="N68" i="8"/>
  <c r="M68" i="8"/>
  <c r="J68" i="8"/>
  <c r="N67" i="8"/>
  <c r="M67" i="8"/>
  <c r="K67" i="8"/>
  <c r="J67" i="8"/>
  <c r="E67" i="8"/>
  <c r="L67" i="8" s="1"/>
  <c r="N66" i="8"/>
  <c r="M66" i="8"/>
  <c r="L66" i="8"/>
  <c r="K66" i="8"/>
  <c r="I66" i="8" s="1"/>
  <c r="J66" i="8"/>
  <c r="N65" i="8"/>
  <c r="M65" i="8"/>
  <c r="L65" i="8"/>
  <c r="K65" i="8"/>
  <c r="J65" i="8"/>
  <c r="I65" i="8"/>
  <c r="N64" i="8"/>
  <c r="M64" i="8"/>
  <c r="L64" i="8"/>
  <c r="K64" i="8"/>
  <c r="I64" i="8" s="1"/>
  <c r="J64" i="8"/>
  <c r="N63" i="8"/>
  <c r="M63" i="8"/>
  <c r="L63" i="8"/>
  <c r="K63" i="8"/>
  <c r="J63" i="8"/>
  <c r="I63" i="8"/>
  <c r="N62" i="8"/>
  <c r="M62" i="8"/>
  <c r="L62" i="8"/>
  <c r="K62" i="8"/>
  <c r="I62" i="8" s="1"/>
  <c r="J62" i="8"/>
  <c r="N61" i="8"/>
  <c r="M61" i="8"/>
  <c r="L61" i="8"/>
  <c r="K61" i="8"/>
  <c r="J61" i="8"/>
  <c r="I61" i="8"/>
  <c r="N60" i="8"/>
  <c r="M60" i="8"/>
  <c r="L60" i="8"/>
  <c r="K60" i="8"/>
  <c r="I60" i="8" s="1"/>
  <c r="J60" i="8"/>
  <c r="K39" i="8"/>
  <c r="U38" i="8"/>
  <c r="T38" i="8" s="1"/>
  <c r="U36" i="8"/>
  <c r="T36" i="8" s="1"/>
  <c r="K34" i="8"/>
  <c r="J34" i="8" s="1"/>
  <c r="U29" i="8"/>
  <c r="T29" i="8" s="1"/>
  <c r="K27" i="8"/>
  <c r="J27" i="8" s="1"/>
  <c r="K25" i="8"/>
  <c r="J25" i="8" s="1"/>
  <c r="K23" i="8"/>
  <c r="J23" i="8" s="1"/>
  <c r="E12" i="8"/>
  <c r="D12" i="8"/>
  <c r="K10" i="8"/>
  <c r="K9" i="8"/>
  <c r="K8" i="8"/>
  <c r="K7" i="8"/>
  <c r="K6" i="8"/>
  <c r="K5" i="8"/>
  <c r="J5" i="8"/>
  <c r="L4" i="8"/>
  <c r="K4" i="8"/>
  <c r="J4" i="8"/>
  <c r="P3" i="8"/>
  <c r="O3" i="8"/>
  <c r="N3" i="8"/>
  <c r="M3" i="8"/>
  <c r="L3" i="8"/>
  <c r="K3" i="8"/>
  <c r="J3" i="8"/>
  <c r="K2" i="8"/>
  <c r="D1" i="8"/>
  <c r="L5" i="8" s="1"/>
  <c r="C538" i="7"/>
  <c r="L533" i="7"/>
  <c r="C532" i="7"/>
  <c r="L524" i="7"/>
  <c r="K524" i="7"/>
  <c r="C523" i="7"/>
  <c r="I522" i="7"/>
  <c r="I521" i="7"/>
  <c r="I520" i="7"/>
  <c r="I519" i="7"/>
  <c r="C518" i="7"/>
  <c r="C517" i="7"/>
  <c r="C514" i="7"/>
  <c r="C512" i="7"/>
  <c r="C537" i="7" s="1"/>
  <c r="F533" i="7" s="1"/>
  <c r="C508" i="7"/>
  <c r="C525" i="7" s="1"/>
  <c r="P507" i="7"/>
  <c r="J507" i="7"/>
  <c r="I507" i="7"/>
  <c r="X502" i="7"/>
  <c r="X503" i="7" s="1"/>
  <c r="AK498" i="7"/>
  <c r="AK503" i="7" s="1"/>
  <c r="AK504" i="7" s="1"/>
  <c r="AB498" i="7"/>
  <c r="Z498" i="7"/>
  <c r="X498" i="7"/>
  <c r="X497" i="7"/>
  <c r="X500" i="7" s="1"/>
  <c r="X501" i="7" s="1"/>
  <c r="S496" i="7"/>
  <c r="S495" i="7"/>
  <c r="S494" i="7"/>
  <c r="U493" i="7"/>
  <c r="S493" i="7"/>
  <c r="X492" i="7"/>
  <c r="X493" i="7" s="1"/>
  <c r="U492" i="7"/>
  <c r="S492" i="7"/>
  <c r="U491" i="7"/>
  <c r="S491" i="7"/>
  <c r="Q491" i="7"/>
  <c r="Q492" i="7" s="1"/>
  <c r="AK490" i="7"/>
  <c r="AK495" i="7" s="1"/>
  <c r="AK496" i="7" s="1"/>
  <c r="AE490" i="7"/>
  <c r="AE493" i="7" s="1"/>
  <c r="AE494" i="7" s="1"/>
  <c r="J490" i="7"/>
  <c r="J491" i="7" s="1"/>
  <c r="X489" i="7"/>
  <c r="X494" i="7" s="1"/>
  <c r="X495" i="7" s="1"/>
  <c r="U489" i="7"/>
  <c r="S489" i="7"/>
  <c r="Q489" i="7"/>
  <c r="D489" i="7"/>
  <c r="Q488" i="7"/>
  <c r="Q493" i="7" s="1"/>
  <c r="Q494" i="7" s="1"/>
  <c r="D488" i="7"/>
  <c r="D487" i="7"/>
  <c r="X486" i="7"/>
  <c r="X487" i="7" s="1"/>
  <c r="D486" i="7"/>
  <c r="J485" i="7"/>
  <c r="C510" i="7" s="1"/>
  <c r="C527" i="7" s="1"/>
  <c r="D533" i="7" s="1"/>
  <c r="D485" i="7"/>
  <c r="Q484" i="7"/>
  <c r="Q485" i="7" s="1"/>
  <c r="D484" i="7"/>
  <c r="D483" i="7"/>
  <c r="AK482" i="7"/>
  <c r="AK485" i="7" s="1"/>
  <c r="AK486" i="7" s="1"/>
  <c r="Q482" i="7"/>
  <c r="Q483" i="7" s="1"/>
  <c r="D482" i="7"/>
  <c r="X481" i="7"/>
  <c r="I524" i="7" s="1"/>
  <c r="J533" i="7" s="1"/>
  <c r="F480" i="7"/>
  <c r="D480" i="7"/>
  <c r="D481" i="7" s="1"/>
  <c r="Q479" i="7"/>
  <c r="F478" i="7"/>
  <c r="H476" i="7"/>
  <c r="H507" i="7" s="1"/>
  <c r="O507" i="7" s="1"/>
  <c r="G476" i="7"/>
  <c r="AA498" i="7" s="1"/>
  <c r="F476" i="7"/>
  <c r="Z462" i="7" s="1"/>
  <c r="E476" i="7"/>
  <c r="E507" i="7" s="1"/>
  <c r="L507" i="7" s="1"/>
  <c r="D476" i="7"/>
  <c r="D507" i="7" s="1"/>
  <c r="K507" i="7" s="1"/>
  <c r="K475" i="7"/>
  <c r="K480" i="7" s="1"/>
  <c r="K481" i="7" s="1"/>
  <c r="D475" i="7"/>
  <c r="D478" i="7" s="1"/>
  <c r="D479" i="7" s="1"/>
  <c r="AK472" i="7"/>
  <c r="AK477" i="7" s="1"/>
  <c r="AK478" i="7" s="1"/>
  <c r="L471" i="7"/>
  <c r="AB470" i="7"/>
  <c r="Z470" i="7"/>
  <c r="X470" i="7"/>
  <c r="Q470" i="7"/>
  <c r="Q473" i="7" s="1"/>
  <c r="Q474" i="7" s="1"/>
  <c r="L470" i="7"/>
  <c r="X469" i="7"/>
  <c r="X472" i="7" s="1"/>
  <c r="X473" i="7" s="1"/>
  <c r="N469" i="7"/>
  <c r="L469" i="7"/>
  <c r="S468" i="7"/>
  <c r="N468" i="7"/>
  <c r="L468" i="7"/>
  <c r="J468" i="7"/>
  <c r="J469" i="7" s="1"/>
  <c r="S467" i="7"/>
  <c r="S466" i="7"/>
  <c r="N466" i="7"/>
  <c r="L466" i="7"/>
  <c r="J466" i="7"/>
  <c r="U465" i="7"/>
  <c r="S465" i="7"/>
  <c r="Q465" i="7"/>
  <c r="Q466" i="7" s="1"/>
  <c r="J465" i="7"/>
  <c r="C509" i="7" s="1"/>
  <c r="U464" i="7"/>
  <c r="S464" i="7"/>
  <c r="U463" i="7"/>
  <c r="S463" i="7"/>
  <c r="Q463" i="7"/>
  <c r="Q464" i="7" s="1"/>
  <c r="AB462" i="7"/>
  <c r="AA462" i="7"/>
  <c r="Y462" i="7"/>
  <c r="X462" i="7"/>
  <c r="AK461" i="7"/>
  <c r="AK466" i="7" s="1"/>
  <c r="AK467" i="7" s="1"/>
  <c r="AE461" i="7"/>
  <c r="AE466" i="7" s="1"/>
  <c r="AE467" i="7" s="1"/>
  <c r="X461" i="7"/>
  <c r="X466" i="7" s="1"/>
  <c r="X467" i="7" s="1"/>
  <c r="U461" i="7"/>
  <c r="S461" i="7"/>
  <c r="Q461" i="7"/>
  <c r="Q460" i="7"/>
  <c r="C511" i="7" s="1"/>
  <c r="X458" i="7"/>
  <c r="X459" i="7" s="1"/>
  <c r="X456" i="7"/>
  <c r="X457" i="7" s="1"/>
  <c r="BA455" i="7"/>
  <c r="AZ455" i="7"/>
  <c r="AB454" i="7"/>
  <c r="Z454" i="7"/>
  <c r="X454" i="7"/>
  <c r="AZ453" i="7"/>
  <c r="X453" i="7"/>
  <c r="C513" i="7" s="1"/>
  <c r="AZ452" i="7"/>
  <c r="AK452" i="7"/>
  <c r="AK457" i="7" s="1"/>
  <c r="AK458" i="7" s="1"/>
  <c r="AZ451" i="7"/>
  <c r="AZ450" i="7"/>
  <c r="B450" i="7"/>
  <c r="AZ448" i="7"/>
  <c r="N399" i="7"/>
  <c r="M399" i="7"/>
  <c r="L399" i="7"/>
  <c r="K399" i="7"/>
  <c r="J399" i="7"/>
  <c r="I399" i="7"/>
  <c r="N398" i="7"/>
  <c r="M398" i="7"/>
  <c r="L398" i="7"/>
  <c r="K398" i="7"/>
  <c r="I398" i="7" s="1"/>
  <c r="J398" i="7"/>
  <c r="N397" i="7"/>
  <c r="M397" i="7"/>
  <c r="L397" i="7"/>
  <c r="K397" i="7"/>
  <c r="J397" i="7"/>
  <c r="I397" i="7"/>
  <c r="N396" i="7"/>
  <c r="M396" i="7"/>
  <c r="L396" i="7"/>
  <c r="K396" i="7"/>
  <c r="I396" i="7" s="1"/>
  <c r="J396" i="7"/>
  <c r="N395" i="7"/>
  <c r="M395" i="7"/>
  <c r="L395" i="7"/>
  <c r="K395" i="7"/>
  <c r="J395" i="7"/>
  <c r="I395" i="7"/>
  <c r="N394" i="7"/>
  <c r="M394" i="7"/>
  <c r="L394" i="7"/>
  <c r="K394" i="7"/>
  <c r="I394" i="7" s="1"/>
  <c r="J394" i="7"/>
  <c r="N393" i="7"/>
  <c r="M393" i="7"/>
  <c r="L393" i="7"/>
  <c r="K393" i="7"/>
  <c r="J393" i="7"/>
  <c r="I393" i="7"/>
  <c r="N392" i="7"/>
  <c r="M392" i="7"/>
  <c r="L392" i="7"/>
  <c r="K392" i="7"/>
  <c r="I392" i="7" s="1"/>
  <c r="J392" i="7"/>
  <c r="N391" i="7"/>
  <c r="M391" i="7"/>
  <c r="L391" i="7"/>
  <c r="K391" i="7"/>
  <c r="J391" i="7"/>
  <c r="I391" i="7"/>
  <c r="N390" i="7"/>
  <c r="M390" i="7"/>
  <c r="L390" i="7"/>
  <c r="K390" i="7"/>
  <c r="I390" i="7" s="1"/>
  <c r="J390" i="7"/>
  <c r="N389" i="7"/>
  <c r="M389" i="7"/>
  <c r="L389" i="7"/>
  <c r="K389" i="7"/>
  <c r="J389" i="7"/>
  <c r="I389" i="7"/>
  <c r="N388" i="7"/>
  <c r="M388" i="7"/>
  <c r="L388" i="7"/>
  <c r="K388" i="7"/>
  <c r="I388" i="7" s="1"/>
  <c r="J388" i="7"/>
  <c r="N387" i="7"/>
  <c r="M387" i="7"/>
  <c r="L387" i="7"/>
  <c r="K387" i="7"/>
  <c r="J387" i="7"/>
  <c r="I387" i="7"/>
  <c r="N386" i="7"/>
  <c r="M386" i="7"/>
  <c r="L386" i="7"/>
  <c r="K386" i="7"/>
  <c r="I386" i="7" s="1"/>
  <c r="J386" i="7"/>
  <c r="N385" i="7"/>
  <c r="M385" i="7"/>
  <c r="L385" i="7"/>
  <c r="K385" i="7"/>
  <c r="J385" i="7"/>
  <c r="I385" i="7"/>
  <c r="N384" i="7"/>
  <c r="M384" i="7"/>
  <c r="L384" i="7"/>
  <c r="K384" i="7"/>
  <c r="I384" i="7" s="1"/>
  <c r="J384" i="7"/>
  <c r="N383" i="7"/>
  <c r="M383" i="7"/>
  <c r="L383" i="7"/>
  <c r="K383" i="7"/>
  <c r="J383" i="7"/>
  <c r="I383" i="7"/>
  <c r="N382" i="7"/>
  <c r="M382" i="7"/>
  <c r="L382" i="7"/>
  <c r="K382" i="7"/>
  <c r="I382" i="7" s="1"/>
  <c r="J382" i="7"/>
  <c r="N381" i="7"/>
  <c r="M381" i="7"/>
  <c r="L381" i="7"/>
  <c r="K381" i="7"/>
  <c r="J381" i="7"/>
  <c r="I381" i="7"/>
  <c r="N380" i="7"/>
  <c r="M380" i="7"/>
  <c r="L380" i="7"/>
  <c r="K380" i="7"/>
  <c r="I380" i="7" s="1"/>
  <c r="J380" i="7"/>
  <c r="N379" i="7"/>
  <c r="M379" i="7"/>
  <c r="L379" i="7"/>
  <c r="K379" i="7"/>
  <c r="J379" i="7"/>
  <c r="I379" i="7"/>
  <c r="N378" i="7"/>
  <c r="M378" i="7"/>
  <c r="L378" i="7"/>
  <c r="K378" i="7"/>
  <c r="I378" i="7" s="1"/>
  <c r="J378" i="7"/>
  <c r="N377" i="7"/>
  <c r="M377" i="7"/>
  <c r="L377" i="7"/>
  <c r="K377" i="7"/>
  <c r="J377" i="7"/>
  <c r="I377" i="7"/>
  <c r="N376" i="7"/>
  <c r="M376" i="7"/>
  <c r="L376" i="7"/>
  <c r="K376" i="7"/>
  <c r="I376" i="7" s="1"/>
  <c r="J376" i="7"/>
  <c r="N375" i="7"/>
  <c r="M375" i="7"/>
  <c r="L375" i="7"/>
  <c r="K375" i="7"/>
  <c r="J375" i="7"/>
  <c r="I375" i="7"/>
  <c r="N374" i="7"/>
  <c r="M374" i="7"/>
  <c r="L374" i="7"/>
  <c r="K374" i="7"/>
  <c r="I374" i="7" s="1"/>
  <c r="J374" i="7"/>
  <c r="N373" i="7"/>
  <c r="M373" i="7"/>
  <c r="L373" i="7"/>
  <c r="K373" i="7"/>
  <c r="J373" i="7"/>
  <c r="I373" i="7"/>
  <c r="N372" i="7"/>
  <c r="M372" i="7"/>
  <c r="L372" i="7"/>
  <c r="K372" i="7"/>
  <c r="I372" i="7" s="1"/>
  <c r="J372" i="7"/>
  <c r="N371" i="7"/>
  <c r="M371" i="7"/>
  <c r="L371" i="7"/>
  <c r="K371" i="7"/>
  <c r="J371" i="7"/>
  <c r="I371" i="7"/>
  <c r="N370" i="7"/>
  <c r="M370" i="7"/>
  <c r="L370" i="7"/>
  <c r="K370" i="7"/>
  <c r="I370" i="7" s="1"/>
  <c r="J370" i="7"/>
  <c r="N369" i="7"/>
  <c r="M369" i="7"/>
  <c r="L369" i="7"/>
  <c r="K369" i="7"/>
  <c r="J369" i="7"/>
  <c r="I369" i="7"/>
  <c r="N368" i="7"/>
  <c r="M368" i="7"/>
  <c r="L368" i="7"/>
  <c r="K368" i="7"/>
  <c r="I368" i="7" s="1"/>
  <c r="J368" i="7"/>
  <c r="N367" i="7"/>
  <c r="M367" i="7"/>
  <c r="L367" i="7"/>
  <c r="K367" i="7"/>
  <c r="J367" i="7"/>
  <c r="I367" i="7"/>
  <c r="N366" i="7"/>
  <c r="M366" i="7"/>
  <c r="L366" i="7"/>
  <c r="K366" i="7"/>
  <c r="I366" i="7" s="1"/>
  <c r="J366" i="7"/>
  <c r="N365" i="7"/>
  <c r="M365" i="7"/>
  <c r="L365" i="7"/>
  <c r="K365" i="7"/>
  <c r="J365" i="7"/>
  <c r="I365" i="7"/>
  <c r="N364" i="7"/>
  <c r="M364" i="7"/>
  <c r="L364" i="7"/>
  <c r="K364" i="7"/>
  <c r="I364" i="7" s="1"/>
  <c r="J364" i="7"/>
  <c r="N363" i="7"/>
  <c r="M363" i="7"/>
  <c r="L363" i="7"/>
  <c r="K363" i="7"/>
  <c r="J363" i="7"/>
  <c r="I363" i="7"/>
  <c r="N362" i="7"/>
  <c r="M362" i="7"/>
  <c r="L362" i="7"/>
  <c r="K362" i="7"/>
  <c r="I362" i="7" s="1"/>
  <c r="J362" i="7"/>
  <c r="N361" i="7"/>
  <c r="M361" i="7"/>
  <c r="L361" i="7"/>
  <c r="K361" i="7"/>
  <c r="J361" i="7"/>
  <c r="I361" i="7"/>
  <c r="V360" i="7"/>
  <c r="N360" i="7"/>
  <c r="M360" i="7"/>
  <c r="L360" i="7"/>
  <c r="K360" i="7"/>
  <c r="J360" i="7"/>
  <c r="I360" i="7"/>
  <c r="N359" i="7"/>
  <c r="M359" i="7"/>
  <c r="L359" i="7"/>
  <c r="K359" i="7"/>
  <c r="I359" i="7" s="1"/>
  <c r="J359" i="7"/>
  <c r="N358" i="7"/>
  <c r="M358" i="7"/>
  <c r="L358" i="7"/>
  <c r="K358" i="7"/>
  <c r="I358" i="7" s="1"/>
  <c r="J358" i="7"/>
  <c r="N357" i="7"/>
  <c r="M357" i="7"/>
  <c r="L357" i="7"/>
  <c r="K357" i="7"/>
  <c r="J357" i="7"/>
  <c r="I357" i="7"/>
  <c r="N356" i="7"/>
  <c r="M356" i="7"/>
  <c r="L356" i="7"/>
  <c r="K356" i="7"/>
  <c r="J356" i="7"/>
  <c r="I356" i="7" s="1"/>
  <c r="N355" i="7"/>
  <c r="M355" i="7"/>
  <c r="L355" i="7"/>
  <c r="K355" i="7"/>
  <c r="I355" i="7" s="1"/>
  <c r="J355" i="7"/>
  <c r="N354" i="7"/>
  <c r="M354" i="7"/>
  <c r="L354" i="7"/>
  <c r="K354" i="7"/>
  <c r="I354" i="7" s="1"/>
  <c r="J354" i="7"/>
  <c r="Z353" i="7"/>
  <c r="Y353" i="7"/>
  <c r="X353" i="7"/>
  <c r="W353" i="7"/>
  <c r="AA353" i="7" s="1"/>
  <c r="V353" i="7"/>
  <c r="N353" i="7"/>
  <c r="M353" i="7"/>
  <c r="L353" i="7"/>
  <c r="K353" i="7"/>
  <c r="U353" i="7" s="1"/>
  <c r="J353" i="7"/>
  <c r="T353" i="7" s="1"/>
  <c r="I353" i="7"/>
  <c r="Z352" i="7"/>
  <c r="Y352" i="7"/>
  <c r="X352" i="7"/>
  <c r="W352" i="7"/>
  <c r="AA352" i="7" s="1"/>
  <c r="V352" i="7"/>
  <c r="N352" i="7"/>
  <c r="M352" i="7"/>
  <c r="L352" i="7"/>
  <c r="U352" i="7" s="1"/>
  <c r="K352" i="7"/>
  <c r="J352" i="7"/>
  <c r="T352" i="7" s="1"/>
  <c r="AE351" i="7"/>
  <c r="BE351" i="7" s="1"/>
  <c r="Z351" i="7"/>
  <c r="Y351" i="7"/>
  <c r="X351" i="7"/>
  <c r="W351" i="7"/>
  <c r="V351" i="7"/>
  <c r="AA351" i="7" s="1"/>
  <c r="N351" i="7"/>
  <c r="M351" i="7"/>
  <c r="L351" i="7"/>
  <c r="K351" i="7"/>
  <c r="T351" i="7" s="1"/>
  <c r="J351" i="7"/>
  <c r="Z350" i="7"/>
  <c r="Y350" i="7"/>
  <c r="X350" i="7"/>
  <c r="W350" i="7"/>
  <c r="AA350" i="7" s="1"/>
  <c r="V350" i="7"/>
  <c r="N350" i="7"/>
  <c r="M350" i="7"/>
  <c r="L350" i="7"/>
  <c r="K350" i="7"/>
  <c r="I350" i="7" s="1"/>
  <c r="BG350" i="7" s="1"/>
  <c r="J350" i="7"/>
  <c r="AE350" i="7" s="1"/>
  <c r="BE350" i="7" s="1"/>
  <c r="AE349" i="7"/>
  <c r="BE349" i="7" s="1"/>
  <c r="Z349" i="7"/>
  <c r="Y349" i="7"/>
  <c r="X349" i="7"/>
  <c r="W349" i="7"/>
  <c r="V349" i="7"/>
  <c r="AA349" i="7" s="1"/>
  <c r="N349" i="7"/>
  <c r="M349" i="7"/>
  <c r="L349" i="7"/>
  <c r="K349" i="7"/>
  <c r="T349" i="7" s="1"/>
  <c r="J349" i="7"/>
  <c r="U349" i="7" s="1"/>
  <c r="I349" i="7"/>
  <c r="BG349" i="7" s="1"/>
  <c r="Z348" i="7"/>
  <c r="Y348" i="7"/>
  <c r="X348" i="7"/>
  <c r="W348" i="7"/>
  <c r="AA348" i="7" s="1"/>
  <c r="V348" i="7"/>
  <c r="N348" i="7"/>
  <c r="M348" i="7"/>
  <c r="L348" i="7"/>
  <c r="U348" i="7" s="1"/>
  <c r="K348" i="7"/>
  <c r="J348" i="7"/>
  <c r="T348" i="7" s="1"/>
  <c r="AE347" i="7"/>
  <c r="BE347" i="7" s="1"/>
  <c r="Z347" i="7"/>
  <c r="Y347" i="7"/>
  <c r="X347" i="7"/>
  <c r="W347" i="7"/>
  <c r="V347" i="7"/>
  <c r="AA347" i="7" s="1"/>
  <c r="N347" i="7"/>
  <c r="M347" i="7"/>
  <c r="L347" i="7"/>
  <c r="K347" i="7"/>
  <c r="T347" i="7" s="1"/>
  <c r="J347" i="7"/>
  <c r="Z346" i="7"/>
  <c r="Y346" i="7"/>
  <c r="X346" i="7"/>
  <c r="W346" i="7"/>
  <c r="AA346" i="7" s="1"/>
  <c r="V346" i="7"/>
  <c r="N346" i="7"/>
  <c r="M346" i="7"/>
  <c r="L346" i="7"/>
  <c r="K346" i="7"/>
  <c r="I346" i="7" s="1"/>
  <c r="BG346" i="7" s="1"/>
  <c r="J346" i="7"/>
  <c r="AE346" i="7" s="1"/>
  <c r="BE346" i="7" s="1"/>
  <c r="AE345" i="7"/>
  <c r="BE345" i="7" s="1"/>
  <c r="Z345" i="7"/>
  <c r="Y345" i="7"/>
  <c r="X345" i="7"/>
  <c r="W345" i="7"/>
  <c r="V345" i="7"/>
  <c r="AA345" i="7" s="1"/>
  <c r="N345" i="7"/>
  <c r="M345" i="7"/>
  <c r="L345" i="7"/>
  <c r="K345" i="7"/>
  <c r="J345" i="7"/>
  <c r="I345" i="7"/>
  <c r="BG345" i="7" s="1"/>
  <c r="Z344" i="7"/>
  <c r="Y344" i="7"/>
  <c r="X344" i="7"/>
  <c r="W344" i="7"/>
  <c r="V344" i="7"/>
  <c r="N344" i="7"/>
  <c r="M344" i="7"/>
  <c r="L344" i="7"/>
  <c r="U344" i="7" s="1"/>
  <c r="K344" i="7"/>
  <c r="J344" i="7"/>
  <c r="AE343" i="7"/>
  <c r="BE343" i="7" s="1"/>
  <c r="Z343" i="7"/>
  <c r="Y343" i="7"/>
  <c r="X343" i="7"/>
  <c r="W343" i="7"/>
  <c r="V343" i="7"/>
  <c r="AA343" i="7" s="1"/>
  <c r="T343" i="7"/>
  <c r="N343" i="7"/>
  <c r="M343" i="7"/>
  <c r="L343" i="7"/>
  <c r="K343" i="7"/>
  <c r="I343" i="7" s="1"/>
  <c r="BG343" i="7" s="1"/>
  <c r="J343" i="7"/>
  <c r="U343" i="7" s="1"/>
  <c r="Z342" i="7"/>
  <c r="Y342" i="7"/>
  <c r="X342" i="7"/>
  <c r="W342" i="7"/>
  <c r="AA342" i="7" s="1"/>
  <c r="V342" i="7"/>
  <c r="N342" i="7"/>
  <c r="M342" i="7"/>
  <c r="L342" i="7"/>
  <c r="K342" i="7"/>
  <c r="J342" i="7"/>
  <c r="AE341" i="7"/>
  <c r="BE341" i="7" s="1"/>
  <c r="Z341" i="7"/>
  <c r="Y341" i="7"/>
  <c r="X341" i="7"/>
  <c r="W341" i="7"/>
  <c r="V341" i="7"/>
  <c r="AA341" i="7" s="1"/>
  <c r="N341" i="7"/>
  <c r="M341" i="7"/>
  <c r="L341" i="7"/>
  <c r="K341" i="7"/>
  <c r="J341" i="7"/>
  <c r="I341" i="7"/>
  <c r="BG341" i="7" s="1"/>
  <c r="Z340" i="7"/>
  <c r="Y340" i="7"/>
  <c r="X340" i="7"/>
  <c r="W340" i="7"/>
  <c r="V340" i="7"/>
  <c r="AA340" i="7" s="1"/>
  <c r="N340" i="7"/>
  <c r="M340" i="7"/>
  <c r="L340" i="7"/>
  <c r="K340" i="7"/>
  <c r="T340" i="7" s="1"/>
  <c r="J340" i="7"/>
  <c r="AE340" i="7" s="1"/>
  <c r="BE340" i="7" s="1"/>
  <c r="Z339" i="7"/>
  <c r="Y339" i="7"/>
  <c r="X339" i="7"/>
  <c r="W339" i="7"/>
  <c r="AA339" i="7" s="1"/>
  <c r="V339" i="7"/>
  <c r="N339" i="7"/>
  <c r="M339" i="7"/>
  <c r="L339" i="7"/>
  <c r="K339" i="7"/>
  <c r="J339" i="7"/>
  <c r="AE339" i="7" s="1"/>
  <c r="BE339" i="7" s="1"/>
  <c r="Z338" i="7"/>
  <c r="Y338" i="7"/>
  <c r="X338" i="7"/>
  <c r="W338" i="7"/>
  <c r="V338" i="7"/>
  <c r="AA338" i="7" s="1"/>
  <c r="N338" i="7"/>
  <c r="M338" i="7"/>
  <c r="L338" i="7"/>
  <c r="K338" i="7"/>
  <c r="J338" i="7"/>
  <c r="AE338" i="7" s="1"/>
  <c r="BE338" i="7" s="1"/>
  <c r="I338" i="7"/>
  <c r="BG338" i="7" s="1"/>
  <c r="Z337" i="7"/>
  <c r="Y337" i="7"/>
  <c r="X337" i="7"/>
  <c r="W337" i="7"/>
  <c r="V337" i="7"/>
  <c r="AA337" i="7" s="1"/>
  <c r="N337" i="7"/>
  <c r="M337" i="7"/>
  <c r="L337" i="7"/>
  <c r="I337" i="7" s="1"/>
  <c r="BG337" i="7" s="1"/>
  <c r="K337" i="7"/>
  <c r="J337" i="7"/>
  <c r="T337" i="7" s="1"/>
  <c r="Z336" i="7"/>
  <c r="Y336" i="7"/>
  <c r="X336" i="7"/>
  <c r="W336" i="7"/>
  <c r="V336" i="7"/>
  <c r="AA336" i="7" s="1"/>
  <c r="N336" i="7"/>
  <c r="M336" i="7"/>
  <c r="L336" i="7"/>
  <c r="K336" i="7"/>
  <c r="I336" i="7" s="1"/>
  <c r="J336" i="7"/>
  <c r="AE336" i="7" s="1"/>
  <c r="BE336" i="7" s="1"/>
  <c r="Z335" i="7"/>
  <c r="Y335" i="7"/>
  <c r="X335" i="7"/>
  <c r="W335" i="7"/>
  <c r="AA335" i="7" s="1"/>
  <c r="V335" i="7"/>
  <c r="N335" i="7"/>
  <c r="M335" i="7"/>
  <c r="L335" i="7"/>
  <c r="K335" i="7"/>
  <c r="J335" i="7"/>
  <c r="AE335" i="7" s="1"/>
  <c r="BE335" i="7" s="1"/>
  <c r="AE334" i="7"/>
  <c r="BE334" i="7" s="1"/>
  <c r="Z334" i="7"/>
  <c r="Y334" i="7"/>
  <c r="X334" i="7"/>
  <c r="W334" i="7"/>
  <c r="V334" i="7"/>
  <c r="AA334" i="7" s="1"/>
  <c r="N334" i="7"/>
  <c r="M334" i="7"/>
  <c r="L334" i="7"/>
  <c r="K334" i="7"/>
  <c r="J334" i="7"/>
  <c r="U334" i="7" s="1"/>
  <c r="I334" i="7"/>
  <c r="BG334" i="7" s="1"/>
  <c r="Z333" i="7"/>
  <c r="Y333" i="7"/>
  <c r="X333" i="7"/>
  <c r="W333" i="7"/>
  <c r="V333" i="7"/>
  <c r="AA333" i="7" s="1"/>
  <c r="N333" i="7"/>
  <c r="M333" i="7"/>
  <c r="L333" i="7"/>
  <c r="I333" i="7" s="1"/>
  <c r="BG333" i="7" s="1"/>
  <c r="K333" i="7"/>
  <c r="J333" i="7"/>
  <c r="T333" i="7" s="1"/>
  <c r="Z332" i="7"/>
  <c r="Y332" i="7"/>
  <c r="X332" i="7"/>
  <c r="W332" i="7"/>
  <c r="V332" i="7"/>
  <c r="AA332" i="7" s="1"/>
  <c r="N332" i="7"/>
  <c r="M332" i="7"/>
  <c r="L332" i="7"/>
  <c r="K332" i="7"/>
  <c r="I332" i="7" s="1"/>
  <c r="BG332" i="7" s="1"/>
  <c r="J332" i="7"/>
  <c r="AE332" i="7" s="1"/>
  <c r="BE332" i="7" s="1"/>
  <c r="Z331" i="7"/>
  <c r="Y331" i="7"/>
  <c r="X331" i="7"/>
  <c r="W331" i="7"/>
  <c r="AA331" i="7" s="1"/>
  <c r="V331" i="7"/>
  <c r="N331" i="7"/>
  <c r="M331" i="7"/>
  <c r="L331" i="7"/>
  <c r="K331" i="7"/>
  <c r="J331" i="7"/>
  <c r="AE331" i="7" s="1"/>
  <c r="BE331" i="7" s="1"/>
  <c r="AE330" i="7"/>
  <c r="BE330" i="7" s="1"/>
  <c r="Z330" i="7"/>
  <c r="Y330" i="7"/>
  <c r="X330" i="7"/>
  <c r="W330" i="7"/>
  <c r="V330" i="7"/>
  <c r="AA330" i="7" s="1"/>
  <c r="N330" i="7"/>
  <c r="M330" i="7"/>
  <c r="L330" i="7"/>
  <c r="K330" i="7"/>
  <c r="J330" i="7"/>
  <c r="U330" i="7" s="1"/>
  <c r="I330" i="7"/>
  <c r="BG330" i="7" s="1"/>
  <c r="Z329" i="7"/>
  <c r="Y329" i="7"/>
  <c r="X329" i="7"/>
  <c r="W329" i="7"/>
  <c r="V329" i="7"/>
  <c r="AA329" i="7" s="1"/>
  <c r="N329" i="7"/>
  <c r="M329" i="7"/>
  <c r="L329" i="7"/>
  <c r="I329" i="7" s="1"/>
  <c r="BG329" i="7" s="1"/>
  <c r="K329" i="7"/>
  <c r="J329" i="7"/>
  <c r="T329" i="7" s="1"/>
  <c r="BG328" i="7"/>
  <c r="Z328" i="7"/>
  <c r="Y328" i="7"/>
  <c r="X328" i="7"/>
  <c r="W328" i="7"/>
  <c r="AA328" i="7" s="1"/>
  <c r="V328" i="7"/>
  <c r="U328" i="7"/>
  <c r="T328" i="7"/>
  <c r="P328" i="7"/>
  <c r="Z327" i="7"/>
  <c r="Y327" i="7"/>
  <c r="X327" i="7"/>
  <c r="W327" i="7"/>
  <c r="V327" i="7"/>
  <c r="AA327" i="7" s="1"/>
  <c r="N327" i="7"/>
  <c r="M327" i="7"/>
  <c r="L327" i="7"/>
  <c r="I327" i="7" s="1"/>
  <c r="BG327" i="7" s="1"/>
  <c r="K327" i="7"/>
  <c r="J327" i="7"/>
  <c r="T327" i="7" s="1"/>
  <c r="Z326" i="7"/>
  <c r="Y326" i="7"/>
  <c r="X326" i="7"/>
  <c r="W326" i="7"/>
  <c r="V326" i="7"/>
  <c r="AA326" i="7" s="1"/>
  <c r="N326" i="7"/>
  <c r="M326" i="7"/>
  <c r="L326" i="7"/>
  <c r="K326" i="7"/>
  <c r="I326" i="7" s="1"/>
  <c r="BG326" i="7" s="1"/>
  <c r="J326" i="7"/>
  <c r="AE326" i="7" s="1"/>
  <c r="BE326" i="7" s="1"/>
  <c r="Z325" i="7"/>
  <c r="Y325" i="7"/>
  <c r="X325" i="7"/>
  <c r="W325" i="7"/>
  <c r="AA325" i="7" s="1"/>
  <c r="V325" i="7"/>
  <c r="N325" i="7"/>
  <c r="M325" i="7"/>
  <c r="L325" i="7"/>
  <c r="K325" i="7"/>
  <c r="J325" i="7"/>
  <c r="AE325" i="7" s="1"/>
  <c r="BE325" i="7" s="1"/>
  <c r="AE324" i="7"/>
  <c r="BE324" i="7" s="1"/>
  <c r="Z324" i="7"/>
  <c r="Y324" i="7"/>
  <c r="X324" i="7"/>
  <c r="W324" i="7"/>
  <c r="V324" i="7"/>
  <c r="AA324" i="7" s="1"/>
  <c r="N324" i="7"/>
  <c r="M324" i="7"/>
  <c r="L324" i="7"/>
  <c r="K324" i="7"/>
  <c r="J324" i="7"/>
  <c r="U324" i="7" s="1"/>
  <c r="I324" i="7"/>
  <c r="BG324" i="7" s="1"/>
  <c r="Z323" i="7"/>
  <c r="Y323" i="7"/>
  <c r="X323" i="7"/>
  <c r="W323" i="7"/>
  <c r="V323" i="7"/>
  <c r="AA323" i="7" s="1"/>
  <c r="N323" i="7"/>
  <c r="M323" i="7"/>
  <c r="L323" i="7"/>
  <c r="I323" i="7" s="1"/>
  <c r="BG323" i="7" s="1"/>
  <c r="K323" i="7"/>
  <c r="J323" i="7"/>
  <c r="T323" i="7" s="1"/>
  <c r="Z322" i="7"/>
  <c r="Y322" i="7"/>
  <c r="X322" i="7"/>
  <c r="W322" i="7"/>
  <c r="AA322" i="7" s="1"/>
  <c r="V322" i="7"/>
  <c r="N322" i="7"/>
  <c r="M322" i="7"/>
  <c r="L322" i="7"/>
  <c r="K322" i="7"/>
  <c r="I322" i="7" s="1"/>
  <c r="BG322" i="7" s="1"/>
  <c r="J322" i="7"/>
  <c r="AE322" i="7" s="1"/>
  <c r="BE322" i="7" s="1"/>
  <c r="Z321" i="7"/>
  <c r="Y321" i="7"/>
  <c r="X321" i="7"/>
  <c r="W321" i="7"/>
  <c r="AA321" i="7" s="1"/>
  <c r="V321" i="7"/>
  <c r="N321" i="7"/>
  <c r="M321" i="7"/>
  <c r="L321" i="7"/>
  <c r="K321" i="7"/>
  <c r="J321" i="7"/>
  <c r="AE321" i="7" s="1"/>
  <c r="BE321" i="7" s="1"/>
  <c r="AE320" i="7"/>
  <c r="BE320" i="7" s="1"/>
  <c r="Z320" i="7"/>
  <c r="Y320" i="7"/>
  <c r="X320" i="7"/>
  <c r="W320" i="7"/>
  <c r="V320" i="7"/>
  <c r="AA320" i="7" s="1"/>
  <c r="N320" i="7"/>
  <c r="M320" i="7"/>
  <c r="L320" i="7"/>
  <c r="K320" i="7"/>
  <c r="J320" i="7"/>
  <c r="U320" i="7" s="1"/>
  <c r="I320" i="7"/>
  <c r="BG320" i="7" s="1"/>
  <c r="BE319" i="7"/>
  <c r="AE319" i="7"/>
  <c r="Z319" i="7"/>
  <c r="Y319" i="7"/>
  <c r="X319" i="7"/>
  <c r="W319" i="7"/>
  <c r="V319" i="7"/>
  <c r="AA319" i="7" s="1"/>
  <c r="N319" i="7"/>
  <c r="M319" i="7"/>
  <c r="L319" i="7"/>
  <c r="I319" i="7" s="1"/>
  <c r="BG319" i="7" s="1"/>
  <c r="K319" i="7"/>
  <c r="T319" i="7" s="1"/>
  <c r="J319" i="7"/>
  <c r="Z318" i="7"/>
  <c r="Y318" i="7"/>
  <c r="X318" i="7"/>
  <c r="W318" i="7"/>
  <c r="AA318" i="7" s="1"/>
  <c r="V318" i="7"/>
  <c r="N318" i="7"/>
  <c r="M318" i="7"/>
  <c r="L318" i="7"/>
  <c r="K318" i="7"/>
  <c r="I318" i="7" s="1"/>
  <c r="BG318" i="7" s="1"/>
  <c r="J318" i="7"/>
  <c r="AE318" i="7" s="1"/>
  <c r="BE318" i="7" s="1"/>
  <c r="Z317" i="7"/>
  <c r="Y317" i="7"/>
  <c r="X317" i="7"/>
  <c r="W317" i="7"/>
  <c r="AA317" i="7" s="1"/>
  <c r="V317" i="7"/>
  <c r="N317" i="7"/>
  <c r="M317" i="7"/>
  <c r="L317" i="7"/>
  <c r="K317" i="7"/>
  <c r="J317" i="7"/>
  <c r="AE317" i="7" s="1"/>
  <c r="BE317" i="7" s="1"/>
  <c r="AE316" i="7"/>
  <c r="BE316" i="7" s="1"/>
  <c r="Z316" i="7"/>
  <c r="Y316" i="7"/>
  <c r="X316" i="7"/>
  <c r="W316" i="7"/>
  <c r="V316" i="7"/>
  <c r="AA316" i="7" s="1"/>
  <c r="N316" i="7"/>
  <c r="M316" i="7"/>
  <c r="L316" i="7"/>
  <c r="K316" i="7"/>
  <c r="J316" i="7"/>
  <c r="U316" i="7" s="1"/>
  <c r="I316" i="7"/>
  <c r="BG316" i="7" s="1"/>
  <c r="BE315" i="7"/>
  <c r="AE315" i="7"/>
  <c r="Z315" i="7"/>
  <c r="Y315" i="7"/>
  <c r="X315" i="7"/>
  <c r="W315" i="7"/>
  <c r="V315" i="7"/>
  <c r="AA315" i="7" s="1"/>
  <c r="N315" i="7"/>
  <c r="M315" i="7"/>
  <c r="L315" i="7"/>
  <c r="I315" i="7" s="1"/>
  <c r="BG315" i="7" s="1"/>
  <c r="K315" i="7"/>
  <c r="T315" i="7" s="1"/>
  <c r="J315" i="7"/>
  <c r="Z314" i="7"/>
  <c r="Y314" i="7"/>
  <c r="X314" i="7"/>
  <c r="W314" i="7"/>
  <c r="AA314" i="7" s="1"/>
  <c r="V314" i="7"/>
  <c r="N314" i="7"/>
  <c r="M314" i="7"/>
  <c r="L314" i="7"/>
  <c r="K314" i="7"/>
  <c r="I314" i="7" s="1"/>
  <c r="BG314" i="7" s="1"/>
  <c r="J314" i="7"/>
  <c r="AE314" i="7" s="1"/>
  <c r="BE314" i="7" s="1"/>
  <c r="Z313" i="7"/>
  <c r="Y313" i="7"/>
  <c r="X313" i="7"/>
  <c r="W313" i="7"/>
  <c r="AA313" i="7" s="1"/>
  <c r="V313" i="7"/>
  <c r="N313" i="7"/>
  <c r="M313" i="7"/>
  <c r="L313" i="7"/>
  <c r="K313" i="7"/>
  <c r="J313" i="7"/>
  <c r="AE313" i="7" s="1"/>
  <c r="BE313" i="7" s="1"/>
  <c r="AE312" i="7"/>
  <c r="BE312" i="7" s="1"/>
  <c r="Z312" i="7"/>
  <c r="Y312" i="7"/>
  <c r="X312" i="7"/>
  <c r="W312" i="7"/>
  <c r="V312" i="7"/>
  <c r="AA312" i="7" s="1"/>
  <c r="N312" i="7"/>
  <c r="M312" i="7"/>
  <c r="L312" i="7"/>
  <c r="K312" i="7"/>
  <c r="J312" i="7"/>
  <c r="U312" i="7" s="1"/>
  <c r="I312" i="7"/>
  <c r="BG312" i="7" s="1"/>
  <c r="BG311" i="7"/>
  <c r="Z311" i="7"/>
  <c r="Y311" i="7"/>
  <c r="X311" i="7"/>
  <c r="W311" i="7"/>
  <c r="V311" i="7"/>
  <c r="AA311" i="7" s="1"/>
  <c r="U311" i="7"/>
  <c r="T311" i="7"/>
  <c r="P311" i="7"/>
  <c r="AE310" i="7"/>
  <c r="BE310" i="7" s="1"/>
  <c r="Z310" i="7"/>
  <c r="Y310" i="7"/>
  <c r="X310" i="7"/>
  <c r="W310" i="7"/>
  <c r="V310" i="7"/>
  <c r="AA310" i="7" s="1"/>
  <c r="N310" i="7"/>
  <c r="M310" i="7"/>
  <c r="L310" i="7"/>
  <c r="K310" i="7"/>
  <c r="J310" i="7"/>
  <c r="U310" i="7" s="1"/>
  <c r="I310" i="7"/>
  <c r="BG310" i="7" s="1"/>
  <c r="BE309" i="7"/>
  <c r="AE309" i="7"/>
  <c r="Z309" i="7"/>
  <c r="Y309" i="7"/>
  <c r="X309" i="7"/>
  <c r="W309" i="7"/>
  <c r="V309" i="7"/>
  <c r="AA309" i="7" s="1"/>
  <c r="N309" i="7"/>
  <c r="M309" i="7"/>
  <c r="L309" i="7"/>
  <c r="I309" i="7" s="1"/>
  <c r="BG309" i="7" s="1"/>
  <c r="K309" i="7"/>
  <c r="T309" i="7" s="1"/>
  <c r="J309" i="7"/>
  <c r="Z308" i="7"/>
  <c r="Y308" i="7"/>
  <c r="X308" i="7"/>
  <c r="W308" i="7"/>
  <c r="AA308" i="7" s="1"/>
  <c r="V308" i="7"/>
  <c r="N308" i="7"/>
  <c r="M308" i="7"/>
  <c r="L308" i="7"/>
  <c r="K308" i="7"/>
  <c r="I308" i="7" s="1"/>
  <c r="BG308" i="7" s="1"/>
  <c r="J308" i="7"/>
  <c r="AE308" i="7" s="1"/>
  <c r="BE308" i="7" s="1"/>
  <c r="Z307" i="7"/>
  <c r="Y307" i="7"/>
  <c r="X307" i="7"/>
  <c r="W307" i="7"/>
  <c r="AA307" i="7" s="1"/>
  <c r="V307" i="7"/>
  <c r="N307" i="7"/>
  <c r="M307" i="7"/>
  <c r="L307" i="7"/>
  <c r="K307" i="7"/>
  <c r="I307" i="7" s="1"/>
  <c r="BG307" i="7" s="1"/>
  <c r="J307" i="7"/>
  <c r="AE307" i="7" s="1"/>
  <c r="BE307" i="7" s="1"/>
  <c r="AE306" i="7"/>
  <c r="BE306" i="7" s="1"/>
  <c r="Z306" i="7"/>
  <c r="Y306" i="7"/>
  <c r="X306" i="7"/>
  <c r="W306" i="7"/>
  <c r="V306" i="7"/>
  <c r="AA306" i="7" s="1"/>
  <c r="N306" i="7"/>
  <c r="M306" i="7"/>
  <c r="L306" i="7"/>
  <c r="K306" i="7"/>
  <c r="J306" i="7"/>
  <c r="U306" i="7" s="1"/>
  <c r="I306" i="7"/>
  <c r="BG306" i="7" s="1"/>
  <c r="BE305" i="7"/>
  <c r="AE305" i="7"/>
  <c r="Z305" i="7"/>
  <c r="Y305" i="7"/>
  <c r="X305" i="7"/>
  <c r="W305" i="7"/>
  <c r="V305" i="7"/>
  <c r="AA305" i="7" s="1"/>
  <c r="N305" i="7"/>
  <c r="M305" i="7"/>
  <c r="L305" i="7"/>
  <c r="I305" i="7" s="1"/>
  <c r="BG305" i="7" s="1"/>
  <c r="K305" i="7"/>
  <c r="T305" i="7" s="1"/>
  <c r="J305" i="7"/>
  <c r="Z304" i="7"/>
  <c r="Y304" i="7"/>
  <c r="X304" i="7"/>
  <c r="W304" i="7"/>
  <c r="AA304" i="7" s="1"/>
  <c r="V304" i="7"/>
  <c r="N304" i="7"/>
  <c r="M304" i="7"/>
  <c r="L304" i="7"/>
  <c r="K304" i="7"/>
  <c r="I304" i="7" s="1"/>
  <c r="BG304" i="7" s="1"/>
  <c r="J304" i="7"/>
  <c r="AE304" i="7" s="1"/>
  <c r="BE304" i="7" s="1"/>
  <c r="Z303" i="7"/>
  <c r="Y303" i="7"/>
  <c r="X303" i="7"/>
  <c r="W303" i="7"/>
  <c r="AA303" i="7" s="1"/>
  <c r="V303" i="7"/>
  <c r="N303" i="7"/>
  <c r="M303" i="7"/>
  <c r="L303" i="7"/>
  <c r="K303" i="7"/>
  <c r="I303" i="7" s="1"/>
  <c r="BG303" i="7" s="1"/>
  <c r="J303" i="7"/>
  <c r="AE303" i="7" s="1"/>
  <c r="BE303" i="7" s="1"/>
  <c r="AE302" i="7"/>
  <c r="BE302" i="7" s="1"/>
  <c r="Z302" i="7"/>
  <c r="Y302" i="7"/>
  <c r="X302" i="7"/>
  <c r="W302" i="7"/>
  <c r="V302" i="7"/>
  <c r="AA302" i="7" s="1"/>
  <c r="N302" i="7"/>
  <c r="M302" i="7"/>
  <c r="L302" i="7"/>
  <c r="K302" i="7"/>
  <c r="J302" i="7"/>
  <c r="U302" i="7" s="1"/>
  <c r="I302" i="7"/>
  <c r="BG302" i="7" s="1"/>
  <c r="BE301" i="7"/>
  <c r="AE301" i="7"/>
  <c r="Z301" i="7"/>
  <c r="Y301" i="7"/>
  <c r="X301" i="7"/>
  <c r="W301" i="7"/>
  <c r="V301" i="7"/>
  <c r="AA301" i="7" s="1"/>
  <c r="N301" i="7"/>
  <c r="M301" i="7"/>
  <c r="L301" i="7"/>
  <c r="I301" i="7" s="1"/>
  <c r="BG301" i="7" s="1"/>
  <c r="K301" i="7"/>
  <c r="J301" i="7"/>
  <c r="T301" i="7" s="1"/>
  <c r="Z300" i="7"/>
  <c r="Y300" i="7"/>
  <c r="X300" i="7"/>
  <c r="W300" i="7"/>
  <c r="AA300" i="7" s="1"/>
  <c r="V300" i="7"/>
  <c r="N300" i="7"/>
  <c r="M300" i="7"/>
  <c r="L300" i="7"/>
  <c r="K300" i="7"/>
  <c r="I300" i="7" s="1"/>
  <c r="BG300" i="7" s="1"/>
  <c r="J300" i="7"/>
  <c r="AE300" i="7" s="1"/>
  <c r="BE300" i="7" s="1"/>
  <c r="Z299" i="7"/>
  <c r="Y299" i="7"/>
  <c r="X299" i="7"/>
  <c r="W299" i="7"/>
  <c r="AA299" i="7" s="1"/>
  <c r="V299" i="7"/>
  <c r="N299" i="7"/>
  <c r="M299" i="7"/>
  <c r="L299" i="7"/>
  <c r="K299" i="7"/>
  <c r="I299" i="7" s="1"/>
  <c r="BG299" i="7" s="1"/>
  <c r="J299" i="7"/>
  <c r="AE299" i="7" s="1"/>
  <c r="BE299" i="7" s="1"/>
  <c r="AE298" i="7"/>
  <c r="BE298" i="7" s="1"/>
  <c r="Z298" i="7"/>
  <c r="Y298" i="7"/>
  <c r="X298" i="7"/>
  <c r="W298" i="7"/>
  <c r="V298" i="7"/>
  <c r="AA298" i="7" s="1"/>
  <c r="N298" i="7"/>
  <c r="M298" i="7"/>
  <c r="L298" i="7"/>
  <c r="K298" i="7"/>
  <c r="J298" i="7"/>
  <c r="U298" i="7" s="1"/>
  <c r="I298" i="7"/>
  <c r="BG298" i="7" s="1"/>
  <c r="BE297" i="7"/>
  <c r="AE297" i="7"/>
  <c r="Z297" i="7"/>
  <c r="Y297" i="7"/>
  <c r="X297" i="7"/>
  <c r="W297" i="7"/>
  <c r="V297" i="7"/>
  <c r="AA297" i="7" s="1"/>
  <c r="N297" i="7"/>
  <c r="M297" i="7"/>
  <c r="L297" i="7"/>
  <c r="I297" i="7" s="1"/>
  <c r="BG297" i="7" s="1"/>
  <c r="K297" i="7"/>
  <c r="J297" i="7"/>
  <c r="T297" i="7" s="1"/>
  <c r="Z296" i="7"/>
  <c r="Y296" i="7"/>
  <c r="X296" i="7"/>
  <c r="W296" i="7"/>
  <c r="AA296" i="7" s="1"/>
  <c r="V296" i="7"/>
  <c r="N296" i="7"/>
  <c r="M296" i="7"/>
  <c r="L296" i="7"/>
  <c r="K296" i="7"/>
  <c r="I296" i="7" s="1"/>
  <c r="BG296" i="7" s="1"/>
  <c r="J296" i="7"/>
  <c r="AE296" i="7" s="1"/>
  <c r="BE296" i="7" s="1"/>
  <c r="Z295" i="7"/>
  <c r="Y295" i="7"/>
  <c r="X295" i="7"/>
  <c r="W295" i="7"/>
  <c r="AA295" i="7" s="1"/>
  <c r="V295" i="7"/>
  <c r="N295" i="7"/>
  <c r="M295" i="7"/>
  <c r="L295" i="7"/>
  <c r="K295" i="7"/>
  <c r="I295" i="7" s="1"/>
  <c r="BG295" i="7" s="1"/>
  <c r="J295" i="7"/>
  <c r="AE295" i="7" s="1"/>
  <c r="BE295" i="7" s="1"/>
  <c r="AE294" i="7"/>
  <c r="BE294" i="7" s="1"/>
  <c r="Z294" i="7"/>
  <c r="Y294" i="7"/>
  <c r="X294" i="7"/>
  <c r="W294" i="7"/>
  <c r="V294" i="7"/>
  <c r="AA294" i="7" s="1"/>
  <c r="N294" i="7"/>
  <c r="M294" i="7"/>
  <c r="L294" i="7"/>
  <c r="K294" i="7"/>
  <c r="J294" i="7"/>
  <c r="U294" i="7" s="1"/>
  <c r="I294" i="7"/>
  <c r="BG294" i="7" s="1"/>
  <c r="BE293" i="7"/>
  <c r="AE293" i="7"/>
  <c r="Z293" i="7"/>
  <c r="Y293" i="7"/>
  <c r="X293" i="7"/>
  <c r="W293" i="7"/>
  <c r="V293" i="7"/>
  <c r="AA293" i="7" s="1"/>
  <c r="N293" i="7"/>
  <c r="M293" i="7"/>
  <c r="L293" i="7"/>
  <c r="I293" i="7" s="1"/>
  <c r="BG293" i="7" s="1"/>
  <c r="K293" i="7"/>
  <c r="J293" i="7"/>
  <c r="T293" i="7" s="1"/>
  <c r="Z292" i="7"/>
  <c r="Y292" i="7"/>
  <c r="X292" i="7"/>
  <c r="W292" i="7"/>
  <c r="V292" i="7"/>
  <c r="AA292" i="7" s="1"/>
  <c r="N292" i="7"/>
  <c r="M292" i="7"/>
  <c r="L292" i="7"/>
  <c r="K292" i="7"/>
  <c r="I292" i="7" s="1"/>
  <c r="BG292" i="7" s="1"/>
  <c r="J292" i="7"/>
  <c r="AE292" i="7" s="1"/>
  <c r="BE292" i="7" s="1"/>
  <c r="Z291" i="7"/>
  <c r="Y291" i="7"/>
  <c r="X291" i="7"/>
  <c r="W291" i="7"/>
  <c r="AA291" i="7" s="1"/>
  <c r="V291" i="7"/>
  <c r="N291" i="7"/>
  <c r="M291" i="7"/>
  <c r="L291" i="7"/>
  <c r="K291" i="7"/>
  <c r="I291" i="7" s="1"/>
  <c r="BG291" i="7" s="1"/>
  <c r="J291" i="7"/>
  <c r="AE291" i="7" s="1"/>
  <c r="BE291" i="7" s="1"/>
  <c r="AE290" i="7"/>
  <c r="BE290" i="7" s="1"/>
  <c r="Z290" i="7"/>
  <c r="Y290" i="7"/>
  <c r="X290" i="7"/>
  <c r="W290" i="7"/>
  <c r="V290" i="7"/>
  <c r="AA290" i="7" s="1"/>
  <c r="N290" i="7"/>
  <c r="M290" i="7"/>
  <c r="L290" i="7"/>
  <c r="K290" i="7"/>
  <c r="J290" i="7"/>
  <c r="U290" i="7" s="1"/>
  <c r="I290" i="7"/>
  <c r="BG290" i="7" s="1"/>
  <c r="BE289" i="7"/>
  <c r="AE289" i="7"/>
  <c r="Z289" i="7"/>
  <c r="Y289" i="7"/>
  <c r="X289" i="7"/>
  <c r="W289" i="7"/>
  <c r="V289" i="7"/>
  <c r="AA289" i="7" s="1"/>
  <c r="N289" i="7"/>
  <c r="M289" i="7"/>
  <c r="L289" i="7"/>
  <c r="K289" i="7"/>
  <c r="J289" i="7"/>
  <c r="T289" i="7" s="1"/>
  <c r="Z288" i="7"/>
  <c r="Y288" i="7"/>
  <c r="X288" i="7"/>
  <c r="W288" i="7"/>
  <c r="V288" i="7"/>
  <c r="AA288" i="7" s="1"/>
  <c r="N288" i="7"/>
  <c r="M288" i="7"/>
  <c r="L288" i="7"/>
  <c r="K288" i="7"/>
  <c r="J288" i="7"/>
  <c r="AE288" i="7" s="1"/>
  <c r="BE288" i="7" s="1"/>
  <c r="Z287" i="7"/>
  <c r="Y287" i="7"/>
  <c r="X287" i="7"/>
  <c r="W287" i="7"/>
  <c r="AA287" i="7" s="1"/>
  <c r="V287" i="7"/>
  <c r="N287" i="7"/>
  <c r="M287" i="7"/>
  <c r="L287" i="7"/>
  <c r="K287" i="7"/>
  <c r="J287" i="7"/>
  <c r="AE286" i="7"/>
  <c r="BE286" i="7" s="1"/>
  <c r="Z286" i="7"/>
  <c r="Y286" i="7"/>
  <c r="X286" i="7"/>
  <c r="W286" i="7"/>
  <c r="V286" i="7"/>
  <c r="AA286" i="7" s="1"/>
  <c r="N286" i="7"/>
  <c r="M286" i="7"/>
  <c r="L286" i="7"/>
  <c r="K286" i="7"/>
  <c r="J286" i="7"/>
  <c r="U286" i="7" s="1"/>
  <c r="I286" i="7"/>
  <c r="BG286" i="7" s="1"/>
  <c r="BE285" i="7"/>
  <c r="AE285" i="7"/>
  <c r="Z285" i="7"/>
  <c r="Y285" i="7"/>
  <c r="X285" i="7"/>
  <c r="W285" i="7"/>
  <c r="V285" i="7"/>
  <c r="N285" i="7"/>
  <c r="M285" i="7"/>
  <c r="L285" i="7"/>
  <c r="I285" i="7" s="1"/>
  <c r="BG285" i="7" s="1"/>
  <c r="K285" i="7"/>
  <c r="J285" i="7"/>
  <c r="Z284" i="7"/>
  <c r="Y284" i="7"/>
  <c r="X284" i="7"/>
  <c r="W284" i="7"/>
  <c r="V284" i="7"/>
  <c r="N284" i="7"/>
  <c r="M284" i="7"/>
  <c r="L284" i="7"/>
  <c r="K284" i="7"/>
  <c r="J284" i="7"/>
  <c r="AE284" i="7" s="1"/>
  <c r="BE284" i="7" s="1"/>
  <c r="Z283" i="7"/>
  <c r="Y283" i="7"/>
  <c r="X283" i="7"/>
  <c r="W283" i="7"/>
  <c r="AA283" i="7" s="1"/>
  <c r="V283" i="7"/>
  <c r="N283" i="7"/>
  <c r="M283" i="7"/>
  <c r="L283" i="7"/>
  <c r="K283" i="7"/>
  <c r="J283" i="7"/>
  <c r="AE282" i="7"/>
  <c r="BE282" i="7" s="1"/>
  <c r="Z282" i="7"/>
  <c r="Y282" i="7"/>
  <c r="X282" i="7"/>
  <c r="W282" i="7"/>
  <c r="V282" i="7"/>
  <c r="AA282" i="7" s="1"/>
  <c r="N282" i="7"/>
  <c r="M282" i="7"/>
  <c r="L282" i="7"/>
  <c r="K282" i="7"/>
  <c r="J282" i="7"/>
  <c r="I282" i="7"/>
  <c r="BG282" i="7" s="1"/>
  <c r="BE281" i="7"/>
  <c r="AE281" i="7"/>
  <c r="Z281" i="7"/>
  <c r="Y281" i="7"/>
  <c r="X281" i="7"/>
  <c r="W281" i="7"/>
  <c r="V281" i="7"/>
  <c r="AA281" i="7" s="1"/>
  <c r="N281" i="7"/>
  <c r="M281" i="7"/>
  <c r="L281" i="7"/>
  <c r="I281" i="7" s="1"/>
  <c r="BG281" i="7" s="1"/>
  <c r="K281" i="7"/>
  <c r="J281" i="7"/>
  <c r="T281" i="7" s="1"/>
  <c r="Z280" i="7"/>
  <c r="Y280" i="7"/>
  <c r="X280" i="7"/>
  <c r="W280" i="7"/>
  <c r="V280" i="7"/>
  <c r="AA280" i="7" s="1"/>
  <c r="N280" i="7"/>
  <c r="M280" i="7"/>
  <c r="L280" i="7"/>
  <c r="K280" i="7"/>
  <c r="J280" i="7"/>
  <c r="AE280" i="7" s="1"/>
  <c r="BE280" i="7" s="1"/>
  <c r="Z279" i="7"/>
  <c r="Y279" i="7"/>
  <c r="X279" i="7"/>
  <c r="W279" i="7"/>
  <c r="AA279" i="7" s="1"/>
  <c r="V279" i="7"/>
  <c r="N279" i="7"/>
  <c r="M279" i="7"/>
  <c r="L279" i="7"/>
  <c r="K279" i="7"/>
  <c r="J279" i="7"/>
  <c r="AE278" i="7"/>
  <c r="BE278" i="7" s="1"/>
  <c r="Z278" i="7"/>
  <c r="Y278" i="7"/>
  <c r="X278" i="7"/>
  <c r="W278" i="7"/>
  <c r="V278" i="7"/>
  <c r="AA278" i="7" s="1"/>
  <c r="N278" i="7"/>
  <c r="M278" i="7"/>
  <c r="L278" i="7"/>
  <c r="K278" i="7"/>
  <c r="J278" i="7"/>
  <c r="U278" i="7" s="1"/>
  <c r="I278" i="7"/>
  <c r="BG278" i="7" s="1"/>
  <c r="BE277" i="7"/>
  <c r="AE277" i="7"/>
  <c r="Z277" i="7"/>
  <c r="Y277" i="7"/>
  <c r="X277" i="7"/>
  <c r="W277" i="7"/>
  <c r="V277" i="7"/>
  <c r="N277" i="7"/>
  <c r="M277" i="7"/>
  <c r="L277" i="7"/>
  <c r="I277" i="7" s="1"/>
  <c r="BG277" i="7" s="1"/>
  <c r="K277" i="7"/>
  <c r="J277" i="7"/>
  <c r="Z276" i="7"/>
  <c r="Y276" i="7"/>
  <c r="X276" i="7"/>
  <c r="W276" i="7"/>
  <c r="V276" i="7"/>
  <c r="N276" i="7"/>
  <c r="M276" i="7"/>
  <c r="L276" i="7"/>
  <c r="K276" i="7"/>
  <c r="J276" i="7"/>
  <c r="AE276" i="7" s="1"/>
  <c r="BE276" i="7" s="1"/>
  <c r="Z275" i="7"/>
  <c r="Y275" i="7"/>
  <c r="X275" i="7"/>
  <c r="W275" i="7"/>
  <c r="AA275" i="7" s="1"/>
  <c r="V275" i="7"/>
  <c r="N275" i="7"/>
  <c r="M275" i="7"/>
  <c r="L275" i="7"/>
  <c r="K275" i="7"/>
  <c r="J275" i="7"/>
  <c r="AE274" i="7"/>
  <c r="BE274" i="7" s="1"/>
  <c r="Z274" i="7"/>
  <c r="Y274" i="7"/>
  <c r="X274" i="7"/>
  <c r="W274" i="7"/>
  <c r="V274" i="7"/>
  <c r="AA274" i="7" s="1"/>
  <c r="N274" i="7"/>
  <c r="M274" i="7"/>
  <c r="L274" i="7"/>
  <c r="K274" i="7"/>
  <c r="J274" i="7"/>
  <c r="I274" i="7"/>
  <c r="BG274" i="7" s="1"/>
  <c r="BE273" i="7"/>
  <c r="AE273" i="7"/>
  <c r="Z273" i="7"/>
  <c r="Y273" i="7"/>
  <c r="X273" i="7"/>
  <c r="W273" i="7"/>
  <c r="V273" i="7"/>
  <c r="AA273" i="7" s="1"/>
  <c r="N273" i="7"/>
  <c r="M273" i="7"/>
  <c r="L273" i="7"/>
  <c r="I273" i="7" s="1"/>
  <c r="BG273" i="7" s="1"/>
  <c r="K273" i="7"/>
  <c r="J273" i="7"/>
  <c r="T273" i="7" s="1"/>
  <c r="Z272" i="7"/>
  <c r="Y272" i="7"/>
  <c r="X272" i="7"/>
  <c r="W272" i="7"/>
  <c r="V272" i="7"/>
  <c r="AA272" i="7" s="1"/>
  <c r="N272" i="7"/>
  <c r="M272" i="7"/>
  <c r="L272" i="7"/>
  <c r="K272" i="7"/>
  <c r="J272" i="7"/>
  <c r="AE272" i="7" s="1"/>
  <c r="BE272" i="7" s="1"/>
  <c r="BG271" i="7"/>
  <c r="Z271" i="7"/>
  <c r="Y271" i="7"/>
  <c r="X271" i="7"/>
  <c r="W271" i="7"/>
  <c r="AA271" i="7" s="1"/>
  <c r="V271" i="7"/>
  <c r="U271" i="7"/>
  <c r="T271" i="7"/>
  <c r="P271" i="7"/>
  <c r="Z270" i="7"/>
  <c r="Y270" i="7"/>
  <c r="X270" i="7"/>
  <c r="W270" i="7"/>
  <c r="V270" i="7"/>
  <c r="N270" i="7"/>
  <c r="M270" i="7"/>
  <c r="L270" i="7"/>
  <c r="K270" i="7"/>
  <c r="J270" i="7"/>
  <c r="AE270" i="7" s="1"/>
  <c r="BE270" i="7" s="1"/>
  <c r="Z269" i="7"/>
  <c r="Y269" i="7"/>
  <c r="X269" i="7"/>
  <c r="W269" i="7"/>
  <c r="AA269" i="7" s="1"/>
  <c r="V269" i="7"/>
  <c r="N269" i="7"/>
  <c r="M269" i="7"/>
  <c r="L269" i="7"/>
  <c r="K269" i="7"/>
  <c r="J269" i="7"/>
  <c r="AE268" i="7"/>
  <c r="BE268" i="7" s="1"/>
  <c r="Z268" i="7"/>
  <c r="Y268" i="7"/>
  <c r="X268" i="7"/>
  <c r="W268" i="7"/>
  <c r="V268" i="7"/>
  <c r="AA268" i="7" s="1"/>
  <c r="N268" i="7"/>
  <c r="M268" i="7"/>
  <c r="L268" i="7"/>
  <c r="K268" i="7"/>
  <c r="J268" i="7"/>
  <c r="I268" i="7"/>
  <c r="BG268" i="7" s="1"/>
  <c r="BE267" i="7"/>
  <c r="AE267" i="7"/>
  <c r="Z267" i="7"/>
  <c r="Y267" i="7"/>
  <c r="X267" i="7"/>
  <c r="W267" i="7"/>
  <c r="V267" i="7"/>
  <c r="AA267" i="7" s="1"/>
  <c r="N267" i="7"/>
  <c r="M267" i="7"/>
  <c r="L267" i="7"/>
  <c r="I267" i="7" s="1"/>
  <c r="BG267" i="7" s="1"/>
  <c r="K267" i="7"/>
  <c r="J267" i="7"/>
  <c r="Z266" i="7"/>
  <c r="Y266" i="7"/>
  <c r="X266" i="7"/>
  <c r="W266" i="7"/>
  <c r="V266" i="7"/>
  <c r="AA266" i="7" s="1"/>
  <c r="T266" i="7"/>
  <c r="N266" i="7"/>
  <c r="M266" i="7"/>
  <c r="L266" i="7"/>
  <c r="K266" i="7"/>
  <c r="J266" i="7"/>
  <c r="AE266" i="7" s="1"/>
  <c r="BE266" i="7" s="1"/>
  <c r="Z265" i="7"/>
  <c r="Y265" i="7"/>
  <c r="X265" i="7"/>
  <c r="W265" i="7"/>
  <c r="AA265" i="7" s="1"/>
  <c r="V265" i="7"/>
  <c r="N265" i="7"/>
  <c r="M265" i="7"/>
  <c r="L265" i="7"/>
  <c r="K265" i="7"/>
  <c r="I265" i="7" s="1"/>
  <c r="BG265" i="7" s="1"/>
  <c r="J265" i="7"/>
  <c r="AE264" i="7"/>
  <c r="BE264" i="7" s="1"/>
  <c r="Z264" i="7"/>
  <c r="Y264" i="7"/>
  <c r="X264" i="7"/>
  <c r="W264" i="7"/>
  <c r="V264" i="7"/>
  <c r="AA264" i="7" s="1"/>
  <c r="N264" i="7"/>
  <c r="M264" i="7"/>
  <c r="L264" i="7"/>
  <c r="K264" i="7"/>
  <c r="J264" i="7"/>
  <c r="I264" i="7"/>
  <c r="BG264" i="7" s="1"/>
  <c r="BE263" i="7"/>
  <c r="AE263" i="7"/>
  <c r="Z263" i="7"/>
  <c r="Y263" i="7"/>
  <c r="X263" i="7"/>
  <c r="W263" i="7"/>
  <c r="V263" i="7"/>
  <c r="N263" i="7"/>
  <c r="M263" i="7"/>
  <c r="L263" i="7"/>
  <c r="I263" i="7" s="1"/>
  <c r="BG263" i="7" s="1"/>
  <c r="K263" i="7"/>
  <c r="J263" i="7"/>
  <c r="T263" i="7" s="1"/>
  <c r="Z262" i="7"/>
  <c r="Y262" i="7"/>
  <c r="X262" i="7"/>
  <c r="W262" i="7"/>
  <c r="V262" i="7"/>
  <c r="N262" i="7"/>
  <c r="M262" i="7"/>
  <c r="L262" i="7"/>
  <c r="K262" i="7"/>
  <c r="J262" i="7"/>
  <c r="AE262" i="7" s="1"/>
  <c r="BE262" i="7" s="1"/>
  <c r="Z261" i="7"/>
  <c r="Y261" i="7"/>
  <c r="X261" i="7"/>
  <c r="W261" i="7"/>
  <c r="AA261" i="7" s="1"/>
  <c r="V261" i="7"/>
  <c r="N261" i="7"/>
  <c r="M261" i="7"/>
  <c r="L261" i="7"/>
  <c r="K261" i="7"/>
  <c r="J261" i="7"/>
  <c r="AE260" i="7"/>
  <c r="BE260" i="7" s="1"/>
  <c r="Z260" i="7"/>
  <c r="Y260" i="7"/>
  <c r="X260" i="7"/>
  <c r="W260" i="7"/>
  <c r="V260" i="7"/>
  <c r="AA260" i="7" s="1"/>
  <c r="N260" i="7"/>
  <c r="M260" i="7"/>
  <c r="L260" i="7"/>
  <c r="K260" i="7"/>
  <c r="J260" i="7"/>
  <c r="I260" i="7"/>
  <c r="BG260" i="7" s="1"/>
  <c r="BE259" i="7"/>
  <c r="AE259" i="7"/>
  <c r="Z259" i="7"/>
  <c r="Y259" i="7"/>
  <c r="X259" i="7"/>
  <c r="W259" i="7"/>
  <c r="V259" i="7"/>
  <c r="AA259" i="7" s="1"/>
  <c r="N259" i="7"/>
  <c r="M259" i="7"/>
  <c r="L259" i="7"/>
  <c r="I259" i="7" s="1"/>
  <c r="BG259" i="7" s="1"/>
  <c r="K259" i="7"/>
  <c r="J259" i="7"/>
  <c r="Z258" i="7"/>
  <c r="Y258" i="7"/>
  <c r="X258" i="7"/>
  <c r="W258" i="7"/>
  <c r="V258" i="7"/>
  <c r="AA258" i="7" s="1"/>
  <c r="T258" i="7"/>
  <c r="N258" i="7"/>
  <c r="M258" i="7"/>
  <c r="L258" i="7"/>
  <c r="K258" i="7"/>
  <c r="J258" i="7"/>
  <c r="AE258" i="7" s="1"/>
  <c r="BE258" i="7" s="1"/>
  <c r="Z257" i="7"/>
  <c r="Y257" i="7"/>
  <c r="X257" i="7"/>
  <c r="W257" i="7"/>
  <c r="AA257" i="7" s="1"/>
  <c r="V257" i="7"/>
  <c r="N257" i="7"/>
  <c r="M257" i="7"/>
  <c r="L257" i="7"/>
  <c r="K257" i="7"/>
  <c r="I257" i="7" s="1"/>
  <c r="BG257" i="7" s="1"/>
  <c r="J257" i="7"/>
  <c r="AE256" i="7"/>
  <c r="BE256" i="7" s="1"/>
  <c r="Z256" i="7"/>
  <c r="Y256" i="7"/>
  <c r="X256" i="7"/>
  <c r="W256" i="7"/>
  <c r="V256" i="7"/>
  <c r="AA256" i="7" s="1"/>
  <c r="N256" i="7"/>
  <c r="M256" i="7"/>
  <c r="L256" i="7"/>
  <c r="K256" i="7"/>
  <c r="J256" i="7"/>
  <c r="I256" i="7"/>
  <c r="BG256" i="7" s="1"/>
  <c r="BE255" i="7"/>
  <c r="AE255" i="7"/>
  <c r="Z255" i="7"/>
  <c r="Y255" i="7"/>
  <c r="X255" i="7"/>
  <c r="W255" i="7"/>
  <c r="V255" i="7"/>
  <c r="N255" i="7"/>
  <c r="M255" i="7"/>
  <c r="L255" i="7"/>
  <c r="I255" i="7" s="1"/>
  <c r="BG255" i="7" s="1"/>
  <c r="K255" i="7"/>
  <c r="J255" i="7"/>
  <c r="T255" i="7" s="1"/>
  <c r="Z254" i="7"/>
  <c r="Y254" i="7"/>
  <c r="X254" i="7"/>
  <c r="W254" i="7"/>
  <c r="V254" i="7"/>
  <c r="N254" i="7"/>
  <c r="M254" i="7"/>
  <c r="L254" i="7"/>
  <c r="K254" i="7"/>
  <c r="J254" i="7"/>
  <c r="AE254" i="7" s="1"/>
  <c r="BE254" i="7" s="1"/>
  <c r="Z253" i="7"/>
  <c r="Y253" i="7"/>
  <c r="X253" i="7"/>
  <c r="W253" i="7"/>
  <c r="AA253" i="7" s="1"/>
  <c r="V253" i="7"/>
  <c r="N253" i="7"/>
  <c r="M253" i="7"/>
  <c r="L253" i="7"/>
  <c r="K253" i="7"/>
  <c r="J253" i="7"/>
  <c r="AE252" i="7"/>
  <c r="BE252" i="7" s="1"/>
  <c r="Z252" i="7"/>
  <c r="Y252" i="7"/>
  <c r="X252" i="7"/>
  <c r="W252" i="7"/>
  <c r="V252" i="7"/>
  <c r="AA252" i="7" s="1"/>
  <c r="N252" i="7"/>
  <c r="M252" i="7"/>
  <c r="L252" i="7"/>
  <c r="K252" i="7"/>
  <c r="J252" i="7"/>
  <c r="I252" i="7"/>
  <c r="BG252" i="7" s="1"/>
  <c r="BE251" i="7"/>
  <c r="AE251" i="7"/>
  <c r="Z251" i="7"/>
  <c r="Y251" i="7"/>
  <c r="X251" i="7"/>
  <c r="W251" i="7"/>
  <c r="V251" i="7"/>
  <c r="AA251" i="7" s="1"/>
  <c r="N251" i="7"/>
  <c r="M251" i="7"/>
  <c r="L251" i="7"/>
  <c r="I251" i="7" s="1"/>
  <c r="K251" i="7"/>
  <c r="J251" i="7"/>
  <c r="Z250" i="7"/>
  <c r="Y250" i="7"/>
  <c r="X250" i="7"/>
  <c r="W250" i="7"/>
  <c r="V250" i="7"/>
  <c r="AA250" i="7" s="1"/>
  <c r="T250" i="7"/>
  <c r="N250" i="7"/>
  <c r="M250" i="7"/>
  <c r="L250" i="7"/>
  <c r="K250" i="7"/>
  <c r="J250" i="7"/>
  <c r="AE250" i="7" s="1"/>
  <c r="BE250" i="7" s="1"/>
  <c r="Z249" i="7"/>
  <c r="Y249" i="7"/>
  <c r="X249" i="7"/>
  <c r="W249" i="7"/>
  <c r="AA249" i="7" s="1"/>
  <c r="V249" i="7"/>
  <c r="N249" i="7"/>
  <c r="M249" i="7"/>
  <c r="L249" i="7"/>
  <c r="K249" i="7"/>
  <c r="I249" i="7" s="1"/>
  <c r="BG249" i="7" s="1"/>
  <c r="J249" i="7"/>
  <c r="AE248" i="7"/>
  <c r="BE248" i="7" s="1"/>
  <c r="Z248" i="7"/>
  <c r="Y248" i="7"/>
  <c r="X248" i="7"/>
  <c r="W248" i="7"/>
  <c r="V248" i="7"/>
  <c r="AA248" i="7" s="1"/>
  <c r="N248" i="7"/>
  <c r="M248" i="7"/>
  <c r="L248" i="7"/>
  <c r="K248" i="7"/>
  <c r="J248" i="7"/>
  <c r="I248" i="7"/>
  <c r="BG248" i="7" s="1"/>
  <c r="BE247" i="7"/>
  <c r="AE247" i="7"/>
  <c r="Z247" i="7"/>
  <c r="Y247" i="7"/>
  <c r="X247" i="7"/>
  <c r="W247" i="7"/>
  <c r="V247" i="7"/>
  <c r="N247" i="7"/>
  <c r="M247" i="7"/>
  <c r="L247" i="7"/>
  <c r="I247" i="7" s="1"/>
  <c r="BG247" i="7" s="1"/>
  <c r="K247" i="7"/>
  <c r="J247" i="7"/>
  <c r="T247" i="7" s="1"/>
  <c r="BG246" i="7"/>
  <c r="Z246" i="7"/>
  <c r="Y246" i="7"/>
  <c r="X246" i="7"/>
  <c r="W246" i="7"/>
  <c r="V246" i="7"/>
  <c r="U246" i="7"/>
  <c r="T246" i="7"/>
  <c r="P246" i="7"/>
  <c r="BE245" i="7"/>
  <c r="AE245" i="7"/>
  <c r="Z245" i="7"/>
  <c r="Y245" i="7"/>
  <c r="X245" i="7"/>
  <c r="W245" i="7"/>
  <c r="V245" i="7"/>
  <c r="N245" i="7"/>
  <c r="M245" i="7"/>
  <c r="L245" i="7"/>
  <c r="I245" i="7" s="1"/>
  <c r="BG245" i="7" s="1"/>
  <c r="K245" i="7"/>
  <c r="J245" i="7"/>
  <c r="BE244" i="7"/>
  <c r="AE244" i="7"/>
  <c r="Z244" i="7"/>
  <c r="Y244" i="7"/>
  <c r="X244" i="7"/>
  <c r="W244" i="7"/>
  <c r="V244" i="7"/>
  <c r="AA244" i="7" s="1"/>
  <c r="N244" i="7"/>
  <c r="M244" i="7"/>
  <c r="L244" i="7"/>
  <c r="K244" i="7"/>
  <c r="J244" i="7"/>
  <c r="Z243" i="7"/>
  <c r="Y243" i="7"/>
  <c r="X243" i="7"/>
  <c r="W243" i="7"/>
  <c r="AA243" i="7" s="1"/>
  <c r="V243" i="7"/>
  <c r="N243" i="7"/>
  <c r="M243" i="7"/>
  <c r="L243" i="7"/>
  <c r="K243" i="7"/>
  <c r="J243" i="7"/>
  <c r="AE242" i="7"/>
  <c r="BE242" i="7" s="1"/>
  <c r="Z242" i="7"/>
  <c r="Y242" i="7"/>
  <c r="X242" i="7"/>
  <c r="W242" i="7"/>
  <c r="V242" i="7"/>
  <c r="AA242" i="7" s="1"/>
  <c r="N242" i="7"/>
  <c r="M242" i="7"/>
  <c r="L242" i="7"/>
  <c r="K242" i="7"/>
  <c r="J242" i="7"/>
  <c r="U242" i="7" s="1"/>
  <c r="I242" i="7"/>
  <c r="BG242" i="7" s="1"/>
  <c r="BE241" i="7"/>
  <c r="AE241" i="7"/>
  <c r="Z241" i="7"/>
  <c r="Y241" i="7"/>
  <c r="X241" i="7"/>
  <c r="W241" i="7"/>
  <c r="V241" i="7"/>
  <c r="N241" i="7"/>
  <c r="M241" i="7"/>
  <c r="L241" i="7"/>
  <c r="I241" i="7" s="1"/>
  <c r="BG241" i="7" s="1"/>
  <c r="K241" i="7"/>
  <c r="J241" i="7"/>
  <c r="BE240" i="7"/>
  <c r="AE240" i="7"/>
  <c r="Z240" i="7"/>
  <c r="Y240" i="7"/>
  <c r="X240" i="7"/>
  <c r="W240" i="7"/>
  <c r="V240" i="7"/>
  <c r="AA240" i="7" s="1"/>
  <c r="N240" i="7"/>
  <c r="M240" i="7"/>
  <c r="L240" i="7"/>
  <c r="K240" i="7"/>
  <c r="J240" i="7"/>
  <c r="Z239" i="7"/>
  <c r="Y239" i="7"/>
  <c r="X239" i="7"/>
  <c r="W239" i="7"/>
  <c r="AA239" i="7" s="1"/>
  <c r="V239" i="7"/>
  <c r="N239" i="7"/>
  <c r="M239" i="7"/>
  <c r="L239" i="7"/>
  <c r="K239" i="7"/>
  <c r="J239" i="7"/>
  <c r="AE238" i="7"/>
  <c r="BE238" i="7" s="1"/>
  <c r="Z238" i="7"/>
  <c r="Y238" i="7"/>
  <c r="X238" i="7"/>
  <c r="W238" i="7"/>
  <c r="V238" i="7"/>
  <c r="AA238" i="7" s="1"/>
  <c r="N238" i="7"/>
  <c r="M238" i="7"/>
  <c r="L238" i="7"/>
  <c r="K238" i="7"/>
  <c r="J238" i="7"/>
  <c r="U238" i="7" s="1"/>
  <c r="I238" i="7"/>
  <c r="BG238" i="7" s="1"/>
  <c r="BE237" i="7"/>
  <c r="AE237" i="7"/>
  <c r="Z237" i="7"/>
  <c r="Y237" i="7"/>
  <c r="X237" i="7"/>
  <c r="W237" i="7"/>
  <c r="V237" i="7"/>
  <c r="N237" i="7"/>
  <c r="M237" i="7"/>
  <c r="L237" i="7"/>
  <c r="I237" i="7" s="1"/>
  <c r="BG237" i="7" s="1"/>
  <c r="K237" i="7"/>
  <c r="J237" i="7"/>
  <c r="Z236" i="7"/>
  <c r="Y236" i="7"/>
  <c r="X236" i="7"/>
  <c r="W236" i="7"/>
  <c r="V236" i="7"/>
  <c r="T236" i="7"/>
  <c r="N236" i="7"/>
  <c r="M236" i="7"/>
  <c r="L236" i="7"/>
  <c r="K236" i="7"/>
  <c r="J236" i="7"/>
  <c r="AE236" i="7" s="1"/>
  <c r="BE236" i="7" s="1"/>
  <c r="Z235" i="7"/>
  <c r="Y235" i="7"/>
  <c r="X235" i="7"/>
  <c r="W235" i="7"/>
  <c r="AA235" i="7" s="1"/>
  <c r="V235" i="7"/>
  <c r="N235" i="7"/>
  <c r="M235" i="7"/>
  <c r="L235" i="7"/>
  <c r="K235" i="7"/>
  <c r="J235" i="7"/>
  <c r="AE234" i="7"/>
  <c r="BE234" i="7" s="1"/>
  <c r="Z234" i="7"/>
  <c r="Y234" i="7"/>
  <c r="X234" i="7"/>
  <c r="W234" i="7"/>
  <c r="V234" i="7"/>
  <c r="AA234" i="7" s="1"/>
  <c r="N234" i="7"/>
  <c r="M234" i="7"/>
  <c r="L234" i="7"/>
  <c r="K234" i="7"/>
  <c r="J234" i="7"/>
  <c r="I234" i="7"/>
  <c r="BG234" i="7" s="1"/>
  <c r="BE233" i="7"/>
  <c r="AE233" i="7"/>
  <c r="Z233" i="7"/>
  <c r="Y233" i="7"/>
  <c r="X233" i="7"/>
  <c r="W233" i="7"/>
  <c r="V233" i="7"/>
  <c r="AA233" i="7" s="1"/>
  <c r="N233" i="7"/>
  <c r="M233" i="7"/>
  <c r="L233" i="7"/>
  <c r="I233" i="7" s="1"/>
  <c r="BG233" i="7" s="1"/>
  <c r="K233" i="7"/>
  <c r="J233" i="7"/>
  <c r="T233" i="7" s="1"/>
  <c r="Z232" i="7"/>
  <c r="Y232" i="7"/>
  <c r="X232" i="7"/>
  <c r="W232" i="7"/>
  <c r="V232" i="7"/>
  <c r="AA232" i="7" s="1"/>
  <c r="N232" i="7"/>
  <c r="M232" i="7"/>
  <c r="L232" i="7"/>
  <c r="K232" i="7"/>
  <c r="J232" i="7"/>
  <c r="AE232" i="7" s="1"/>
  <c r="BE232" i="7" s="1"/>
  <c r="Z231" i="7"/>
  <c r="Y231" i="7"/>
  <c r="X231" i="7"/>
  <c r="W231" i="7"/>
  <c r="AA231" i="7" s="1"/>
  <c r="V231" i="7"/>
  <c r="N231" i="7"/>
  <c r="M231" i="7"/>
  <c r="L231" i="7"/>
  <c r="K231" i="7"/>
  <c r="J231" i="7"/>
  <c r="AE230" i="7"/>
  <c r="BE230" i="7" s="1"/>
  <c r="Z230" i="7"/>
  <c r="Y230" i="7"/>
  <c r="X230" i="7"/>
  <c r="W230" i="7"/>
  <c r="V230" i="7"/>
  <c r="AA230" i="7" s="1"/>
  <c r="N230" i="7"/>
  <c r="M230" i="7"/>
  <c r="L230" i="7"/>
  <c r="K230" i="7"/>
  <c r="J230" i="7"/>
  <c r="U230" i="7" s="1"/>
  <c r="I230" i="7"/>
  <c r="BG230" i="7" s="1"/>
  <c r="BE229" i="7"/>
  <c r="AE229" i="7"/>
  <c r="Z229" i="7"/>
  <c r="Y229" i="7"/>
  <c r="X229" i="7"/>
  <c r="W229" i="7"/>
  <c r="V229" i="7"/>
  <c r="N229" i="7"/>
  <c r="M229" i="7"/>
  <c r="L229" i="7"/>
  <c r="I229" i="7" s="1"/>
  <c r="BG229" i="7" s="1"/>
  <c r="K229" i="7"/>
  <c r="J229" i="7"/>
  <c r="Z228" i="7"/>
  <c r="Y228" i="7"/>
  <c r="X228" i="7"/>
  <c r="W228" i="7"/>
  <c r="V228" i="7"/>
  <c r="T228" i="7"/>
  <c r="N228" i="7"/>
  <c r="M228" i="7"/>
  <c r="L228" i="7"/>
  <c r="K228" i="7"/>
  <c r="J228" i="7"/>
  <c r="AE228" i="7" s="1"/>
  <c r="BE228" i="7" s="1"/>
  <c r="BG227" i="7"/>
  <c r="Z227" i="7"/>
  <c r="Y227" i="7"/>
  <c r="X227" i="7"/>
  <c r="W227" i="7"/>
  <c r="AA227" i="7" s="1"/>
  <c r="V227" i="7"/>
  <c r="U227" i="7"/>
  <c r="T227" i="7"/>
  <c r="P227" i="7"/>
  <c r="Z226" i="7"/>
  <c r="Y226" i="7"/>
  <c r="X226" i="7"/>
  <c r="W226" i="7"/>
  <c r="V226" i="7"/>
  <c r="AA226" i="7" s="1"/>
  <c r="T226" i="7"/>
  <c r="N226" i="7"/>
  <c r="M226" i="7"/>
  <c r="L226" i="7"/>
  <c r="K226" i="7"/>
  <c r="J226" i="7"/>
  <c r="AE226" i="7" s="1"/>
  <c r="BE226" i="7" s="1"/>
  <c r="Z225" i="7"/>
  <c r="Y225" i="7"/>
  <c r="X225" i="7"/>
  <c r="W225" i="7"/>
  <c r="AA225" i="7" s="1"/>
  <c r="V225" i="7"/>
  <c r="N225" i="7"/>
  <c r="M225" i="7"/>
  <c r="L225" i="7"/>
  <c r="K225" i="7"/>
  <c r="I225" i="7" s="1"/>
  <c r="BG225" i="7" s="1"/>
  <c r="J225" i="7"/>
  <c r="AE224" i="7"/>
  <c r="BE224" i="7" s="1"/>
  <c r="Z224" i="7"/>
  <c r="Y224" i="7"/>
  <c r="X224" i="7"/>
  <c r="W224" i="7"/>
  <c r="V224" i="7"/>
  <c r="AA224" i="7" s="1"/>
  <c r="N224" i="7"/>
  <c r="M224" i="7"/>
  <c r="L224" i="7"/>
  <c r="K224" i="7"/>
  <c r="J224" i="7"/>
  <c r="I224" i="7"/>
  <c r="BG224" i="7" s="1"/>
  <c r="BE223" i="7"/>
  <c r="AE223" i="7"/>
  <c r="Z223" i="7"/>
  <c r="Y223" i="7"/>
  <c r="X223" i="7"/>
  <c r="W223" i="7"/>
  <c r="V223" i="7"/>
  <c r="N223" i="7"/>
  <c r="M223" i="7"/>
  <c r="L223" i="7"/>
  <c r="I223" i="7" s="1"/>
  <c r="BG223" i="7" s="1"/>
  <c r="K223" i="7"/>
  <c r="J223" i="7"/>
  <c r="T223" i="7" s="1"/>
  <c r="Z222" i="7"/>
  <c r="Y222" i="7"/>
  <c r="X222" i="7"/>
  <c r="W222" i="7"/>
  <c r="V222" i="7"/>
  <c r="N222" i="7"/>
  <c r="M222" i="7"/>
  <c r="L222" i="7"/>
  <c r="K222" i="7"/>
  <c r="J222" i="7"/>
  <c r="AE222" i="7" s="1"/>
  <c r="BE222" i="7" s="1"/>
  <c r="Z221" i="7"/>
  <c r="Y221" i="7"/>
  <c r="X221" i="7"/>
  <c r="W221" i="7"/>
  <c r="AA221" i="7" s="1"/>
  <c r="V221" i="7"/>
  <c r="N221" i="7"/>
  <c r="M221" i="7"/>
  <c r="L221" i="7"/>
  <c r="K221" i="7"/>
  <c r="J221" i="7"/>
  <c r="AE220" i="7"/>
  <c r="BE220" i="7" s="1"/>
  <c r="Z220" i="7"/>
  <c r="Y220" i="7"/>
  <c r="X220" i="7"/>
  <c r="W220" i="7"/>
  <c r="V220" i="7"/>
  <c r="AA220" i="7" s="1"/>
  <c r="N220" i="7"/>
  <c r="M220" i="7"/>
  <c r="L220" i="7"/>
  <c r="K220" i="7"/>
  <c r="J220" i="7"/>
  <c r="I220" i="7"/>
  <c r="BG220" i="7" s="1"/>
  <c r="Z219" i="7"/>
  <c r="Y219" i="7"/>
  <c r="X219" i="7"/>
  <c r="W219" i="7"/>
  <c r="V219" i="7"/>
  <c r="N219" i="7"/>
  <c r="M219" i="7"/>
  <c r="L219" i="7"/>
  <c r="I219" i="7" s="1"/>
  <c r="BG219" i="7" s="1"/>
  <c r="K219" i="7"/>
  <c r="J219" i="7"/>
  <c r="Z218" i="7"/>
  <c r="Y218" i="7"/>
  <c r="X218" i="7"/>
  <c r="W218" i="7"/>
  <c r="V218" i="7"/>
  <c r="T218" i="7"/>
  <c r="N218" i="7"/>
  <c r="M218" i="7"/>
  <c r="L218" i="7"/>
  <c r="K218" i="7"/>
  <c r="J218" i="7"/>
  <c r="AE218" i="7" s="1"/>
  <c r="BE218" i="7" s="1"/>
  <c r="Z217" i="7"/>
  <c r="Y217" i="7"/>
  <c r="X217" i="7"/>
  <c r="W217" i="7"/>
  <c r="AA217" i="7" s="1"/>
  <c r="V217" i="7"/>
  <c r="N217" i="7"/>
  <c r="M217" i="7"/>
  <c r="L217" i="7"/>
  <c r="K217" i="7"/>
  <c r="J217" i="7"/>
  <c r="AE216" i="7"/>
  <c r="BE216" i="7" s="1"/>
  <c r="Z216" i="7"/>
  <c r="Y216" i="7"/>
  <c r="X216" i="7"/>
  <c r="W216" i="7"/>
  <c r="V216" i="7"/>
  <c r="AA216" i="7" s="1"/>
  <c r="N216" i="7"/>
  <c r="M216" i="7"/>
  <c r="L216" i="7"/>
  <c r="K216" i="7"/>
  <c r="J216" i="7"/>
  <c r="I216" i="7"/>
  <c r="BG216" i="7" s="1"/>
  <c r="Z215" i="7"/>
  <c r="Y215" i="7"/>
  <c r="X215" i="7"/>
  <c r="W215" i="7"/>
  <c r="V215" i="7"/>
  <c r="AA215" i="7" s="1"/>
  <c r="N215" i="7"/>
  <c r="M215" i="7"/>
  <c r="L215" i="7"/>
  <c r="I215" i="7" s="1"/>
  <c r="BG215" i="7" s="1"/>
  <c r="K215" i="7"/>
  <c r="J215" i="7"/>
  <c r="Z214" i="7"/>
  <c r="Y214" i="7"/>
  <c r="X214" i="7"/>
  <c r="W214" i="7"/>
  <c r="V214" i="7"/>
  <c r="AA214" i="7" s="1"/>
  <c r="T214" i="7"/>
  <c r="N214" i="7"/>
  <c r="M214" i="7"/>
  <c r="L214" i="7"/>
  <c r="K214" i="7"/>
  <c r="J214" i="7"/>
  <c r="AE214" i="7" s="1"/>
  <c r="BE214" i="7" s="1"/>
  <c r="Z213" i="7"/>
  <c r="Y213" i="7"/>
  <c r="X213" i="7"/>
  <c r="W213" i="7"/>
  <c r="AA213" i="7" s="1"/>
  <c r="V213" i="7"/>
  <c r="N213" i="7"/>
  <c r="M213" i="7"/>
  <c r="L213" i="7"/>
  <c r="K213" i="7"/>
  <c r="I213" i="7" s="1"/>
  <c r="BG213" i="7" s="1"/>
  <c r="J213" i="7"/>
  <c r="AE212" i="7"/>
  <c r="BE212" i="7" s="1"/>
  <c r="Z212" i="7"/>
  <c r="Y212" i="7"/>
  <c r="X212" i="7"/>
  <c r="W212" i="7"/>
  <c r="V212" i="7"/>
  <c r="AA212" i="7" s="1"/>
  <c r="N212" i="7"/>
  <c r="M212" i="7"/>
  <c r="L212" i="7"/>
  <c r="K212" i="7"/>
  <c r="J212" i="7"/>
  <c r="I212" i="7"/>
  <c r="BG212" i="7" s="1"/>
  <c r="Z211" i="7"/>
  <c r="Y211" i="7"/>
  <c r="X211" i="7"/>
  <c r="W211" i="7"/>
  <c r="V211" i="7"/>
  <c r="AA211" i="7" s="1"/>
  <c r="N211" i="7"/>
  <c r="M211" i="7"/>
  <c r="L211" i="7"/>
  <c r="I211" i="7" s="1"/>
  <c r="BG211" i="7" s="1"/>
  <c r="K211" i="7"/>
  <c r="J211" i="7"/>
  <c r="T211" i="7" s="1"/>
  <c r="Z210" i="7"/>
  <c r="Y210" i="7"/>
  <c r="X210" i="7"/>
  <c r="W210" i="7"/>
  <c r="V210" i="7"/>
  <c r="AA210" i="7" s="1"/>
  <c r="N210" i="7"/>
  <c r="M210" i="7"/>
  <c r="L210" i="7"/>
  <c r="K210" i="7"/>
  <c r="J210" i="7"/>
  <c r="AE210" i="7" s="1"/>
  <c r="BE210" i="7" s="1"/>
  <c r="Z209" i="7"/>
  <c r="Y209" i="7"/>
  <c r="X209" i="7"/>
  <c r="W209" i="7"/>
  <c r="AA209" i="7" s="1"/>
  <c r="V209" i="7"/>
  <c r="N209" i="7"/>
  <c r="M209" i="7"/>
  <c r="L209" i="7"/>
  <c r="K209" i="7"/>
  <c r="J209" i="7"/>
  <c r="AE208" i="7"/>
  <c r="BE208" i="7" s="1"/>
  <c r="Z208" i="7"/>
  <c r="Y208" i="7"/>
  <c r="X208" i="7"/>
  <c r="W208" i="7"/>
  <c r="V208" i="7"/>
  <c r="AA208" i="7" s="1"/>
  <c r="N208" i="7"/>
  <c r="M208" i="7"/>
  <c r="L208" i="7"/>
  <c r="K208" i="7"/>
  <c r="J208" i="7"/>
  <c r="U208" i="7" s="1"/>
  <c r="I208" i="7"/>
  <c r="BG208" i="7" s="1"/>
  <c r="Z207" i="7"/>
  <c r="Y207" i="7"/>
  <c r="X207" i="7"/>
  <c r="W207" i="7"/>
  <c r="V207" i="7"/>
  <c r="N207" i="7"/>
  <c r="M207" i="7"/>
  <c r="L207" i="7"/>
  <c r="I207" i="7" s="1"/>
  <c r="BG207" i="7" s="1"/>
  <c r="K207" i="7"/>
  <c r="J207" i="7"/>
  <c r="T207" i="7" s="1"/>
  <c r="Z206" i="7"/>
  <c r="Y206" i="7"/>
  <c r="X206" i="7"/>
  <c r="W206" i="7"/>
  <c r="V206" i="7"/>
  <c r="N206" i="7"/>
  <c r="M206" i="7"/>
  <c r="L206" i="7"/>
  <c r="K206" i="7"/>
  <c r="I206" i="7" s="1"/>
  <c r="BG206" i="7" s="1"/>
  <c r="J206" i="7"/>
  <c r="AE206" i="7" s="1"/>
  <c r="BE206" i="7" s="1"/>
  <c r="BG205" i="7"/>
  <c r="Z205" i="7"/>
  <c r="Y205" i="7"/>
  <c r="X205" i="7"/>
  <c r="W205" i="7"/>
  <c r="AA205" i="7" s="1"/>
  <c r="V205" i="7"/>
  <c r="U205" i="7"/>
  <c r="T205" i="7"/>
  <c r="P205" i="7"/>
  <c r="Z204" i="7"/>
  <c r="Y204" i="7"/>
  <c r="X204" i="7"/>
  <c r="W204" i="7"/>
  <c r="V204" i="7"/>
  <c r="N204" i="7"/>
  <c r="M204" i="7"/>
  <c r="L204" i="7"/>
  <c r="K204" i="7"/>
  <c r="I204" i="7" s="1"/>
  <c r="BG204" i="7" s="1"/>
  <c r="J204" i="7"/>
  <c r="AE204" i="7" s="1"/>
  <c r="BE204" i="7" s="1"/>
  <c r="Z203" i="7"/>
  <c r="Y203" i="7"/>
  <c r="X203" i="7"/>
  <c r="W203" i="7"/>
  <c r="AA203" i="7" s="1"/>
  <c r="V203" i="7"/>
  <c r="N203" i="7"/>
  <c r="M203" i="7"/>
  <c r="L203" i="7"/>
  <c r="K203" i="7"/>
  <c r="J203" i="7"/>
  <c r="AE202" i="7"/>
  <c r="BE202" i="7" s="1"/>
  <c r="Z202" i="7"/>
  <c r="Y202" i="7"/>
  <c r="X202" i="7"/>
  <c r="W202" i="7"/>
  <c r="V202" i="7"/>
  <c r="AA202" i="7" s="1"/>
  <c r="N202" i="7"/>
  <c r="M202" i="7"/>
  <c r="L202" i="7"/>
  <c r="K202" i="7"/>
  <c r="J202" i="7"/>
  <c r="I202" i="7"/>
  <c r="Z201" i="7"/>
  <c r="Y201" i="7"/>
  <c r="X201" i="7"/>
  <c r="W201" i="7"/>
  <c r="V201" i="7"/>
  <c r="N201" i="7"/>
  <c r="M201" i="7"/>
  <c r="L201" i="7"/>
  <c r="I201" i="7" s="1"/>
  <c r="K201" i="7"/>
  <c r="J201" i="7"/>
  <c r="Z200" i="7"/>
  <c r="Y200" i="7"/>
  <c r="X200" i="7"/>
  <c r="W200" i="7"/>
  <c r="AA200" i="7" s="1"/>
  <c r="V200" i="7"/>
  <c r="T200" i="7"/>
  <c r="N200" i="7"/>
  <c r="M200" i="7"/>
  <c r="L200" i="7"/>
  <c r="K200" i="7"/>
  <c r="I200" i="7" s="1"/>
  <c r="BG200" i="7" s="1"/>
  <c r="J200" i="7"/>
  <c r="AE200" i="7" s="1"/>
  <c r="BE200" i="7" s="1"/>
  <c r="Z199" i="7"/>
  <c r="Y199" i="7"/>
  <c r="X199" i="7"/>
  <c r="W199" i="7"/>
  <c r="AA199" i="7" s="1"/>
  <c r="V199" i="7"/>
  <c r="N199" i="7"/>
  <c r="M199" i="7"/>
  <c r="L199" i="7"/>
  <c r="K199" i="7"/>
  <c r="J199" i="7"/>
  <c r="AE198" i="7"/>
  <c r="BE198" i="7" s="1"/>
  <c r="Z198" i="7"/>
  <c r="Y198" i="7"/>
  <c r="X198" i="7"/>
  <c r="W198" i="7"/>
  <c r="V198" i="7"/>
  <c r="AA198" i="7" s="1"/>
  <c r="N198" i="7"/>
  <c r="M198" i="7"/>
  <c r="L198" i="7"/>
  <c r="K198" i="7"/>
  <c r="J198" i="7"/>
  <c r="I198" i="7"/>
  <c r="BG198" i="7" s="1"/>
  <c r="BE197" i="7"/>
  <c r="AE197" i="7"/>
  <c r="Z197" i="7"/>
  <c r="Y197" i="7"/>
  <c r="X197" i="7"/>
  <c r="W197" i="7"/>
  <c r="V197" i="7"/>
  <c r="N197" i="7"/>
  <c r="M197" i="7"/>
  <c r="L197" i="7"/>
  <c r="I197" i="7" s="1"/>
  <c r="BG197" i="7" s="1"/>
  <c r="K197" i="7"/>
  <c r="T197" i="7" s="1"/>
  <c r="J197" i="7"/>
  <c r="Z196" i="7"/>
  <c r="Y196" i="7"/>
  <c r="X196" i="7"/>
  <c r="W196" i="7"/>
  <c r="AA196" i="7" s="1"/>
  <c r="V196" i="7"/>
  <c r="N196" i="7"/>
  <c r="M196" i="7"/>
  <c r="L196" i="7"/>
  <c r="K196" i="7"/>
  <c r="I196" i="7" s="1"/>
  <c r="J196" i="7"/>
  <c r="AE196" i="7" s="1"/>
  <c r="BE196" i="7" s="1"/>
  <c r="Z195" i="7"/>
  <c r="Y195" i="7"/>
  <c r="X195" i="7"/>
  <c r="W195" i="7"/>
  <c r="AA195" i="7" s="1"/>
  <c r="V195" i="7"/>
  <c r="N195" i="7"/>
  <c r="M195" i="7"/>
  <c r="L195" i="7"/>
  <c r="K195" i="7"/>
  <c r="J195" i="7"/>
  <c r="AE194" i="7"/>
  <c r="BE194" i="7" s="1"/>
  <c r="Z194" i="7"/>
  <c r="Y194" i="7"/>
  <c r="X194" i="7"/>
  <c r="W194" i="7"/>
  <c r="V194" i="7"/>
  <c r="AA194" i="7" s="1"/>
  <c r="N194" i="7"/>
  <c r="M194" i="7"/>
  <c r="L194" i="7"/>
  <c r="K194" i="7"/>
  <c r="J194" i="7"/>
  <c r="I194" i="7"/>
  <c r="BG194" i="7" s="1"/>
  <c r="BE193" i="7"/>
  <c r="AE193" i="7"/>
  <c r="Z193" i="7"/>
  <c r="Y193" i="7"/>
  <c r="X193" i="7"/>
  <c r="W193" i="7"/>
  <c r="V193" i="7"/>
  <c r="N193" i="7"/>
  <c r="M193" i="7"/>
  <c r="L193" i="7"/>
  <c r="I193" i="7" s="1"/>
  <c r="BG193" i="7" s="1"/>
  <c r="K193" i="7"/>
  <c r="J193" i="7"/>
  <c r="Z192" i="7"/>
  <c r="Y192" i="7"/>
  <c r="X192" i="7"/>
  <c r="W192" i="7"/>
  <c r="AA192" i="7" s="1"/>
  <c r="V192" i="7"/>
  <c r="T192" i="7"/>
  <c r="N192" i="7"/>
  <c r="M192" i="7"/>
  <c r="L192" i="7"/>
  <c r="K192" i="7"/>
  <c r="I192" i="7" s="1"/>
  <c r="BG192" i="7" s="1"/>
  <c r="J192" i="7"/>
  <c r="AE192" i="7" s="1"/>
  <c r="BE192" i="7" s="1"/>
  <c r="Z191" i="7"/>
  <c r="Y191" i="7"/>
  <c r="X191" i="7"/>
  <c r="W191" i="7"/>
  <c r="AA191" i="7" s="1"/>
  <c r="V191" i="7"/>
  <c r="N191" i="7"/>
  <c r="M191" i="7"/>
  <c r="L191" i="7"/>
  <c r="K191" i="7"/>
  <c r="J191" i="7"/>
  <c r="AE190" i="7"/>
  <c r="BE190" i="7" s="1"/>
  <c r="Z190" i="7"/>
  <c r="Y190" i="7"/>
  <c r="X190" i="7"/>
  <c r="W190" i="7"/>
  <c r="V190" i="7"/>
  <c r="AA190" i="7" s="1"/>
  <c r="N190" i="7"/>
  <c r="M190" i="7"/>
  <c r="L190" i="7"/>
  <c r="K190" i="7"/>
  <c r="J190" i="7"/>
  <c r="I190" i="7"/>
  <c r="BG190" i="7" s="1"/>
  <c r="BE189" i="7"/>
  <c r="AE189" i="7"/>
  <c r="Z189" i="7"/>
  <c r="Y189" i="7"/>
  <c r="X189" i="7"/>
  <c r="W189" i="7"/>
  <c r="V189" i="7"/>
  <c r="N189" i="7"/>
  <c r="M189" i="7"/>
  <c r="L189" i="7"/>
  <c r="I189" i="7" s="1"/>
  <c r="BG189" i="7" s="1"/>
  <c r="K189" i="7"/>
  <c r="T189" i="7" s="1"/>
  <c r="J189" i="7"/>
  <c r="Z188" i="7"/>
  <c r="Y188" i="7"/>
  <c r="X188" i="7"/>
  <c r="W188" i="7"/>
  <c r="AA188" i="7" s="1"/>
  <c r="V188" i="7"/>
  <c r="N188" i="7"/>
  <c r="M188" i="7"/>
  <c r="L188" i="7"/>
  <c r="K188" i="7"/>
  <c r="I188" i="7" s="1"/>
  <c r="BG188" i="7" s="1"/>
  <c r="J188" i="7"/>
  <c r="AE188" i="7" s="1"/>
  <c r="BE188" i="7" s="1"/>
  <c r="Z187" i="7"/>
  <c r="Y187" i="7"/>
  <c r="X187" i="7"/>
  <c r="W187" i="7"/>
  <c r="AA187" i="7" s="1"/>
  <c r="V187" i="7"/>
  <c r="N187" i="7"/>
  <c r="M187" i="7"/>
  <c r="L187" i="7"/>
  <c r="K187" i="7"/>
  <c r="J187" i="7"/>
  <c r="AE186" i="7"/>
  <c r="BE186" i="7" s="1"/>
  <c r="Z186" i="7"/>
  <c r="Y186" i="7"/>
  <c r="X186" i="7"/>
  <c r="W186" i="7"/>
  <c r="V186" i="7"/>
  <c r="AA186" i="7" s="1"/>
  <c r="N186" i="7"/>
  <c r="M186" i="7"/>
  <c r="L186" i="7"/>
  <c r="K186" i="7"/>
  <c r="J186" i="7"/>
  <c r="I186" i="7"/>
  <c r="BE185" i="7"/>
  <c r="AE185" i="7"/>
  <c r="Z185" i="7"/>
  <c r="Y185" i="7"/>
  <c r="X185" i="7"/>
  <c r="W185" i="7"/>
  <c r="V185" i="7"/>
  <c r="N185" i="7"/>
  <c r="M185" i="7"/>
  <c r="L185" i="7"/>
  <c r="I185" i="7" s="1"/>
  <c r="K185" i="7"/>
  <c r="J185" i="7"/>
  <c r="Z184" i="7"/>
  <c r="Y184" i="7"/>
  <c r="X184" i="7"/>
  <c r="W184" i="7"/>
  <c r="AA184" i="7" s="1"/>
  <c r="V184" i="7"/>
  <c r="T184" i="7"/>
  <c r="N184" i="7"/>
  <c r="M184" i="7"/>
  <c r="L184" i="7"/>
  <c r="K184" i="7"/>
  <c r="I184" i="7" s="1"/>
  <c r="BG184" i="7" s="1"/>
  <c r="J184" i="7"/>
  <c r="AE184" i="7" s="1"/>
  <c r="BE184" i="7" s="1"/>
  <c r="Z183" i="7"/>
  <c r="Y183" i="7"/>
  <c r="X183" i="7"/>
  <c r="W183" i="7"/>
  <c r="AA183" i="7" s="1"/>
  <c r="V183" i="7"/>
  <c r="N183" i="7"/>
  <c r="M183" i="7"/>
  <c r="L183" i="7"/>
  <c r="K183" i="7"/>
  <c r="J183" i="7"/>
  <c r="AE182" i="7"/>
  <c r="BE182" i="7" s="1"/>
  <c r="Z182" i="7"/>
  <c r="Y182" i="7"/>
  <c r="X182" i="7"/>
  <c r="W182" i="7"/>
  <c r="V182" i="7"/>
  <c r="AA182" i="7" s="1"/>
  <c r="N182" i="7"/>
  <c r="M182" i="7"/>
  <c r="L182" i="7"/>
  <c r="K182" i="7"/>
  <c r="J182" i="7"/>
  <c r="I182" i="7"/>
  <c r="BG182" i="7" s="1"/>
  <c r="BE181" i="7"/>
  <c r="AE181" i="7"/>
  <c r="Z181" i="7"/>
  <c r="Y181" i="7"/>
  <c r="X181" i="7"/>
  <c r="W181" i="7"/>
  <c r="V181" i="7"/>
  <c r="N181" i="7"/>
  <c r="M181" i="7"/>
  <c r="L181" i="7"/>
  <c r="I181" i="7" s="1"/>
  <c r="BG181" i="7" s="1"/>
  <c r="K181" i="7"/>
  <c r="T181" i="7" s="1"/>
  <c r="J181" i="7"/>
  <c r="Z180" i="7"/>
  <c r="Y180" i="7"/>
  <c r="X180" i="7"/>
  <c r="W180" i="7"/>
  <c r="AA180" i="7" s="1"/>
  <c r="V180" i="7"/>
  <c r="N180" i="7"/>
  <c r="M180" i="7"/>
  <c r="L180" i="7"/>
  <c r="K180" i="7"/>
  <c r="I180" i="7" s="1"/>
  <c r="BG180" i="7" s="1"/>
  <c r="J180" i="7"/>
  <c r="AE180" i="7" s="1"/>
  <c r="BE180" i="7" s="1"/>
  <c r="Z179" i="7"/>
  <c r="Y179" i="7"/>
  <c r="X179" i="7"/>
  <c r="W179" i="7"/>
  <c r="AA179" i="7" s="1"/>
  <c r="V179" i="7"/>
  <c r="N179" i="7"/>
  <c r="M179" i="7"/>
  <c r="L179" i="7"/>
  <c r="K179" i="7"/>
  <c r="J179" i="7"/>
  <c r="AE178" i="7"/>
  <c r="BE178" i="7" s="1"/>
  <c r="Z178" i="7"/>
  <c r="Y178" i="7"/>
  <c r="X178" i="7"/>
  <c r="W178" i="7"/>
  <c r="V178" i="7"/>
  <c r="AA178" i="7" s="1"/>
  <c r="N178" i="7"/>
  <c r="M178" i="7"/>
  <c r="L178" i="7"/>
  <c r="K178" i="7"/>
  <c r="J178" i="7"/>
  <c r="I178" i="7"/>
  <c r="BE177" i="7"/>
  <c r="AE177" i="7"/>
  <c r="Z177" i="7"/>
  <c r="Y177" i="7"/>
  <c r="X177" i="7"/>
  <c r="W177" i="7"/>
  <c r="V177" i="7"/>
  <c r="N177" i="7"/>
  <c r="M177" i="7"/>
  <c r="L177" i="7"/>
  <c r="I177" i="7" s="1"/>
  <c r="BG177" i="7" s="1"/>
  <c r="K177" i="7"/>
  <c r="J177" i="7"/>
  <c r="Z176" i="7"/>
  <c r="Y176" i="7"/>
  <c r="X176" i="7"/>
  <c r="W176" i="7"/>
  <c r="AA176" i="7" s="1"/>
  <c r="V176" i="7"/>
  <c r="T176" i="7"/>
  <c r="N176" i="7"/>
  <c r="M176" i="7"/>
  <c r="L176" i="7"/>
  <c r="K176" i="7"/>
  <c r="I176" i="7" s="1"/>
  <c r="BG176" i="7" s="1"/>
  <c r="J176" i="7"/>
  <c r="AE176" i="7" s="1"/>
  <c r="BE176" i="7" s="1"/>
  <c r="Z175" i="7"/>
  <c r="Y175" i="7"/>
  <c r="X175" i="7"/>
  <c r="W175" i="7"/>
  <c r="AA175" i="7" s="1"/>
  <c r="V175" i="7"/>
  <c r="N175" i="7"/>
  <c r="M175" i="7"/>
  <c r="L175" i="7"/>
  <c r="K175" i="7"/>
  <c r="J175" i="7"/>
  <c r="AE174" i="7"/>
  <c r="BE174" i="7" s="1"/>
  <c r="Z174" i="7"/>
  <c r="Y174" i="7"/>
  <c r="X174" i="7"/>
  <c r="W174" i="7"/>
  <c r="V174" i="7"/>
  <c r="AA174" i="7" s="1"/>
  <c r="N174" i="7"/>
  <c r="M174" i="7"/>
  <c r="L174" i="7"/>
  <c r="K174" i="7"/>
  <c r="J174" i="7"/>
  <c r="I174" i="7"/>
  <c r="BE173" i="7"/>
  <c r="AE173" i="7"/>
  <c r="Z173" i="7"/>
  <c r="Y173" i="7"/>
  <c r="X173" i="7"/>
  <c r="W173" i="7"/>
  <c r="V173" i="7"/>
  <c r="N173" i="7"/>
  <c r="M173" i="7"/>
  <c r="L173" i="7"/>
  <c r="I173" i="7" s="1"/>
  <c r="K173" i="7"/>
  <c r="T173" i="7" s="1"/>
  <c r="J173" i="7"/>
  <c r="Z172" i="7"/>
  <c r="Y172" i="7"/>
  <c r="X172" i="7"/>
  <c r="W172" i="7"/>
  <c r="AA172" i="7" s="1"/>
  <c r="V172" i="7"/>
  <c r="N172" i="7"/>
  <c r="M172" i="7"/>
  <c r="L172" i="7"/>
  <c r="K172" i="7"/>
  <c r="I172" i="7" s="1"/>
  <c r="J172" i="7"/>
  <c r="AE172" i="7" s="1"/>
  <c r="BE172" i="7" s="1"/>
  <c r="Z171" i="7"/>
  <c r="Y171" i="7"/>
  <c r="X171" i="7"/>
  <c r="W171" i="7"/>
  <c r="AA171" i="7" s="1"/>
  <c r="V171" i="7"/>
  <c r="N171" i="7"/>
  <c r="M171" i="7"/>
  <c r="L171" i="7"/>
  <c r="K171" i="7"/>
  <c r="J171" i="7"/>
  <c r="AE170" i="7"/>
  <c r="BE170" i="7" s="1"/>
  <c r="Z170" i="7"/>
  <c r="Y170" i="7"/>
  <c r="X170" i="7"/>
  <c r="W170" i="7"/>
  <c r="V170" i="7"/>
  <c r="AA170" i="7" s="1"/>
  <c r="N170" i="7"/>
  <c r="M170" i="7"/>
  <c r="L170" i="7"/>
  <c r="K170" i="7"/>
  <c r="J170" i="7"/>
  <c r="I170" i="7"/>
  <c r="BE169" i="7"/>
  <c r="AE169" i="7"/>
  <c r="Z169" i="7"/>
  <c r="Y169" i="7"/>
  <c r="X169" i="7"/>
  <c r="W169" i="7"/>
  <c r="V169" i="7"/>
  <c r="N169" i="7"/>
  <c r="M169" i="7"/>
  <c r="L169" i="7"/>
  <c r="I169" i="7" s="1"/>
  <c r="BG169" i="7" s="1"/>
  <c r="K169" i="7"/>
  <c r="J169" i="7"/>
  <c r="Z168" i="7"/>
  <c r="Y168" i="7"/>
  <c r="X168" i="7"/>
  <c r="W168" i="7"/>
  <c r="AA168" i="7" s="1"/>
  <c r="V168" i="7"/>
  <c r="T168" i="7"/>
  <c r="N168" i="7"/>
  <c r="M168" i="7"/>
  <c r="L168" i="7"/>
  <c r="K168" i="7"/>
  <c r="I168" i="7" s="1"/>
  <c r="BG168" i="7" s="1"/>
  <c r="J168" i="7"/>
  <c r="AE168" i="7" s="1"/>
  <c r="BE168" i="7" s="1"/>
  <c r="Z167" i="7"/>
  <c r="Y167" i="7"/>
  <c r="X167" i="7"/>
  <c r="W167" i="7"/>
  <c r="AA167" i="7" s="1"/>
  <c r="V167" i="7"/>
  <c r="N167" i="7"/>
  <c r="M167" i="7"/>
  <c r="L167" i="7"/>
  <c r="K167" i="7"/>
  <c r="J167" i="7"/>
  <c r="AE166" i="7"/>
  <c r="BE166" i="7" s="1"/>
  <c r="Z166" i="7"/>
  <c r="Y166" i="7"/>
  <c r="X166" i="7"/>
  <c r="W166" i="7"/>
  <c r="V166" i="7"/>
  <c r="AA166" i="7" s="1"/>
  <c r="N166" i="7"/>
  <c r="M166" i="7"/>
  <c r="L166" i="7"/>
  <c r="K166" i="7"/>
  <c r="J166" i="7"/>
  <c r="I166" i="7"/>
  <c r="BG166" i="7" s="1"/>
  <c r="BE165" i="7"/>
  <c r="AE165" i="7"/>
  <c r="Z165" i="7"/>
  <c r="Y165" i="7"/>
  <c r="X165" i="7"/>
  <c r="W165" i="7"/>
  <c r="V165" i="7"/>
  <c r="N165" i="7"/>
  <c r="M165" i="7"/>
  <c r="L165" i="7"/>
  <c r="I165" i="7" s="1"/>
  <c r="BG165" i="7" s="1"/>
  <c r="K165" i="7"/>
  <c r="T165" i="7" s="1"/>
  <c r="J165" i="7"/>
  <c r="Z164" i="7"/>
  <c r="Y164" i="7"/>
  <c r="X164" i="7"/>
  <c r="W164" i="7"/>
  <c r="AA164" i="7" s="1"/>
  <c r="V164" i="7"/>
  <c r="N164" i="7"/>
  <c r="M164" i="7"/>
  <c r="L164" i="7"/>
  <c r="K164" i="7"/>
  <c r="I164" i="7" s="1"/>
  <c r="BG164" i="7" s="1"/>
  <c r="J164" i="7"/>
  <c r="AE164" i="7" s="1"/>
  <c r="BE164" i="7" s="1"/>
  <c r="Z163" i="7"/>
  <c r="Y163" i="7"/>
  <c r="X163" i="7"/>
  <c r="W163" i="7"/>
  <c r="AA163" i="7" s="1"/>
  <c r="V163" i="7"/>
  <c r="N163" i="7"/>
  <c r="M163" i="7"/>
  <c r="L163" i="7"/>
  <c r="K163" i="7"/>
  <c r="J163" i="7"/>
  <c r="AE162" i="7"/>
  <c r="BE162" i="7" s="1"/>
  <c r="Z162" i="7"/>
  <c r="Y162" i="7"/>
  <c r="X162" i="7"/>
  <c r="W162" i="7"/>
  <c r="V162" i="7"/>
  <c r="AA162" i="7" s="1"/>
  <c r="N162" i="7"/>
  <c r="M162" i="7"/>
  <c r="L162" i="7"/>
  <c r="K162" i="7"/>
  <c r="J162" i="7"/>
  <c r="I162" i="7"/>
  <c r="BE161" i="7"/>
  <c r="AE161" i="7"/>
  <c r="Z161" i="7"/>
  <c r="Y161" i="7"/>
  <c r="X161" i="7"/>
  <c r="W161" i="7"/>
  <c r="V161" i="7"/>
  <c r="N161" i="7"/>
  <c r="M161" i="7"/>
  <c r="L161" i="7"/>
  <c r="I161" i="7" s="1"/>
  <c r="K161" i="7"/>
  <c r="J161" i="7"/>
  <c r="Z160" i="7"/>
  <c r="Y160" i="7"/>
  <c r="X160" i="7"/>
  <c r="W160" i="7"/>
  <c r="AA160" i="7" s="1"/>
  <c r="V160" i="7"/>
  <c r="T160" i="7"/>
  <c r="N160" i="7"/>
  <c r="M160" i="7"/>
  <c r="L160" i="7"/>
  <c r="K160" i="7"/>
  <c r="I160" i="7" s="1"/>
  <c r="BG160" i="7" s="1"/>
  <c r="J160" i="7"/>
  <c r="AE160" i="7" s="1"/>
  <c r="BE160" i="7" s="1"/>
  <c r="Z159" i="7"/>
  <c r="Y159" i="7"/>
  <c r="X159" i="7"/>
  <c r="W159" i="7"/>
  <c r="AA159" i="7" s="1"/>
  <c r="V159" i="7"/>
  <c r="N159" i="7"/>
  <c r="M159" i="7"/>
  <c r="L159" i="7"/>
  <c r="K159" i="7"/>
  <c r="J159" i="7"/>
  <c r="AE158" i="7"/>
  <c r="BE158" i="7" s="1"/>
  <c r="Z158" i="7"/>
  <c r="Y158" i="7"/>
  <c r="X158" i="7"/>
  <c r="W158" i="7"/>
  <c r="V158" i="7"/>
  <c r="AA158" i="7" s="1"/>
  <c r="N158" i="7"/>
  <c r="M158" i="7"/>
  <c r="L158" i="7"/>
  <c r="K158" i="7"/>
  <c r="J158" i="7"/>
  <c r="I158" i="7"/>
  <c r="BG158" i="7" s="1"/>
  <c r="BG157" i="7"/>
  <c r="Z157" i="7"/>
  <c r="Y157" i="7"/>
  <c r="X157" i="7"/>
  <c r="W157" i="7"/>
  <c r="V157" i="7"/>
  <c r="U157" i="7"/>
  <c r="T157" i="7"/>
  <c r="Q157" i="7"/>
  <c r="P157" i="7"/>
  <c r="AE156" i="7"/>
  <c r="BE156" i="7" s="1"/>
  <c r="Z156" i="7"/>
  <c r="Y156" i="7"/>
  <c r="X156" i="7"/>
  <c r="W156" i="7"/>
  <c r="V156" i="7"/>
  <c r="AA156" i="7" s="1"/>
  <c r="N156" i="7"/>
  <c r="M156" i="7"/>
  <c r="L156" i="7"/>
  <c r="K156" i="7"/>
  <c r="J156" i="7"/>
  <c r="I156" i="7"/>
  <c r="BG156" i="7" s="1"/>
  <c r="BE155" i="7"/>
  <c r="AE155" i="7"/>
  <c r="Z155" i="7"/>
  <c r="Y155" i="7"/>
  <c r="X155" i="7"/>
  <c r="W155" i="7"/>
  <c r="V155" i="7"/>
  <c r="N155" i="7"/>
  <c r="M155" i="7"/>
  <c r="L155" i="7"/>
  <c r="I155" i="7" s="1"/>
  <c r="K155" i="7"/>
  <c r="T155" i="7" s="1"/>
  <c r="J155" i="7"/>
  <c r="Z154" i="7"/>
  <c r="Y154" i="7"/>
  <c r="X154" i="7"/>
  <c r="W154" i="7"/>
  <c r="AA154" i="7" s="1"/>
  <c r="V154" i="7"/>
  <c r="N154" i="7"/>
  <c r="M154" i="7"/>
  <c r="L154" i="7"/>
  <c r="K154" i="7"/>
  <c r="J154" i="7"/>
  <c r="AE154" i="7" s="1"/>
  <c r="BE154" i="7" s="1"/>
  <c r="Z153" i="7"/>
  <c r="Y153" i="7"/>
  <c r="X153" i="7"/>
  <c r="W153" i="7"/>
  <c r="AA153" i="7" s="1"/>
  <c r="V153" i="7"/>
  <c r="N153" i="7"/>
  <c r="M153" i="7"/>
  <c r="L153" i="7"/>
  <c r="K153" i="7"/>
  <c r="J153" i="7"/>
  <c r="AE152" i="7"/>
  <c r="BE152" i="7" s="1"/>
  <c r="Z152" i="7"/>
  <c r="Y152" i="7"/>
  <c r="X152" i="7"/>
  <c r="W152" i="7"/>
  <c r="V152" i="7"/>
  <c r="AA152" i="7" s="1"/>
  <c r="N152" i="7"/>
  <c r="M152" i="7"/>
  <c r="L152" i="7"/>
  <c r="K152" i="7"/>
  <c r="J152" i="7"/>
  <c r="I152" i="7"/>
  <c r="BG152" i="7" s="1"/>
  <c r="BE151" i="7"/>
  <c r="AE151" i="7"/>
  <c r="Z151" i="7"/>
  <c r="Y151" i="7"/>
  <c r="X151" i="7"/>
  <c r="W151" i="7"/>
  <c r="V151" i="7"/>
  <c r="AA151" i="7" s="1"/>
  <c r="N151" i="7"/>
  <c r="M151" i="7"/>
  <c r="L151" i="7"/>
  <c r="I151" i="7" s="1"/>
  <c r="K151" i="7"/>
  <c r="J151" i="7"/>
  <c r="Z150" i="7"/>
  <c r="Y150" i="7"/>
  <c r="X150" i="7"/>
  <c r="W150" i="7"/>
  <c r="AA150" i="7" s="1"/>
  <c r="V150" i="7"/>
  <c r="T150" i="7"/>
  <c r="N150" i="7"/>
  <c r="M150" i="7"/>
  <c r="L150" i="7"/>
  <c r="K150" i="7"/>
  <c r="J150" i="7"/>
  <c r="AE150" i="7" s="1"/>
  <c r="BE150" i="7" s="1"/>
  <c r="BG149" i="7"/>
  <c r="Z149" i="7"/>
  <c r="Y149" i="7"/>
  <c r="X149" i="7"/>
  <c r="W149" i="7"/>
  <c r="AA149" i="7" s="1"/>
  <c r="V149" i="7"/>
  <c r="N149" i="7"/>
  <c r="M149" i="7"/>
  <c r="L149" i="7"/>
  <c r="K149" i="7"/>
  <c r="I149" i="7" s="1"/>
  <c r="J149" i="7"/>
  <c r="AE148" i="7"/>
  <c r="BE148" i="7" s="1"/>
  <c r="Z148" i="7"/>
  <c r="Y148" i="7"/>
  <c r="X148" i="7"/>
  <c r="W148" i="7"/>
  <c r="V148" i="7"/>
  <c r="AA148" i="7" s="1"/>
  <c r="N148" i="7"/>
  <c r="M148" i="7"/>
  <c r="L148" i="7"/>
  <c r="K148" i="7"/>
  <c r="J148" i="7"/>
  <c r="U148" i="7" s="1"/>
  <c r="I148" i="7"/>
  <c r="BG148" i="7" s="1"/>
  <c r="BE147" i="7"/>
  <c r="AE147" i="7"/>
  <c r="Z147" i="7"/>
  <c r="Y147" i="7"/>
  <c r="X147" i="7"/>
  <c r="W147" i="7"/>
  <c r="V147" i="7"/>
  <c r="N147" i="7"/>
  <c r="M147" i="7"/>
  <c r="L147" i="7"/>
  <c r="I147" i="7" s="1"/>
  <c r="BG147" i="7" s="1"/>
  <c r="K147" i="7"/>
  <c r="T147" i="7" s="1"/>
  <c r="J147" i="7"/>
  <c r="Z146" i="7"/>
  <c r="Y146" i="7"/>
  <c r="X146" i="7"/>
  <c r="W146" i="7"/>
  <c r="V146" i="7"/>
  <c r="N146" i="7"/>
  <c r="M146" i="7"/>
  <c r="L146" i="7"/>
  <c r="K146" i="7"/>
  <c r="J146" i="7"/>
  <c r="AE146" i="7" s="1"/>
  <c r="BE146" i="7" s="1"/>
  <c r="Z145" i="7"/>
  <c r="Y145" i="7"/>
  <c r="X145" i="7"/>
  <c r="W145" i="7"/>
  <c r="V145" i="7"/>
  <c r="N145" i="7"/>
  <c r="M145" i="7"/>
  <c r="L145" i="7"/>
  <c r="K145" i="7"/>
  <c r="J145" i="7"/>
  <c r="BH144" i="7"/>
  <c r="BG144" i="7"/>
  <c r="BF144" i="7"/>
  <c r="BE144" i="7"/>
  <c r="BC144" i="7"/>
  <c r="BA144" i="7"/>
  <c r="AZ144" i="7"/>
  <c r="AF144" i="7"/>
  <c r="AE144" i="7"/>
  <c r="AC144" i="7"/>
  <c r="AB144" i="7"/>
  <c r="AA144" i="7"/>
  <c r="Y144" i="7"/>
  <c r="X144" i="7"/>
  <c r="U144" i="7"/>
  <c r="T144" i="7"/>
  <c r="S144" i="7"/>
  <c r="R144" i="7"/>
  <c r="Q144" i="7"/>
  <c r="P144" i="7"/>
  <c r="N144" i="7"/>
  <c r="Z144" i="7" s="1"/>
  <c r="M144" i="7"/>
  <c r="L144" i="7"/>
  <c r="K144" i="7"/>
  <c r="AF227" i="7" s="1"/>
  <c r="BH227" i="7" s="1"/>
  <c r="J144" i="7"/>
  <c r="V143" i="7"/>
  <c r="N143" i="7"/>
  <c r="M143" i="7"/>
  <c r="L143" i="7"/>
  <c r="K143" i="7"/>
  <c r="J143" i="7"/>
  <c r="N142" i="7"/>
  <c r="M142" i="7"/>
  <c r="L142" i="7"/>
  <c r="I142" i="7" s="1"/>
  <c r="K142" i="7"/>
  <c r="J142" i="7"/>
  <c r="N141" i="7"/>
  <c r="M141" i="7"/>
  <c r="L141" i="7"/>
  <c r="K141" i="7"/>
  <c r="I141" i="7" s="1"/>
  <c r="J141" i="7"/>
  <c r="N140" i="7"/>
  <c r="M140" i="7"/>
  <c r="L140" i="7"/>
  <c r="I140" i="7" s="1"/>
  <c r="K140" i="7"/>
  <c r="J140" i="7"/>
  <c r="N139" i="7"/>
  <c r="M139" i="7"/>
  <c r="L139" i="7"/>
  <c r="K139" i="7"/>
  <c r="J139" i="7"/>
  <c r="N138" i="7"/>
  <c r="M138" i="7"/>
  <c r="L138" i="7"/>
  <c r="K138" i="7"/>
  <c r="J138" i="7"/>
  <c r="I138" i="7" s="1"/>
  <c r="N137" i="7"/>
  <c r="M137" i="7"/>
  <c r="L137" i="7"/>
  <c r="K137" i="7"/>
  <c r="I137" i="7" s="1"/>
  <c r="J137" i="7"/>
  <c r="N136" i="7"/>
  <c r="M136" i="7"/>
  <c r="L136" i="7"/>
  <c r="K136" i="7"/>
  <c r="J136" i="7"/>
  <c r="N135" i="7"/>
  <c r="M135" i="7"/>
  <c r="L135" i="7"/>
  <c r="K135" i="7"/>
  <c r="J135" i="7"/>
  <c r="N134" i="7"/>
  <c r="M134" i="7"/>
  <c r="L134" i="7"/>
  <c r="K134" i="7"/>
  <c r="J134" i="7"/>
  <c r="I134" i="7" s="1"/>
  <c r="N133" i="7"/>
  <c r="M133" i="7"/>
  <c r="L133" i="7"/>
  <c r="K133" i="7"/>
  <c r="I133" i="7" s="1"/>
  <c r="J133" i="7"/>
  <c r="N132" i="7"/>
  <c r="M132" i="7"/>
  <c r="L132" i="7"/>
  <c r="K132" i="7"/>
  <c r="J132" i="7"/>
  <c r="N131" i="7"/>
  <c r="M131" i="7"/>
  <c r="L131" i="7"/>
  <c r="K131" i="7"/>
  <c r="J131" i="7"/>
  <c r="N130" i="7"/>
  <c r="M130" i="7"/>
  <c r="L130" i="7"/>
  <c r="K130" i="7"/>
  <c r="J130" i="7"/>
  <c r="I130" i="7" s="1"/>
  <c r="N129" i="7"/>
  <c r="M129" i="7"/>
  <c r="L129" i="7"/>
  <c r="K129" i="7"/>
  <c r="I129" i="7" s="1"/>
  <c r="J129" i="7"/>
  <c r="N128" i="7"/>
  <c r="M128" i="7"/>
  <c r="L128" i="7"/>
  <c r="K128" i="7"/>
  <c r="J128" i="7"/>
  <c r="N127" i="7"/>
  <c r="M127" i="7"/>
  <c r="L127" i="7"/>
  <c r="K127" i="7"/>
  <c r="J127" i="7"/>
  <c r="I127" i="7" s="1"/>
  <c r="N126" i="7"/>
  <c r="M126" i="7"/>
  <c r="L126" i="7"/>
  <c r="K126" i="7"/>
  <c r="J126" i="7"/>
  <c r="I126" i="7" s="1"/>
  <c r="N125" i="7"/>
  <c r="M125" i="7"/>
  <c r="L125" i="7"/>
  <c r="K125" i="7"/>
  <c r="J125" i="7"/>
  <c r="I125" i="7" s="1"/>
  <c r="N124" i="7"/>
  <c r="M124" i="7"/>
  <c r="L124" i="7"/>
  <c r="K124" i="7"/>
  <c r="J124" i="7"/>
  <c r="N123" i="7"/>
  <c r="M123" i="7"/>
  <c r="L123" i="7"/>
  <c r="K123" i="7"/>
  <c r="J123" i="7"/>
  <c r="I123" i="7" s="1"/>
  <c r="N122" i="7"/>
  <c r="M122" i="7"/>
  <c r="L122" i="7"/>
  <c r="K122" i="7"/>
  <c r="I122" i="7" s="1"/>
  <c r="J122" i="7"/>
  <c r="N121" i="7"/>
  <c r="M121" i="7"/>
  <c r="L121" i="7"/>
  <c r="K121" i="7"/>
  <c r="J121" i="7"/>
  <c r="I121" i="7" s="1"/>
  <c r="N120" i="7"/>
  <c r="M120" i="7"/>
  <c r="L120" i="7"/>
  <c r="K120" i="7"/>
  <c r="J120" i="7"/>
  <c r="N119" i="7"/>
  <c r="M119" i="7"/>
  <c r="L119" i="7"/>
  <c r="K119" i="7"/>
  <c r="J119" i="7"/>
  <c r="I119" i="7" s="1"/>
  <c r="N118" i="7"/>
  <c r="M118" i="7"/>
  <c r="L118" i="7"/>
  <c r="K118" i="7"/>
  <c r="J118" i="7"/>
  <c r="I118" i="7" s="1"/>
  <c r="N117" i="7"/>
  <c r="M117" i="7"/>
  <c r="L117" i="7"/>
  <c r="K117" i="7"/>
  <c r="J117" i="7"/>
  <c r="I117" i="7" s="1"/>
  <c r="N116" i="7"/>
  <c r="M116" i="7"/>
  <c r="L116" i="7"/>
  <c r="K116" i="7"/>
  <c r="J116" i="7"/>
  <c r="N115" i="7"/>
  <c r="M115" i="7"/>
  <c r="L115" i="7"/>
  <c r="K115" i="7"/>
  <c r="J115" i="7"/>
  <c r="N114" i="7"/>
  <c r="M114" i="7"/>
  <c r="L114" i="7"/>
  <c r="K114" i="7"/>
  <c r="I114" i="7" s="1"/>
  <c r="J114" i="7"/>
  <c r="N113" i="7"/>
  <c r="M113" i="7"/>
  <c r="L113" i="7"/>
  <c r="K113" i="7"/>
  <c r="J113" i="7"/>
  <c r="I113" i="7" s="1"/>
  <c r="N112" i="7"/>
  <c r="M112" i="7"/>
  <c r="L112" i="7"/>
  <c r="K112" i="7"/>
  <c r="J112" i="7"/>
  <c r="N111" i="7"/>
  <c r="M111" i="7"/>
  <c r="L111" i="7"/>
  <c r="K111" i="7"/>
  <c r="J111" i="7"/>
  <c r="I111" i="7" s="1"/>
  <c r="N110" i="7"/>
  <c r="M110" i="7"/>
  <c r="L110" i="7"/>
  <c r="K110" i="7"/>
  <c r="I110" i="7" s="1"/>
  <c r="J110" i="7"/>
  <c r="N109" i="7"/>
  <c r="M109" i="7"/>
  <c r="L109" i="7"/>
  <c r="K109" i="7"/>
  <c r="J109" i="7"/>
  <c r="I109" i="7" s="1"/>
  <c r="N108" i="7"/>
  <c r="M108" i="7"/>
  <c r="L108" i="7"/>
  <c r="K108" i="7"/>
  <c r="J108" i="7"/>
  <c r="N107" i="7"/>
  <c r="M107" i="7"/>
  <c r="L107" i="7"/>
  <c r="K107" i="7"/>
  <c r="J107" i="7"/>
  <c r="I107" i="7" s="1"/>
  <c r="N106" i="7"/>
  <c r="M106" i="7"/>
  <c r="L106" i="7"/>
  <c r="K106" i="7"/>
  <c r="I106" i="7" s="1"/>
  <c r="J106" i="7"/>
  <c r="N105" i="7"/>
  <c r="M105" i="7"/>
  <c r="L105" i="7"/>
  <c r="K105" i="7"/>
  <c r="J105" i="7"/>
  <c r="I105" i="7" s="1"/>
  <c r="N104" i="7"/>
  <c r="M104" i="7"/>
  <c r="L104" i="7"/>
  <c r="K104" i="7"/>
  <c r="J104" i="7"/>
  <c r="N103" i="7"/>
  <c r="M103" i="7"/>
  <c r="L103" i="7"/>
  <c r="K103" i="7"/>
  <c r="J103" i="7"/>
  <c r="I103" i="7" s="1"/>
  <c r="N102" i="7"/>
  <c r="M102" i="7"/>
  <c r="L102" i="7"/>
  <c r="K102" i="7"/>
  <c r="I102" i="7" s="1"/>
  <c r="J102" i="7"/>
  <c r="N101" i="7"/>
  <c r="M101" i="7"/>
  <c r="L101" i="7"/>
  <c r="K101" i="7"/>
  <c r="J101" i="7"/>
  <c r="I101" i="7" s="1"/>
  <c r="N100" i="7"/>
  <c r="M100" i="7"/>
  <c r="L100" i="7"/>
  <c r="K100" i="7"/>
  <c r="J100" i="7"/>
  <c r="N99" i="7"/>
  <c r="M99" i="7"/>
  <c r="L99" i="7"/>
  <c r="K99" i="7"/>
  <c r="J99" i="7"/>
  <c r="I99" i="7" s="1"/>
  <c r="N98" i="7"/>
  <c r="M98" i="7"/>
  <c r="L98" i="7"/>
  <c r="K98" i="7"/>
  <c r="I98" i="7" s="1"/>
  <c r="J98" i="7"/>
  <c r="N97" i="7"/>
  <c r="M97" i="7"/>
  <c r="L97" i="7"/>
  <c r="K97" i="7"/>
  <c r="J97" i="7"/>
  <c r="I97" i="7" s="1"/>
  <c r="N96" i="7"/>
  <c r="M96" i="7"/>
  <c r="L96" i="7"/>
  <c r="K96" i="7"/>
  <c r="I96" i="7" s="1"/>
  <c r="J96" i="7"/>
  <c r="N95" i="7"/>
  <c r="M95" i="7"/>
  <c r="L95" i="7"/>
  <c r="K95" i="7"/>
  <c r="J95" i="7"/>
  <c r="I95" i="7" s="1"/>
  <c r="N94" i="7"/>
  <c r="M94" i="7"/>
  <c r="L94" i="7"/>
  <c r="K94" i="7"/>
  <c r="I94" i="7" s="1"/>
  <c r="J94" i="7"/>
  <c r="N93" i="7"/>
  <c r="M93" i="7"/>
  <c r="L93" i="7"/>
  <c r="K93" i="7"/>
  <c r="J93" i="7"/>
  <c r="I93" i="7" s="1"/>
  <c r="N92" i="7"/>
  <c r="M92" i="7"/>
  <c r="L92" i="7"/>
  <c r="K92" i="7"/>
  <c r="I92" i="7" s="1"/>
  <c r="J92" i="7"/>
  <c r="N91" i="7"/>
  <c r="M91" i="7"/>
  <c r="L91" i="7"/>
  <c r="K91" i="7"/>
  <c r="J91" i="7"/>
  <c r="I91" i="7" s="1"/>
  <c r="N90" i="7"/>
  <c r="M90" i="7"/>
  <c r="L90" i="7"/>
  <c r="K90" i="7"/>
  <c r="I90" i="7" s="1"/>
  <c r="J90" i="7"/>
  <c r="N89" i="7"/>
  <c r="M89" i="7"/>
  <c r="L89" i="7"/>
  <c r="J89" i="7"/>
  <c r="L88" i="7"/>
  <c r="K88" i="7"/>
  <c r="J88" i="7"/>
  <c r="L87" i="7"/>
  <c r="K87" i="7"/>
  <c r="J87" i="7"/>
  <c r="L86" i="7"/>
  <c r="K86" i="7"/>
  <c r="J86" i="7"/>
  <c r="L85" i="7"/>
  <c r="K85" i="7"/>
  <c r="J85" i="7"/>
  <c r="L84" i="7"/>
  <c r="K84" i="7"/>
  <c r="J84" i="7"/>
  <c r="L83" i="7"/>
  <c r="K83" i="7"/>
  <c r="J83" i="7"/>
  <c r="L82" i="7"/>
  <c r="K82" i="7"/>
  <c r="J82" i="7"/>
  <c r="L81" i="7"/>
  <c r="K81" i="7"/>
  <c r="J81" i="7"/>
  <c r="N80" i="7"/>
  <c r="M80" i="7"/>
  <c r="L80" i="7"/>
  <c r="K80" i="7"/>
  <c r="J80" i="7"/>
  <c r="I80" i="7"/>
  <c r="N79" i="7"/>
  <c r="M79" i="7"/>
  <c r="L79" i="7"/>
  <c r="K79" i="7"/>
  <c r="I79" i="7" s="1"/>
  <c r="J79" i="7"/>
  <c r="N78" i="7"/>
  <c r="M78" i="7"/>
  <c r="L78" i="7"/>
  <c r="J78" i="7"/>
  <c r="L77" i="7"/>
  <c r="K77" i="7"/>
  <c r="J77" i="7"/>
  <c r="J76" i="7"/>
  <c r="J75" i="7"/>
  <c r="J74" i="7"/>
  <c r="J73" i="7"/>
  <c r="J72" i="7"/>
  <c r="J71" i="7"/>
  <c r="J70" i="7"/>
  <c r="N69" i="7"/>
  <c r="M69" i="7"/>
  <c r="J69" i="7"/>
  <c r="N68" i="7"/>
  <c r="M68" i="7"/>
  <c r="J68" i="7"/>
  <c r="N67" i="7"/>
  <c r="M67" i="7"/>
  <c r="K67" i="7"/>
  <c r="J67" i="7"/>
  <c r="E67" i="7"/>
  <c r="L67" i="7" s="1"/>
  <c r="N66" i="7"/>
  <c r="M66" i="7"/>
  <c r="L66" i="7"/>
  <c r="K66" i="7"/>
  <c r="J66" i="7"/>
  <c r="I66" i="7"/>
  <c r="N65" i="7"/>
  <c r="M65" i="7"/>
  <c r="L65" i="7"/>
  <c r="K65" i="7"/>
  <c r="I65" i="7" s="1"/>
  <c r="J65" i="7"/>
  <c r="N64" i="7"/>
  <c r="M64" i="7"/>
  <c r="L64" i="7"/>
  <c r="K64" i="7"/>
  <c r="J64" i="7"/>
  <c r="I64" i="7"/>
  <c r="N63" i="7"/>
  <c r="M63" i="7"/>
  <c r="L63" i="7"/>
  <c r="K63" i="7"/>
  <c r="I63" i="7" s="1"/>
  <c r="J63" i="7"/>
  <c r="N62" i="7"/>
  <c r="M62" i="7"/>
  <c r="L62" i="7"/>
  <c r="K62" i="7"/>
  <c r="J62" i="7"/>
  <c r="I62" i="7"/>
  <c r="N61" i="7"/>
  <c r="M61" i="7"/>
  <c r="L61" i="7"/>
  <c r="K61" i="7"/>
  <c r="I61" i="7" s="1"/>
  <c r="J61" i="7"/>
  <c r="N60" i="7"/>
  <c r="M60" i="7"/>
  <c r="L60" i="7"/>
  <c r="K60" i="7"/>
  <c r="J60" i="7"/>
  <c r="I60" i="7"/>
  <c r="E12" i="7"/>
  <c r="D12" i="7"/>
  <c r="K10" i="7"/>
  <c r="K9" i="7"/>
  <c r="K8" i="7"/>
  <c r="K7" i="7"/>
  <c r="K6" i="7"/>
  <c r="K5" i="7"/>
  <c r="J5" i="7"/>
  <c r="L4" i="7"/>
  <c r="K4" i="7"/>
  <c r="J4" i="7"/>
  <c r="P3" i="7"/>
  <c r="O3" i="7"/>
  <c r="N3" i="7"/>
  <c r="M3" i="7"/>
  <c r="L3" i="7"/>
  <c r="K3" i="7"/>
  <c r="J3" i="7"/>
  <c r="K2" i="7"/>
  <c r="D1" i="7"/>
  <c r="L5" i="7" s="1"/>
  <c r="C538" i="6"/>
  <c r="C537" i="6"/>
  <c r="H533" i="6"/>
  <c r="F533" i="6"/>
  <c r="C532" i="6"/>
  <c r="C525" i="6"/>
  <c r="L524" i="6"/>
  <c r="K524" i="6"/>
  <c r="L533" i="6" s="1"/>
  <c r="G524" i="6"/>
  <c r="C523" i="6"/>
  <c r="I522" i="6"/>
  <c r="I521" i="6"/>
  <c r="AZ452" i="6" s="1"/>
  <c r="I520" i="6"/>
  <c r="AZ451" i="6" s="1"/>
  <c r="I519" i="6"/>
  <c r="AZ450" i="6" s="1"/>
  <c r="C518" i="6"/>
  <c r="C517" i="6"/>
  <c r="C514" i="6"/>
  <c r="C513" i="6"/>
  <c r="C512" i="6"/>
  <c r="C529" i="6" s="1"/>
  <c r="C511" i="6"/>
  <c r="C528" i="6" s="1"/>
  <c r="D524" i="6" s="1"/>
  <c r="C509" i="6"/>
  <c r="C508" i="6"/>
  <c r="C534" i="6" s="1"/>
  <c r="P507" i="6"/>
  <c r="M507" i="6"/>
  <c r="J507" i="6"/>
  <c r="I507" i="6"/>
  <c r="G507" i="6"/>
  <c r="N507" i="6" s="1"/>
  <c r="AK498" i="6"/>
  <c r="AK503" i="6" s="1"/>
  <c r="AK504" i="6" s="1"/>
  <c r="AB498" i="6"/>
  <c r="Z498" i="6"/>
  <c r="X498" i="6"/>
  <c r="X497" i="6"/>
  <c r="X502" i="6" s="1"/>
  <c r="X503" i="6" s="1"/>
  <c r="S496" i="6"/>
  <c r="S495" i="6"/>
  <c r="S494" i="6"/>
  <c r="U493" i="6"/>
  <c r="S493" i="6"/>
  <c r="U492" i="6"/>
  <c r="S492" i="6"/>
  <c r="U491" i="6"/>
  <c r="S491" i="6"/>
  <c r="Q491" i="6"/>
  <c r="Q492" i="6" s="1"/>
  <c r="AK490" i="6"/>
  <c r="AK493" i="6" s="1"/>
  <c r="AK494" i="6" s="1"/>
  <c r="AE490" i="6"/>
  <c r="AA490" i="6"/>
  <c r="X489" i="6"/>
  <c r="J524" i="6" s="1"/>
  <c r="K533" i="6" s="1"/>
  <c r="U489" i="6"/>
  <c r="S489" i="6"/>
  <c r="Q489" i="6"/>
  <c r="D489" i="6"/>
  <c r="Q488" i="6"/>
  <c r="Q493" i="6" s="1"/>
  <c r="Q494" i="6" s="1"/>
  <c r="D488" i="6"/>
  <c r="D487" i="6"/>
  <c r="D486" i="6"/>
  <c r="J485" i="6"/>
  <c r="J488" i="6" s="1"/>
  <c r="J489" i="6" s="1"/>
  <c r="D485" i="6"/>
  <c r="Q484" i="6"/>
  <c r="Q485" i="6" s="1"/>
  <c r="D484" i="6"/>
  <c r="AM483" i="6"/>
  <c r="D483" i="6"/>
  <c r="AK482" i="6"/>
  <c r="AA482" i="6"/>
  <c r="Y482" i="6"/>
  <c r="D482" i="6"/>
  <c r="X481" i="6"/>
  <c r="I524" i="6" s="1"/>
  <c r="J533" i="6" s="1"/>
  <c r="D481" i="6"/>
  <c r="F480" i="6"/>
  <c r="D480" i="6"/>
  <c r="Q479" i="6"/>
  <c r="Q482" i="6" s="1"/>
  <c r="Q483" i="6" s="1"/>
  <c r="F478" i="6"/>
  <c r="M476" i="6"/>
  <c r="H476" i="6"/>
  <c r="H507" i="6" s="1"/>
  <c r="O507" i="6" s="1"/>
  <c r="G476" i="6"/>
  <c r="F476" i="6"/>
  <c r="F507" i="6" s="1"/>
  <c r="E476" i="6"/>
  <c r="D476" i="6"/>
  <c r="D507" i="6" s="1"/>
  <c r="K507" i="6" s="1"/>
  <c r="K475" i="6"/>
  <c r="K478" i="6" s="1"/>
  <c r="K479" i="6" s="1"/>
  <c r="D475" i="6"/>
  <c r="D478" i="6" s="1"/>
  <c r="D479" i="6" s="1"/>
  <c r="AK472" i="6"/>
  <c r="L471" i="6"/>
  <c r="AB470" i="6"/>
  <c r="Z470" i="6"/>
  <c r="X470" i="6"/>
  <c r="Q470" i="6"/>
  <c r="Q475" i="6" s="1"/>
  <c r="Q476" i="6" s="1"/>
  <c r="L470" i="6"/>
  <c r="X469" i="6"/>
  <c r="N469" i="6"/>
  <c r="L469" i="6"/>
  <c r="S468" i="6"/>
  <c r="N468" i="6"/>
  <c r="L468" i="6"/>
  <c r="J468" i="6"/>
  <c r="J469" i="6" s="1"/>
  <c r="S467" i="6"/>
  <c r="S466" i="6"/>
  <c r="N466" i="6"/>
  <c r="L466" i="6"/>
  <c r="J466" i="6"/>
  <c r="U465" i="6"/>
  <c r="S465" i="6"/>
  <c r="Q465" i="6"/>
  <c r="Q466" i="6" s="1"/>
  <c r="J465" i="6"/>
  <c r="J470" i="6" s="1"/>
  <c r="J471" i="6" s="1"/>
  <c r="U464" i="6"/>
  <c r="S464" i="6"/>
  <c r="U463" i="6"/>
  <c r="S463" i="6"/>
  <c r="Q463" i="6"/>
  <c r="Q464" i="6" s="1"/>
  <c r="AM462" i="6"/>
  <c r="AG462" i="6"/>
  <c r="AB462" i="6"/>
  <c r="AA462" i="6"/>
  <c r="Z462" i="6"/>
  <c r="Y462" i="6"/>
  <c r="X462" i="6"/>
  <c r="AK461" i="6"/>
  <c r="AK466" i="6" s="1"/>
  <c r="AK467" i="6" s="1"/>
  <c r="AE461" i="6"/>
  <c r="X461" i="6"/>
  <c r="X466" i="6" s="1"/>
  <c r="X467" i="6" s="1"/>
  <c r="U461" i="6"/>
  <c r="S461" i="6"/>
  <c r="Q461" i="6"/>
  <c r="Q460" i="6"/>
  <c r="X459" i="6"/>
  <c r="X458" i="6"/>
  <c r="X456" i="6"/>
  <c r="X457" i="6" s="1"/>
  <c r="BA455" i="6"/>
  <c r="AZ455" i="6"/>
  <c r="AB454" i="6"/>
  <c r="Z454" i="6"/>
  <c r="X454" i="6"/>
  <c r="AZ453" i="6"/>
  <c r="AM453" i="6"/>
  <c r="X453" i="6"/>
  <c r="F524" i="6" s="1"/>
  <c r="G533" i="6" s="1"/>
  <c r="AK452" i="6"/>
  <c r="AK455" i="6" s="1"/>
  <c r="AK456" i="6" s="1"/>
  <c r="B450" i="6"/>
  <c r="AZ448" i="6"/>
  <c r="N399" i="6"/>
  <c r="M399" i="6"/>
  <c r="L399" i="6"/>
  <c r="K399" i="6"/>
  <c r="I399" i="6" s="1"/>
  <c r="J399" i="6"/>
  <c r="N398" i="6"/>
  <c r="M398" i="6"/>
  <c r="L398" i="6"/>
  <c r="K398" i="6"/>
  <c r="J398" i="6"/>
  <c r="I398" i="6"/>
  <c r="N397" i="6"/>
  <c r="M397" i="6"/>
  <c r="L397" i="6"/>
  <c r="K397" i="6"/>
  <c r="I397" i="6" s="1"/>
  <c r="J397" i="6"/>
  <c r="N396" i="6"/>
  <c r="M396" i="6"/>
  <c r="L396" i="6"/>
  <c r="K396" i="6"/>
  <c r="J396" i="6"/>
  <c r="I396" i="6"/>
  <c r="N395" i="6"/>
  <c r="M395" i="6"/>
  <c r="L395" i="6"/>
  <c r="K395" i="6"/>
  <c r="I395" i="6" s="1"/>
  <c r="J395" i="6"/>
  <c r="N394" i="6"/>
  <c r="M394" i="6"/>
  <c r="L394" i="6"/>
  <c r="K394" i="6"/>
  <c r="J394" i="6"/>
  <c r="I394" i="6"/>
  <c r="N393" i="6"/>
  <c r="M393" i="6"/>
  <c r="L393" i="6"/>
  <c r="K393" i="6"/>
  <c r="I393" i="6" s="1"/>
  <c r="J393" i="6"/>
  <c r="N392" i="6"/>
  <c r="M392" i="6"/>
  <c r="L392" i="6"/>
  <c r="K392" i="6"/>
  <c r="J392" i="6"/>
  <c r="I392" i="6"/>
  <c r="N391" i="6"/>
  <c r="M391" i="6"/>
  <c r="L391" i="6"/>
  <c r="K391" i="6"/>
  <c r="I391" i="6" s="1"/>
  <c r="J391" i="6"/>
  <c r="N390" i="6"/>
  <c r="M390" i="6"/>
  <c r="L390" i="6"/>
  <c r="K390" i="6"/>
  <c r="J390" i="6"/>
  <c r="I390" i="6"/>
  <c r="N389" i="6"/>
  <c r="M389" i="6"/>
  <c r="L389" i="6"/>
  <c r="K389" i="6"/>
  <c r="I389" i="6" s="1"/>
  <c r="J389" i="6"/>
  <c r="N388" i="6"/>
  <c r="M388" i="6"/>
  <c r="L388" i="6"/>
  <c r="K388" i="6"/>
  <c r="J388" i="6"/>
  <c r="I388" i="6"/>
  <c r="N387" i="6"/>
  <c r="M387" i="6"/>
  <c r="L387" i="6"/>
  <c r="K387" i="6"/>
  <c r="I387" i="6" s="1"/>
  <c r="J387" i="6"/>
  <c r="N386" i="6"/>
  <c r="M386" i="6"/>
  <c r="L386" i="6"/>
  <c r="K386" i="6"/>
  <c r="J386" i="6"/>
  <c r="I386" i="6"/>
  <c r="N385" i="6"/>
  <c r="M385" i="6"/>
  <c r="L385" i="6"/>
  <c r="K385" i="6"/>
  <c r="I385" i="6" s="1"/>
  <c r="J385" i="6"/>
  <c r="N384" i="6"/>
  <c r="M384" i="6"/>
  <c r="L384" i="6"/>
  <c r="K384" i="6"/>
  <c r="J384" i="6"/>
  <c r="I384" i="6"/>
  <c r="N383" i="6"/>
  <c r="M383" i="6"/>
  <c r="L383" i="6"/>
  <c r="K383" i="6"/>
  <c r="I383" i="6" s="1"/>
  <c r="J383" i="6"/>
  <c r="N382" i="6"/>
  <c r="M382" i="6"/>
  <c r="L382" i="6"/>
  <c r="K382" i="6"/>
  <c r="J382" i="6"/>
  <c r="I382" i="6"/>
  <c r="N381" i="6"/>
  <c r="M381" i="6"/>
  <c r="L381" i="6"/>
  <c r="K381" i="6"/>
  <c r="I381" i="6" s="1"/>
  <c r="J381" i="6"/>
  <c r="N380" i="6"/>
  <c r="M380" i="6"/>
  <c r="L380" i="6"/>
  <c r="K380" i="6"/>
  <c r="J380" i="6"/>
  <c r="I380" i="6"/>
  <c r="N379" i="6"/>
  <c r="M379" i="6"/>
  <c r="L379" i="6"/>
  <c r="K379" i="6"/>
  <c r="I379" i="6" s="1"/>
  <c r="J379" i="6"/>
  <c r="N378" i="6"/>
  <c r="M378" i="6"/>
  <c r="L378" i="6"/>
  <c r="K378" i="6"/>
  <c r="J378" i="6"/>
  <c r="I378" i="6"/>
  <c r="N377" i="6"/>
  <c r="M377" i="6"/>
  <c r="L377" i="6"/>
  <c r="K377" i="6"/>
  <c r="I377" i="6" s="1"/>
  <c r="J377" i="6"/>
  <c r="N376" i="6"/>
  <c r="M376" i="6"/>
  <c r="L376" i="6"/>
  <c r="K376" i="6"/>
  <c r="J376" i="6"/>
  <c r="I376" i="6"/>
  <c r="N375" i="6"/>
  <c r="M375" i="6"/>
  <c r="L375" i="6"/>
  <c r="K375" i="6"/>
  <c r="I375" i="6" s="1"/>
  <c r="J375" i="6"/>
  <c r="N374" i="6"/>
  <c r="M374" i="6"/>
  <c r="L374" i="6"/>
  <c r="K374" i="6"/>
  <c r="J374" i="6"/>
  <c r="I374" i="6"/>
  <c r="N373" i="6"/>
  <c r="M373" i="6"/>
  <c r="L373" i="6"/>
  <c r="K373" i="6"/>
  <c r="I373" i="6" s="1"/>
  <c r="J373" i="6"/>
  <c r="N372" i="6"/>
  <c r="M372" i="6"/>
  <c r="L372" i="6"/>
  <c r="K372" i="6"/>
  <c r="J372" i="6"/>
  <c r="I372" i="6"/>
  <c r="N371" i="6"/>
  <c r="M371" i="6"/>
  <c r="L371" i="6"/>
  <c r="K371" i="6"/>
  <c r="I371" i="6" s="1"/>
  <c r="J371" i="6"/>
  <c r="N370" i="6"/>
  <c r="M370" i="6"/>
  <c r="L370" i="6"/>
  <c r="K370" i="6"/>
  <c r="J370" i="6"/>
  <c r="I370" i="6"/>
  <c r="N369" i="6"/>
  <c r="M369" i="6"/>
  <c r="L369" i="6"/>
  <c r="K369" i="6"/>
  <c r="I369" i="6" s="1"/>
  <c r="J369" i="6"/>
  <c r="N368" i="6"/>
  <c r="M368" i="6"/>
  <c r="L368" i="6"/>
  <c r="K368" i="6"/>
  <c r="J368" i="6"/>
  <c r="I368" i="6"/>
  <c r="N367" i="6"/>
  <c r="M367" i="6"/>
  <c r="L367" i="6"/>
  <c r="K367" i="6"/>
  <c r="I367" i="6" s="1"/>
  <c r="J367" i="6"/>
  <c r="N366" i="6"/>
  <c r="M366" i="6"/>
  <c r="L366" i="6"/>
  <c r="K366" i="6"/>
  <c r="J366" i="6"/>
  <c r="I366" i="6"/>
  <c r="N365" i="6"/>
  <c r="M365" i="6"/>
  <c r="L365" i="6"/>
  <c r="K365" i="6"/>
  <c r="I365" i="6" s="1"/>
  <c r="J365" i="6"/>
  <c r="N364" i="6"/>
  <c r="M364" i="6"/>
  <c r="L364" i="6"/>
  <c r="K364" i="6"/>
  <c r="J364" i="6"/>
  <c r="I364" i="6"/>
  <c r="N363" i="6"/>
  <c r="M363" i="6"/>
  <c r="L363" i="6"/>
  <c r="K363" i="6"/>
  <c r="I363" i="6" s="1"/>
  <c r="J363" i="6"/>
  <c r="N362" i="6"/>
  <c r="M362" i="6"/>
  <c r="L362" i="6"/>
  <c r="K362" i="6"/>
  <c r="J362" i="6"/>
  <c r="I362" i="6"/>
  <c r="N361" i="6"/>
  <c r="M361" i="6"/>
  <c r="L361" i="6"/>
  <c r="K361" i="6"/>
  <c r="I361" i="6" s="1"/>
  <c r="J361" i="6"/>
  <c r="V360" i="6"/>
  <c r="N360" i="6"/>
  <c r="M360" i="6"/>
  <c r="L360" i="6"/>
  <c r="K360" i="6"/>
  <c r="I360" i="6" s="1"/>
  <c r="J360" i="6"/>
  <c r="N359" i="6"/>
  <c r="M359" i="6"/>
  <c r="L359" i="6"/>
  <c r="K359" i="6"/>
  <c r="J359" i="6"/>
  <c r="I359" i="6"/>
  <c r="N358" i="6"/>
  <c r="M358" i="6"/>
  <c r="L358" i="6"/>
  <c r="I358" i="6" s="1"/>
  <c r="K358" i="6"/>
  <c r="J358" i="6"/>
  <c r="N357" i="6"/>
  <c r="M357" i="6"/>
  <c r="L357" i="6"/>
  <c r="K357" i="6"/>
  <c r="I357" i="6" s="1"/>
  <c r="J357" i="6"/>
  <c r="N356" i="6"/>
  <c r="M356" i="6"/>
  <c r="L356" i="6"/>
  <c r="K356" i="6"/>
  <c r="I356" i="6" s="1"/>
  <c r="J356" i="6"/>
  <c r="N355" i="6"/>
  <c r="M355" i="6"/>
  <c r="L355" i="6"/>
  <c r="K355" i="6"/>
  <c r="J355" i="6"/>
  <c r="I355" i="6"/>
  <c r="N354" i="6"/>
  <c r="M354" i="6"/>
  <c r="L354" i="6"/>
  <c r="I354" i="6" s="1"/>
  <c r="K354" i="6"/>
  <c r="J354" i="6"/>
  <c r="Y353" i="6"/>
  <c r="X353" i="6"/>
  <c r="W353" i="6"/>
  <c r="V353" i="6"/>
  <c r="N353" i="6"/>
  <c r="M353" i="6"/>
  <c r="L353" i="6"/>
  <c r="K353" i="6"/>
  <c r="I353" i="6" s="1"/>
  <c r="J353" i="6"/>
  <c r="T353" i="6" s="1"/>
  <c r="V352" i="6"/>
  <c r="N352" i="6"/>
  <c r="M352" i="6"/>
  <c r="L352" i="6"/>
  <c r="K352" i="6"/>
  <c r="I352" i="6" s="1"/>
  <c r="J352" i="6"/>
  <c r="AE352" i="6" s="1"/>
  <c r="BE352" i="6" s="1"/>
  <c r="N351" i="6"/>
  <c r="M351" i="6"/>
  <c r="L351" i="6"/>
  <c r="K351" i="6"/>
  <c r="J351" i="6"/>
  <c r="U351" i="6" s="1"/>
  <c r="I351" i="6"/>
  <c r="BG351" i="6" s="1"/>
  <c r="N350" i="6"/>
  <c r="M350" i="6"/>
  <c r="L350" i="6"/>
  <c r="K350" i="6"/>
  <c r="J350" i="6"/>
  <c r="T350" i="6" s="1"/>
  <c r="N349" i="6"/>
  <c r="M349" i="6"/>
  <c r="L349" i="6"/>
  <c r="K349" i="6"/>
  <c r="J349" i="6"/>
  <c r="N348" i="6"/>
  <c r="M348" i="6"/>
  <c r="L348" i="6"/>
  <c r="K348" i="6"/>
  <c r="I348" i="6" s="1"/>
  <c r="BG348" i="6" s="1"/>
  <c r="J348" i="6"/>
  <c r="N347" i="6"/>
  <c r="M347" i="6"/>
  <c r="L347" i="6"/>
  <c r="K347" i="6"/>
  <c r="J347" i="6"/>
  <c r="U347" i="6" s="1"/>
  <c r="I347" i="6"/>
  <c r="BG347" i="6" s="1"/>
  <c r="BE346" i="6"/>
  <c r="AE346" i="6"/>
  <c r="V346" i="6"/>
  <c r="N346" i="6"/>
  <c r="M346" i="6"/>
  <c r="L346" i="6"/>
  <c r="K346" i="6"/>
  <c r="J346" i="6"/>
  <c r="T346" i="6" s="1"/>
  <c r="N345" i="6"/>
  <c r="M345" i="6"/>
  <c r="L345" i="6"/>
  <c r="K345" i="6"/>
  <c r="J345" i="6"/>
  <c r="Z344" i="6"/>
  <c r="V344" i="6"/>
  <c r="N344" i="6"/>
  <c r="M344" i="6"/>
  <c r="L344" i="6"/>
  <c r="K344" i="6"/>
  <c r="I344" i="6" s="1"/>
  <c r="BG344" i="6" s="1"/>
  <c r="J344" i="6"/>
  <c r="AE344" i="6" s="1"/>
  <c r="BE344" i="6" s="1"/>
  <c r="AE343" i="6"/>
  <c r="BE343" i="6" s="1"/>
  <c r="Y343" i="6"/>
  <c r="X343" i="6"/>
  <c r="W343" i="6"/>
  <c r="N343" i="6"/>
  <c r="M343" i="6"/>
  <c r="L343" i="6"/>
  <c r="K343" i="6"/>
  <c r="J343" i="6"/>
  <c r="U343" i="6" s="1"/>
  <c r="I343" i="6"/>
  <c r="BG343" i="6" s="1"/>
  <c r="N342" i="6"/>
  <c r="M342" i="6"/>
  <c r="L342" i="6"/>
  <c r="K342" i="6"/>
  <c r="J342" i="6"/>
  <c r="T342" i="6" s="1"/>
  <c r="N341" i="6"/>
  <c r="M341" i="6"/>
  <c r="L341" i="6"/>
  <c r="K341" i="6"/>
  <c r="J341" i="6"/>
  <c r="N340" i="6"/>
  <c r="M340" i="6"/>
  <c r="L340" i="6"/>
  <c r="K340" i="6"/>
  <c r="I340" i="6" s="1"/>
  <c r="BG340" i="6" s="1"/>
  <c r="J340" i="6"/>
  <c r="N339" i="6"/>
  <c r="M339" i="6"/>
  <c r="L339" i="6"/>
  <c r="K339" i="6"/>
  <c r="J339" i="6"/>
  <c r="U339" i="6" s="1"/>
  <c r="I339" i="6"/>
  <c r="BG339" i="6" s="1"/>
  <c r="BE338" i="6"/>
  <c r="AE338" i="6"/>
  <c r="Z338" i="6"/>
  <c r="Y338" i="6"/>
  <c r="X338" i="6"/>
  <c r="W338" i="6"/>
  <c r="V338" i="6"/>
  <c r="AA338" i="6" s="1"/>
  <c r="N338" i="6"/>
  <c r="M338" i="6"/>
  <c r="L338" i="6"/>
  <c r="I338" i="6" s="1"/>
  <c r="BG338" i="6" s="1"/>
  <c r="K338" i="6"/>
  <c r="J338" i="6"/>
  <c r="T338" i="6" s="1"/>
  <c r="N337" i="6"/>
  <c r="M337" i="6"/>
  <c r="L337" i="6"/>
  <c r="K337" i="6"/>
  <c r="J337" i="6"/>
  <c r="N336" i="6"/>
  <c r="M336" i="6"/>
  <c r="L336" i="6"/>
  <c r="K336" i="6"/>
  <c r="I336" i="6" s="1"/>
  <c r="J336" i="6"/>
  <c r="AE335" i="6"/>
  <c r="BE335" i="6" s="1"/>
  <c r="Y335" i="6"/>
  <c r="X335" i="6"/>
  <c r="W335" i="6"/>
  <c r="V335" i="6"/>
  <c r="N335" i="6"/>
  <c r="M335" i="6"/>
  <c r="L335" i="6"/>
  <c r="K335" i="6"/>
  <c r="J335" i="6"/>
  <c r="U335" i="6" s="1"/>
  <c r="I335" i="6"/>
  <c r="BG335" i="6" s="1"/>
  <c r="N334" i="6"/>
  <c r="M334" i="6"/>
  <c r="L334" i="6"/>
  <c r="K334" i="6"/>
  <c r="J334" i="6"/>
  <c r="T334" i="6" s="1"/>
  <c r="BE333" i="6"/>
  <c r="AE333" i="6"/>
  <c r="Z333" i="6"/>
  <c r="X333" i="6"/>
  <c r="W333" i="6"/>
  <c r="V333" i="6"/>
  <c r="N333" i="6"/>
  <c r="M333" i="6"/>
  <c r="L333" i="6"/>
  <c r="K333" i="6"/>
  <c r="I333" i="6" s="1"/>
  <c r="BG333" i="6" s="1"/>
  <c r="J333" i="6"/>
  <c r="N332" i="6"/>
  <c r="M332" i="6"/>
  <c r="L332" i="6"/>
  <c r="K332" i="6"/>
  <c r="I332" i="6" s="1"/>
  <c r="BG332" i="6" s="1"/>
  <c r="J332" i="6"/>
  <c r="AE331" i="6"/>
  <c r="BE331" i="6" s="1"/>
  <c r="Z331" i="6"/>
  <c r="Y331" i="6"/>
  <c r="X331" i="6"/>
  <c r="W331" i="6"/>
  <c r="V331" i="6"/>
  <c r="AA331" i="6" s="1"/>
  <c r="N331" i="6"/>
  <c r="M331" i="6"/>
  <c r="L331" i="6"/>
  <c r="K331" i="6"/>
  <c r="J331" i="6"/>
  <c r="U331" i="6" s="1"/>
  <c r="I331" i="6"/>
  <c r="BG331" i="6" s="1"/>
  <c r="N330" i="6"/>
  <c r="M330" i="6"/>
  <c r="L330" i="6"/>
  <c r="K330" i="6"/>
  <c r="J330" i="6"/>
  <c r="T330" i="6" s="1"/>
  <c r="N329" i="6"/>
  <c r="M329" i="6"/>
  <c r="L329" i="6"/>
  <c r="K329" i="6"/>
  <c r="J329" i="6"/>
  <c r="BG328" i="6"/>
  <c r="W328" i="6"/>
  <c r="U328" i="6"/>
  <c r="T328" i="6"/>
  <c r="Z328" i="6" s="1"/>
  <c r="P328" i="6"/>
  <c r="BE327" i="6"/>
  <c r="AE327" i="6"/>
  <c r="Z327" i="6"/>
  <c r="Y327" i="6"/>
  <c r="X327" i="6"/>
  <c r="W327" i="6"/>
  <c r="V327" i="6"/>
  <c r="AA327" i="6" s="1"/>
  <c r="N327" i="6"/>
  <c r="M327" i="6"/>
  <c r="L327" i="6"/>
  <c r="K327" i="6"/>
  <c r="I327" i="6" s="1"/>
  <c r="BG327" i="6" s="1"/>
  <c r="J327" i="6"/>
  <c r="N326" i="6"/>
  <c r="M326" i="6"/>
  <c r="L326" i="6"/>
  <c r="K326" i="6"/>
  <c r="I326" i="6" s="1"/>
  <c r="BG326" i="6" s="1"/>
  <c r="J326" i="6"/>
  <c r="AE325" i="6"/>
  <c r="BE325" i="6" s="1"/>
  <c r="V325" i="6"/>
  <c r="N325" i="6"/>
  <c r="M325" i="6"/>
  <c r="L325" i="6"/>
  <c r="K325" i="6"/>
  <c r="J325" i="6"/>
  <c r="U325" i="6" s="1"/>
  <c r="I325" i="6"/>
  <c r="BG325" i="6" s="1"/>
  <c r="N324" i="6"/>
  <c r="M324" i="6"/>
  <c r="L324" i="6"/>
  <c r="K324" i="6"/>
  <c r="J324" i="6"/>
  <c r="T324" i="6" s="1"/>
  <c r="BE323" i="6"/>
  <c r="AE323" i="6"/>
  <c r="Z323" i="6"/>
  <c r="Y323" i="6"/>
  <c r="V323" i="6"/>
  <c r="N323" i="6"/>
  <c r="M323" i="6"/>
  <c r="L323" i="6"/>
  <c r="K323" i="6"/>
  <c r="J323" i="6"/>
  <c r="Z322" i="6"/>
  <c r="Y322" i="6"/>
  <c r="X322" i="6"/>
  <c r="W322" i="6"/>
  <c r="AA322" i="6" s="1"/>
  <c r="V322" i="6"/>
  <c r="N322" i="6"/>
  <c r="M322" i="6"/>
  <c r="L322" i="6"/>
  <c r="K322" i="6"/>
  <c r="I322" i="6" s="1"/>
  <c r="BG322" i="6" s="1"/>
  <c r="J322" i="6"/>
  <c r="AE322" i="6" s="1"/>
  <c r="BE322" i="6" s="1"/>
  <c r="AE321" i="6"/>
  <c r="BE321" i="6" s="1"/>
  <c r="Z321" i="6"/>
  <c r="Y321" i="6"/>
  <c r="X321" i="6"/>
  <c r="W321" i="6"/>
  <c r="V321" i="6"/>
  <c r="AA321" i="6" s="1"/>
  <c r="N321" i="6"/>
  <c r="M321" i="6"/>
  <c r="L321" i="6"/>
  <c r="K321" i="6"/>
  <c r="J321" i="6"/>
  <c r="U321" i="6" s="1"/>
  <c r="I321" i="6"/>
  <c r="BG321" i="6" s="1"/>
  <c r="BE320" i="6"/>
  <c r="AE320" i="6"/>
  <c r="Z320" i="6"/>
  <c r="Y320" i="6"/>
  <c r="X320" i="6"/>
  <c r="W320" i="6"/>
  <c r="V320" i="6"/>
  <c r="AA320" i="6" s="1"/>
  <c r="N320" i="6"/>
  <c r="M320" i="6"/>
  <c r="L320" i="6"/>
  <c r="I320" i="6" s="1"/>
  <c r="BG320" i="6" s="1"/>
  <c r="K320" i="6"/>
  <c r="J320" i="6"/>
  <c r="T320" i="6" s="1"/>
  <c r="BE319" i="6"/>
  <c r="AE319" i="6"/>
  <c r="Z319" i="6"/>
  <c r="Y319" i="6"/>
  <c r="X319" i="6"/>
  <c r="W319" i="6"/>
  <c r="V319" i="6"/>
  <c r="AA319" i="6" s="1"/>
  <c r="N319" i="6"/>
  <c r="M319" i="6"/>
  <c r="L319" i="6"/>
  <c r="K319" i="6"/>
  <c r="I319" i="6" s="1"/>
  <c r="BG319" i="6" s="1"/>
  <c r="J319" i="6"/>
  <c r="N318" i="6"/>
  <c r="M318" i="6"/>
  <c r="L318" i="6"/>
  <c r="K318" i="6"/>
  <c r="I318" i="6" s="1"/>
  <c r="BG318" i="6" s="1"/>
  <c r="J318" i="6"/>
  <c r="AE317" i="6"/>
  <c r="BE317" i="6" s="1"/>
  <c r="X317" i="6"/>
  <c r="W317" i="6"/>
  <c r="V317" i="6"/>
  <c r="N317" i="6"/>
  <c r="M317" i="6"/>
  <c r="L317" i="6"/>
  <c r="K317" i="6"/>
  <c r="J317" i="6"/>
  <c r="U317" i="6" s="1"/>
  <c r="I317" i="6"/>
  <c r="BG317" i="6" s="1"/>
  <c r="N316" i="6"/>
  <c r="M316" i="6"/>
  <c r="L316" i="6"/>
  <c r="K316" i="6"/>
  <c r="J316" i="6"/>
  <c r="T316" i="6" s="1"/>
  <c r="BE315" i="6"/>
  <c r="AE315" i="6"/>
  <c r="V315" i="6"/>
  <c r="N315" i="6"/>
  <c r="M315" i="6"/>
  <c r="L315" i="6"/>
  <c r="K315" i="6"/>
  <c r="J315" i="6"/>
  <c r="Z314" i="6"/>
  <c r="Y314" i="6"/>
  <c r="X314" i="6"/>
  <c r="W314" i="6"/>
  <c r="AA314" i="6" s="1"/>
  <c r="V314" i="6"/>
  <c r="N314" i="6"/>
  <c r="M314" i="6"/>
  <c r="L314" i="6"/>
  <c r="K314" i="6"/>
  <c r="I314" i="6" s="1"/>
  <c r="BG314" i="6" s="1"/>
  <c r="J314" i="6"/>
  <c r="AE314" i="6" s="1"/>
  <c r="BE314" i="6" s="1"/>
  <c r="N313" i="6"/>
  <c r="M313" i="6"/>
  <c r="L313" i="6"/>
  <c r="K313" i="6"/>
  <c r="J313" i="6"/>
  <c r="U313" i="6" s="1"/>
  <c r="I313" i="6"/>
  <c r="BG313" i="6" s="1"/>
  <c r="N312" i="6"/>
  <c r="M312" i="6"/>
  <c r="L312" i="6"/>
  <c r="K312" i="6"/>
  <c r="J312" i="6"/>
  <c r="T312" i="6" s="1"/>
  <c r="BG311" i="6"/>
  <c r="U311" i="6"/>
  <c r="T311" i="6"/>
  <c r="W311" i="6" s="1"/>
  <c r="P311" i="6"/>
  <c r="BE310" i="6"/>
  <c r="AE310" i="6"/>
  <c r="Z310" i="6"/>
  <c r="Y310" i="6"/>
  <c r="X310" i="6"/>
  <c r="W310" i="6"/>
  <c r="V310" i="6"/>
  <c r="AA310" i="6" s="1"/>
  <c r="N310" i="6"/>
  <c r="M310" i="6"/>
  <c r="L310" i="6"/>
  <c r="I310" i="6" s="1"/>
  <c r="BG310" i="6" s="1"/>
  <c r="K310" i="6"/>
  <c r="J310" i="6"/>
  <c r="T310" i="6" s="1"/>
  <c r="N309" i="6"/>
  <c r="M309" i="6"/>
  <c r="L309" i="6"/>
  <c r="K309" i="6"/>
  <c r="J309" i="6"/>
  <c r="V308" i="6"/>
  <c r="N308" i="6"/>
  <c r="M308" i="6"/>
  <c r="L308" i="6"/>
  <c r="K308" i="6"/>
  <c r="I308" i="6" s="1"/>
  <c r="BG308" i="6" s="1"/>
  <c r="J308" i="6"/>
  <c r="AE308" i="6" s="1"/>
  <c r="BE308" i="6" s="1"/>
  <c r="N307" i="6"/>
  <c r="M307" i="6"/>
  <c r="L307" i="6"/>
  <c r="K307" i="6"/>
  <c r="J307" i="6"/>
  <c r="U307" i="6" s="1"/>
  <c r="I307" i="6"/>
  <c r="BG307" i="6" s="1"/>
  <c r="N306" i="6"/>
  <c r="M306" i="6"/>
  <c r="L306" i="6"/>
  <c r="K306" i="6"/>
  <c r="J306" i="6"/>
  <c r="T306" i="6" s="1"/>
  <c r="Z305" i="6"/>
  <c r="Y305" i="6"/>
  <c r="N305" i="6"/>
  <c r="M305" i="6"/>
  <c r="L305" i="6"/>
  <c r="K305" i="6"/>
  <c r="J305" i="6"/>
  <c r="N304" i="6"/>
  <c r="M304" i="6"/>
  <c r="L304" i="6"/>
  <c r="K304" i="6"/>
  <c r="I304" i="6" s="1"/>
  <c r="BG304" i="6" s="1"/>
  <c r="J304" i="6"/>
  <c r="N303" i="6"/>
  <c r="M303" i="6"/>
  <c r="L303" i="6"/>
  <c r="K303" i="6"/>
  <c r="J303" i="6"/>
  <c r="U303" i="6" s="1"/>
  <c r="I303" i="6"/>
  <c r="BG303" i="6" s="1"/>
  <c r="BE302" i="6"/>
  <c r="AE302" i="6"/>
  <c r="Z302" i="6"/>
  <c r="Y302" i="6"/>
  <c r="X302" i="6"/>
  <c r="W302" i="6"/>
  <c r="V302" i="6"/>
  <c r="AA302" i="6" s="1"/>
  <c r="N302" i="6"/>
  <c r="M302" i="6"/>
  <c r="L302" i="6"/>
  <c r="I302" i="6" s="1"/>
  <c r="BG302" i="6" s="1"/>
  <c r="K302" i="6"/>
  <c r="J302" i="6"/>
  <c r="T302" i="6" s="1"/>
  <c r="N301" i="6"/>
  <c r="M301" i="6"/>
  <c r="L301" i="6"/>
  <c r="K301" i="6"/>
  <c r="J301" i="6"/>
  <c r="N300" i="6"/>
  <c r="M300" i="6"/>
  <c r="L300" i="6"/>
  <c r="K300" i="6"/>
  <c r="I300" i="6" s="1"/>
  <c r="BG300" i="6" s="1"/>
  <c r="J300" i="6"/>
  <c r="AE299" i="6"/>
  <c r="BE299" i="6" s="1"/>
  <c r="Z299" i="6"/>
  <c r="Y299" i="6"/>
  <c r="X299" i="6"/>
  <c r="W299" i="6"/>
  <c r="V299" i="6"/>
  <c r="AA299" i="6" s="1"/>
  <c r="N299" i="6"/>
  <c r="M299" i="6"/>
  <c r="L299" i="6"/>
  <c r="K299" i="6"/>
  <c r="J299" i="6"/>
  <c r="U299" i="6" s="1"/>
  <c r="I299" i="6"/>
  <c r="BG299" i="6" s="1"/>
  <c r="N298" i="6"/>
  <c r="M298" i="6"/>
  <c r="L298" i="6"/>
  <c r="K298" i="6"/>
  <c r="J298" i="6"/>
  <c r="T298" i="6" s="1"/>
  <c r="N297" i="6"/>
  <c r="M297" i="6"/>
  <c r="L297" i="6"/>
  <c r="K297" i="6"/>
  <c r="J297" i="6"/>
  <c r="N296" i="6"/>
  <c r="M296" i="6"/>
  <c r="L296" i="6"/>
  <c r="K296" i="6"/>
  <c r="I296" i="6" s="1"/>
  <c r="BG296" i="6" s="1"/>
  <c r="J296" i="6"/>
  <c r="N295" i="6"/>
  <c r="M295" i="6"/>
  <c r="L295" i="6"/>
  <c r="K295" i="6"/>
  <c r="J295" i="6"/>
  <c r="U295" i="6" s="1"/>
  <c r="I295" i="6"/>
  <c r="BG295" i="6" s="1"/>
  <c r="N294" i="6"/>
  <c r="M294" i="6"/>
  <c r="L294" i="6"/>
  <c r="K294" i="6"/>
  <c r="J294" i="6"/>
  <c r="T294" i="6" s="1"/>
  <c r="BE293" i="6"/>
  <c r="AE293" i="6"/>
  <c r="V293" i="6"/>
  <c r="N293" i="6"/>
  <c r="M293" i="6"/>
  <c r="L293" i="6"/>
  <c r="K293" i="6"/>
  <c r="J293" i="6"/>
  <c r="N292" i="6"/>
  <c r="M292" i="6"/>
  <c r="L292" i="6"/>
  <c r="K292" i="6"/>
  <c r="I292" i="6" s="1"/>
  <c r="BG292" i="6" s="1"/>
  <c r="J292" i="6"/>
  <c r="N291" i="6"/>
  <c r="M291" i="6"/>
  <c r="L291" i="6"/>
  <c r="K291" i="6"/>
  <c r="J291" i="6"/>
  <c r="U291" i="6" s="1"/>
  <c r="I291" i="6"/>
  <c r="BG291" i="6" s="1"/>
  <c r="BE290" i="6"/>
  <c r="AE290" i="6"/>
  <c r="Z290" i="6"/>
  <c r="Y290" i="6"/>
  <c r="X290" i="6"/>
  <c r="W290" i="6"/>
  <c r="V290" i="6"/>
  <c r="AA290" i="6" s="1"/>
  <c r="N290" i="6"/>
  <c r="M290" i="6"/>
  <c r="L290" i="6"/>
  <c r="I290" i="6" s="1"/>
  <c r="BG290" i="6" s="1"/>
  <c r="K290" i="6"/>
  <c r="J290" i="6"/>
  <c r="T290" i="6" s="1"/>
  <c r="N289" i="6"/>
  <c r="M289" i="6"/>
  <c r="L289" i="6"/>
  <c r="K289" i="6"/>
  <c r="J289" i="6"/>
  <c r="N288" i="6"/>
  <c r="M288" i="6"/>
  <c r="L288" i="6"/>
  <c r="K288" i="6"/>
  <c r="I288" i="6" s="1"/>
  <c r="BG288" i="6" s="1"/>
  <c r="J288" i="6"/>
  <c r="AE287" i="6"/>
  <c r="BE287" i="6" s="1"/>
  <c r="Z287" i="6"/>
  <c r="Y287" i="6"/>
  <c r="X287" i="6"/>
  <c r="W287" i="6"/>
  <c r="V287" i="6"/>
  <c r="AA287" i="6" s="1"/>
  <c r="N287" i="6"/>
  <c r="M287" i="6"/>
  <c r="L287" i="6"/>
  <c r="K287" i="6"/>
  <c r="J287" i="6"/>
  <c r="U287" i="6" s="1"/>
  <c r="I287" i="6"/>
  <c r="BG287" i="6" s="1"/>
  <c r="N286" i="6"/>
  <c r="M286" i="6"/>
  <c r="L286" i="6"/>
  <c r="K286" i="6"/>
  <c r="J286" i="6"/>
  <c r="T286" i="6" s="1"/>
  <c r="N285" i="6"/>
  <c r="M285" i="6"/>
  <c r="L285" i="6"/>
  <c r="K285" i="6"/>
  <c r="J285" i="6"/>
  <c r="N284" i="6"/>
  <c r="M284" i="6"/>
  <c r="L284" i="6"/>
  <c r="K284" i="6"/>
  <c r="I284" i="6" s="1"/>
  <c r="BG284" i="6" s="1"/>
  <c r="J284" i="6"/>
  <c r="AE283" i="6"/>
  <c r="BE283" i="6" s="1"/>
  <c r="X283" i="6"/>
  <c r="W283" i="6"/>
  <c r="V283" i="6"/>
  <c r="N283" i="6"/>
  <c r="M283" i="6"/>
  <c r="L283" i="6"/>
  <c r="K283" i="6"/>
  <c r="J283" i="6"/>
  <c r="U283" i="6" s="1"/>
  <c r="I283" i="6"/>
  <c r="BG283" i="6" s="1"/>
  <c r="BE282" i="6"/>
  <c r="AE282" i="6"/>
  <c r="Z282" i="6"/>
  <c r="Y282" i="6"/>
  <c r="X282" i="6"/>
  <c r="W282" i="6"/>
  <c r="V282" i="6"/>
  <c r="AA282" i="6" s="1"/>
  <c r="N282" i="6"/>
  <c r="M282" i="6"/>
  <c r="L282" i="6"/>
  <c r="I282" i="6" s="1"/>
  <c r="BG282" i="6" s="1"/>
  <c r="K282" i="6"/>
  <c r="J282" i="6"/>
  <c r="T282" i="6" s="1"/>
  <c r="BE281" i="6"/>
  <c r="AE281" i="6"/>
  <c r="Z281" i="6"/>
  <c r="Y281" i="6"/>
  <c r="X281" i="6"/>
  <c r="W281" i="6"/>
  <c r="V281" i="6"/>
  <c r="AA281" i="6" s="1"/>
  <c r="N281" i="6"/>
  <c r="M281" i="6"/>
  <c r="L281" i="6"/>
  <c r="K281" i="6"/>
  <c r="I281" i="6" s="1"/>
  <c r="BG281" i="6" s="1"/>
  <c r="J281" i="6"/>
  <c r="Z280" i="6"/>
  <c r="Y280" i="6"/>
  <c r="X280" i="6"/>
  <c r="W280" i="6"/>
  <c r="AA280" i="6" s="1"/>
  <c r="V280" i="6"/>
  <c r="N280" i="6"/>
  <c r="M280" i="6"/>
  <c r="L280" i="6"/>
  <c r="K280" i="6"/>
  <c r="I280" i="6" s="1"/>
  <c r="BG280" i="6" s="1"/>
  <c r="J280" i="6"/>
  <c r="AE280" i="6" s="1"/>
  <c r="BE280" i="6" s="1"/>
  <c r="AE279" i="6"/>
  <c r="BE279" i="6" s="1"/>
  <c r="Z279" i="6"/>
  <c r="Y279" i="6"/>
  <c r="X279" i="6"/>
  <c r="W279" i="6"/>
  <c r="V279" i="6"/>
  <c r="AA279" i="6" s="1"/>
  <c r="N279" i="6"/>
  <c r="M279" i="6"/>
  <c r="L279" i="6"/>
  <c r="K279" i="6"/>
  <c r="J279" i="6"/>
  <c r="U279" i="6" s="1"/>
  <c r="I279" i="6"/>
  <c r="U35" i="6" s="1"/>
  <c r="T35" i="6" s="1"/>
  <c r="N278" i="6"/>
  <c r="M278" i="6"/>
  <c r="L278" i="6"/>
  <c r="K278" i="6"/>
  <c r="J278" i="6"/>
  <c r="T278" i="6" s="1"/>
  <c r="N277" i="6"/>
  <c r="M277" i="6"/>
  <c r="L277" i="6"/>
  <c r="K277" i="6"/>
  <c r="J277" i="6"/>
  <c r="N276" i="6"/>
  <c r="M276" i="6"/>
  <c r="L276" i="6"/>
  <c r="K276" i="6"/>
  <c r="I276" i="6" s="1"/>
  <c r="BG276" i="6" s="1"/>
  <c r="J276" i="6"/>
  <c r="AE275" i="6"/>
  <c r="BE275" i="6" s="1"/>
  <c r="Z275" i="6"/>
  <c r="Y275" i="6"/>
  <c r="X275" i="6"/>
  <c r="W275" i="6"/>
  <c r="V275" i="6"/>
  <c r="AA275" i="6" s="1"/>
  <c r="N275" i="6"/>
  <c r="M275" i="6"/>
  <c r="L275" i="6"/>
  <c r="K275" i="6"/>
  <c r="J275" i="6"/>
  <c r="U275" i="6" s="1"/>
  <c r="I275" i="6"/>
  <c r="BG275" i="6" s="1"/>
  <c r="BE274" i="6"/>
  <c r="AE274" i="6"/>
  <c r="Z274" i="6"/>
  <c r="Y274" i="6"/>
  <c r="X274" i="6"/>
  <c r="W274" i="6"/>
  <c r="V274" i="6"/>
  <c r="AA274" i="6" s="1"/>
  <c r="N274" i="6"/>
  <c r="M274" i="6"/>
  <c r="L274" i="6"/>
  <c r="I274" i="6" s="1"/>
  <c r="BG274" i="6" s="1"/>
  <c r="K274" i="6"/>
  <c r="J274" i="6"/>
  <c r="T274" i="6" s="1"/>
  <c r="BE273" i="6"/>
  <c r="AE273" i="6"/>
  <c r="Z273" i="6"/>
  <c r="Y273" i="6"/>
  <c r="X273" i="6"/>
  <c r="W273" i="6"/>
  <c r="V273" i="6"/>
  <c r="AA273" i="6" s="1"/>
  <c r="N273" i="6"/>
  <c r="M273" i="6"/>
  <c r="L273" i="6"/>
  <c r="K273" i="6"/>
  <c r="I273" i="6" s="1"/>
  <c r="BG273" i="6" s="1"/>
  <c r="J273" i="6"/>
  <c r="N272" i="6"/>
  <c r="M272" i="6"/>
  <c r="L272" i="6"/>
  <c r="K272" i="6"/>
  <c r="I272" i="6" s="1"/>
  <c r="BG272" i="6" s="1"/>
  <c r="J272" i="6"/>
  <c r="BG271" i="6"/>
  <c r="Z271" i="6"/>
  <c r="Y271" i="6"/>
  <c r="X271" i="6"/>
  <c r="W271" i="6"/>
  <c r="V271" i="6"/>
  <c r="AA271" i="6" s="1"/>
  <c r="U271" i="6"/>
  <c r="T271" i="6"/>
  <c r="P271" i="6"/>
  <c r="N270" i="6"/>
  <c r="M270" i="6"/>
  <c r="L270" i="6"/>
  <c r="K270" i="6"/>
  <c r="I270" i="6" s="1"/>
  <c r="BG270" i="6" s="1"/>
  <c r="J270" i="6"/>
  <c r="AE269" i="6"/>
  <c r="BE269" i="6" s="1"/>
  <c r="Z269" i="6"/>
  <c r="Y269" i="6"/>
  <c r="X269" i="6"/>
  <c r="W269" i="6"/>
  <c r="V269" i="6"/>
  <c r="AA269" i="6" s="1"/>
  <c r="N269" i="6"/>
  <c r="M269" i="6"/>
  <c r="L269" i="6"/>
  <c r="K269" i="6"/>
  <c r="J269" i="6"/>
  <c r="U269" i="6" s="1"/>
  <c r="I269" i="6"/>
  <c r="BG269" i="6" s="1"/>
  <c r="N268" i="6"/>
  <c r="M268" i="6"/>
  <c r="L268" i="6"/>
  <c r="K268" i="6"/>
  <c r="J268" i="6"/>
  <c r="T268" i="6" s="1"/>
  <c r="N267" i="6"/>
  <c r="M267" i="6"/>
  <c r="L267" i="6"/>
  <c r="K267" i="6"/>
  <c r="J267" i="6"/>
  <c r="N266" i="6"/>
  <c r="M266" i="6"/>
  <c r="L266" i="6"/>
  <c r="K266" i="6"/>
  <c r="I266" i="6" s="1"/>
  <c r="BG266" i="6" s="1"/>
  <c r="J266" i="6"/>
  <c r="N265" i="6"/>
  <c r="M265" i="6"/>
  <c r="L265" i="6"/>
  <c r="K265" i="6"/>
  <c r="J265" i="6"/>
  <c r="U265" i="6" s="1"/>
  <c r="I265" i="6"/>
  <c r="BG265" i="6" s="1"/>
  <c r="N264" i="6"/>
  <c r="M264" i="6"/>
  <c r="L264" i="6"/>
  <c r="K264" i="6"/>
  <c r="J264" i="6"/>
  <c r="T264" i="6" s="1"/>
  <c r="BE263" i="6"/>
  <c r="AE263" i="6"/>
  <c r="Z263" i="6"/>
  <c r="Y263" i="6"/>
  <c r="X263" i="6"/>
  <c r="W263" i="6"/>
  <c r="V263" i="6"/>
  <c r="AA263" i="6" s="1"/>
  <c r="N263" i="6"/>
  <c r="M263" i="6"/>
  <c r="L263" i="6"/>
  <c r="K263" i="6"/>
  <c r="I263" i="6" s="1"/>
  <c r="BG263" i="6" s="1"/>
  <c r="J263" i="6"/>
  <c r="Z262" i="6"/>
  <c r="Y262" i="6"/>
  <c r="N262" i="6"/>
  <c r="M262" i="6"/>
  <c r="L262" i="6"/>
  <c r="K262" i="6"/>
  <c r="I262" i="6" s="1"/>
  <c r="BG262" i="6" s="1"/>
  <c r="J262" i="6"/>
  <c r="AE262" i="6" s="1"/>
  <c r="BE262" i="6" s="1"/>
  <c r="AE261" i="6"/>
  <c r="BE261" i="6" s="1"/>
  <c r="Z261" i="6"/>
  <c r="Y261" i="6"/>
  <c r="X261" i="6"/>
  <c r="W261" i="6"/>
  <c r="V261" i="6"/>
  <c r="AA261" i="6" s="1"/>
  <c r="N261" i="6"/>
  <c r="M261" i="6"/>
  <c r="L261" i="6"/>
  <c r="K261" i="6"/>
  <c r="J261" i="6"/>
  <c r="U261" i="6" s="1"/>
  <c r="I261" i="6"/>
  <c r="BG261" i="6" s="1"/>
  <c r="N260" i="6"/>
  <c r="M260" i="6"/>
  <c r="L260" i="6"/>
  <c r="K260" i="6"/>
  <c r="J260" i="6"/>
  <c r="T260" i="6" s="1"/>
  <c r="N259" i="6"/>
  <c r="M259" i="6"/>
  <c r="L259" i="6"/>
  <c r="K259" i="6"/>
  <c r="J259" i="6"/>
  <c r="N258" i="6"/>
  <c r="M258" i="6"/>
  <c r="L258" i="6"/>
  <c r="K258" i="6"/>
  <c r="I258" i="6" s="1"/>
  <c r="BG258" i="6" s="1"/>
  <c r="J258" i="6"/>
  <c r="N257" i="6"/>
  <c r="M257" i="6"/>
  <c r="L257" i="6"/>
  <c r="K257" i="6"/>
  <c r="J257" i="6"/>
  <c r="U257" i="6" s="1"/>
  <c r="I257" i="6"/>
  <c r="BG257" i="6" s="1"/>
  <c r="N256" i="6"/>
  <c r="M256" i="6"/>
  <c r="L256" i="6"/>
  <c r="K256" i="6"/>
  <c r="J256" i="6"/>
  <c r="T256" i="6" s="1"/>
  <c r="N255" i="6"/>
  <c r="M255" i="6"/>
  <c r="L255" i="6"/>
  <c r="K255" i="6"/>
  <c r="J255" i="6"/>
  <c r="Z254" i="6"/>
  <c r="Y254" i="6"/>
  <c r="X254" i="6"/>
  <c r="W254" i="6"/>
  <c r="AA254" i="6" s="1"/>
  <c r="V254" i="6"/>
  <c r="N254" i="6"/>
  <c r="M254" i="6"/>
  <c r="L254" i="6"/>
  <c r="K254" i="6"/>
  <c r="I254" i="6" s="1"/>
  <c r="BG254" i="6" s="1"/>
  <c r="J254" i="6"/>
  <c r="AE254" i="6" s="1"/>
  <c r="BE254" i="6" s="1"/>
  <c r="N253" i="6"/>
  <c r="M253" i="6"/>
  <c r="L253" i="6"/>
  <c r="K253" i="6"/>
  <c r="J253" i="6"/>
  <c r="U253" i="6" s="1"/>
  <c r="I253" i="6"/>
  <c r="BG253" i="6" s="1"/>
  <c r="N252" i="6"/>
  <c r="M252" i="6"/>
  <c r="L252" i="6"/>
  <c r="K252" i="6"/>
  <c r="J252" i="6"/>
  <c r="T252" i="6" s="1"/>
  <c r="BE251" i="6"/>
  <c r="AE251" i="6"/>
  <c r="V251" i="6"/>
  <c r="N251" i="6"/>
  <c r="M251" i="6"/>
  <c r="L251" i="6"/>
  <c r="K251" i="6"/>
  <c r="J251" i="6"/>
  <c r="N250" i="6"/>
  <c r="M250" i="6"/>
  <c r="L250" i="6"/>
  <c r="K250" i="6"/>
  <c r="I250" i="6" s="1"/>
  <c r="BG250" i="6" s="1"/>
  <c r="J250" i="6"/>
  <c r="Z249" i="6"/>
  <c r="Y249" i="6"/>
  <c r="N249" i="6"/>
  <c r="M249" i="6"/>
  <c r="AE249" i="6" s="1"/>
  <c r="BE249" i="6" s="1"/>
  <c r="L249" i="6"/>
  <c r="K249" i="6"/>
  <c r="J249" i="6"/>
  <c r="U249" i="6" s="1"/>
  <c r="I249" i="6"/>
  <c r="BG249" i="6" s="1"/>
  <c r="BE248" i="6"/>
  <c r="AE248" i="6"/>
  <c r="Z248" i="6"/>
  <c r="Y248" i="6"/>
  <c r="X248" i="6"/>
  <c r="W248" i="6"/>
  <c r="V248" i="6"/>
  <c r="AA248" i="6" s="1"/>
  <c r="N248" i="6"/>
  <c r="M248" i="6"/>
  <c r="L248" i="6"/>
  <c r="I248" i="6" s="1"/>
  <c r="BG248" i="6" s="1"/>
  <c r="K248" i="6"/>
  <c r="J248" i="6"/>
  <c r="T248" i="6" s="1"/>
  <c r="Z247" i="6"/>
  <c r="Y247" i="6"/>
  <c r="N247" i="6"/>
  <c r="M247" i="6"/>
  <c r="L247" i="6"/>
  <c r="K247" i="6"/>
  <c r="J247" i="6"/>
  <c r="BG246" i="6"/>
  <c r="W246" i="6"/>
  <c r="U246" i="6"/>
  <c r="T246" i="6"/>
  <c r="Z246" i="6" s="1"/>
  <c r="P246" i="6"/>
  <c r="BE245" i="6"/>
  <c r="AE245" i="6"/>
  <c r="Z245" i="6"/>
  <c r="Y245" i="6"/>
  <c r="X245" i="6"/>
  <c r="W245" i="6"/>
  <c r="V245" i="6"/>
  <c r="AA245" i="6" s="1"/>
  <c r="N245" i="6"/>
  <c r="M245" i="6"/>
  <c r="L245" i="6"/>
  <c r="K245" i="6"/>
  <c r="I245" i="6" s="1"/>
  <c r="BG245" i="6" s="1"/>
  <c r="J245" i="6"/>
  <c r="V244" i="6"/>
  <c r="N244" i="6"/>
  <c r="M244" i="6"/>
  <c r="L244" i="6"/>
  <c r="K244" i="6"/>
  <c r="I244" i="6" s="1"/>
  <c r="BG244" i="6" s="1"/>
  <c r="J244" i="6"/>
  <c r="AE244" i="6" s="1"/>
  <c r="BE244" i="6" s="1"/>
  <c r="N243" i="6"/>
  <c r="M243" i="6"/>
  <c r="L243" i="6"/>
  <c r="K243" i="6"/>
  <c r="J243" i="6"/>
  <c r="U243" i="6" s="1"/>
  <c r="I243" i="6"/>
  <c r="BG243" i="6" s="1"/>
  <c r="N242" i="6"/>
  <c r="M242" i="6"/>
  <c r="L242" i="6"/>
  <c r="K242" i="6"/>
  <c r="J242" i="6"/>
  <c r="T242" i="6" s="1"/>
  <c r="N241" i="6"/>
  <c r="M241" i="6"/>
  <c r="L241" i="6"/>
  <c r="K241" i="6"/>
  <c r="J241" i="6"/>
  <c r="N240" i="6"/>
  <c r="M240" i="6"/>
  <c r="L240" i="6"/>
  <c r="K240" i="6"/>
  <c r="I240" i="6" s="1"/>
  <c r="BG240" i="6" s="1"/>
  <c r="J240" i="6"/>
  <c r="N239" i="6"/>
  <c r="M239" i="6"/>
  <c r="L239" i="6"/>
  <c r="K239" i="6"/>
  <c r="J239" i="6"/>
  <c r="U239" i="6" s="1"/>
  <c r="I239" i="6"/>
  <c r="BG239" i="6" s="1"/>
  <c r="N238" i="6"/>
  <c r="M238" i="6"/>
  <c r="L238" i="6"/>
  <c r="K238" i="6"/>
  <c r="J238" i="6"/>
  <c r="T238" i="6" s="1"/>
  <c r="BE237" i="6"/>
  <c r="AE237" i="6"/>
  <c r="Z237" i="6"/>
  <c r="Y237" i="6"/>
  <c r="X237" i="6"/>
  <c r="W237" i="6"/>
  <c r="V237" i="6"/>
  <c r="AA237" i="6" s="1"/>
  <c r="N237" i="6"/>
  <c r="M237" i="6"/>
  <c r="L237" i="6"/>
  <c r="K237" i="6"/>
  <c r="I237" i="6" s="1"/>
  <c r="BG237" i="6" s="1"/>
  <c r="J237" i="6"/>
  <c r="Z236" i="6"/>
  <c r="Y236" i="6"/>
  <c r="X236" i="6"/>
  <c r="W236" i="6"/>
  <c r="AA236" i="6" s="1"/>
  <c r="V236" i="6"/>
  <c r="N236" i="6"/>
  <c r="M236" i="6"/>
  <c r="L236" i="6"/>
  <c r="K236" i="6"/>
  <c r="I236" i="6" s="1"/>
  <c r="J236" i="6"/>
  <c r="AE236" i="6" s="1"/>
  <c r="BE236" i="6" s="1"/>
  <c r="AE235" i="6"/>
  <c r="BE235" i="6" s="1"/>
  <c r="Z235" i="6"/>
  <c r="Y235" i="6"/>
  <c r="X235" i="6"/>
  <c r="W235" i="6"/>
  <c r="V235" i="6"/>
  <c r="AA235" i="6" s="1"/>
  <c r="N235" i="6"/>
  <c r="M235" i="6"/>
  <c r="L235" i="6"/>
  <c r="K235" i="6"/>
  <c r="J235" i="6"/>
  <c r="U235" i="6" s="1"/>
  <c r="I235" i="6"/>
  <c r="U37" i="6" s="1"/>
  <c r="T37" i="6" s="1"/>
  <c r="N234" i="6"/>
  <c r="M234" i="6"/>
  <c r="L234" i="6"/>
  <c r="K234" i="6"/>
  <c r="J234" i="6"/>
  <c r="T234" i="6" s="1"/>
  <c r="N233" i="6"/>
  <c r="M233" i="6"/>
  <c r="L233" i="6"/>
  <c r="K233" i="6"/>
  <c r="J233" i="6"/>
  <c r="N232" i="6"/>
  <c r="M232" i="6"/>
  <c r="L232" i="6"/>
  <c r="K232" i="6"/>
  <c r="I232" i="6" s="1"/>
  <c r="BG232" i="6" s="1"/>
  <c r="J232" i="6"/>
  <c r="N231" i="6"/>
  <c r="M231" i="6"/>
  <c r="L231" i="6"/>
  <c r="K231" i="6"/>
  <c r="J231" i="6"/>
  <c r="U231" i="6" s="1"/>
  <c r="I231" i="6"/>
  <c r="U33" i="6" s="1"/>
  <c r="T33" i="6" s="1"/>
  <c r="N230" i="6"/>
  <c r="M230" i="6"/>
  <c r="L230" i="6"/>
  <c r="K230" i="6"/>
  <c r="J230" i="6"/>
  <c r="T230" i="6" s="1"/>
  <c r="N229" i="6"/>
  <c r="M229" i="6"/>
  <c r="L229" i="6"/>
  <c r="K229" i="6"/>
  <c r="J229" i="6"/>
  <c r="N228" i="6"/>
  <c r="M228" i="6"/>
  <c r="L228" i="6"/>
  <c r="K228" i="6"/>
  <c r="I228" i="6" s="1"/>
  <c r="BG228" i="6" s="1"/>
  <c r="J228" i="6"/>
  <c r="BG227" i="6"/>
  <c r="Z227" i="6"/>
  <c r="W227" i="6"/>
  <c r="V227" i="6"/>
  <c r="U227" i="6"/>
  <c r="T227" i="6"/>
  <c r="Y227" i="6" s="1"/>
  <c r="P227" i="6"/>
  <c r="Z226" i="6"/>
  <c r="Y226" i="6"/>
  <c r="X226" i="6"/>
  <c r="W226" i="6"/>
  <c r="AA226" i="6" s="1"/>
  <c r="V226" i="6"/>
  <c r="N226" i="6"/>
  <c r="M226" i="6"/>
  <c r="L226" i="6"/>
  <c r="K226" i="6"/>
  <c r="I226" i="6" s="1"/>
  <c r="BG226" i="6" s="1"/>
  <c r="J226" i="6"/>
  <c r="AE226" i="6" s="1"/>
  <c r="BE226" i="6" s="1"/>
  <c r="N225" i="6"/>
  <c r="M225" i="6"/>
  <c r="L225" i="6"/>
  <c r="K225" i="6"/>
  <c r="J225" i="6"/>
  <c r="U225" i="6" s="1"/>
  <c r="I225" i="6"/>
  <c r="BG225" i="6" s="1"/>
  <c r="N224" i="6"/>
  <c r="M224" i="6"/>
  <c r="L224" i="6"/>
  <c r="K224" i="6"/>
  <c r="J224" i="6"/>
  <c r="T224" i="6" s="1"/>
  <c r="N223" i="6"/>
  <c r="M223" i="6"/>
  <c r="L223" i="6"/>
  <c r="K223" i="6"/>
  <c r="J223" i="6"/>
  <c r="Z222" i="6"/>
  <c r="Y222" i="6"/>
  <c r="X222" i="6"/>
  <c r="W222" i="6"/>
  <c r="AA222" i="6" s="1"/>
  <c r="V222" i="6"/>
  <c r="N222" i="6"/>
  <c r="M222" i="6"/>
  <c r="L222" i="6"/>
  <c r="K222" i="6"/>
  <c r="I222" i="6" s="1"/>
  <c r="BG222" i="6" s="1"/>
  <c r="J222" i="6"/>
  <c r="AE222" i="6" s="1"/>
  <c r="BE222" i="6" s="1"/>
  <c r="N221" i="6"/>
  <c r="M221" i="6"/>
  <c r="L221" i="6"/>
  <c r="K221" i="6"/>
  <c r="J221" i="6"/>
  <c r="U221" i="6" s="1"/>
  <c r="I221" i="6"/>
  <c r="BG221" i="6" s="1"/>
  <c r="N220" i="6"/>
  <c r="M220" i="6"/>
  <c r="L220" i="6"/>
  <c r="K220" i="6"/>
  <c r="J220" i="6"/>
  <c r="T220" i="6" s="1"/>
  <c r="N219" i="6"/>
  <c r="M219" i="6"/>
  <c r="L219" i="6"/>
  <c r="K219" i="6"/>
  <c r="J219" i="6"/>
  <c r="N218" i="6"/>
  <c r="M218" i="6"/>
  <c r="L218" i="6"/>
  <c r="K218" i="6"/>
  <c r="I218" i="6" s="1"/>
  <c r="BG218" i="6" s="1"/>
  <c r="J218" i="6"/>
  <c r="N217" i="6"/>
  <c r="M217" i="6"/>
  <c r="L217" i="6"/>
  <c r="K217" i="6"/>
  <c r="J217" i="6"/>
  <c r="U217" i="6" s="1"/>
  <c r="I217" i="6"/>
  <c r="BG217" i="6" s="1"/>
  <c r="BE216" i="6"/>
  <c r="AE216" i="6"/>
  <c r="V216" i="6"/>
  <c r="N216" i="6"/>
  <c r="M216" i="6"/>
  <c r="L216" i="6"/>
  <c r="K216" i="6"/>
  <c r="J216" i="6"/>
  <c r="T216" i="6" s="1"/>
  <c r="BE215" i="6"/>
  <c r="AE215" i="6"/>
  <c r="Z215" i="6"/>
  <c r="Y215" i="6"/>
  <c r="X215" i="6"/>
  <c r="W215" i="6"/>
  <c r="V215" i="6"/>
  <c r="AA215" i="6" s="1"/>
  <c r="N215" i="6"/>
  <c r="M215" i="6"/>
  <c r="L215" i="6"/>
  <c r="K215" i="6"/>
  <c r="I215" i="6" s="1"/>
  <c r="BG215" i="6" s="1"/>
  <c r="J215" i="6"/>
  <c r="N214" i="6"/>
  <c r="M214" i="6"/>
  <c r="L214" i="6"/>
  <c r="K214" i="6"/>
  <c r="I214" i="6" s="1"/>
  <c r="BG214" i="6" s="1"/>
  <c r="J214" i="6"/>
  <c r="N213" i="6"/>
  <c r="M213" i="6"/>
  <c r="L213" i="6"/>
  <c r="K213" i="6"/>
  <c r="J213" i="6"/>
  <c r="U213" i="6" s="1"/>
  <c r="I213" i="6"/>
  <c r="BG213" i="6" s="1"/>
  <c r="N212" i="6"/>
  <c r="M212" i="6"/>
  <c r="L212" i="6"/>
  <c r="K212" i="6"/>
  <c r="J212" i="6"/>
  <c r="T212" i="6" s="1"/>
  <c r="N211" i="6"/>
  <c r="M211" i="6"/>
  <c r="L211" i="6"/>
  <c r="K211" i="6"/>
  <c r="J211" i="6"/>
  <c r="N210" i="6"/>
  <c r="M210" i="6"/>
  <c r="L210" i="6"/>
  <c r="K210" i="6"/>
  <c r="J210" i="6"/>
  <c r="AE209" i="6"/>
  <c r="BE209" i="6" s="1"/>
  <c r="V209" i="6"/>
  <c r="N209" i="6"/>
  <c r="M209" i="6"/>
  <c r="L209" i="6"/>
  <c r="K209" i="6"/>
  <c r="J209" i="6"/>
  <c r="I209" i="6"/>
  <c r="Z208" i="6"/>
  <c r="Y208" i="6"/>
  <c r="N208" i="6"/>
  <c r="M208" i="6"/>
  <c r="L208" i="6"/>
  <c r="K208" i="6"/>
  <c r="J208" i="6"/>
  <c r="T208" i="6" s="1"/>
  <c r="T207" i="6"/>
  <c r="N207" i="6"/>
  <c r="M207" i="6"/>
  <c r="L207" i="6"/>
  <c r="K207" i="6"/>
  <c r="J207" i="6"/>
  <c r="N206" i="6"/>
  <c r="M206" i="6"/>
  <c r="L206" i="6"/>
  <c r="K206" i="6"/>
  <c r="J206" i="6"/>
  <c r="BG205" i="6"/>
  <c r="Z205" i="6"/>
  <c r="W205" i="6"/>
  <c r="V205" i="6"/>
  <c r="U205" i="6"/>
  <c r="T205" i="6"/>
  <c r="Y205" i="6" s="1"/>
  <c r="P205" i="6"/>
  <c r="Z204" i="6"/>
  <c r="Y204" i="6"/>
  <c r="X204" i="6"/>
  <c r="W204" i="6"/>
  <c r="AA204" i="6" s="1"/>
  <c r="V204" i="6"/>
  <c r="N204" i="6"/>
  <c r="M204" i="6"/>
  <c r="L204" i="6"/>
  <c r="K204" i="6"/>
  <c r="I204" i="6" s="1"/>
  <c r="BG204" i="6" s="1"/>
  <c r="J204" i="6"/>
  <c r="AE203" i="6"/>
  <c r="BE203" i="6" s="1"/>
  <c r="Y203" i="6"/>
  <c r="X203" i="6"/>
  <c r="W203" i="6"/>
  <c r="V203" i="6"/>
  <c r="N203" i="6"/>
  <c r="M203" i="6"/>
  <c r="L203" i="6"/>
  <c r="K203" i="6"/>
  <c r="J203" i="6"/>
  <c r="I203" i="6"/>
  <c r="BE202" i="6"/>
  <c r="AE202" i="6"/>
  <c r="V202" i="6"/>
  <c r="N202" i="6"/>
  <c r="M202" i="6"/>
  <c r="L202" i="6"/>
  <c r="K202" i="6"/>
  <c r="J202" i="6"/>
  <c r="T202" i="6" s="1"/>
  <c r="N201" i="6"/>
  <c r="M201" i="6"/>
  <c r="L201" i="6"/>
  <c r="K201" i="6"/>
  <c r="J201" i="6"/>
  <c r="N200" i="6"/>
  <c r="M200" i="6"/>
  <c r="L200" i="6"/>
  <c r="K200" i="6"/>
  <c r="J200" i="6"/>
  <c r="AE199" i="6"/>
  <c r="BE199" i="6" s="1"/>
  <c r="V199" i="6"/>
  <c r="N199" i="6"/>
  <c r="M199" i="6"/>
  <c r="L199" i="6"/>
  <c r="K199" i="6"/>
  <c r="J199" i="6"/>
  <c r="I199" i="6"/>
  <c r="N198" i="6"/>
  <c r="M198" i="6"/>
  <c r="L198" i="6"/>
  <c r="K198" i="6"/>
  <c r="J198" i="6"/>
  <c r="T197" i="6"/>
  <c r="N197" i="6"/>
  <c r="M197" i="6"/>
  <c r="L197" i="6"/>
  <c r="K197" i="6"/>
  <c r="J197" i="6"/>
  <c r="V196" i="6"/>
  <c r="N196" i="6"/>
  <c r="M196" i="6"/>
  <c r="L196" i="6"/>
  <c r="K196" i="6"/>
  <c r="J196" i="6"/>
  <c r="N195" i="6"/>
  <c r="M195" i="6"/>
  <c r="L195" i="6"/>
  <c r="K195" i="6"/>
  <c r="J195" i="6"/>
  <c r="I195" i="6"/>
  <c r="N194" i="6"/>
  <c r="M194" i="6"/>
  <c r="L194" i="6"/>
  <c r="K194" i="6"/>
  <c r="J194" i="6"/>
  <c r="BE193" i="6"/>
  <c r="AE193" i="6"/>
  <c r="Z193" i="6"/>
  <c r="Y193" i="6"/>
  <c r="X193" i="6"/>
  <c r="W193" i="6"/>
  <c r="V193" i="6"/>
  <c r="AA193" i="6" s="1"/>
  <c r="N193" i="6"/>
  <c r="M193" i="6"/>
  <c r="L193" i="6"/>
  <c r="K193" i="6"/>
  <c r="J193" i="6"/>
  <c r="N192" i="6"/>
  <c r="M192" i="6"/>
  <c r="L192" i="6"/>
  <c r="K192" i="6"/>
  <c r="J192" i="6"/>
  <c r="AE191" i="6"/>
  <c r="BE191" i="6" s="1"/>
  <c r="Z191" i="6"/>
  <c r="Y191" i="6"/>
  <c r="X191" i="6"/>
  <c r="W191" i="6"/>
  <c r="V191" i="6"/>
  <c r="AA191" i="6" s="1"/>
  <c r="N191" i="6"/>
  <c r="M191" i="6"/>
  <c r="L191" i="6"/>
  <c r="K191" i="6"/>
  <c r="J191" i="6"/>
  <c r="U191" i="6" s="1"/>
  <c r="I191" i="6"/>
  <c r="BG191" i="6" s="1"/>
  <c r="BE190" i="6"/>
  <c r="AE190" i="6"/>
  <c r="Z190" i="6"/>
  <c r="Y190" i="6"/>
  <c r="X190" i="6"/>
  <c r="W190" i="6"/>
  <c r="V190" i="6"/>
  <c r="N190" i="6"/>
  <c r="M190" i="6"/>
  <c r="L190" i="6"/>
  <c r="I190" i="6" s="1"/>
  <c r="BG190" i="6" s="1"/>
  <c r="K190" i="6"/>
  <c r="J190" i="6"/>
  <c r="BE189" i="6"/>
  <c r="AE189" i="6"/>
  <c r="Z189" i="6"/>
  <c r="Y189" i="6"/>
  <c r="X189" i="6"/>
  <c r="W189" i="6"/>
  <c r="V189" i="6"/>
  <c r="N189" i="6"/>
  <c r="M189" i="6"/>
  <c r="L189" i="6"/>
  <c r="K189" i="6"/>
  <c r="J189" i="6"/>
  <c r="Z188" i="6"/>
  <c r="Y188" i="6"/>
  <c r="X188" i="6"/>
  <c r="W188" i="6"/>
  <c r="AA188" i="6" s="1"/>
  <c r="V188" i="6"/>
  <c r="N188" i="6"/>
  <c r="M188" i="6"/>
  <c r="L188" i="6"/>
  <c r="K188" i="6"/>
  <c r="J188" i="6"/>
  <c r="AE187" i="6"/>
  <c r="BE187" i="6" s="1"/>
  <c r="Y187" i="6"/>
  <c r="X187" i="6"/>
  <c r="W187" i="6"/>
  <c r="V187" i="6"/>
  <c r="N187" i="6"/>
  <c r="M187" i="6"/>
  <c r="L187" i="6"/>
  <c r="K187" i="6"/>
  <c r="J187" i="6"/>
  <c r="U187" i="6" s="1"/>
  <c r="I187" i="6"/>
  <c r="BE186" i="6"/>
  <c r="AE186" i="6"/>
  <c r="V186" i="6"/>
  <c r="N186" i="6"/>
  <c r="M186" i="6"/>
  <c r="L186" i="6"/>
  <c r="K186" i="6"/>
  <c r="J186" i="6"/>
  <c r="T186" i="6" s="1"/>
  <c r="T185" i="6"/>
  <c r="N185" i="6"/>
  <c r="M185" i="6"/>
  <c r="L185" i="6"/>
  <c r="K185" i="6"/>
  <c r="J185" i="6"/>
  <c r="BG184" i="6"/>
  <c r="Z184" i="6"/>
  <c r="Y184" i="6"/>
  <c r="X184" i="6"/>
  <c r="W184" i="6"/>
  <c r="AA184" i="6" s="1"/>
  <c r="V184" i="6"/>
  <c r="N184" i="6"/>
  <c r="M184" i="6"/>
  <c r="L184" i="6"/>
  <c r="K184" i="6"/>
  <c r="I184" i="6" s="1"/>
  <c r="J184" i="6"/>
  <c r="N183" i="6"/>
  <c r="M183" i="6"/>
  <c r="L183" i="6"/>
  <c r="K183" i="6"/>
  <c r="J183" i="6"/>
  <c r="U183" i="6" s="1"/>
  <c r="I183" i="6"/>
  <c r="BG183" i="6" s="1"/>
  <c r="BE182" i="6"/>
  <c r="AE182" i="6"/>
  <c r="Z182" i="6"/>
  <c r="Y182" i="6"/>
  <c r="X182" i="6"/>
  <c r="W182" i="6"/>
  <c r="V182" i="6"/>
  <c r="N182" i="6"/>
  <c r="M182" i="6"/>
  <c r="L182" i="6"/>
  <c r="I182" i="6" s="1"/>
  <c r="BG182" i="6" s="1"/>
  <c r="K182" i="6"/>
  <c r="J182" i="6"/>
  <c r="BE181" i="6"/>
  <c r="AE181" i="6"/>
  <c r="Z181" i="6"/>
  <c r="Y181" i="6"/>
  <c r="X181" i="6"/>
  <c r="W181" i="6"/>
  <c r="V181" i="6"/>
  <c r="N181" i="6"/>
  <c r="M181" i="6"/>
  <c r="L181" i="6"/>
  <c r="K181" i="6"/>
  <c r="J181" i="6"/>
  <c r="Z180" i="6"/>
  <c r="Y180" i="6"/>
  <c r="X180" i="6"/>
  <c r="W180" i="6"/>
  <c r="AA180" i="6" s="1"/>
  <c r="V180" i="6"/>
  <c r="N180" i="6"/>
  <c r="M180" i="6"/>
  <c r="L180" i="6"/>
  <c r="K180" i="6"/>
  <c r="J180" i="6"/>
  <c r="Y179" i="6"/>
  <c r="N179" i="6"/>
  <c r="M179" i="6"/>
  <c r="AE179" i="6" s="1"/>
  <c r="BE179" i="6" s="1"/>
  <c r="L179" i="6"/>
  <c r="K179" i="6"/>
  <c r="J179" i="6"/>
  <c r="I179" i="6"/>
  <c r="BG179" i="6" s="1"/>
  <c r="Y178" i="6"/>
  <c r="N178" i="6"/>
  <c r="M178" i="6"/>
  <c r="L178" i="6"/>
  <c r="K178" i="6"/>
  <c r="J178" i="6"/>
  <c r="T178" i="6" s="1"/>
  <c r="Y177" i="6"/>
  <c r="N177" i="6"/>
  <c r="M177" i="6"/>
  <c r="L177" i="6"/>
  <c r="K177" i="6"/>
  <c r="J177" i="6"/>
  <c r="Y176" i="6"/>
  <c r="N176" i="6"/>
  <c r="M176" i="6"/>
  <c r="L176" i="6"/>
  <c r="K176" i="6"/>
  <c r="J176" i="6"/>
  <c r="N175" i="6"/>
  <c r="M175" i="6"/>
  <c r="L175" i="6"/>
  <c r="K175" i="6"/>
  <c r="J175" i="6"/>
  <c r="I175" i="6"/>
  <c r="BG175" i="6" s="1"/>
  <c r="AE174" i="6"/>
  <c r="BE174" i="6" s="1"/>
  <c r="Y174" i="6"/>
  <c r="X174" i="6"/>
  <c r="W174" i="6"/>
  <c r="V174" i="6"/>
  <c r="N174" i="6"/>
  <c r="M174" i="6"/>
  <c r="L174" i="6"/>
  <c r="U174" i="6" s="1"/>
  <c r="K174" i="6"/>
  <c r="J174" i="6"/>
  <c r="BE173" i="6"/>
  <c r="AE173" i="6"/>
  <c r="V173" i="6"/>
  <c r="U173" i="6"/>
  <c r="T173" i="6"/>
  <c r="Z173" i="6" s="1"/>
  <c r="N173" i="6"/>
  <c r="M173" i="6"/>
  <c r="L173" i="6"/>
  <c r="X173" i="6" s="1"/>
  <c r="K173" i="6"/>
  <c r="J173" i="6"/>
  <c r="N172" i="6"/>
  <c r="M172" i="6"/>
  <c r="L172" i="6"/>
  <c r="K172" i="6"/>
  <c r="I172" i="6" s="1"/>
  <c r="J172" i="6"/>
  <c r="T172" i="6" s="1"/>
  <c r="Z171" i="6"/>
  <c r="Y171" i="6"/>
  <c r="X171" i="6"/>
  <c r="W171" i="6"/>
  <c r="AA171" i="6" s="1"/>
  <c r="V171" i="6"/>
  <c r="N171" i="6"/>
  <c r="M171" i="6"/>
  <c r="L171" i="6"/>
  <c r="K171" i="6"/>
  <c r="J171" i="6"/>
  <c r="N170" i="6"/>
  <c r="M170" i="6"/>
  <c r="L170" i="6"/>
  <c r="K170" i="6"/>
  <c r="J170" i="6"/>
  <c r="BE169" i="6"/>
  <c r="AE169" i="6"/>
  <c r="V169" i="6"/>
  <c r="T169" i="6"/>
  <c r="N169" i="6"/>
  <c r="M169" i="6"/>
  <c r="L169" i="6"/>
  <c r="K169" i="6"/>
  <c r="J169" i="6"/>
  <c r="N168" i="6"/>
  <c r="M168" i="6"/>
  <c r="L168" i="6"/>
  <c r="K168" i="6"/>
  <c r="I168" i="6" s="1"/>
  <c r="BG168" i="6" s="1"/>
  <c r="J168" i="6"/>
  <c r="T168" i="6" s="1"/>
  <c r="Z167" i="6"/>
  <c r="Y167" i="6"/>
  <c r="X167" i="6"/>
  <c r="W167" i="6"/>
  <c r="AA167" i="6" s="1"/>
  <c r="V167" i="6"/>
  <c r="N167" i="6"/>
  <c r="M167" i="6"/>
  <c r="L167" i="6"/>
  <c r="K167" i="6"/>
  <c r="J167" i="6"/>
  <c r="Z166" i="6"/>
  <c r="Y166" i="6"/>
  <c r="X166" i="6"/>
  <c r="N166" i="6"/>
  <c r="M166" i="6"/>
  <c r="U166" i="6" s="1"/>
  <c r="L166" i="6"/>
  <c r="AE166" i="6" s="1"/>
  <c r="BE166" i="6" s="1"/>
  <c r="K166" i="6"/>
  <c r="J166" i="6"/>
  <c r="I166" i="6"/>
  <c r="BG166" i="6" s="1"/>
  <c r="N165" i="6"/>
  <c r="M165" i="6"/>
  <c r="L165" i="6"/>
  <c r="K165" i="6"/>
  <c r="U165" i="6" s="1"/>
  <c r="J165" i="6"/>
  <c r="N164" i="6"/>
  <c r="M164" i="6"/>
  <c r="L164" i="6"/>
  <c r="K164" i="6"/>
  <c r="J164" i="6"/>
  <c r="N163" i="6"/>
  <c r="M163" i="6"/>
  <c r="L163" i="6"/>
  <c r="K163" i="6"/>
  <c r="J163" i="6"/>
  <c r="AE163" i="6" s="1"/>
  <c r="BE163" i="6" s="1"/>
  <c r="BE162" i="6"/>
  <c r="AE162" i="6"/>
  <c r="Z162" i="6"/>
  <c r="Y162" i="6"/>
  <c r="X162" i="6"/>
  <c r="W162" i="6"/>
  <c r="V162" i="6"/>
  <c r="AA162" i="6" s="1"/>
  <c r="N162" i="6"/>
  <c r="M162" i="6"/>
  <c r="L162" i="6"/>
  <c r="U162" i="6" s="1"/>
  <c r="K162" i="6"/>
  <c r="J162" i="6"/>
  <c r="T162" i="6" s="1"/>
  <c r="BE161" i="6"/>
  <c r="AE161" i="6"/>
  <c r="V161" i="6"/>
  <c r="N161" i="6"/>
  <c r="M161" i="6"/>
  <c r="L161" i="6"/>
  <c r="K161" i="6"/>
  <c r="U161" i="6" s="1"/>
  <c r="J161" i="6"/>
  <c r="N160" i="6"/>
  <c r="M160" i="6"/>
  <c r="L160" i="6"/>
  <c r="K160" i="6"/>
  <c r="J160" i="6"/>
  <c r="N159" i="6"/>
  <c r="M159" i="6"/>
  <c r="L159" i="6"/>
  <c r="K159" i="6"/>
  <c r="J159" i="6"/>
  <c r="AE159" i="6" s="1"/>
  <c r="BE159" i="6" s="1"/>
  <c r="N158" i="6"/>
  <c r="M158" i="6"/>
  <c r="L158" i="6"/>
  <c r="AE158" i="6" s="1"/>
  <c r="BE158" i="6" s="1"/>
  <c r="K158" i="6"/>
  <c r="J158" i="6"/>
  <c r="I158" i="6"/>
  <c r="BG158" i="6" s="1"/>
  <c r="BG157" i="6"/>
  <c r="U157" i="6"/>
  <c r="T157" i="6"/>
  <c r="P157" i="6"/>
  <c r="BE156" i="6"/>
  <c r="AE156" i="6"/>
  <c r="Z156" i="6"/>
  <c r="Y156" i="6"/>
  <c r="X156" i="6"/>
  <c r="W156" i="6"/>
  <c r="V156" i="6"/>
  <c r="AA156" i="6" s="1"/>
  <c r="N156" i="6"/>
  <c r="M156" i="6"/>
  <c r="L156" i="6"/>
  <c r="U156" i="6" s="1"/>
  <c r="K156" i="6"/>
  <c r="J156" i="6"/>
  <c r="T156" i="6" s="1"/>
  <c r="BE155" i="6"/>
  <c r="AE155" i="6"/>
  <c r="Y155" i="6"/>
  <c r="X155" i="6"/>
  <c r="W155" i="6"/>
  <c r="V155" i="6"/>
  <c r="T155" i="6"/>
  <c r="N155" i="6"/>
  <c r="M155" i="6"/>
  <c r="L155" i="6"/>
  <c r="U155" i="6" s="1"/>
  <c r="K155" i="6"/>
  <c r="J155" i="6"/>
  <c r="V154" i="6"/>
  <c r="N154" i="6"/>
  <c r="M154" i="6"/>
  <c r="L154" i="6"/>
  <c r="K154" i="6"/>
  <c r="I154" i="6" s="1"/>
  <c r="K25" i="6" s="1"/>
  <c r="J25" i="6" s="1"/>
  <c r="J154" i="6"/>
  <c r="T154" i="6" s="1"/>
  <c r="N153" i="6"/>
  <c r="M153" i="6"/>
  <c r="L153" i="6"/>
  <c r="K153" i="6"/>
  <c r="J153" i="6"/>
  <c r="I153" i="6"/>
  <c r="K24" i="6" s="1"/>
  <c r="J24" i="6" s="1"/>
  <c r="AE152" i="6"/>
  <c r="BE152" i="6" s="1"/>
  <c r="V152" i="6"/>
  <c r="N152" i="6"/>
  <c r="M152" i="6"/>
  <c r="L152" i="6"/>
  <c r="K152" i="6"/>
  <c r="J152" i="6"/>
  <c r="T152" i="6" s="1"/>
  <c r="U151" i="6"/>
  <c r="T151" i="6"/>
  <c r="Y151" i="6" s="1"/>
  <c r="N151" i="6"/>
  <c r="M151" i="6"/>
  <c r="L151" i="6"/>
  <c r="K151" i="6"/>
  <c r="J151" i="6"/>
  <c r="N150" i="6"/>
  <c r="M150" i="6"/>
  <c r="L150" i="6"/>
  <c r="K150" i="6"/>
  <c r="I150" i="6" s="1"/>
  <c r="BG150" i="6" s="1"/>
  <c r="J150" i="6"/>
  <c r="T150" i="6" s="1"/>
  <c r="N149" i="6"/>
  <c r="M149" i="6"/>
  <c r="L149" i="6"/>
  <c r="K149" i="6"/>
  <c r="J149" i="6"/>
  <c r="I149" i="6"/>
  <c r="BG149" i="6" s="1"/>
  <c r="AE148" i="6"/>
  <c r="BE148" i="6" s="1"/>
  <c r="N148" i="6"/>
  <c r="M148" i="6"/>
  <c r="L148" i="6"/>
  <c r="K148" i="6"/>
  <c r="J148" i="6"/>
  <c r="T148" i="6" s="1"/>
  <c r="U147" i="6"/>
  <c r="T147" i="6"/>
  <c r="Y147" i="6" s="1"/>
  <c r="N147" i="6"/>
  <c r="M147" i="6"/>
  <c r="L147" i="6"/>
  <c r="K147" i="6"/>
  <c r="J147" i="6"/>
  <c r="V146" i="6"/>
  <c r="T146" i="6"/>
  <c r="N146" i="6"/>
  <c r="M146" i="6"/>
  <c r="L146" i="6"/>
  <c r="K146" i="6"/>
  <c r="J146" i="6"/>
  <c r="N145" i="6"/>
  <c r="M145" i="6"/>
  <c r="L145" i="6"/>
  <c r="K145" i="6"/>
  <c r="J145" i="6"/>
  <c r="BH144" i="6"/>
  <c r="BG144" i="6"/>
  <c r="BF144" i="6"/>
  <c r="BE144" i="6"/>
  <c r="BC144" i="6"/>
  <c r="BA144" i="6"/>
  <c r="AZ144" i="6"/>
  <c r="AF144" i="6"/>
  <c r="AE144" i="6"/>
  <c r="AC144" i="6"/>
  <c r="AB144" i="6"/>
  <c r="AA144" i="6"/>
  <c r="Y144" i="6"/>
  <c r="X144" i="6"/>
  <c r="W144" i="6"/>
  <c r="U144" i="6"/>
  <c r="T144" i="6"/>
  <c r="S144" i="6"/>
  <c r="R144" i="6"/>
  <c r="Q144" i="6"/>
  <c r="P144" i="6"/>
  <c r="N144" i="6"/>
  <c r="Z144" i="6" s="1"/>
  <c r="M144" i="6"/>
  <c r="L144" i="6"/>
  <c r="K144" i="6"/>
  <c r="J144" i="6"/>
  <c r="V143" i="6"/>
  <c r="N143" i="6"/>
  <c r="M143" i="6"/>
  <c r="L143" i="6"/>
  <c r="K143" i="6"/>
  <c r="J143" i="6"/>
  <c r="I143" i="6" s="1"/>
  <c r="N142" i="6"/>
  <c r="M142" i="6"/>
  <c r="L142" i="6"/>
  <c r="K142" i="6"/>
  <c r="J142" i="6"/>
  <c r="N141" i="6"/>
  <c r="M141" i="6"/>
  <c r="L141" i="6"/>
  <c r="K141" i="6"/>
  <c r="J141" i="6"/>
  <c r="I141" i="6" s="1"/>
  <c r="N140" i="6"/>
  <c r="M140" i="6"/>
  <c r="L140" i="6"/>
  <c r="K140" i="6"/>
  <c r="J140" i="6"/>
  <c r="N139" i="6"/>
  <c r="M139" i="6"/>
  <c r="L139" i="6"/>
  <c r="K139" i="6"/>
  <c r="J139" i="6"/>
  <c r="I139" i="6"/>
  <c r="N138" i="6"/>
  <c r="M138" i="6"/>
  <c r="L138" i="6"/>
  <c r="K138" i="6"/>
  <c r="I138" i="6" s="1"/>
  <c r="J138" i="6"/>
  <c r="N137" i="6"/>
  <c r="M137" i="6"/>
  <c r="L137" i="6"/>
  <c r="K137" i="6"/>
  <c r="J137" i="6"/>
  <c r="I137" i="6"/>
  <c r="N136" i="6"/>
  <c r="M136" i="6"/>
  <c r="L136" i="6"/>
  <c r="K136" i="6"/>
  <c r="I136" i="6" s="1"/>
  <c r="J136" i="6"/>
  <c r="N135" i="6"/>
  <c r="M135" i="6"/>
  <c r="L135" i="6"/>
  <c r="K135" i="6"/>
  <c r="J135" i="6"/>
  <c r="I135" i="6" s="1"/>
  <c r="N134" i="6"/>
  <c r="M134" i="6"/>
  <c r="L134" i="6"/>
  <c r="K134" i="6"/>
  <c r="J134" i="6"/>
  <c r="N133" i="6"/>
  <c r="M133" i="6"/>
  <c r="L133" i="6"/>
  <c r="K133" i="6"/>
  <c r="J133" i="6"/>
  <c r="I133" i="6" s="1"/>
  <c r="N132" i="6"/>
  <c r="M132" i="6"/>
  <c r="L132" i="6"/>
  <c r="K132" i="6"/>
  <c r="J132" i="6"/>
  <c r="N131" i="6"/>
  <c r="M131" i="6"/>
  <c r="L131" i="6"/>
  <c r="K131" i="6"/>
  <c r="J131" i="6"/>
  <c r="I131" i="6"/>
  <c r="N130" i="6"/>
  <c r="M130" i="6"/>
  <c r="L130" i="6"/>
  <c r="K130" i="6"/>
  <c r="I130" i="6" s="1"/>
  <c r="J130" i="6"/>
  <c r="N129" i="6"/>
  <c r="M129" i="6"/>
  <c r="L129" i="6"/>
  <c r="K129" i="6"/>
  <c r="J129" i="6"/>
  <c r="I129" i="6"/>
  <c r="N128" i="6"/>
  <c r="M128" i="6"/>
  <c r="L128" i="6"/>
  <c r="K128" i="6"/>
  <c r="I128" i="6" s="1"/>
  <c r="J128" i="6"/>
  <c r="N127" i="6"/>
  <c r="M127" i="6"/>
  <c r="L127" i="6"/>
  <c r="K127" i="6"/>
  <c r="J127" i="6"/>
  <c r="I127" i="6" s="1"/>
  <c r="N126" i="6"/>
  <c r="M126" i="6"/>
  <c r="L126" i="6"/>
  <c r="K126" i="6"/>
  <c r="J126" i="6"/>
  <c r="N125" i="6"/>
  <c r="M125" i="6"/>
  <c r="L125" i="6"/>
  <c r="K125" i="6"/>
  <c r="J125" i="6"/>
  <c r="I125" i="6" s="1"/>
  <c r="N124" i="6"/>
  <c r="M124" i="6"/>
  <c r="L124" i="6"/>
  <c r="K124" i="6"/>
  <c r="J124" i="6"/>
  <c r="N123" i="6"/>
  <c r="M123" i="6"/>
  <c r="L123" i="6"/>
  <c r="K123" i="6"/>
  <c r="J123" i="6"/>
  <c r="I123" i="6"/>
  <c r="N122" i="6"/>
  <c r="M122" i="6"/>
  <c r="L122" i="6"/>
  <c r="K122" i="6"/>
  <c r="I122" i="6" s="1"/>
  <c r="J122" i="6"/>
  <c r="N121" i="6"/>
  <c r="M121" i="6"/>
  <c r="L121" i="6"/>
  <c r="K121" i="6"/>
  <c r="J121" i="6"/>
  <c r="I121" i="6"/>
  <c r="N120" i="6"/>
  <c r="M120" i="6"/>
  <c r="L120" i="6"/>
  <c r="K120" i="6"/>
  <c r="I120" i="6" s="1"/>
  <c r="J120" i="6"/>
  <c r="N119" i="6"/>
  <c r="M119" i="6"/>
  <c r="L119" i="6"/>
  <c r="K119" i="6"/>
  <c r="J119" i="6"/>
  <c r="I119" i="6" s="1"/>
  <c r="N118" i="6"/>
  <c r="M118" i="6"/>
  <c r="L118" i="6"/>
  <c r="K118" i="6"/>
  <c r="J118" i="6"/>
  <c r="N117" i="6"/>
  <c r="M117" i="6"/>
  <c r="L117" i="6"/>
  <c r="K117" i="6"/>
  <c r="J117" i="6"/>
  <c r="I117" i="6" s="1"/>
  <c r="N116" i="6"/>
  <c r="M116" i="6"/>
  <c r="L116" i="6"/>
  <c r="K116" i="6"/>
  <c r="J116" i="6"/>
  <c r="N115" i="6"/>
  <c r="M115" i="6"/>
  <c r="L115" i="6"/>
  <c r="K115" i="6"/>
  <c r="J115" i="6"/>
  <c r="I115" i="6"/>
  <c r="N114" i="6"/>
  <c r="M114" i="6"/>
  <c r="L114" i="6"/>
  <c r="K114" i="6"/>
  <c r="I114" i="6" s="1"/>
  <c r="J114" i="6"/>
  <c r="N113" i="6"/>
  <c r="M113" i="6"/>
  <c r="L113" i="6"/>
  <c r="K113" i="6"/>
  <c r="J113" i="6"/>
  <c r="I113" i="6"/>
  <c r="N112" i="6"/>
  <c r="M112" i="6"/>
  <c r="L112" i="6"/>
  <c r="K112" i="6"/>
  <c r="I112" i="6" s="1"/>
  <c r="J112" i="6"/>
  <c r="N111" i="6"/>
  <c r="M111" i="6"/>
  <c r="L111" i="6"/>
  <c r="K111" i="6"/>
  <c r="J111" i="6"/>
  <c r="I111" i="6" s="1"/>
  <c r="N110" i="6"/>
  <c r="M110" i="6"/>
  <c r="L110" i="6"/>
  <c r="K110" i="6"/>
  <c r="J110" i="6"/>
  <c r="N109" i="6"/>
  <c r="M109" i="6"/>
  <c r="L109" i="6"/>
  <c r="K109" i="6"/>
  <c r="J109" i="6"/>
  <c r="I109" i="6" s="1"/>
  <c r="N108" i="6"/>
  <c r="M108" i="6"/>
  <c r="L108" i="6"/>
  <c r="K108" i="6"/>
  <c r="J108" i="6"/>
  <c r="N107" i="6"/>
  <c r="M107" i="6"/>
  <c r="L107" i="6"/>
  <c r="K107" i="6"/>
  <c r="J107" i="6"/>
  <c r="I107" i="6"/>
  <c r="N106" i="6"/>
  <c r="M106" i="6"/>
  <c r="L106" i="6"/>
  <c r="K106" i="6"/>
  <c r="I106" i="6" s="1"/>
  <c r="J106" i="6"/>
  <c r="N105" i="6"/>
  <c r="M105" i="6"/>
  <c r="L105" i="6"/>
  <c r="K105" i="6"/>
  <c r="J105" i="6"/>
  <c r="I105" i="6"/>
  <c r="N104" i="6"/>
  <c r="M104" i="6"/>
  <c r="L104" i="6"/>
  <c r="K104" i="6"/>
  <c r="I104" i="6" s="1"/>
  <c r="J104" i="6"/>
  <c r="N103" i="6"/>
  <c r="M103" i="6"/>
  <c r="L103" i="6"/>
  <c r="K103" i="6"/>
  <c r="J103" i="6"/>
  <c r="I103" i="6" s="1"/>
  <c r="N102" i="6"/>
  <c r="M102" i="6"/>
  <c r="L102" i="6"/>
  <c r="K102" i="6"/>
  <c r="J102" i="6"/>
  <c r="N101" i="6"/>
  <c r="M101" i="6"/>
  <c r="L101" i="6"/>
  <c r="K101" i="6"/>
  <c r="J101" i="6"/>
  <c r="I101" i="6" s="1"/>
  <c r="N100" i="6"/>
  <c r="M100" i="6"/>
  <c r="L100" i="6"/>
  <c r="K100" i="6"/>
  <c r="J100" i="6"/>
  <c r="N99" i="6"/>
  <c r="M99" i="6"/>
  <c r="L99" i="6"/>
  <c r="K99" i="6"/>
  <c r="J99" i="6"/>
  <c r="I99" i="6"/>
  <c r="N98" i="6"/>
  <c r="M98" i="6"/>
  <c r="L98" i="6"/>
  <c r="K98" i="6"/>
  <c r="I98" i="6" s="1"/>
  <c r="J98" i="6"/>
  <c r="N97" i="6"/>
  <c r="M97" i="6"/>
  <c r="L97" i="6"/>
  <c r="K97" i="6"/>
  <c r="J97" i="6"/>
  <c r="I97" i="6"/>
  <c r="N96" i="6"/>
  <c r="M96" i="6"/>
  <c r="L96" i="6"/>
  <c r="K96" i="6"/>
  <c r="I96" i="6" s="1"/>
  <c r="J96" i="6"/>
  <c r="N95" i="6"/>
  <c r="M95" i="6"/>
  <c r="L95" i="6"/>
  <c r="K95" i="6"/>
  <c r="J95" i="6"/>
  <c r="I95" i="6" s="1"/>
  <c r="N94" i="6"/>
  <c r="M94" i="6"/>
  <c r="L94" i="6"/>
  <c r="K94" i="6"/>
  <c r="J94" i="6"/>
  <c r="N93" i="6"/>
  <c r="M93" i="6"/>
  <c r="L93" i="6"/>
  <c r="K93" i="6"/>
  <c r="J93" i="6"/>
  <c r="I93" i="6" s="1"/>
  <c r="N92" i="6"/>
  <c r="M92" i="6"/>
  <c r="L92" i="6"/>
  <c r="K92" i="6"/>
  <c r="J92" i="6"/>
  <c r="N91" i="6"/>
  <c r="M91" i="6"/>
  <c r="L91" i="6"/>
  <c r="K91" i="6"/>
  <c r="J91" i="6"/>
  <c r="I91" i="6"/>
  <c r="N90" i="6"/>
  <c r="M90" i="6"/>
  <c r="L90" i="6"/>
  <c r="K90" i="6"/>
  <c r="I90" i="6" s="1"/>
  <c r="J90" i="6"/>
  <c r="N89" i="6"/>
  <c r="M89" i="6"/>
  <c r="L89" i="6"/>
  <c r="J89" i="6"/>
  <c r="L88" i="6"/>
  <c r="K88" i="6"/>
  <c r="J88" i="6"/>
  <c r="L87" i="6"/>
  <c r="K87" i="6"/>
  <c r="J87" i="6"/>
  <c r="L86" i="6"/>
  <c r="K86" i="6"/>
  <c r="J86" i="6"/>
  <c r="L85" i="6"/>
  <c r="K85" i="6"/>
  <c r="J85" i="6"/>
  <c r="L84" i="6"/>
  <c r="K84" i="6"/>
  <c r="J84" i="6"/>
  <c r="L83" i="6"/>
  <c r="K83" i="6"/>
  <c r="J83" i="6"/>
  <c r="L82" i="6"/>
  <c r="K82" i="6"/>
  <c r="J82" i="6"/>
  <c r="L81" i="6"/>
  <c r="K81" i="6"/>
  <c r="J81" i="6"/>
  <c r="N80" i="6"/>
  <c r="M80" i="6"/>
  <c r="L80" i="6"/>
  <c r="K80" i="6"/>
  <c r="J80" i="6"/>
  <c r="I80" i="6"/>
  <c r="N79" i="6"/>
  <c r="M79" i="6"/>
  <c r="L79" i="6"/>
  <c r="K79" i="6"/>
  <c r="I79" i="6" s="1"/>
  <c r="J79" i="6"/>
  <c r="N78" i="6"/>
  <c r="M78" i="6"/>
  <c r="L78" i="6"/>
  <c r="J78" i="6"/>
  <c r="L77" i="6"/>
  <c r="K77" i="6"/>
  <c r="J77" i="6"/>
  <c r="J76" i="6"/>
  <c r="J75" i="6"/>
  <c r="J74" i="6"/>
  <c r="J73" i="6"/>
  <c r="J72" i="6"/>
  <c r="J71" i="6"/>
  <c r="J70" i="6"/>
  <c r="N69" i="6"/>
  <c r="M69" i="6"/>
  <c r="J69" i="6"/>
  <c r="N68" i="6"/>
  <c r="M68" i="6"/>
  <c r="J68" i="6"/>
  <c r="N67" i="6"/>
  <c r="M67" i="6"/>
  <c r="K67" i="6"/>
  <c r="J67" i="6"/>
  <c r="E67" i="6"/>
  <c r="L67" i="6" s="1"/>
  <c r="I67" i="6" s="1"/>
  <c r="N66" i="6"/>
  <c r="M66" i="6"/>
  <c r="L66" i="6"/>
  <c r="I66" i="6" s="1"/>
  <c r="K66" i="6"/>
  <c r="J66" i="6"/>
  <c r="N65" i="6"/>
  <c r="M65" i="6"/>
  <c r="L65" i="6"/>
  <c r="K65" i="6"/>
  <c r="J65" i="6"/>
  <c r="N64" i="6"/>
  <c r="M64" i="6"/>
  <c r="L64" i="6"/>
  <c r="K64" i="6"/>
  <c r="J64" i="6"/>
  <c r="I64" i="6"/>
  <c r="N63" i="6"/>
  <c r="M63" i="6"/>
  <c r="L63" i="6"/>
  <c r="K63" i="6"/>
  <c r="I63" i="6" s="1"/>
  <c r="J63" i="6"/>
  <c r="N62" i="6"/>
  <c r="M62" i="6"/>
  <c r="L62" i="6"/>
  <c r="K62" i="6"/>
  <c r="J62" i="6"/>
  <c r="I62" i="6"/>
  <c r="N61" i="6"/>
  <c r="M61" i="6"/>
  <c r="L61" i="6"/>
  <c r="K61" i="6"/>
  <c r="I61" i="6" s="1"/>
  <c r="J61" i="6"/>
  <c r="N60" i="6"/>
  <c r="M60" i="6"/>
  <c r="L60" i="6"/>
  <c r="I60" i="6" s="1"/>
  <c r="K60" i="6"/>
  <c r="J60" i="6"/>
  <c r="L38" i="6"/>
  <c r="K38" i="6"/>
  <c r="J38" i="6"/>
  <c r="V37" i="6"/>
  <c r="V35" i="6"/>
  <c r="V33" i="6"/>
  <c r="L25" i="6"/>
  <c r="L24" i="6"/>
  <c r="E12" i="6"/>
  <c r="D12" i="6"/>
  <c r="K10" i="6"/>
  <c r="K9" i="6"/>
  <c r="K8" i="6"/>
  <c r="K7" i="6"/>
  <c r="K6" i="6"/>
  <c r="L5" i="6"/>
  <c r="J5" i="6"/>
  <c r="L4" i="6"/>
  <c r="K4" i="6"/>
  <c r="J4" i="6"/>
  <c r="P3" i="6"/>
  <c r="O3" i="6"/>
  <c r="N3" i="6"/>
  <c r="M3" i="6"/>
  <c r="L3" i="6"/>
  <c r="K3" i="6"/>
  <c r="J3" i="6"/>
  <c r="K2" i="6"/>
  <c r="D1" i="6"/>
  <c r="K5" i="6" s="1"/>
  <c r="C538" i="5"/>
  <c r="I533" i="5"/>
  <c r="C532" i="5"/>
  <c r="L524" i="5"/>
  <c r="J524" i="5"/>
  <c r="K533" i="5" s="1"/>
  <c r="H524" i="5"/>
  <c r="C523" i="5"/>
  <c r="I522" i="5"/>
  <c r="I521" i="5"/>
  <c r="I520" i="5"/>
  <c r="I519" i="5"/>
  <c r="AZ450" i="5" s="1"/>
  <c r="C515" i="5"/>
  <c r="C513" i="5"/>
  <c r="P507" i="5"/>
  <c r="L507" i="5"/>
  <c r="J507" i="5"/>
  <c r="I507" i="5"/>
  <c r="AK501" i="5"/>
  <c r="AK502" i="5" s="1"/>
  <c r="AK498" i="5"/>
  <c r="AK503" i="5" s="1"/>
  <c r="AK504" i="5" s="1"/>
  <c r="Z498" i="5"/>
  <c r="Y498" i="5"/>
  <c r="X497" i="5"/>
  <c r="C518" i="5" s="1"/>
  <c r="AE496" i="5"/>
  <c r="S496" i="5"/>
  <c r="AK495" i="5"/>
  <c r="AK496" i="5" s="1"/>
  <c r="AE495" i="5"/>
  <c r="S495" i="5"/>
  <c r="AE494" i="5"/>
  <c r="X494" i="5"/>
  <c r="X495" i="5" s="1"/>
  <c r="S494" i="5"/>
  <c r="Q494" i="5"/>
  <c r="AE493" i="5"/>
  <c r="U493" i="5"/>
  <c r="S493" i="5"/>
  <c r="Q493" i="5"/>
  <c r="X492" i="5"/>
  <c r="X493" i="5" s="1"/>
  <c r="U492" i="5"/>
  <c r="S492" i="5"/>
  <c r="U491" i="5"/>
  <c r="S491" i="5"/>
  <c r="AK490" i="5"/>
  <c r="AK493" i="5" s="1"/>
  <c r="AK494" i="5" s="1"/>
  <c r="AE490" i="5"/>
  <c r="X489" i="5"/>
  <c r="C517" i="5" s="1"/>
  <c r="T489" i="5"/>
  <c r="R489" i="5"/>
  <c r="D489" i="5"/>
  <c r="Q488" i="5"/>
  <c r="D488" i="5"/>
  <c r="AK487" i="5"/>
  <c r="AK488" i="5" s="1"/>
  <c r="D487" i="5"/>
  <c r="M486" i="5"/>
  <c r="L486" i="5"/>
  <c r="D486" i="5"/>
  <c r="AK485" i="5"/>
  <c r="AK486" i="5" s="1"/>
  <c r="J485" i="5"/>
  <c r="D485" i="5"/>
  <c r="X484" i="5"/>
  <c r="X485" i="5" s="1"/>
  <c r="D484" i="5"/>
  <c r="D483" i="5"/>
  <c r="AK482" i="5"/>
  <c r="AA482" i="5"/>
  <c r="Z482" i="5"/>
  <c r="D482" i="5"/>
  <c r="X481" i="5"/>
  <c r="F480" i="5"/>
  <c r="Q479" i="5"/>
  <c r="Q484" i="5" s="1"/>
  <c r="Q485" i="5" s="1"/>
  <c r="K478" i="5"/>
  <c r="K479" i="5" s="1"/>
  <c r="F478" i="5"/>
  <c r="D478" i="5"/>
  <c r="D479" i="5" s="1"/>
  <c r="H476" i="5"/>
  <c r="G476" i="5"/>
  <c r="AA462" i="5" s="1"/>
  <c r="F476" i="5"/>
  <c r="Z490" i="5" s="1"/>
  <c r="E476" i="5"/>
  <c r="E507" i="5" s="1"/>
  <c r="D476" i="5"/>
  <c r="Q475" i="5"/>
  <c r="Q476" i="5" s="1"/>
  <c r="K475" i="5"/>
  <c r="K480" i="5" s="1"/>
  <c r="K481" i="5" s="1"/>
  <c r="D475" i="5"/>
  <c r="X474" i="5"/>
  <c r="X475" i="5" s="1"/>
  <c r="AK472" i="5"/>
  <c r="AK475" i="5" s="1"/>
  <c r="AK476" i="5" s="1"/>
  <c r="L471" i="5"/>
  <c r="AA470" i="5"/>
  <c r="Y470" i="5"/>
  <c r="Q470" i="5"/>
  <c r="Q473" i="5" s="1"/>
  <c r="Q474" i="5" s="1"/>
  <c r="L470" i="5"/>
  <c r="X469" i="5"/>
  <c r="X472" i="5" s="1"/>
  <c r="X473" i="5" s="1"/>
  <c r="N469" i="5"/>
  <c r="L469" i="5"/>
  <c r="S468" i="5"/>
  <c r="N468" i="5"/>
  <c r="L468" i="5"/>
  <c r="S467" i="5"/>
  <c r="AK466" i="5"/>
  <c r="AK467" i="5" s="1"/>
  <c r="S466" i="5"/>
  <c r="M466" i="5"/>
  <c r="K466" i="5"/>
  <c r="U465" i="5"/>
  <c r="S465" i="5"/>
  <c r="Q465" i="5"/>
  <c r="Q466" i="5" s="1"/>
  <c r="J465" i="5"/>
  <c r="J468" i="5" s="1"/>
  <c r="J469" i="5" s="1"/>
  <c r="U464" i="5"/>
  <c r="S464" i="5"/>
  <c r="U463" i="5"/>
  <c r="S463" i="5"/>
  <c r="AB462" i="5"/>
  <c r="Z462" i="5"/>
  <c r="Y462" i="5"/>
  <c r="AK461" i="5"/>
  <c r="AK464" i="5" s="1"/>
  <c r="AK465" i="5" s="1"/>
  <c r="AE461" i="5"/>
  <c r="AE466" i="5" s="1"/>
  <c r="AE467" i="5" s="1"/>
  <c r="X461" i="5"/>
  <c r="C514" i="5" s="1"/>
  <c r="S461" i="5"/>
  <c r="R461" i="5"/>
  <c r="Q460" i="5"/>
  <c r="C511" i="5" s="1"/>
  <c r="AK458" i="5"/>
  <c r="BA455" i="5"/>
  <c r="AZ455" i="5"/>
  <c r="Y454" i="5"/>
  <c r="AZ453" i="5"/>
  <c r="X453" i="5"/>
  <c r="AZ452" i="5"/>
  <c r="AK452" i="5"/>
  <c r="AK457" i="5" s="1"/>
  <c r="AZ451" i="5"/>
  <c r="B450" i="5"/>
  <c r="AZ448" i="5"/>
  <c r="N399" i="5"/>
  <c r="M399" i="5"/>
  <c r="L399" i="5"/>
  <c r="K399" i="5"/>
  <c r="J399" i="5"/>
  <c r="N398" i="5"/>
  <c r="M398" i="5"/>
  <c r="L398" i="5"/>
  <c r="K398" i="5"/>
  <c r="J398" i="5"/>
  <c r="I398" i="5" s="1"/>
  <c r="N397" i="5"/>
  <c r="M397" i="5"/>
  <c r="L397" i="5"/>
  <c r="K397" i="5"/>
  <c r="J397" i="5"/>
  <c r="N396" i="5"/>
  <c r="M396" i="5"/>
  <c r="L396" i="5"/>
  <c r="K396" i="5"/>
  <c r="J396" i="5"/>
  <c r="I396" i="5" s="1"/>
  <c r="N395" i="5"/>
  <c r="M395" i="5"/>
  <c r="L395" i="5"/>
  <c r="K395" i="5"/>
  <c r="J395" i="5"/>
  <c r="N394" i="5"/>
  <c r="M394" i="5"/>
  <c r="L394" i="5"/>
  <c r="K394" i="5"/>
  <c r="J394" i="5"/>
  <c r="I394" i="5"/>
  <c r="N393" i="5"/>
  <c r="M393" i="5"/>
  <c r="L393" i="5"/>
  <c r="K393" i="5"/>
  <c r="I393" i="5" s="1"/>
  <c r="J393" i="5"/>
  <c r="N392" i="5"/>
  <c r="M392" i="5"/>
  <c r="L392" i="5"/>
  <c r="K392" i="5"/>
  <c r="J392" i="5"/>
  <c r="I392" i="5" s="1"/>
  <c r="N391" i="5"/>
  <c r="M391" i="5"/>
  <c r="L391" i="5"/>
  <c r="K391" i="5"/>
  <c r="J391" i="5"/>
  <c r="N390" i="5"/>
  <c r="M390" i="5"/>
  <c r="L390" i="5"/>
  <c r="K390" i="5"/>
  <c r="J390" i="5"/>
  <c r="I390" i="5" s="1"/>
  <c r="N389" i="5"/>
  <c r="M389" i="5"/>
  <c r="L389" i="5"/>
  <c r="K389" i="5"/>
  <c r="J389" i="5"/>
  <c r="N388" i="5"/>
  <c r="M388" i="5"/>
  <c r="L388" i="5"/>
  <c r="K388" i="5"/>
  <c r="J388" i="5"/>
  <c r="I388" i="5" s="1"/>
  <c r="N387" i="5"/>
  <c r="M387" i="5"/>
  <c r="L387" i="5"/>
  <c r="K387" i="5"/>
  <c r="J387" i="5"/>
  <c r="N386" i="5"/>
  <c r="M386" i="5"/>
  <c r="L386" i="5"/>
  <c r="K386" i="5"/>
  <c r="J386" i="5"/>
  <c r="I386" i="5"/>
  <c r="N385" i="5"/>
  <c r="M385" i="5"/>
  <c r="L385" i="5"/>
  <c r="K385" i="5"/>
  <c r="I385" i="5" s="1"/>
  <c r="J385" i="5"/>
  <c r="N384" i="5"/>
  <c r="M384" i="5"/>
  <c r="L384" i="5"/>
  <c r="I384" i="5" s="1"/>
  <c r="K384" i="5"/>
  <c r="J384" i="5"/>
  <c r="N383" i="5"/>
  <c r="M383" i="5"/>
  <c r="L383" i="5"/>
  <c r="K383" i="5"/>
  <c r="J383" i="5"/>
  <c r="N382" i="5"/>
  <c r="M382" i="5"/>
  <c r="L382" i="5"/>
  <c r="K382" i="5"/>
  <c r="J382" i="5"/>
  <c r="I382" i="5" s="1"/>
  <c r="N381" i="5"/>
  <c r="M381" i="5"/>
  <c r="L381" i="5"/>
  <c r="K381" i="5"/>
  <c r="J381" i="5"/>
  <c r="N380" i="5"/>
  <c r="M380" i="5"/>
  <c r="L380" i="5"/>
  <c r="K380" i="5"/>
  <c r="J380" i="5"/>
  <c r="I380" i="5" s="1"/>
  <c r="N379" i="5"/>
  <c r="M379" i="5"/>
  <c r="L379" i="5"/>
  <c r="K379" i="5"/>
  <c r="J379" i="5"/>
  <c r="N378" i="5"/>
  <c r="M378" i="5"/>
  <c r="L378" i="5"/>
  <c r="K378" i="5"/>
  <c r="J378" i="5"/>
  <c r="I378" i="5"/>
  <c r="N377" i="5"/>
  <c r="M377" i="5"/>
  <c r="L377" i="5"/>
  <c r="K377" i="5"/>
  <c r="I377" i="5" s="1"/>
  <c r="J377" i="5"/>
  <c r="N376" i="5"/>
  <c r="M376" i="5"/>
  <c r="L376" i="5"/>
  <c r="I376" i="5" s="1"/>
  <c r="K376" i="5"/>
  <c r="J376" i="5"/>
  <c r="N375" i="5"/>
  <c r="M375" i="5"/>
  <c r="L375" i="5"/>
  <c r="K375" i="5"/>
  <c r="J375" i="5"/>
  <c r="N374" i="5"/>
  <c r="M374" i="5"/>
  <c r="L374" i="5"/>
  <c r="K374" i="5"/>
  <c r="J374" i="5"/>
  <c r="I374" i="5" s="1"/>
  <c r="N373" i="5"/>
  <c r="M373" i="5"/>
  <c r="L373" i="5"/>
  <c r="K373" i="5"/>
  <c r="J373" i="5"/>
  <c r="N372" i="5"/>
  <c r="M372" i="5"/>
  <c r="L372" i="5"/>
  <c r="K372" i="5"/>
  <c r="J372" i="5"/>
  <c r="I372" i="5" s="1"/>
  <c r="N371" i="5"/>
  <c r="M371" i="5"/>
  <c r="L371" i="5"/>
  <c r="K371" i="5"/>
  <c r="J371" i="5"/>
  <c r="N370" i="5"/>
  <c r="M370" i="5"/>
  <c r="L370" i="5"/>
  <c r="K370" i="5"/>
  <c r="J370" i="5"/>
  <c r="I370" i="5"/>
  <c r="N369" i="5"/>
  <c r="M369" i="5"/>
  <c r="L369" i="5"/>
  <c r="K369" i="5"/>
  <c r="I369" i="5" s="1"/>
  <c r="J369" i="5"/>
  <c r="N368" i="5"/>
  <c r="M368" i="5"/>
  <c r="L368" i="5"/>
  <c r="I368" i="5" s="1"/>
  <c r="K368" i="5"/>
  <c r="J368" i="5"/>
  <c r="N367" i="5"/>
  <c r="M367" i="5"/>
  <c r="L367" i="5"/>
  <c r="K367" i="5"/>
  <c r="J367" i="5"/>
  <c r="N366" i="5"/>
  <c r="M366" i="5"/>
  <c r="L366" i="5"/>
  <c r="K366" i="5"/>
  <c r="J366" i="5"/>
  <c r="I366" i="5" s="1"/>
  <c r="N365" i="5"/>
  <c r="M365" i="5"/>
  <c r="L365" i="5"/>
  <c r="K365" i="5"/>
  <c r="J365" i="5"/>
  <c r="N364" i="5"/>
  <c r="M364" i="5"/>
  <c r="L364" i="5"/>
  <c r="K364" i="5"/>
  <c r="J364" i="5"/>
  <c r="I364" i="5" s="1"/>
  <c r="N363" i="5"/>
  <c r="M363" i="5"/>
  <c r="L363" i="5"/>
  <c r="K363" i="5"/>
  <c r="J363" i="5"/>
  <c r="N362" i="5"/>
  <c r="M362" i="5"/>
  <c r="L362" i="5"/>
  <c r="K362" i="5"/>
  <c r="J362" i="5"/>
  <c r="I362" i="5"/>
  <c r="N361" i="5"/>
  <c r="M361" i="5"/>
  <c r="L361" i="5"/>
  <c r="K361" i="5"/>
  <c r="I361" i="5" s="1"/>
  <c r="J361" i="5"/>
  <c r="V360" i="5"/>
  <c r="N360" i="5"/>
  <c r="M360" i="5"/>
  <c r="L360" i="5"/>
  <c r="K360" i="5"/>
  <c r="J360" i="5"/>
  <c r="N359" i="5"/>
  <c r="M359" i="5"/>
  <c r="L359" i="5"/>
  <c r="K359" i="5"/>
  <c r="J359" i="5"/>
  <c r="I359" i="5" s="1"/>
  <c r="N358" i="5"/>
  <c r="M358" i="5"/>
  <c r="L358" i="5"/>
  <c r="K358" i="5"/>
  <c r="J358" i="5"/>
  <c r="I358" i="5"/>
  <c r="N357" i="5"/>
  <c r="M357" i="5"/>
  <c r="L357" i="5"/>
  <c r="K357" i="5"/>
  <c r="I357" i="5" s="1"/>
  <c r="J357" i="5"/>
  <c r="N356" i="5"/>
  <c r="M356" i="5"/>
  <c r="L356" i="5"/>
  <c r="K356" i="5"/>
  <c r="I356" i="5" s="1"/>
  <c r="J356" i="5"/>
  <c r="N355" i="5"/>
  <c r="M355" i="5"/>
  <c r="L355" i="5"/>
  <c r="K355" i="5"/>
  <c r="J355" i="5"/>
  <c r="I355" i="5"/>
  <c r="N354" i="5"/>
  <c r="M354" i="5"/>
  <c r="L354" i="5"/>
  <c r="K354" i="5"/>
  <c r="I354" i="5" s="1"/>
  <c r="J354" i="5"/>
  <c r="Z353" i="5"/>
  <c r="Y353" i="5"/>
  <c r="X353" i="5"/>
  <c r="W353" i="5"/>
  <c r="V353" i="5"/>
  <c r="AA353" i="5" s="1"/>
  <c r="N353" i="5"/>
  <c r="M353" i="5"/>
  <c r="L353" i="5"/>
  <c r="K353" i="5"/>
  <c r="J353" i="5"/>
  <c r="U353" i="5" s="1"/>
  <c r="Z352" i="5"/>
  <c r="Y352" i="5"/>
  <c r="X352" i="5"/>
  <c r="W352" i="5"/>
  <c r="AA352" i="5" s="1"/>
  <c r="V352" i="5"/>
  <c r="N352" i="5"/>
  <c r="M352" i="5"/>
  <c r="L352" i="5"/>
  <c r="K352" i="5"/>
  <c r="J352" i="5"/>
  <c r="I352" i="5"/>
  <c r="BG352" i="5" s="1"/>
  <c r="Z351" i="5"/>
  <c r="Y351" i="5"/>
  <c r="X351" i="5"/>
  <c r="W351" i="5"/>
  <c r="V351" i="5"/>
  <c r="AA351" i="5" s="1"/>
  <c r="N351" i="5"/>
  <c r="M351" i="5"/>
  <c r="L351" i="5"/>
  <c r="K351" i="5"/>
  <c r="J351" i="5"/>
  <c r="BE350" i="5"/>
  <c r="AE350" i="5"/>
  <c r="Z350" i="5"/>
  <c r="Y350" i="5"/>
  <c r="X350" i="5"/>
  <c r="W350" i="5"/>
  <c r="V350" i="5"/>
  <c r="AA350" i="5" s="1"/>
  <c r="N350" i="5"/>
  <c r="M350" i="5"/>
  <c r="L350" i="5"/>
  <c r="K350" i="5"/>
  <c r="U350" i="5" s="1"/>
  <c r="J350" i="5"/>
  <c r="Z349" i="5"/>
  <c r="Y349" i="5"/>
  <c r="X349" i="5"/>
  <c r="W349" i="5"/>
  <c r="AA349" i="5" s="1"/>
  <c r="V349" i="5"/>
  <c r="N349" i="5"/>
  <c r="M349" i="5"/>
  <c r="L349" i="5"/>
  <c r="K349" i="5"/>
  <c r="I349" i="5" s="1"/>
  <c r="BG349" i="5" s="1"/>
  <c r="J349" i="5"/>
  <c r="AE349" i="5" s="1"/>
  <c r="BE349" i="5" s="1"/>
  <c r="Z348" i="5"/>
  <c r="Y348" i="5"/>
  <c r="X348" i="5"/>
  <c r="W348" i="5"/>
  <c r="AA348" i="5" s="1"/>
  <c r="V348" i="5"/>
  <c r="N348" i="5"/>
  <c r="M348" i="5"/>
  <c r="L348" i="5"/>
  <c r="K348" i="5"/>
  <c r="P348" i="5" s="1"/>
  <c r="J348" i="5"/>
  <c r="Z347" i="5"/>
  <c r="Y347" i="5"/>
  <c r="X347" i="5"/>
  <c r="W347" i="5"/>
  <c r="AA347" i="5" s="1"/>
  <c r="V347" i="5"/>
  <c r="N347" i="5"/>
  <c r="M347" i="5"/>
  <c r="L347" i="5"/>
  <c r="K347" i="5"/>
  <c r="J347" i="5"/>
  <c r="I347" i="5"/>
  <c r="BG347" i="5" s="1"/>
  <c r="AE346" i="5"/>
  <c r="BE346" i="5" s="1"/>
  <c r="Z346" i="5"/>
  <c r="Y346" i="5"/>
  <c r="X346" i="5"/>
  <c r="W346" i="5"/>
  <c r="V346" i="5"/>
  <c r="N346" i="5"/>
  <c r="M346" i="5"/>
  <c r="L346" i="5"/>
  <c r="K346" i="5"/>
  <c r="T346" i="5" s="1"/>
  <c r="J346" i="5"/>
  <c r="Z345" i="5"/>
  <c r="Y345" i="5"/>
  <c r="X345" i="5"/>
  <c r="W345" i="5"/>
  <c r="AA345" i="5" s="1"/>
  <c r="V345" i="5"/>
  <c r="N345" i="5"/>
  <c r="M345" i="5"/>
  <c r="L345" i="5"/>
  <c r="K345" i="5"/>
  <c r="J345" i="5"/>
  <c r="AE345" i="5" s="1"/>
  <c r="BE345" i="5" s="1"/>
  <c r="Z344" i="5"/>
  <c r="Y344" i="5"/>
  <c r="X344" i="5"/>
  <c r="W344" i="5"/>
  <c r="V344" i="5"/>
  <c r="AA344" i="5" s="1"/>
  <c r="N344" i="5"/>
  <c r="M344" i="5"/>
  <c r="L344" i="5"/>
  <c r="K344" i="5"/>
  <c r="I344" i="5" s="1"/>
  <c r="BG344" i="5" s="1"/>
  <c r="J344" i="5"/>
  <c r="Z343" i="5"/>
  <c r="Y343" i="5"/>
  <c r="X343" i="5"/>
  <c r="W343" i="5"/>
  <c r="AA343" i="5" s="1"/>
  <c r="V343" i="5"/>
  <c r="N343" i="5"/>
  <c r="M343" i="5"/>
  <c r="L343" i="5"/>
  <c r="K343" i="5"/>
  <c r="J343" i="5"/>
  <c r="I343" i="5" s="1"/>
  <c r="BG343" i="5" s="1"/>
  <c r="BE342" i="5"/>
  <c r="AE342" i="5"/>
  <c r="Z342" i="5"/>
  <c r="Y342" i="5"/>
  <c r="X342" i="5"/>
  <c r="W342" i="5"/>
  <c r="V342" i="5"/>
  <c r="T342" i="5"/>
  <c r="N342" i="5"/>
  <c r="M342" i="5"/>
  <c r="L342" i="5"/>
  <c r="K342" i="5"/>
  <c r="U342" i="5" s="1"/>
  <c r="J342" i="5"/>
  <c r="I342" i="5"/>
  <c r="BG342" i="5" s="1"/>
  <c r="BE341" i="5"/>
  <c r="Z341" i="5"/>
  <c r="Y341" i="5"/>
  <c r="X341" i="5"/>
  <c r="W341" i="5"/>
  <c r="AA341" i="5" s="1"/>
  <c r="V341" i="5"/>
  <c r="N341" i="5"/>
  <c r="M341" i="5"/>
  <c r="L341" i="5"/>
  <c r="K341" i="5"/>
  <c r="J341" i="5"/>
  <c r="AE341" i="5" s="1"/>
  <c r="Z340" i="5"/>
  <c r="Y340" i="5"/>
  <c r="X340" i="5"/>
  <c r="W340" i="5"/>
  <c r="V340" i="5"/>
  <c r="AA340" i="5" s="1"/>
  <c r="N340" i="5"/>
  <c r="M340" i="5"/>
  <c r="L340" i="5"/>
  <c r="K340" i="5"/>
  <c r="J340" i="5"/>
  <c r="U340" i="5" s="1"/>
  <c r="Z339" i="5"/>
  <c r="Y339" i="5"/>
  <c r="X339" i="5"/>
  <c r="W339" i="5"/>
  <c r="V339" i="5"/>
  <c r="AA339" i="5" s="1"/>
  <c r="N339" i="5"/>
  <c r="M339" i="5"/>
  <c r="L339" i="5"/>
  <c r="K339" i="5"/>
  <c r="J339" i="5"/>
  <c r="I339" i="5" s="1"/>
  <c r="BG339" i="5" s="1"/>
  <c r="BE338" i="5"/>
  <c r="AE338" i="5"/>
  <c r="Z338" i="5"/>
  <c r="Y338" i="5"/>
  <c r="X338" i="5"/>
  <c r="W338" i="5"/>
  <c r="V338" i="5"/>
  <c r="AA338" i="5" s="1"/>
  <c r="N338" i="5"/>
  <c r="M338" i="5"/>
  <c r="L338" i="5"/>
  <c r="T338" i="5" s="1"/>
  <c r="K338" i="5"/>
  <c r="U338" i="5" s="1"/>
  <c r="J338" i="5"/>
  <c r="I338" i="5"/>
  <c r="BG338" i="5" s="1"/>
  <c r="Z337" i="5"/>
  <c r="Y337" i="5"/>
  <c r="X337" i="5"/>
  <c r="W337" i="5"/>
  <c r="AA337" i="5" s="1"/>
  <c r="V337" i="5"/>
  <c r="N337" i="5"/>
  <c r="M337" i="5"/>
  <c r="L337" i="5"/>
  <c r="K337" i="5"/>
  <c r="J337" i="5"/>
  <c r="AE337" i="5" s="1"/>
  <c r="BE337" i="5" s="1"/>
  <c r="Z336" i="5"/>
  <c r="Y336" i="5"/>
  <c r="X336" i="5"/>
  <c r="W336" i="5"/>
  <c r="AA336" i="5" s="1"/>
  <c r="V336" i="5"/>
  <c r="N336" i="5"/>
  <c r="M336" i="5"/>
  <c r="L336" i="5"/>
  <c r="K336" i="5"/>
  <c r="P336" i="5" s="1"/>
  <c r="J336" i="5"/>
  <c r="I336" i="5"/>
  <c r="BG336" i="5" s="1"/>
  <c r="Z335" i="5"/>
  <c r="Y335" i="5"/>
  <c r="X335" i="5"/>
  <c r="W335" i="5"/>
  <c r="AA335" i="5" s="1"/>
  <c r="V335" i="5"/>
  <c r="N335" i="5"/>
  <c r="M335" i="5"/>
  <c r="L335" i="5"/>
  <c r="K335" i="5"/>
  <c r="J335" i="5"/>
  <c r="BE334" i="5"/>
  <c r="AE334" i="5"/>
  <c r="Z334" i="5"/>
  <c r="Y334" i="5"/>
  <c r="X334" i="5"/>
  <c r="W334" i="5"/>
  <c r="V334" i="5"/>
  <c r="AA334" i="5" s="1"/>
  <c r="N334" i="5"/>
  <c r="M334" i="5"/>
  <c r="L334" i="5"/>
  <c r="K334" i="5"/>
  <c r="U334" i="5" s="1"/>
  <c r="J334" i="5"/>
  <c r="Z333" i="5"/>
  <c r="Y333" i="5"/>
  <c r="X333" i="5"/>
  <c r="W333" i="5"/>
  <c r="AA333" i="5" s="1"/>
  <c r="V333" i="5"/>
  <c r="N333" i="5"/>
  <c r="M333" i="5"/>
  <c r="L333" i="5"/>
  <c r="K333" i="5"/>
  <c r="I333" i="5" s="1"/>
  <c r="BG333" i="5" s="1"/>
  <c r="J333" i="5"/>
  <c r="AE333" i="5" s="1"/>
  <c r="BE333" i="5" s="1"/>
  <c r="Z332" i="5"/>
  <c r="Y332" i="5"/>
  <c r="X332" i="5"/>
  <c r="W332" i="5"/>
  <c r="AA332" i="5" s="1"/>
  <c r="V332" i="5"/>
  <c r="N332" i="5"/>
  <c r="M332" i="5"/>
  <c r="L332" i="5"/>
  <c r="K332" i="5"/>
  <c r="J332" i="5"/>
  <c r="AE332" i="5" s="1"/>
  <c r="BE332" i="5" s="1"/>
  <c r="AE331" i="5"/>
  <c r="BE331" i="5" s="1"/>
  <c r="Z331" i="5"/>
  <c r="Y331" i="5"/>
  <c r="X331" i="5"/>
  <c r="W331" i="5"/>
  <c r="V331" i="5"/>
  <c r="AA331" i="5" s="1"/>
  <c r="N331" i="5"/>
  <c r="M331" i="5"/>
  <c r="L331" i="5"/>
  <c r="U331" i="5" s="1"/>
  <c r="K331" i="5"/>
  <c r="J331" i="5"/>
  <c r="T331" i="5" s="1"/>
  <c r="I331" i="5"/>
  <c r="BG331" i="5" s="1"/>
  <c r="Z330" i="5"/>
  <c r="Y330" i="5"/>
  <c r="X330" i="5"/>
  <c r="W330" i="5"/>
  <c r="V330" i="5"/>
  <c r="AA330" i="5" s="1"/>
  <c r="N330" i="5"/>
  <c r="M330" i="5"/>
  <c r="L330" i="5"/>
  <c r="U330" i="5" s="1"/>
  <c r="K330" i="5"/>
  <c r="T330" i="5" s="1"/>
  <c r="J330" i="5"/>
  <c r="AE330" i="5" s="1"/>
  <c r="BE330" i="5" s="1"/>
  <c r="Z329" i="5"/>
  <c r="Y329" i="5"/>
  <c r="X329" i="5"/>
  <c r="W329" i="5"/>
  <c r="AA329" i="5" s="1"/>
  <c r="V329" i="5"/>
  <c r="N329" i="5"/>
  <c r="M329" i="5"/>
  <c r="L329" i="5"/>
  <c r="K329" i="5"/>
  <c r="I329" i="5" s="1"/>
  <c r="BG329" i="5" s="1"/>
  <c r="J329" i="5"/>
  <c r="AE329" i="5" s="1"/>
  <c r="BE329" i="5" s="1"/>
  <c r="BG328" i="5"/>
  <c r="Z328" i="5"/>
  <c r="Y328" i="5"/>
  <c r="X328" i="5"/>
  <c r="W328" i="5"/>
  <c r="AA328" i="5" s="1"/>
  <c r="V328" i="5"/>
  <c r="U328" i="5"/>
  <c r="T328" i="5"/>
  <c r="P328" i="5"/>
  <c r="Z327" i="5"/>
  <c r="Y327" i="5"/>
  <c r="X327" i="5"/>
  <c r="W327" i="5"/>
  <c r="AA327" i="5" s="1"/>
  <c r="V327" i="5"/>
  <c r="N327" i="5"/>
  <c r="M327" i="5"/>
  <c r="L327" i="5"/>
  <c r="K327" i="5"/>
  <c r="I327" i="5" s="1"/>
  <c r="BG327" i="5" s="1"/>
  <c r="J327" i="5"/>
  <c r="AE327" i="5" s="1"/>
  <c r="BE327" i="5" s="1"/>
  <c r="Z326" i="5"/>
  <c r="Y326" i="5"/>
  <c r="X326" i="5"/>
  <c r="W326" i="5"/>
  <c r="AA326" i="5" s="1"/>
  <c r="V326" i="5"/>
  <c r="N326" i="5"/>
  <c r="M326" i="5"/>
  <c r="L326" i="5"/>
  <c r="K326" i="5"/>
  <c r="J326" i="5"/>
  <c r="AE326" i="5" s="1"/>
  <c r="BE326" i="5" s="1"/>
  <c r="AE325" i="5"/>
  <c r="BE325" i="5" s="1"/>
  <c r="Z325" i="5"/>
  <c r="Y325" i="5"/>
  <c r="X325" i="5"/>
  <c r="W325" i="5"/>
  <c r="V325" i="5"/>
  <c r="AA325" i="5" s="1"/>
  <c r="N325" i="5"/>
  <c r="M325" i="5"/>
  <c r="L325" i="5"/>
  <c r="U325" i="5" s="1"/>
  <c r="K325" i="5"/>
  <c r="J325" i="5"/>
  <c r="T325" i="5" s="1"/>
  <c r="I325" i="5"/>
  <c r="BG325" i="5" s="1"/>
  <c r="Z324" i="5"/>
  <c r="Y324" i="5"/>
  <c r="X324" i="5"/>
  <c r="W324" i="5"/>
  <c r="V324" i="5"/>
  <c r="AA324" i="5" s="1"/>
  <c r="N324" i="5"/>
  <c r="M324" i="5"/>
  <c r="L324" i="5"/>
  <c r="U324" i="5" s="1"/>
  <c r="K324" i="5"/>
  <c r="T324" i="5" s="1"/>
  <c r="J324" i="5"/>
  <c r="AE324" i="5" s="1"/>
  <c r="BE324" i="5" s="1"/>
  <c r="Z323" i="5"/>
  <c r="Y323" i="5"/>
  <c r="X323" i="5"/>
  <c r="W323" i="5"/>
  <c r="AA323" i="5" s="1"/>
  <c r="V323" i="5"/>
  <c r="N323" i="5"/>
  <c r="M323" i="5"/>
  <c r="L323" i="5"/>
  <c r="K323" i="5"/>
  <c r="I323" i="5" s="1"/>
  <c r="BG323" i="5" s="1"/>
  <c r="J323" i="5"/>
  <c r="AE323" i="5" s="1"/>
  <c r="BE323" i="5" s="1"/>
  <c r="Z322" i="5"/>
  <c r="Y322" i="5"/>
  <c r="X322" i="5"/>
  <c r="W322" i="5"/>
  <c r="AA322" i="5" s="1"/>
  <c r="V322" i="5"/>
  <c r="N322" i="5"/>
  <c r="M322" i="5"/>
  <c r="L322" i="5"/>
  <c r="K322" i="5"/>
  <c r="J322" i="5"/>
  <c r="AE322" i="5" s="1"/>
  <c r="BE322" i="5" s="1"/>
  <c r="AE321" i="5"/>
  <c r="BE321" i="5" s="1"/>
  <c r="Z321" i="5"/>
  <c r="Y321" i="5"/>
  <c r="X321" i="5"/>
  <c r="W321" i="5"/>
  <c r="V321" i="5"/>
  <c r="AA321" i="5" s="1"/>
  <c r="N321" i="5"/>
  <c r="M321" i="5"/>
  <c r="L321" i="5"/>
  <c r="U321" i="5" s="1"/>
  <c r="K321" i="5"/>
  <c r="J321" i="5"/>
  <c r="T321" i="5" s="1"/>
  <c r="I321" i="5"/>
  <c r="BG321" i="5" s="1"/>
  <c r="Z320" i="5"/>
  <c r="Y320" i="5"/>
  <c r="X320" i="5"/>
  <c r="W320" i="5"/>
  <c r="V320" i="5"/>
  <c r="AA320" i="5" s="1"/>
  <c r="N320" i="5"/>
  <c r="M320" i="5"/>
  <c r="L320" i="5"/>
  <c r="U320" i="5" s="1"/>
  <c r="K320" i="5"/>
  <c r="T320" i="5" s="1"/>
  <c r="J320" i="5"/>
  <c r="AE320" i="5" s="1"/>
  <c r="BE320" i="5" s="1"/>
  <c r="Z319" i="5"/>
  <c r="Y319" i="5"/>
  <c r="X319" i="5"/>
  <c r="W319" i="5"/>
  <c r="AA319" i="5" s="1"/>
  <c r="V319" i="5"/>
  <c r="N319" i="5"/>
  <c r="M319" i="5"/>
  <c r="L319" i="5"/>
  <c r="K319" i="5"/>
  <c r="I319" i="5" s="1"/>
  <c r="BG319" i="5" s="1"/>
  <c r="J319" i="5"/>
  <c r="AE319" i="5" s="1"/>
  <c r="BE319" i="5" s="1"/>
  <c r="Z318" i="5"/>
  <c r="Y318" i="5"/>
  <c r="X318" i="5"/>
  <c r="W318" i="5"/>
  <c r="AA318" i="5" s="1"/>
  <c r="V318" i="5"/>
  <c r="N318" i="5"/>
  <c r="M318" i="5"/>
  <c r="L318" i="5"/>
  <c r="K318" i="5"/>
  <c r="J318" i="5"/>
  <c r="AE318" i="5" s="1"/>
  <c r="BE318" i="5" s="1"/>
  <c r="AE317" i="5"/>
  <c r="BE317" i="5" s="1"/>
  <c r="Z317" i="5"/>
  <c r="Y317" i="5"/>
  <c r="X317" i="5"/>
  <c r="W317" i="5"/>
  <c r="V317" i="5"/>
  <c r="AA317" i="5" s="1"/>
  <c r="N317" i="5"/>
  <c r="M317" i="5"/>
  <c r="L317" i="5"/>
  <c r="U317" i="5" s="1"/>
  <c r="K317" i="5"/>
  <c r="J317" i="5"/>
  <c r="T317" i="5" s="1"/>
  <c r="I317" i="5"/>
  <c r="BG317" i="5" s="1"/>
  <c r="Z316" i="5"/>
  <c r="Y316" i="5"/>
  <c r="X316" i="5"/>
  <c r="W316" i="5"/>
  <c r="V316" i="5"/>
  <c r="AA316" i="5" s="1"/>
  <c r="N316" i="5"/>
  <c r="M316" i="5"/>
  <c r="L316" i="5"/>
  <c r="U316" i="5" s="1"/>
  <c r="K316" i="5"/>
  <c r="T316" i="5" s="1"/>
  <c r="J316" i="5"/>
  <c r="AE316" i="5" s="1"/>
  <c r="BE316" i="5" s="1"/>
  <c r="Z315" i="5"/>
  <c r="Y315" i="5"/>
  <c r="X315" i="5"/>
  <c r="W315" i="5"/>
  <c r="AA315" i="5" s="1"/>
  <c r="V315" i="5"/>
  <c r="N315" i="5"/>
  <c r="M315" i="5"/>
  <c r="L315" i="5"/>
  <c r="K315" i="5"/>
  <c r="I315" i="5" s="1"/>
  <c r="BG315" i="5" s="1"/>
  <c r="J315" i="5"/>
  <c r="AE315" i="5" s="1"/>
  <c r="BE315" i="5" s="1"/>
  <c r="Z314" i="5"/>
  <c r="Y314" i="5"/>
  <c r="X314" i="5"/>
  <c r="W314" i="5"/>
  <c r="AA314" i="5" s="1"/>
  <c r="V314" i="5"/>
  <c r="N314" i="5"/>
  <c r="M314" i="5"/>
  <c r="L314" i="5"/>
  <c r="K314" i="5"/>
  <c r="J314" i="5"/>
  <c r="AE314" i="5" s="1"/>
  <c r="BE314" i="5" s="1"/>
  <c r="AE313" i="5"/>
  <c r="BE313" i="5" s="1"/>
  <c r="Z313" i="5"/>
  <c r="Y313" i="5"/>
  <c r="X313" i="5"/>
  <c r="W313" i="5"/>
  <c r="V313" i="5"/>
  <c r="AA313" i="5" s="1"/>
  <c r="N313" i="5"/>
  <c r="M313" i="5"/>
  <c r="L313" i="5"/>
  <c r="U313" i="5" s="1"/>
  <c r="K313" i="5"/>
  <c r="J313" i="5"/>
  <c r="T313" i="5" s="1"/>
  <c r="I313" i="5"/>
  <c r="BG313" i="5" s="1"/>
  <c r="Z312" i="5"/>
  <c r="Y312" i="5"/>
  <c r="X312" i="5"/>
  <c r="W312" i="5"/>
  <c r="V312" i="5"/>
  <c r="AA312" i="5" s="1"/>
  <c r="N312" i="5"/>
  <c r="M312" i="5"/>
  <c r="L312" i="5"/>
  <c r="U312" i="5" s="1"/>
  <c r="K312" i="5"/>
  <c r="T312" i="5" s="1"/>
  <c r="J312" i="5"/>
  <c r="AE312" i="5" s="1"/>
  <c r="BE312" i="5" s="1"/>
  <c r="BG311" i="5"/>
  <c r="Z311" i="5"/>
  <c r="Y311" i="5"/>
  <c r="X311" i="5"/>
  <c r="W311" i="5"/>
  <c r="AA311" i="5" s="1"/>
  <c r="V311" i="5"/>
  <c r="U311" i="5"/>
  <c r="T311" i="5"/>
  <c r="P311" i="5"/>
  <c r="Z310" i="5"/>
  <c r="Y310" i="5"/>
  <c r="X310" i="5"/>
  <c r="W310" i="5"/>
  <c r="V310" i="5"/>
  <c r="AA310" i="5" s="1"/>
  <c r="N310" i="5"/>
  <c r="M310" i="5"/>
  <c r="L310" i="5"/>
  <c r="U310" i="5" s="1"/>
  <c r="K310" i="5"/>
  <c r="T310" i="5" s="1"/>
  <c r="J310" i="5"/>
  <c r="AE310" i="5" s="1"/>
  <c r="BE310" i="5" s="1"/>
  <c r="Z309" i="5"/>
  <c r="Y309" i="5"/>
  <c r="X309" i="5"/>
  <c r="W309" i="5"/>
  <c r="AA309" i="5" s="1"/>
  <c r="V309" i="5"/>
  <c r="N309" i="5"/>
  <c r="M309" i="5"/>
  <c r="L309" i="5"/>
  <c r="K309" i="5"/>
  <c r="I309" i="5" s="1"/>
  <c r="BG309" i="5" s="1"/>
  <c r="J309" i="5"/>
  <c r="AE309" i="5" s="1"/>
  <c r="BE309" i="5" s="1"/>
  <c r="Z308" i="5"/>
  <c r="Y308" i="5"/>
  <c r="X308" i="5"/>
  <c r="W308" i="5"/>
  <c r="AA308" i="5" s="1"/>
  <c r="V308" i="5"/>
  <c r="N308" i="5"/>
  <c r="M308" i="5"/>
  <c r="L308" i="5"/>
  <c r="K308" i="5"/>
  <c r="J308" i="5"/>
  <c r="AE308" i="5" s="1"/>
  <c r="BE308" i="5" s="1"/>
  <c r="AE307" i="5"/>
  <c r="BE307" i="5" s="1"/>
  <c r="Z307" i="5"/>
  <c r="Y307" i="5"/>
  <c r="X307" i="5"/>
  <c r="W307" i="5"/>
  <c r="V307" i="5"/>
  <c r="AA307" i="5" s="1"/>
  <c r="N307" i="5"/>
  <c r="M307" i="5"/>
  <c r="L307" i="5"/>
  <c r="U307" i="5" s="1"/>
  <c r="K307" i="5"/>
  <c r="J307" i="5"/>
  <c r="T307" i="5" s="1"/>
  <c r="I307" i="5"/>
  <c r="BG307" i="5" s="1"/>
  <c r="Z306" i="5"/>
  <c r="Y306" i="5"/>
  <c r="X306" i="5"/>
  <c r="W306" i="5"/>
  <c r="V306" i="5"/>
  <c r="AA306" i="5" s="1"/>
  <c r="N306" i="5"/>
  <c r="M306" i="5"/>
  <c r="L306" i="5"/>
  <c r="U306" i="5" s="1"/>
  <c r="K306" i="5"/>
  <c r="T306" i="5" s="1"/>
  <c r="J306" i="5"/>
  <c r="AE306" i="5" s="1"/>
  <c r="BE306" i="5" s="1"/>
  <c r="Z305" i="5"/>
  <c r="Y305" i="5"/>
  <c r="X305" i="5"/>
  <c r="W305" i="5"/>
  <c r="AA305" i="5" s="1"/>
  <c r="V305" i="5"/>
  <c r="N305" i="5"/>
  <c r="M305" i="5"/>
  <c r="L305" i="5"/>
  <c r="K305" i="5"/>
  <c r="I305" i="5" s="1"/>
  <c r="BG305" i="5" s="1"/>
  <c r="J305" i="5"/>
  <c r="AE305" i="5" s="1"/>
  <c r="BE305" i="5" s="1"/>
  <c r="Z304" i="5"/>
  <c r="Y304" i="5"/>
  <c r="X304" i="5"/>
  <c r="W304" i="5"/>
  <c r="AA304" i="5" s="1"/>
  <c r="V304" i="5"/>
  <c r="N304" i="5"/>
  <c r="M304" i="5"/>
  <c r="L304" i="5"/>
  <c r="K304" i="5"/>
  <c r="J304" i="5"/>
  <c r="AE304" i="5" s="1"/>
  <c r="BE304" i="5" s="1"/>
  <c r="AE303" i="5"/>
  <c r="BE303" i="5" s="1"/>
  <c r="Z303" i="5"/>
  <c r="Y303" i="5"/>
  <c r="X303" i="5"/>
  <c r="W303" i="5"/>
  <c r="V303" i="5"/>
  <c r="AA303" i="5" s="1"/>
  <c r="N303" i="5"/>
  <c r="M303" i="5"/>
  <c r="L303" i="5"/>
  <c r="U303" i="5" s="1"/>
  <c r="K303" i="5"/>
  <c r="J303" i="5"/>
  <c r="T303" i="5" s="1"/>
  <c r="I303" i="5"/>
  <c r="BG303" i="5" s="1"/>
  <c r="Z302" i="5"/>
  <c r="Y302" i="5"/>
  <c r="X302" i="5"/>
  <c r="W302" i="5"/>
  <c r="V302" i="5"/>
  <c r="AA302" i="5" s="1"/>
  <c r="N302" i="5"/>
  <c r="M302" i="5"/>
  <c r="L302" i="5"/>
  <c r="U302" i="5" s="1"/>
  <c r="K302" i="5"/>
  <c r="T302" i="5" s="1"/>
  <c r="J302" i="5"/>
  <c r="AE302" i="5" s="1"/>
  <c r="BE302" i="5" s="1"/>
  <c r="Z301" i="5"/>
  <c r="Y301" i="5"/>
  <c r="X301" i="5"/>
  <c r="W301" i="5"/>
  <c r="AA301" i="5" s="1"/>
  <c r="V301" i="5"/>
  <c r="N301" i="5"/>
  <c r="M301" i="5"/>
  <c r="L301" i="5"/>
  <c r="K301" i="5"/>
  <c r="I301" i="5" s="1"/>
  <c r="BG301" i="5" s="1"/>
  <c r="J301" i="5"/>
  <c r="AE301" i="5" s="1"/>
  <c r="BE301" i="5" s="1"/>
  <c r="Z300" i="5"/>
  <c r="Y300" i="5"/>
  <c r="X300" i="5"/>
  <c r="W300" i="5"/>
  <c r="AA300" i="5" s="1"/>
  <c r="V300" i="5"/>
  <c r="N300" i="5"/>
  <c r="M300" i="5"/>
  <c r="L300" i="5"/>
  <c r="K300" i="5"/>
  <c r="J300" i="5"/>
  <c r="AE300" i="5" s="1"/>
  <c r="BE300" i="5" s="1"/>
  <c r="AE299" i="5"/>
  <c r="BE299" i="5" s="1"/>
  <c r="Z299" i="5"/>
  <c r="Y299" i="5"/>
  <c r="X299" i="5"/>
  <c r="W299" i="5"/>
  <c r="V299" i="5"/>
  <c r="AA299" i="5" s="1"/>
  <c r="N299" i="5"/>
  <c r="M299" i="5"/>
  <c r="L299" i="5"/>
  <c r="U299" i="5" s="1"/>
  <c r="K299" i="5"/>
  <c r="J299" i="5"/>
  <c r="T299" i="5" s="1"/>
  <c r="I299" i="5"/>
  <c r="BG299" i="5" s="1"/>
  <c r="Z298" i="5"/>
  <c r="Y298" i="5"/>
  <c r="X298" i="5"/>
  <c r="W298" i="5"/>
  <c r="V298" i="5"/>
  <c r="AA298" i="5" s="1"/>
  <c r="N298" i="5"/>
  <c r="M298" i="5"/>
  <c r="L298" i="5"/>
  <c r="U298" i="5" s="1"/>
  <c r="K298" i="5"/>
  <c r="T298" i="5" s="1"/>
  <c r="J298" i="5"/>
  <c r="AE298" i="5" s="1"/>
  <c r="BE298" i="5" s="1"/>
  <c r="Z297" i="5"/>
  <c r="Y297" i="5"/>
  <c r="X297" i="5"/>
  <c r="W297" i="5"/>
  <c r="AA297" i="5" s="1"/>
  <c r="V297" i="5"/>
  <c r="N297" i="5"/>
  <c r="M297" i="5"/>
  <c r="L297" i="5"/>
  <c r="K297" i="5"/>
  <c r="I297" i="5" s="1"/>
  <c r="BG297" i="5" s="1"/>
  <c r="J297" i="5"/>
  <c r="AE297" i="5" s="1"/>
  <c r="BE297" i="5" s="1"/>
  <c r="Z296" i="5"/>
  <c r="Y296" i="5"/>
  <c r="X296" i="5"/>
  <c r="W296" i="5"/>
  <c r="AA296" i="5" s="1"/>
  <c r="V296" i="5"/>
  <c r="N296" i="5"/>
  <c r="M296" i="5"/>
  <c r="L296" i="5"/>
  <c r="K296" i="5"/>
  <c r="J296" i="5"/>
  <c r="AE296" i="5" s="1"/>
  <c r="BE296" i="5" s="1"/>
  <c r="AE295" i="5"/>
  <c r="BE295" i="5" s="1"/>
  <c r="Z295" i="5"/>
  <c r="Y295" i="5"/>
  <c r="X295" i="5"/>
  <c r="W295" i="5"/>
  <c r="V295" i="5"/>
  <c r="AA295" i="5" s="1"/>
  <c r="N295" i="5"/>
  <c r="M295" i="5"/>
  <c r="L295" i="5"/>
  <c r="U295" i="5" s="1"/>
  <c r="K295" i="5"/>
  <c r="J295" i="5"/>
  <c r="T295" i="5" s="1"/>
  <c r="I295" i="5"/>
  <c r="BG295" i="5" s="1"/>
  <c r="Z294" i="5"/>
  <c r="Y294" i="5"/>
  <c r="X294" i="5"/>
  <c r="W294" i="5"/>
  <c r="V294" i="5"/>
  <c r="AA294" i="5" s="1"/>
  <c r="N294" i="5"/>
  <c r="M294" i="5"/>
  <c r="L294" i="5"/>
  <c r="U294" i="5" s="1"/>
  <c r="K294" i="5"/>
  <c r="T294" i="5" s="1"/>
  <c r="J294" i="5"/>
  <c r="AE294" i="5" s="1"/>
  <c r="BE294" i="5" s="1"/>
  <c r="Z293" i="5"/>
  <c r="Y293" i="5"/>
  <c r="X293" i="5"/>
  <c r="W293" i="5"/>
  <c r="AA293" i="5" s="1"/>
  <c r="V293" i="5"/>
  <c r="N293" i="5"/>
  <c r="M293" i="5"/>
  <c r="L293" i="5"/>
  <c r="K293" i="5"/>
  <c r="I293" i="5" s="1"/>
  <c r="BG293" i="5" s="1"/>
  <c r="J293" i="5"/>
  <c r="AE293" i="5" s="1"/>
  <c r="BE293" i="5" s="1"/>
  <c r="Z292" i="5"/>
  <c r="Y292" i="5"/>
  <c r="X292" i="5"/>
  <c r="W292" i="5"/>
  <c r="AA292" i="5" s="1"/>
  <c r="V292" i="5"/>
  <c r="N292" i="5"/>
  <c r="M292" i="5"/>
  <c r="L292" i="5"/>
  <c r="K292" i="5"/>
  <c r="J292" i="5"/>
  <c r="AE292" i="5" s="1"/>
  <c r="BE292" i="5" s="1"/>
  <c r="AE291" i="5"/>
  <c r="BE291" i="5" s="1"/>
  <c r="Z291" i="5"/>
  <c r="Y291" i="5"/>
  <c r="X291" i="5"/>
  <c r="W291" i="5"/>
  <c r="V291" i="5"/>
  <c r="AA291" i="5" s="1"/>
  <c r="N291" i="5"/>
  <c r="M291" i="5"/>
  <c r="L291" i="5"/>
  <c r="U291" i="5" s="1"/>
  <c r="K291" i="5"/>
  <c r="J291" i="5"/>
  <c r="T291" i="5" s="1"/>
  <c r="I291" i="5"/>
  <c r="BG291" i="5" s="1"/>
  <c r="Z290" i="5"/>
  <c r="Y290" i="5"/>
  <c r="X290" i="5"/>
  <c r="W290" i="5"/>
  <c r="V290" i="5"/>
  <c r="AA290" i="5" s="1"/>
  <c r="N290" i="5"/>
  <c r="M290" i="5"/>
  <c r="L290" i="5"/>
  <c r="U290" i="5" s="1"/>
  <c r="K290" i="5"/>
  <c r="T290" i="5" s="1"/>
  <c r="J290" i="5"/>
  <c r="AE290" i="5" s="1"/>
  <c r="BE290" i="5" s="1"/>
  <c r="Z289" i="5"/>
  <c r="Y289" i="5"/>
  <c r="X289" i="5"/>
  <c r="W289" i="5"/>
  <c r="AA289" i="5" s="1"/>
  <c r="V289" i="5"/>
  <c r="N289" i="5"/>
  <c r="M289" i="5"/>
  <c r="L289" i="5"/>
  <c r="K289" i="5"/>
  <c r="I289" i="5" s="1"/>
  <c r="BG289" i="5" s="1"/>
  <c r="J289" i="5"/>
  <c r="AE289" i="5" s="1"/>
  <c r="BE289" i="5" s="1"/>
  <c r="Z288" i="5"/>
  <c r="Y288" i="5"/>
  <c r="X288" i="5"/>
  <c r="W288" i="5"/>
  <c r="AA288" i="5" s="1"/>
  <c r="V288" i="5"/>
  <c r="N288" i="5"/>
  <c r="M288" i="5"/>
  <c r="L288" i="5"/>
  <c r="K288" i="5"/>
  <c r="J288" i="5"/>
  <c r="AE288" i="5" s="1"/>
  <c r="BE288" i="5" s="1"/>
  <c r="AE287" i="5"/>
  <c r="BE287" i="5" s="1"/>
  <c r="Z287" i="5"/>
  <c r="Y287" i="5"/>
  <c r="X287" i="5"/>
  <c r="W287" i="5"/>
  <c r="V287" i="5"/>
  <c r="AA287" i="5" s="1"/>
  <c r="N287" i="5"/>
  <c r="M287" i="5"/>
  <c r="L287" i="5"/>
  <c r="U287" i="5" s="1"/>
  <c r="K287" i="5"/>
  <c r="J287" i="5"/>
  <c r="T287" i="5" s="1"/>
  <c r="I287" i="5"/>
  <c r="BG287" i="5" s="1"/>
  <c r="Z286" i="5"/>
  <c r="Y286" i="5"/>
  <c r="X286" i="5"/>
  <c r="W286" i="5"/>
  <c r="V286" i="5"/>
  <c r="AA286" i="5" s="1"/>
  <c r="N286" i="5"/>
  <c r="M286" i="5"/>
  <c r="L286" i="5"/>
  <c r="U286" i="5" s="1"/>
  <c r="K286" i="5"/>
  <c r="T286" i="5" s="1"/>
  <c r="J286" i="5"/>
  <c r="AE286" i="5" s="1"/>
  <c r="BE286" i="5" s="1"/>
  <c r="Z285" i="5"/>
  <c r="Y285" i="5"/>
  <c r="X285" i="5"/>
  <c r="W285" i="5"/>
  <c r="AA285" i="5" s="1"/>
  <c r="V285" i="5"/>
  <c r="N285" i="5"/>
  <c r="M285" i="5"/>
  <c r="L285" i="5"/>
  <c r="K285" i="5"/>
  <c r="I285" i="5" s="1"/>
  <c r="BG285" i="5" s="1"/>
  <c r="J285" i="5"/>
  <c r="AE285" i="5" s="1"/>
  <c r="BE285" i="5" s="1"/>
  <c r="Z284" i="5"/>
  <c r="Y284" i="5"/>
  <c r="X284" i="5"/>
  <c r="W284" i="5"/>
  <c r="AA284" i="5" s="1"/>
  <c r="V284" i="5"/>
  <c r="N284" i="5"/>
  <c r="M284" i="5"/>
  <c r="L284" i="5"/>
  <c r="K284" i="5"/>
  <c r="J284" i="5"/>
  <c r="AE284" i="5" s="1"/>
  <c r="BE284" i="5" s="1"/>
  <c r="AE283" i="5"/>
  <c r="BE283" i="5" s="1"/>
  <c r="Z283" i="5"/>
  <c r="Y283" i="5"/>
  <c r="X283" i="5"/>
  <c r="W283" i="5"/>
  <c r="V283" i="5"/>
  <c r="AA283" i="5" s="1"/>
  <c r="N283" i="5"/>
  <c r="M283" i="5"/>
  <c r="L283" i="5"/>
  <c r="U283" i="5" s="1"/>
  <c r="K283" i="5"/>
  <c r="J283" i="5"/>
  <c r="T283" i="5" s="1"/>
  <c r="I283" i="5"/>
  <c r="BG283" i="5" s="1"/>
  <c r="Z282" i="5"/>
  <c r="Y282" i="5"/>
  <c r="X282" i="5"/>
  <c r="W282" i="5"/>
  <c r="V282" i="5"/>
  <c r="AA282" i="5" s="1"/>
  <c r="N282" i="5"/>
  <c r="M282" i="5"/>
  <c r="L282" i="5"/>
  <c r="U282" i="5" s="1"/>
  <c r="K282" i="5"/>
  <c r="T282" i="5" s="1"/>
  <c r="J282" i="5"/>
  <c r="AE282" i="5" s="1"/>
  <c r="BE282" i="5" s="1"/>
  <c r="Z281" i="5"/>
  <c r="Y281" i="5"/>
  <c r="X281" i="5"/>
  <c r="W281" i="5"/>
  <c r="AA281" i="5" s="1"/>
  <c r="V281" i="5"/>
  <c r="N281" i="5"/>
  <c r="M281" i="5"/>
  <c r="L281" i="5"/>
  <c r="K281" i="5"/>
  <c r="I281" i="5" s="1"/>
  <c r="BG281" i="5" s="1"/>
  <c r="J281" i="5"/>
  <c r="AE281" i="5" s="1"/>
  <c r="BE281" i="5" s="1"/>
  <c r="Z280" i="5"/>
  <c r="Y280" i="5"/>
  <c r="X280" i="5"/>
  <c r="W280" i="5"/>
  <c r="AA280" i="5" s="1"/>
  <c r="V280" i="5"/>
  <c r="N280" i="5"/>
  <c r="M280" i="5"/>
  <c r="L280" i="5"/>
  <c r="K280" i="5"/>
  <c r="J280" i="5"/>
  <c r="AE280" i="5" s="1"/>
  <c r="BE280" i="5" s="1"/>
  <c r="AE279" i="5"/>
  <c r="BE279" i="5" s="1"/>
  <c r="Z279" i="5"/>
  <c r="Y279" i="5"/>
  <c r="X279" i="5"/>
  <c r="W279" i="5"/>
  <c r="V279" i="5"/>
  <c r="AA279" i="5" s="1"/>
  <c r="N279" i="5"/>
  <c r="M279" i="5"/>
  <c r="L279" i="5"/>
  <c r="U279" i="5" s="1"/>
  <c r="K279" i="5"/>
  <c r="J279" i="5"/>
  <c r="T279" i="5" s="1"/>
  <c r="I279" i="5"/>
  <c r="BG279" i="5" s="1"/>
  <c r="Z278" i="5"/>
  <c r="Y278" i="5"/>
  <c r="X278" i="5"/>
  <c r="W278" i="5"/>
  <c r="V278" i="5"/>
  <c r="AA278" i="5" s="1"/>
  <c r="N278" i="5"/>
  <c r="M278" i="5"/>
  <c r="L278" i="5"/>
  <c r="U278" i="5" s="1"/>
  <c r="K278" i="5"/>
  <c r="T278" i="5" s="1"/>
  <c r="J278" i="5"/>
  <c r="AE278" i="5" s="1"/>
  <c r="BE278" i="5" s="1"/>
  <c r="Z277" i="5"/>
  <c r="Y277" i="5"/>
  <c r="X277" i="5"/>
  <c r="W277" i="5"/>
  <c r="AA277" i="5" s="1"/>
  <c r="V277" i="5"/>
  <c r="N277" i="5"/>
  <c r="M277" i="5"/>
  <c r="L277" i="5"/>
  <c r="K277" i="5"/>
  <c r="I277" i="5" s="1"/>
  <c r="BG277" i="5" s="1"/>
  <c r="J277" i="5"/>
  <c r="AE277" i="5" s="1"/>
  <c r="BE277" i="5" s="1"/>
  <c r="Z276" i="5"/>
  <c r="Y276" i="5"/>
  <c r="X276" i="5"/>
  <c r="W276" i="5"/>
  <c r="AA276" i="5" s="1"/>
  <c r="V276" i="5"/>
  <c r="N276" i="5"/>
  <c r="M276" i="5"/>
  <c r="L276" i="5"/>
  <c r="K276" i="5"/>
  <c r="J276" i="5"/>
  <c r="AE276" i="5" s="1"/>
  <c r="BE276" i="5" s="1"/>
  <c r="AE275" i="5"/>
  <c r="BE275" i="5" s="1"/>
  <c r="Z275" i="5"/>
  <c r="Y275" i="5"/>
  <c r="X275" i="5"/>
  <c r="W275" i="5"/>
  <c r="V275" i="5"/>
  <c r="AA275" i="5" s="1"/>
  <c r="N275" i="5"/>
  <c r="M275" i="5"/>
  <c r="L275" i="5"/>
  <c r="U275" i="5" s="1"/>
  <c r="K275" i="5"/>
  <c r="J275" i="5"/>
  <c r="T275" i="5" s="1"/>
  <c r="I275" i="5"/>
  <c r="BG275" i="5" s="1"/>
  <c r="Z274" i="5"/>
  <c r="Y274" i="5"/>
  <c r="X274" i="5"/>
  <c r="W274" i="5"/>
  <c r="V274" i="5"/>
  <c r="AA274" i="5" s="1"/>
  <c r="N274" i="5"/>
  <c r="M274" i="5"/>
  <c r="L274" i="5"/>
  <c r="U274" i="5" s="1"/>
  <c r="K274" i="5"/>
  <c r="T274" i="5" s="1"/>
  <c r="J274" i="5"/>
  <c r="AE274" i="5" s="1"/>
  <c r="BE274" i="5" s="1"/>
  <c r="Z273" i="5"/>
  <c r="Y273" i="5"/>
  <c r="X273" i="5"/>
  <c r="W273" i="5"/>
  <c r="AA273" i="5" s="1"/>
  <c r="V273" i="5"/>
  <c r="N273" i="5"/>
  <c r="M273" i="5"/>
  <c r="L273" i="5"/>
  <c r="K273" i="5"/>
  <c r="I273" i="5" s="1"/>
  <c r="BG273" i="5" s="1"/>
  <c r="J273" i="5"/>
  <c r="AE273" i="5" s="1"/>
  <c r="BE273" i="5" s="1"/>
  <c r="Z272" i="5"/>
  <c r="Y272" i="5"/>
  <c r="X272" i="5"/>
  <c r="W272" i="5"/>
  <c r="AA272" i="5" s="1"/>
  <c r="V272" i="5"/>
  <c r="N272" i="5"/>
  <c r="M272" i="5"/>
  <c r="L272" i="5"/>
  <c r="K272" i="5"/>
  <c r="J272" i="5"/>
  <c r="AE272" i="5" s="1"/>
  <c r="BE272" i="5" s="1"/>
  <c r="BG271" i="5"/>
  <c r="Z271" i="5"/>
  <c r="Y271" i="5"/>
  <c r="X271" i="5"/>
  <c r="W271" i="5"/>
  <c r="V271" i="5"/>
  <c r="AA271" i="5" s="1"/>
  <c r="U271" i="5"/>
  <c r="T271" i="5"/>
  <c r="P271" i="5"/>
  <c r="Z270" i="5"/>
  <c r="Y270" i="5"/>
  <c r="X270" i="5"/>
  <c r="W270" i="5"/>
  <c r="AA270" i="5" s="1"/>
  <c r="V270" i="5"/>
  <c r="N270" i="5"/>
  <c r="M270" i="5"/>
  <c r="L270" i="5"/>
  <c r="K270" i="5"/>
  <c r="J270" i="5"/>
  <c r="AE270" i="5" s="1"/>
  <c r="BE270" i="5" s="1"/>
  <c r="AE269" i="5"/>
  <c r="BE269" i="5" s="1"/>
  <c r="Z269" i="5"/>
  <c r="Y269" i="5"/>
  <c r="X269" i="5"/>
  <c r="W269" i="5"/>
  <c r="V269" i="5"/>
  <c r="AA269" i="5" s="1"/>
  <c r="N269" i="5"/>
  <c r="M269" i="5"/>
  <c r="L269" i="5"/>
  <c r="U269" i="5" s="1"/>
  <c r="K269" i="5"/>
  <c r="J269" i="5"/>
  <c r="T269" i="5" s="1"/>
  <c r="I269" i="5"/>
  <c r="BG269" i="5" s="1"/>
  <c r="Z268" i="5"/>
  <c r="Y268" i="5"/>
  <c r="X268" i="5"/>
  <c r="W268" i="5"/>
  <c r="V268" i="5"/>
  <c r="AA268" i="5" s="1"/>
  <c r="N268" i="5"/>
  <c r="M268" i="5"/>
  <c r="L268" i="5"/>
  <c r="U268" i="5" s="1"/>
  <c r="K268" i="5"/>
  <c r="T268" i="5" s="1"/>
  <c r="J268" i="5"/>
  <c r="AE268" i="5" s="1"/>
  <c r="BE268" i="5" s="1"/>
  <c r="Z267" i="5"/>
  <c r="Y267" i="5"/>
  <c r="X267" i="5"/>
  <c r="W267" i="5"/>
  <c r="AA267" i="5" s="1"/>
  <c r="V267" i="5"/>
  <c r="N267" i="5"/>
  <c r="M267" i="5"/>
  <c r="L267" i="5"/>
  <c r="K267" i="5"/>
  <c r="I267" i="5" s="1"/>
  <c r="BG267" i="5" s="1"/>
  <c r="J267" i="5"/>
  <c r="AE267" i="5" s="1"/>
  <c r="BE267" i="5" s="1"/>
  <c r="Z266" i="5"/>
  <c r="Y266" i="5"/>
  <c r="X266" i="5"/>
  <c r="W266" i="5"/>
  <c r="AA266" i="5" s="1"/>
  <c r="V266" i="5"/>
  <c r="N266" i="5"/>
  <c r="M266" i="5"/>
  <c r="L266" i="5"/>
  <c r="K266" i="5"/>
  <c r="J266" i="5"/>
  <c r="AE266" i="5" s="1"/>
  <c r="BE266" i="5" s="1"/>
  <c r="AE265" i="5"/>
  <c r="BE265" i="5" s="1"/>
  <c r="Z265" i="5"/>
  <c r="Y265" i="5"/>
  <c r="X265" i="5"/>
  <c r="W265" i="5"/>
  <c r="V265" i="5"/>
  <c r="AA265" i="5" s="1"/>
  <c r="N265" i="5"/>
  <c r="M265" i="5"/>
  <c r="L265" i="5"/>
  <c r="U265" i="5" s="1"/>
  <c r="K265" i="5"/>
  <c r="J265" i="5"/>
  <c r="T265" i="5" s="1"/>
  <c r="I265" i="5"/>
  <c r="BG265" i="5" s="1"/>
  <c r="Z264" i="5"/>
  <c r="Y264" i="5"/>
  <c r="X264" i="5"/>
  <c r="W264" i="5"/>
  <c r="V264" i="5"/>
  <c r="AA264" i="5" s="1"/>
  <c r="N264" i="5"/>
  <c r="M264" i="5"/>
  <c r="L264" i="5"/>
  <c r="U264" i="5" s="1"/>
  <c r="K264" i="5"/>
  <c r="T264" i="5" s="1"/>
  <c r="J264" i="5"/>
  <c r="AE264" i="5" s="1"/>
  <c r="BE264" i="5" s="1"/>
  <c r="Z263" i="5"/>
  <c r="Y263" i="5"/>
  <c r="X263" i="5"/>
  <c r="W263" i="5"/>
  <c r="AA263" i="5" s="1"/>
  <c r="V263" i="5"/>
  <c r="N263" i="5"/>
  <c r="M263" i="5"/>
  <c r="L263" i="5"/>
  <c r="K263" i="5"/>
  <c r="I263" i="5" s="1"/>
  <c r="BG263" i="5" s="1"/>
  <c r="J263" i="5"/>
  <c r="AE263" i="5" s="1"/>
  <c r="BE263" i="5" s="1"/>
  <c r="Z262" i="5"/>
  <c r="Y262" i="5"/>
  <c r="X262" i="5"/>
  <c r="W262" i="5"/>
  <c r="AA262" i="5" s="1"/>
  <c r="V262" i="5"/>
  <c r="N262" i="5"/>
  <c r="M262" i="5"/>
  <c r="L262" i="5"/>
  <c r="K262" i="5"/>
  <c r="J262" i="5"/>
  <c r="AE262" i="5" s="1"/>
  <c r="BE262" i="5" s="1"/>
  <c r="AE261" i="5"/>
  <c r="BE261" i="5" s="1"/>
  <c r="Z261" i="5"/>
  <c r="Y261" i="5"/>
  <c r="X261" i="5"/>
  <c r="W261" i="5"/>
  <c r="V261" i="5"/>
  <c r="AA261" i="5" s="1"/>
  <c r="N261" i="5"/>
  <c r="M261" i="5"/>
  <c r="L261" i="5"/>
  <c r="U261" i="5" s="1"/>
  <c r="K261" i="5"/>
  <c r="J261" i="5"/>
  <c r="T261" i="5" s="1"/>
  <c r="I261" i="5"/>
  <c r="BG261" i="5" s="1"/>
  <c r="Z260" i="5"/>
  <c r="Y260" i="5"/>
  <c r="X260" i="5"/>
  <c r="W260" i="5"/>
  <c r="V260" i="5"/>
  <c r="AA260" i="5" s="1"/>
  <c r="N260" i="5"/>
  <c r="M260" i="5"/>
  <c r="L260" i="5"/>
  <c r="U260" i="5" s="1"/>
  <c r="K260" i="5"/>
  <c r="T260" i="5" s="1"/>
  <c r="J260" i="5"/>
  <c r="AE260" i="5" s="1"/>
  <c r="BE260" i="5" s="1"/>
  <c r="Z259" i="5"/>
  <c r="Y259" i="5"/>
  <c r="X259" i="5"/>
  <c r="W259" i="5"/>
  <c r="AA259" i="5" s="1"/>
  <c r="V259" i="5"/>
  <c r="N259" i="5"/>
  <c r="M259" i="5"/>
  <c r="L259" i="5"/>
  <c r="K259" i="5"/>
  <c r="I259" i="5" s="1"/>
  <c r="BG259" i="5" s="1"/>
  <c r="J259" i="5"/>
  <c r="AE259" i="5" s="1"/>
  <c r="BE259" i="5" s="1"/>
  <c r="Z258" i="5"/>
  <c r="Y258" i="5"/>
  <c r="X258" i="5"/>
  <c r="W258" i="5"/>
  <c r="AA258" i="5" s="1"/>
  <c r="V258" i="5"/>
  <c r="N258" i="5"/>
  <c r="M258" i="5"/>
  <c r="L258" i="5"/>
  <c r="K258" i="5"/>
  <c r="J258" i="5"/>
  <c r="AE258" i="5" s="1"/>
  <c r="BE258" i="5" s="1"/>
  <c r="AE257" i="5"/>
  <c r="BE257" i="5" s="1"/>
  <c r="Z257" i="5"/>
  <c r="Y257" i="5"/>
  <c r="X257" i="5"/>
  <c r="W257" i="5"/>
  <c r="V257" i="5"/>
  <c r="AA257" i="5" s="1"/>
  <c r="N257" i="5"/>
  <c r="M257" i="5"/>
  <c r="L257" i="5"/>
  <c r="U257" i="5" s="1"/>
  <c r="K257" i="5"/>
  <c r="J257" i="5"/>
  <c r="T257" i="5" s="1"/>
  <c r="I257" i="5"/>
  <c r="BG257" i="5" s="1"/>
  <c r="Z256" i="5"/>
  <c r="Y256" i="5"/>
  <c r="X256" i="5"/>
  <c r="W256" i="5"/>
  <c r="V256" i="5"/>
  <c r="AA256" i="5" s="1"/>
  <c r="N256" i="5"/>
  <c r="M256" i="5"/>
  <c r="L256" i="5"/>
  <c r="U256" i="5" s="1"/>
  <c r="K256" i="5"/>
  <c r="T256" i="5" s="1"/>
  <c r="J256" i="5"/>
  <c r="AE256" i="5" s="1"/>
  <c r="BE256" i="5" s="1"/>
  <c r="Z255" i="5"/>
  <c r="Y255" i="5"/>
  <c r="X255" i="5"/>
  <c r="W255" i="5"/>
  <c r="AA255" i="5" s="1"/>
  <c r="V255" i="5"/>
  <c r="N255" i="5"/>
  <c r="M255" i="5"/>
  <c r="L255" i="5"/>
  <c r="K255" i="5"/>
  <c r="I255" i="5" s="1"/>
  <c r="BG255" i="5" s="1"/>
  <c r="J255" i="5"/>
  <c r="AE255" i="5" s="1"/>
  <c r="BE255" i="5" s="1"/>
  <c r="Z254" i="5"/>
  <c r="Y254" i="5"/>
  <c r="X254" i="5"/>
  <c r="W254" i="5"/>
  <c r="AA254" i="5" s="1"/>
  <c r="V254" i="5"/>
  <c r="N254" i="5"/>
  <c r="M254" i="5"/>
  <c r="L254" i="5"/>
  <c r="K254" i="5"/>
  <c r="J254" i="5"/>
  <c r="AE254" i="5" s="1"/>
  <c r="BE254" i="5" s="1"/>
  <c r="AE253" i="5"/>
  <c r="BE253" i="5" s="1"/>
  <c r="Z253" i="5"/>
  <c r="Y253" i="5"/>
  <c r="X253" i="5"/>
  <c r="W253" i="5"/>
  <c r="V253" i="5"/>
  <c r="AA253" i="5" s="1"/>
  <c r="N253" i="5"/>
  <c r="M253" i="5"/>
  <c r="L253" i="5"/>
  <c r="U253" i="5" s="1"/>
  <c r="K253" i="5"/>
  <c r="J253" i="5"/>
  <c r="T253" i="5" s="1"/>
  <c r="I253" i="5"/>
  <c r="BG253" i="5" s="1"/>
  <c r="Z252" i="5"/>
  <c r="Y252" i="5"/>
  <c r="X252" i="5"/>
  <c r="W252" i="5"/>
  <c r="AA252" i="5" s="1"/>
  <c r="V252" i="5"/>
  <c r="N252" i="5"/>
  <c r="M252" i="5"/>
  <c r="L252" i="5"/>
  <c r="U252" i="5" s="1"/>
  <c r="K252" i="5"/>
  <c r="T252" i="5" s="1"/>
  <c r="J252" i="5"/>
  <c r="AE252" i="5" s="1"/>
  <c r="BE252" i="5" s="1"/>
  <c r="Z251" i="5"/>
  <c r="Y251" i="5"/>
  <c r="X251" i="5"/>
  <c r="W251" i="5"/>
  <c r="AA251" i="5" s="1"/>
  <c r="V251" i="5"/>
  <c r="N251" i="5"/>
  <c r="M251" i="5"/>
  <c r="L251" i="5"/>
  <c r="K251" i="5"/>
  <c r="I251" i="5" s="1"/>
  <c r="J251" i="5"/>
  <c r="AE251" i="5" s="1"/>
  <c r="BE251" i="5" s="1"/>
  <c r="Z250" i="5"/>
  <c r="Y250" i="5"/>
  <c r="X250" i="5"/>
  <c r="W250" i="5"/>
  <c r="AA250" i="5" s="1"/>
  <c r="V250" i="5"/>
  <c r="N250" i="5"/>
  <c r="M250" i="5"/>
  <c r="L250" i="5"/>
  <c r="K250" i="5"/>
  <c r="J250" i="5"/>
  <c r="AE250" i="5" s="1"/>
  <c r="BE250" i="5" s="1"/>
  <c r="AE249" i="5"/>
  <c r="BE249" i="5" s="1"/>
  <c r="Z249" i="5"/>
  <c r="Y249" i="5"/>
  <c r="X249" i="5"/>
  <c r="W249" i="5"/>
  <c r="V249" i="5"/>
  <c r="AA249" i="5" s="1"/>
  <c r="N249" i="5"/>
  <c r="M249" i="5"/>
  <c r="L249" i="5"/>
  <c r="U249" i="5" s="1"/>
  <c r="K249" i="5"/>
  <c r="T249" i="5" s="1"/>
  <c r="J249" i="5"/>
  <c r="I249" i="5"/>
  <c r="BG249" i="5" s="1"/>
  <c r="Z248" i="5"/>
  <c r="Y248" i="5"/>
  <c r="X248" i="5"/>
  <c r="W248" i="5"/>
  <c r="AA248" i="5" s="1"/>
  <c r="V248" i="5"/>
  <c r="N248" i="5"/>
  <c r="M248" i="5"/>
  <c r="L248" i="5"/>
  <c r="U248" i="5" s="1"/>
  <c r="K248" i="5"/>
  <c r="T248" i="5" s="1"/>
  <c r="J248" i="5"/>
  <c r="AE248" i="5" s="1"/>
  <c r="BE248" i="5" s="1"/>
  <c r="Z247" i="5"/>
  <c r="Y247" i="5"/>
  <c r="X247" i="5"/>
  <c r="W247" i="5"/>
  <c r="AA247" i="5" s="1"/>
  <c r="V247" i="5"/>
  <c r="N247" i="5"/>
  <c r="M247" i="5"/>
  <c r="L247" i="5"/>
  <c r="K247" i="5"/>
  <c r="I247" i="5" s="1"/>
  <c r="BG247" i="5" s="1"/>
  <c r="J247" i="5"/>
  <c r="AE247" i="5" s="1"/>
  <c r="BE247" i="5" s="1"/>
  <c r="BG246" i="5"/>
  <c r="Z246" i="5"/>
  <c r="Y246" i="5"/>
  <c r="X246" i="5"/>
  <c r="W246" i="5"/>
  <c r="AA246" i="5" s="1"/>
  <c r="V246" i="5"/>
  <c r="U246" i="5"/>
  <c r="T246" i="5"/>
  <c r="P246" i="5"/>
  <c r="Z245" i="5"/>
  <c r="Y245" i="5"/>
  <c r="X245" i="5"/>
  <c r="W245" i="5"/>
  <c r="AA245" i="5" s="1"/>
  <c r="V245" i="5"/>
  <c r="N245" i="5"/>
  <c r="M245" i="5"/>
  <c r="L245" i="5"/>
  <c r="K245" i="5"/>
  <c r="I245" i="5" s="1"/>
  <c r="BG245" i="5" s="1"/>
  <c r="J245" i="5"/>
  <c r="AE245" i="5" s="1"/>
  <c r="BE245" i="5" s="1"/>
  <c r="Z244" i="5"/>
  <c r="Y244" i="5"/>
  <c r="X244" i="5"/>
  <c r="W244" i="5"/>
  <c r="AA244" i="5" s="1"/>
  <c r="V244" i="5"/>
  <c r="N244" i="5"/>
  <c r="M244" i="5"/>
  <c r="L244" i="5"/>
  <c r="K244" i="5"/>
  <c r="J244" i="5"/>
  <c r="AE244" i="5" s="1"/>
  <c r="BE244" i="5" s="1"/>
  <c r="AE243" i="5"/>
  <c r="BE243" i="5" s="1"/>
  <c r="Z243" i="5"/>
  <c r="Y243" i="5"/>
  <c r="X243" i="5"/>
  <c r="W243" i="5"/>
  <c r="V243" i="5"/>
  <c r="AA243" i="5" s="1"/>
  <c r="N243" i="5"/>
  <c r="M243" i="5"/>
  <c r="L243" i="5"/>
  <c r="U243" i="5" s="1"/>
  <c r="K243" i="5"/>
  <c r="J243" i="5"/>
  <c r="T243" i="5" s="1"/>
  <c r="I243" i="5"/>
  <c r="BG243" i="5" s="1"/>
  <c r="Z242" i="5"/>
  <c r="Y242" i="5"/>
  <c r="X242" i="5"/>
  <c r="W242" i="5"/>
  <c r="AA242" i="5" s="1"/>
  <c r="V242" i="5"/>
  <c r="N242" i="5"/>
  <c r="M242" i="5"/>
  <c r="L242" i="5"/>
  <c r="U242" i="5" s="1"/>
  <c r="K242" i="5"/>
  <c r="T242" i="5" s="1"/>
  <c r="J242" i="5"/>
  <c r="AE242" i="5" s="1"/>
  <c r="BE242" i="5" s="1"/>
  <c r="Z241" i="5"/>
  <c r="Y241" i="5"/>
  <c r="X241" i="5"/>
  <c r="W241" i="5"/>
  <c r="AA241" i="5" s="1"/>
  <c r="V241" i="5"/>
  <c r="N241" i="5"/>
  <c r="M241" i="5"/>
  <c r="L241" i="5"/>
  <c r="K241" i="5"/>
  <c r="I241" i="5" s="1"/>
  <c r="BG241" i="5" s="1"/>
  <c r="J241" i="5"/>
  <c r="AE241" i="5" s="1"/>
  <c r="BE241" i="5" s="1"/>
  <c r="Z240" i="5"/>
  <c r="Y240" i="5"/>
  <c r="X240" i="5"/>
  <c r="W240" i="5"/>
  <c r="AA240" i="5" s="1"/>
  <c r="V240" i="5"/>
  <c r="N240" i="5"/>
  <c r="M240" i="5"/>
  <c r="L240" i="5"/>
  <c r="K240" i="5"/>
  <c r="J240" i="5"/>
  <c r="AE240" i="5" s="1"/>
  <c r="BE240" i="5" s="1"/>
  <c r="AE239" i="5"/>
  <c r="BE239" i="5" s="1"/>
  <c r="Z239" i="5"/>
  <c r="Y239" i="5"/>
  <c r="X239" i="5"/>
  <c r="W239" i="5"/>
  <c r="V239" i="5"/>
  <c r="AA239" i="5" s="1"/>
  <c r="N239" i="5"/>
  <c r="M239" i="5"/>
  <c r="L239" i="5"/>
  <c r="U239" i="5" s="1"/>
  <c r="K239" i="5"/>
  <c r="J239" i="5"/>
  <c r="T239" i="5" s="1"/>
  <c r="I239" i="5"/>
  <c r="BG239" i="5" s="1"/>
  <c r="Z238" i="5"/>
  <c r="Y238" i="5"/>
  <c r="X238" i="5"/>
  <c r="W238" i="5"/>
  <c r="AA238" i="5" s="1"/>
  <c r="V238" i="5"/>
  <c r="N238" i="5"/>
  <c r="M238" i="5"/>
  <c r="L238" i="5"/>
  <c r="U238" i="5" s="1"/>
  <c r="K238" i="5"/>
  <c r="T238" i="5" s="1"/>
  <c r="J238" i="5"/>
  <c r="AE238" i="5" s="1"/>
  <c r="BE238" i="5" s="1"/>
  <c r="Z237" i="5"/>
  <c r="Y237" i="5"/>
  <c r="X237" i="5"/>
  <c r="W237" i="5"/>
  <c r="AA237" i="5" s="1"/>
  <c r="V237" i="5"/>
  <c r="N237" i="5"/>
  <c r="M237" i="5"/>
  <c r="L237" i="5"/>
  <c r="K237" i="5"/>
  <c r="I237" i="5" s="1"/>
  <c r="BG237" i="5" s="1"/>
  <c r="J237" i="5"/>
  <c r="AE237" i="5" s="1"/>
  <c r="BE237" i="5" s="1"/>
  <c r="Z236" i="5"/>
  <c r="Y236" i="5"/>
  <c r="X236" i="5"/>
  <c r="W236" i="5"/>
  <c r="AA236" i="5" s="1"/>
  <c r="V236" i="5"/>
  <c r="N236" i="5"/>
  <c r="M236" i="5"/>
  <c r="L236" i="5"/>
  <c r="K236" i="5"/>
  <c r="J236" i="5"/>
  <c r="AE236" i="5" s="1"/>
  <c r="BE236" i="5" s="1"/>
  <c r="AE235" i="5"/>
  <c r="BE235" i="5" s="1"/>
  <c r="Z235" i="5"/>
  <c r="Y235" i="5"/>
  <c r="X235" i="5"/>
  <c r="W235" i="5"/>
  <c r="V235" i="5"/>
  <c r="AA235" i="5" s="1"/>
  <c r="N235" i="5"/>
  <c r="M235" i="5"/>
  <c r="L235" i="5"/>
  <c r="U235" i="5" s="1"/>
  <c r="K235" i="5"/>
  <c r="J235" i="5"/>
  <c r="T235" i="5" s="1"/>
  <c r="I235" i="5"/>
  <c r="BG235" i="5" s="1"/>
  <c r="Z234" i="5"/>
  <c r="Y234" i="5"/>
  <c r="X234" i="5"/>
  <c r="W234" i="5"/>
  <c r="AA234" i="5" s="1"/>
  <c r="V234" i="5"/>
  <c r="N234" i="5"/>
  <c r="M234" i="5"/>
  <c r="L234" i="5"/>
  <c r="U234" i="5" s="1"/>
  <c r="K234" i="5"/>
  <c r="T234" i="5" s="1"/>
  <c r="J234" i="5"/>
  <c r="AE234" i="5" s="1"/>
  <c r="BE234" i="5" s="1"/>
  <c r="Z233" i="5"/>
  <c r="Y233" i="5"/>
  <c r="X233" i="5"/>
  <c r="W233" i="5"/>
  <c r="AA233" i="5" s="1"/>
  <c r="V233" i="5"/>
  <c r="N233" i="5"/>
  <c r="M233" i="5"/>
  <c r="L233" i="5"/>
  <c r="K233" i="5"/>
  <c r="I233" i="5" s="1"/>
  <c r="BG233" i="5" s="1"/>
  <c r="J233" i="5"/>
  <c r="AE233" i="5" s="1"/>
  <c r="BE233" i="5" s="1"/>
  <c r="Z232" i="5"/>
  <c r="Y232" i="5"/>
  <c r="X232" i="5"/>
  <c r="W232" i="5"/>
  <c r="AA232" i="5" s="1"/>
  <c r="V232" i="5"/>
  <c r="N232" i="5"/>
  <c r="M232" i="5"/>
  <c r="L232" i="5"/>
  <c r="K232" i="5"/>
  <c r="J232" i="5"/>
  <c r="AE232" i="5" s="1"/>
  <c r="BE232" i="5" s="1"/>
  <c r="AE231" i="5"/>
  <c r="BE231" i="5" s="1"/>
  <c r="Z231" i="5"/>
  <c r="Y231" i="5"/>
  <c r="X231" i="5"/>
  <c r="W231" i="5"/>
  <c r="V231" i="5"/>
  <c r="AA231" i="5" s="1"/>
  <c r="N231" i="5"/>
  <c r="M231" i="5"/>
  <c r="L231" i="5"/>
  <c r="U231" i="5" s="1"/>
  <c r="K231" i="5"/>
  <c r="J231" i="5"/>
  <c r="T231" i="5" s="1"/>
  <c r="I231" i="5"/>
  <c r="BG231" i="5" s="1"/>
  <c r="Z230" i="5"/>
  <c r="Y230" i="5"/>
  <c r="X230" i="5"/>
  <c r="W230" i="5"/>
  <c r="AA230" i="5" s="1"/>
  <c r="V230" i="5"/>
  <c r="N230" i="5"/>
  <c r="M230" i="5"/>
  <c r="L230" i="5"/>
  <c r="U230" i="5" s="1"/>
  <c r="K230" i="5"/>
  <c r="T230" i="5" s="1"/>
  <c r="J230" i="5"/>
  <c r="AE230" i="5" s="1"/>
  <c r="BE230" i="5" s="1"/>
  <c r="Z229" i="5"/>
  <c r="Y229" i="5"/>
  <c r="X229" i="5"/>
  <c r="W229" i="5"/>
  <c r="AA229" i="5" s="1"/>
  <c r="V229" i="5"/>
  <c r="N229" i="5"/>
  <c r="M229" i="5"/>
  <c r="L229" i="5"/>
  <c r="K229" i="5"/>
  <c r="I229" i="5" s="1"/>
  <c r="BG229" i="5" s="1"/>
  <c r="J229" i="5"/>
  <c r="AE229" i="5" s="1"/>
  <c r="BE229" i="5" s="1"/>
  <c r="Z228" i="5"/>
  <c r="Y228" i="5"/>
  <c r="X228" i="5"/>
  <c r="W228" i="5"/>
  <c r="AA228" i="5" s="1"/>
  <c r="V228" i="5"/>
  <c r="N228" i="5"/>
  <c r="M228" i="5"/>
  <c r="L228" i="5"/>
  <c r="K228" i="5"/>
  <c r="J228" i="5"/>
  <c r="AE228" i="5" s="1"/>
  <c r="BE228" i="5" s="1"/>
  <c r="BG227" i="5"/>
  <c r="Z227" i="5"/>
  <c r="Y227" i="5"/>
  <c r="X227" i="5"/>
  <c r="W227" i="5"/>
  <c r="V227" i="5"/>
  <c r="AA227" i="5" s="1"/>
  <c r="U227" i="5"/>
  <c r="T227" i="5"/>
  <c r="P227" i="5"/>
  <c r="Z226" i="5"/>
  <c r="Y226" i="5"/>
  <c r="X226" i="5"/>
  <c r="W226" i="5"/>
  <c r="AA226" i="5" s="1"/>
  <c r="V226" i="5"/>
  <c r="N226" i="5"/>
  <c r="M226" i="5"/>
  <c r="L226" i="5"/>
  <c r="K226" i="5"/>
  <c r="J226" i="5"/>
  <c r="AE226" i="5" s="1"/>
  <c r="BE226" i="5" s="1"/>
  <c r="AE225" i="5"/>
  <c r="BE225" i="5" s="1"/>
  <c r="Z225" i="5"/>
  <c r="Y225" i="5"/>
  <c r="X225" i="5"/>
  <c r="W225" i="5"/>
  <c r="V225" i="5"/>
  <c r="AA225" i="5" s="1"/>
  <c r="N225" i="5"/>
  <c r="M225" i="5"/>
  <c r="L225" i="5"/>
  <c r="U225" i="5" s="1"/>
  <c r="K225" i="5"/>
  <c r="J225" i="5"/>
  <c r="T225" i="5" s="1"/>
  <c r="I225" i="5"/>
  <c r="BG225" i="5" s="1"/>
  <c r="Z224" i="5"/>
  <c r="Y224" i="5"/>
  <c r="X224" i="5"/>
  <c r="W224" i="5"/>
  <c r="AA224" i="5" s="1"/>
  <c r="V224" i="5"/>
  <c r="N224" i="5"/>
  <c r="M224" i="5"/>
  <c r="L224" i="5"/>
  <c r="U224" i="5" s="1"/>
  <c r="K224" i="5"/>
  <c r="T224" i="5" s="1"/>
  <c r="J224" i="5"/>
  <c r="AE224" i="5" s="1"/>
  <c r="BE224" i="5" s="1"/>
  <c r="Z223" i="5"/>
  <c r="Y223" i="5"/>
  <c r="X223" i="5"/>
  <c r="W223" i="5"/>
  <c r="AA223" i="5" s="1"/>
  <c r="V223" i="5"/>
  <c r="N223" i="5"/>
  <c r="M223" i="5"/>
  <c r="L223" i="5"/>
  <c r="K223" i="5"/>
  <c r="I223" i="5" s="1"/>
  <c r="BG223" i="5" s="1"/>
  <c r="J223" i="5"/>
  <c r="AE223" i="5" s="1"/>
  <c r="BE223" i="5" s="1"/>
  <c r="Z222" i="5"/>
  <c r="Y222" i="5"/>
  <c r="X222" i="5"/>
  <c r="W222" i="5"/>
  <c r="AA222" i="5" s="1"/>
  <c r="V222" i="5"/>
  <c r="N222" i="5"/>
  <c r="M222" i="5"/>
  <c r="L222" i="5"/>
  <c r="K222" i="5"/>
  <c r="J222" i="5"/>
  <c r="AE222" i="5" s="1"/>
  <c r="BE222" i="5" s="1"/>
  <c r="AE221" i="5"/>
  <c r="BE221" i="5" s="1"/>
  <c r="Z221" i="5"/>
  <c r="Y221" i="5"/>
  <c r="X221" i="5"/>
  <c r="W221" i="5"/>
  <c r="V221" i="5"/>
  <c r="AA221" i="5" s="1"/>
  <c r="N221" i="5"/>
  <c r="M221" i="5"/>
  <c r="L221" i="5"/>
  <c r="U221" i="5" s="1"/>
  <c r="K221" i="5"/>
  <c r="J221" i="5"/>
  <c r="T221" i="5" s="1"/>
  <c r="I221" i="5"/>
  <c r="BG221" i="5" s="1"/>
  <c r="Z220" i="5"/>
  <c r="Y220" i="5"/>
  <c r="X220" i="5"/>
  <c r="W220" i="5"/>
  <c r="V220" i="5"/>
  <c r="AA220" i="5" s="1"/>
  <c r="N220" i="5"/>
  <c r="M220" i="5"/>
  <c r="L220" i="5"/>
  <c r="U220" i="5" s="1"/>
  <c r="K220" i="5"/>
  <c r="T220" i="5" s="1"/>
  <c r="J220" i="5"/>
  <c r="AE220" i="5" s="1"/>
  <c r="BE220" i="5" s="1"/>
  <c r="Z219" i="5"/>
  <c r="Y219" i="5"/>
  <c r="X219" i="5"/>
  <c r="W219" i="5"/>
  <c r="AA219" i="5" s="1"/>
  <c r="V219" i="5"/>
  <c r="N219" i="5"/>
  <c r="M219" i="5"/>
  <c r="L219" i="5"/>
  <c r="K219" i="5"/>
  <c r="I219" i="5" s="1"/>
  <c r="BG219" i="5" s="1"/>
  <c r="J219" i="5"/>
  <c r="AE219" i="5" s="1"/>
  <c r="BE219" i="5" s="1"/>
  <c r="Z218" i="5"/>
  <c r="Y218" i="5"/>
  <c r="X218" i="5"/>
  <c r="W218" i="5"/>
  <c r="AA218" i="5" s="1"/>
  <c r="V218" i="5"/>
  <c r="N218" i="5"/>
  <c r="M218" i="5"/>
  <c r="L218" i="5"/>
  <c r="K218" i="5"/>
  <c r="J218" i="5"/>
  <c r="AE218" i="5" s="1"/>
  <c r="BE218" i="5" s="1"/>
  <c r="AE217" i="5"/>
  <c r="BE217" i="5" s="1"/>
  <c r="Z217" i="5"/>
  <c r="Y217" i="5"/>
  <c r="X217" i="5"/>
  <c r="W217" i="5"/>
  <c r="V217" i="5"/>
  <c r="AA217" i="5" s="1"/>
  <c r="N217" i="5"/>
  <c r="M217" i="5"/>
  <c r="L217" i="5"/>
  <c r="U217" i="5" s="1"/>
  <c r="K217" i="5"/>
  <c r="J217" i="5"/>
  <c r="T217" i="5" s="1"/>
  <c r="I217" i="5"/>
  <c r="BG217" i="5" s="1"/>
  <c r="Z216" i="5"/>
  <c r="Y216" i="5"/>
  <c r="X216" i="5"/>
  <c r="W216" i="5"/>
  <c r="V216" i="5"/>
  <c r="AA216" i="5" s="1"/>
  <c r="N216" i="5"/>
  <c r="M216" i="5"/>
  <c r="L216" i="5"/>
  <c r="U216" i="5" s="1"/>
  <c r="K216" i="5"/>
  <c r="T216" i="5" s="1"/>
  <c r="J216" i="5"/>
  <c r="AE216" i="5" s="1"/>
  <c r="BE216" i="5" s="1"/>
  <c r="Z215" i="5"/>
  <c r="Y215" i="5"/>
  <c r="X215" i="5"/>
  <c r="W215" i="5"/>
  <c r="AA215" i="5" s="1"/>
  <c r="V215" i="5"/>
  <c r="N215" i="5"/>
  <c r="M215" i="5"/>
  <c r="L215" i="5"/>
  <c r="K215" i="5"/>
  <c r="I215" i="5" s="1"/>
  <c r="BG215" i="5" s="1"/>
  <c r="J215" i="5"/>
  <c r="AE215" i="5" s="1"/>
  <c r="BE215" i="5" s="1"/>
  <c r="Z214" i="5"/>
  <c r="Y214" i="5"/>
  <c r="X214" i="5"/>
  <c r="W214" i="5"/>
  <c r="AA214" i="5" s="1"/>
  <c r="V214" i="5"/>
  <c r="N214" i="5"/>
  <c r="M214" i="5"/>
  <c r="L214" i="5"/>
  <c r="K214" i="5"/>
  <c r="J214" i="5"/>
  <c r="AE214" i="5" s="1"/>
  <c r="BE214" i="5" s="1"/>
  <c r="AE213" i="5"/>
  <c r="BE213" i="5" s="1"/>
  <c r="Z213" i="5"/>
  <c r="Y213" i="5"/>
  <c r="X213" i="5"/>
  <c r="W213" i="5"/>
  <c r="V213" i="5"/>
  <c r="AA213" i="5" s="1"/>
  <c r="N213" i="5"/>
  <c r="M213" i="5"/>
  <c r="L213" i="5"/>
  <c r="U213" i="5" s="1"/>
  <c r="K213" i="5"/>
  <c r="J213" i="5"/>
  <c r="T213" i="5" s="1"/>
  <c r="I213" i="5"/>
  <c r="BG213" i="5" s="1"/>
  <c r="Z212" i="5"/>
  <c r="Y212" i="5"/>
  <c r="X212" i="5"/>
  <c r="W212" i="5"/>
  <c r="V212" i="5"/>
  <c r="AA212" i="5" s="1"/>
  <c r="N212" i="5"/>
  <c r="M212" i="5"/>
  <c r="L212" i="5"/>
  <c r="U212" i="5" s="1"/>
  <c r="K212" i="5"/>
  <c r="T212" i="5" s="1"/>
  <c r="J212" i="5"/>
  <c r="AE212" i="5" s="1"/>
  <c r="BE212" i="5" s="1"/>
  <c r="Z211" i="5"/>
  <c r="Y211" i="5"/>
  <c r="X211" i="5"/>
  <c r="W211" i="5"/>
  <c r="AA211" i="5" s="1"/>
  <c r="V211" i="5"/>
  <c r="N211" i="5"/>
  <c r="M211" i="5"/>
  <c r="L211" i="5"/>
  <c r="K211" i="5"/>
  <c r="I211" i="5" s="1"/>
  <c r="BG211" i="5" s="1"/>
  <c r="J211" i="5"/>
  <c r="AE211" i="5" s="1"/>
  <c r="BE211" i="5" s="1"/>
  <c r="Z210" i="5"/>
  <c r="Y210" i="5"/>
  <c r="X210" i="5"/>
  <c r="W210" i="5"/>
  <c r="AA210" i="5" s="1"/>
  <c r="V210" i="5"/>
  <c r="N210" i="5"/>
  <c r="M210" i="5"/>
  <c r="L210" i="5"/>
  <c r="K210" i="5"/>
  <c r="J210" i="5"/>
  <c r="AE210" i="5" s="1"/>
  <c r="BE210" i="5" s="1"/>
  <c r="AE209" i="5"/>
  <c r="BE209" i="5" s="1"/>
  <c r="Z209" i="5"/>
  <c r="Y209" i="5"/>
  <c r="X209" i="5"/>
  <c r="W209" i="5"/>
  <c r="V209" i="5"/>
  <c r="AA209" i="5" s="1"/>
  <c r="N209" i="5"/>
  <c r="M209" i="5"/>
  <c r="L209" i="5"/>
  <c r="U209" i="5" s="1"/>
  <c r="K209" i="5"/>
  <c r="J209" i="5"/>
  <c r="T209" i="5" s="1"/>
  <c r="I209" i="5"/>
  <c r="BG209" i="5" s="1"/>
  <c r="Z208" i="5"/>
  <c r="Y208" i="5"/>
  <c r="X208" i="5"/>
  <c r="W208" i="5"/>
  <c r="V208" i="5"/>
  <c r="AA208" i="5" s="1"/>
  <c r="N208" i="5"/>
  <c r="M208" i="5"/>
  <c r="L208" i="5"/>
  <c r="U208" i="5" s="1"/>
  <c r="K208" i="5"/>
  <c r="T208" i="5" s="1"/>
  <c r="J208" i="5"/>
  <c r="AE208" i="5" s="1"/>
  <c r="BE208" i="5" s="1"/>
  <c r="Z207" i="5"/>
  <c r="Y207" i="5"/>
  <c r="X207" i="5"/>
  <c r="W207" i="5"/>
  <c r="AA207" i="5" s="1"/>
  <c r="V207" i="5"/>
  <c r="N207" i="5"/>
  <c r="M207" i="5"/>
  <c r="L207" i="5"/>
  <c r="K207" i="5"/>
  <c r="I207" i="5" s="1"/>
  <c r="BG207" i="5" s="1"/>
  <c r="J207" i="5"/>
  <c r="AE207" i="5" s="1"/>
  <c r="BE207" i="5" s="1"/>
  <c r="Z206" i="5"/>
  <c r="Y206" i="5"/>
  <c r="X206" i="5"/>
  <c r="W206" i="5"/>
  <c r="AA206" i="5" s="1"/>
  <c r="V206" i="5"/>
  <c r="N206" i="5"/>
  <c r="M206" i="5"/>
  <c r="L206" i="5"/>
  <c r="K206" i="5"/>
  <c r="J206" i="5"/>
  <c r="AE206" i="5" s="1"/>
  <c r="BE206" i="5" s="1"/>
  <c r="BG205" i="5"/>
  <c r="Z205" i="5"/>
  <c r="Y205" i="5"/>
  <c r="X205" i="5"/>
  <c r="W205" i="5"/>
  <c r="V205" i="5"/>
  <c r="AA205" i="5" s="1"/>
  <c r="U205" i="5"/>
  <c r="T205" i="5"/>
  <c r="P205" i="5"/>
  <c r="Z204" i="5"/>
  <c r="Y204" i="5"/>
  <c r="X204" i="5"/>
  <c r="W204" i="5"/>
  <c r="AA204" i="5" s="1"/>
  <c r="V204" i="5"/>
  <c r="N204" i="5"/>
  <c r="M204" i="5"/>
  <c r="L204" i="5"/>
  <c r="K204" i="5"/>
  <c r="J204" i="5"/>
  <c r="AE204" i="5" s="1"/>
  <c r="BE204" i="5" s="1"/>
  <c r="AE203" i="5"/>
  <c r="BE203" i="5" s="1"/>
  <c r="Z203" i="5"/>
  <c r="Y203" i="5"/>
  <c r="X203" i="5"/>
  <c r="W203" i="5"/>
  <c r="V203" i="5"/>
  <c r="AA203" i="5" s="1"/>
  <c r="N203" i="5"/>
  <c r="M203" i="5"/>
  <c r="L203" i="5"/>
  <c r="U203" i="5" s="1"/>
  <c r="K203" i="5"/>
  <c r="J203" i="5"/>
  <c r="T203" i="5" s="1"/>
  <c r="I203" i="5"/>
  <c r="BG203" i="5" s="1"/>
  <c r="Z202" i="5"/>
  <c r="Y202" i="5"/>
  <c r="X202" i="5"/>
  <c r="W202" i="5"/>
  <c r="V202" i="5"/>
  <c r="AA202" i="5" s="1"/>
  <c r="N202" i="5"/>
  <c r="M202" i="5"/>
  <c r="L202" i="5"/>
  <c r="U202" i="5" s="1"/>
  <c r="K202" i="5"/>
  <c r="T202" i="5" s="1"/>
  <c r="J202" i="5"/>
  <c r="AE202" i="5" s="1"/>
  <c r="BE202" i="5" s="1"/>
  <c r="Z201" i="5"/>
  <c r="Y201" i="5"/>
  <c r="X201" i="5"/>
  <c r="W201" i="5"/>
  <c r="AA201" i="5" s="1"/>
  <c r="V201" i="5"/>
  <c r="N201" i="5"/>
  <c r="M201" i="5"/>
  <c r="L201" i="5"/>
  <c r="K201" i="5"/>
  <c r="I201" i="5" s="1"/>
  <c r="J201" i="5"/>
  <c r="AE201" i="5" s="1"/>
  <c r="BE201" i="5" s="1"/>
  <c r="Z200" i="5"/>
  <c r="Y200" i="5"/>
  <c r="X200" i="5"/>
  <c r="W200" i="5"/>
  <c r="AA200" i="5" s="1"/>
  <c r="V200" i="5"/>
  <c r="N200" i="5"/>
  <c r="M200" i="5"/>
  <c r="L200" i="5"/>
  <c r="K200" i="5"/>
  <c r="J200" i="5"/>
  <c r="AE200" i="5" s="1"/>
  <c r="BE200" i="5" s="1"/>
  <c r="AE199" i="5"/>
  <c r="BE199" i="5" s="1"/>
  <c r="Z199" i="5"/>
  <c r="Y199" i="5"/>
  <c r="X199" i="5"/>
  <c r="W199" i="5"/>
  <c r="V199" i="5"/>
  <c r="AA199" i="5" s="1"/>
  <c r="N199" i="5"/>
  <c r="M199" i="5"/>
  <c r="L199" i="5"/>
  <c r="U199" i="5" s="1"/>
  <c r="K199" i="5"/>
  <c r="J199" i="5"/>
  <c r="T199" i="5" s="1"/>
  <c r="I199" i="5"/>
  <c r="BG199" i="5" s="1"/>
  <c r="Z198" i="5"/>
  <c r="Y198" i="5"/>
  <c r="X198" i="5"/>
  <c r="W198" i="5"/>
  <c r="V198" i="5"/>
  <c r="AA198" i="5" s="1"/>
  <c r="N198" i="5"/>
  <c r="M198" i="5"/>
  <c r="L198" i="5"/>
  <c r="U198" i="5" s="1"/>
  <c r="K198" i="5"/>
  <c r="T198" i="5" s="1"/>
  <c r="J198" i="5"/>
  <c r="AE198" i="5" s="1"/>
  <c r="BE198" i="5" s="1"/>
  <c r="Z197" i="5"/>
  <c r="Y197" i="5"/>
  <c r="X197" i="5"/>
  <c r="W197" i="5"/>
  <c r="AA197" i="5" s="1"/>
  <c r="V197" i="5"/>
  <c r="N197" i="5"/>
  <c r="M197" i="5"/>
  <c r="L197" i="5"/>
  <c r="K197" i="5"/>
  <c r="I197" i="5" s="1"/>
  <c r="BG197" i="5" s="1"/>
  <c r="J197" i="5"/>
  <c r="AE197" i="5" s="1"/>
  <c r="BE197" i="5" s="1"/>
  <c r="Z196" i="5"/>
  <c r="Y196" i="5"/>
  <c r="X196" i="5"/>
  <c r="W196" i="5"/>
  <c r="AA196" i="5" s="1"/>
  <c r="V196" i="5"/>
  <c r="N196" i="5"/>
  <c r="M196" i="5"/>
  <c r="L196" i="5"/>
  <c r="K196" i="5"/>
  <c r="J196" i="5"/>
  <c r="AE196" i="5" s="1"/>
  <c r="BE196" i="5" s="1"/>
  <c r="AE195" i="5"/>
  <c r="BE195" i="5" s="1"/>
  <c r="Z195" i="5"/>
  <c r="Y195" i="5"/>
  <c r="X195" i="5"/>
  <c r="W195" i="5"/>
  <c r="V195" i="5"/>
  <c r="AA195" i="5" s="1"/>
  <c r="N195" i="5"/>
  <c r="M195" i="5"/>
  <c r="L195" i="5"/>
  <c r="U195" i="5" s="1"/>
  <c r="K195" i="5"/>
  <c r="J195" i="5"/>
  <c r="T195" i="5" s="1"/>
  <c r="I195" i="5"/>
  <c r="BG195" i="5" s="1"/>
  <c r="Z194" i="5"/>
  <c r="Y194" i="5"/>
  <c r="X194" i="5"/>
  <c r="W194" i="5"/>
  <c r="V194" i="5"/>
  <c r="AA194" i="5" s="1"/>
  <c r="N194" i="5"/>
  <c r="M194" i="5"/>
  <c r="L194" i="5"/>
  <c r="U194" i="5" s="1"/>
  <c r="K194" i="5"/>
  <c r="T194" i="5" s="1"/>
  <c r="J194" i="5"/>
  <c r="AE194" i="5" s="1"/>
  <c r="BE194" i="5" s="1"/>
  <c r="Z193" i="5"/>
  <c r="Y193" i="5"/>
  <c r="X193" i="5"/>
  <c r="W193" i="5"/>
  <c r="AA193" i="5" s="1"/>
  <c r="V193" i="5"/>
  <c r="N193" i="5"/>
  <c r="M193" i="5"/>
  <c r="L193" i="5"/>
  <c r="K193" i="5"/>
  <c r="I193" i="5" s="1"/>
  <c r="BG193" i="5" s="1"/>
  <c r="J193" i="5"/>
  <c r="AE193" i="5" s="1"/>
  <c r="BE193" i="5" s="1"/>
  <c r="Z192" i="5"/>
  <c r="Y192" i="5"/>
  <c r="X192" i="5"/>
  <c r="W192" i="5"/>
  <c r="AA192" i="5" s="1"/>
  <c r="V192" i="5"/>
  <c r="N192" i="5"/>
  <c r="M192" i="5"/>
  <c r="L192" i="5"/>
  <c r="K192" i="5"/>
  <c r="J192" i="5"/>
  <c r="AE192" i="5" s="1"/>
  <c r="BE192" i="5" s="1"/>
  <c r="AE191" i="5"/>
  <c r="BE191" i="5" s="1"/>
  <c r="Z191" i="5"/>
  <c r="Y191" i="5"/>
  <c r="X191" i="5"/>
  <c r="W191" i="5"/>
  <c r="V191" i="5"/>
  <c r="AA191" i="5" s="1"/>
  <c r="N191" i="5"/>
  <c r="M191" i="5"/>
  <c r="L191" i="5"/>
  <c r="U191" i="5" s="1"/>
  <c r="K191" i="5"/>
  <c r="J191" i="5"/>
  <c r="T191" i="5" s="1"/>
  <c r="I191" i="5"/>
  <c r="BG191" i="5" s="1"/>
  <c r="Z190" i="5"/>
  <c r="Y190" i="5"/>
  <c r="X190" i="5"/>
  <c r="W190" i="5"/>
  <c r="V190" i="5"/>
  <c r="AA190" i="5" s="1"/>
  <c r="N190" i="5"/>
  <c r="M190" i="5"/>
  <c r="L190" i="5"/>
  <c r="U190" i="5" s="1"/>
  <c r="K190" i="5"/>
  <c r="T190" i="5" s="1"/>
  <c r="J190" i="5"/>
  <c r="AE190" i="5" s="1"/>
  <c r="BE190" i="5" s="1"/>
  <c r="Z189" i="5"/>
  <c r="Y189" i="5"/>
  <c r="X189" i="5"/>
  <c r="W189" i="5"/>
  <c r="AA189" i="5" s="1"/>
  <c r="V189" i="5"/>
  <c r="N189" i="5"/>
  <c r="M189" i="5"/>
  <c r="L189" i="5"/>
  <c r="K189" i="5"/>
  <c r="I189" i="5" s="1"/>
  <c r="BG189" i="5" s="1"/>
  <c r="J189" i="5"/>
  <c r="AE189" i="5" s="1"/>
  <c r="BE189" i="5" s="1"/>
  <c r="Z188" i="5"/>
  <c r="Y188" i="5"/>
  <c r="X188" i="5"/>
  <c r="W188" i="5"/>
  <c r="AA188" i="5" s="1"/>
  <c r="V188" i="5"/>
  <c r="N188" i="5"/>
  <c r="M188" i="5"/>
  <c r="L188" i="5"/>
  <c r="K188" i="5"/>
  <c r="J188" i="5"/>
  <c r="AE188" i="5" s="1"/>
  <c r="BE188" i="5" s="1"/>
  <c r="AE187" i="5"/>
  <c r="BE187" i="5" s="1"/>
  <c r="Z187" i="5"/>
  <c r="Y187" i="5"/>
  <c r="X187" i="5"/>
  <c r="W187" i="5"/>
  <c r="V187" i="5"/>
  <c r="AA187" i="5" s="1"/>
  <c r="N187" i="5"/>
  <c r="M187" i="5"/>
  <c r="L187" i="5"/>
  <c r="U187" i="5" s="1"/>
  <c r="K187" i="5"/>
  <c r="J187" i="5"/>
  <c r="T187" i="5" s="1"/>
  <c r="I187" i="5"/>
  <c r="BG187" i="5" s="1"/>
  <c r="Z186" i="5"/>
  <c r="Y186" i="5"/>
  <c r="X186" i="5"/>
  <c r="W186" i="5"/>
  <c r="V186" i="5"/>
  <c r="AA186" i="5" s="1"/>
  <c r="N186" i="5"/>
  <c r="M186" i="5"/>
  <c r="L186" i="5"/>
  <c r="U186" i="5" s="1"/>
  <c r="K186" i="5"/>
  <c r="T186" i="5" s="1"/>
  <c r="J186" i="5"/>
  <c r="AE186" i="5" s="1"/>
  <c r="BE186" i="5" s="1"/>
  <c r="Z185" i="5"/>
  <c r="Y185" i="5"/>
  <c r="X185" i="5"/>
  <c r="W185" i="5"/>
  <c r="AA185" i="5" s="1"/>
  <c r="V185" i="5"/>
  <c r="N185" i="5"/>
  <c r="M185" i="5"/>
  <c r="L185" i="5"/>
  <c r="K185" i="5"/>
  <c r="I185" i="5" s="1"/>
  <c r="J185" i="5"/>
  <c r="AE185" i="5" s="1"/>
  <c r="BE185" i="5" s="1"/>
  <c r="Z184" i="5"/>
  <c r="Y184" i="5"/>
  <c r="X184" i="5"/>
  <c r="W184" i="5"/>
  <c r="AA184" i="5" s="1"/>
  <c r="V184" i="5"/>
  <c r="N184" i="5"/>
  <c r="M184" i="5"/>
  <c r="L184" i="5"/>
  <c r="K184" i="5"/>
  <c r="J184" i="5"/>
  <c r="AE184" i="5" s="1"/>
  <c r="BE184" i="5" s="1"/>
  <c r="AE183" i="5"/>
  <c r="BE183" i="5" s="1"/>
  <c r="Z183" i="5"/>
  <c r="Y183" i="5"/>
  <c r="X183" i="5"/>
  <c r="W183" i="5"/>
  <c r="V183" i="5"/>
  <c r="AA183" i="5" s="1"/>
  <c r="N183" i="5"/>
  <c r="M183" i="5"/>
  <c r="L183" i="5"/>
  <c r="U183" i="5" s="1"/>
  <c r="K183" i="5"/>
  <c r="J183" i="5"/>
  <c r="T183" i="5" s="1"/>
  <c r="I183" i="5"/>
  <c r="BG183" i="5" s="1"/>
  <c r="Z182" i="5"/>
  <c r="Y182" i="5"/>
  <c r="X182" i="5"/>
  <c r="W182" i="5"/>
  <c r="V182" i="5"/>
  <c r="AA182" i="5" s="1"/>
  <c r="N182" i="5"/>
  <c r="M182" i="5"/>
  <c r="L182" i="5"/>
  <c r="U182" i="5" s="1"/>
  <c r="K182" i="5"/>
  <c r="T182" i="5" s="1"/>
  <c r="J182" i="5"/>
  <c r="AE182" i="5" s="1"/>
  <c r="BE182" i="5" s="1"/>
  <c r="Z181" i="5"/>
  <c r="Y181" i="5"/>
  <c r="X181" i="5"/>
  <c r="W181" i="5"/>
  <c r="AA181" i="5" s="1"/>
  <c r="V181" i="5"/>
  <c r="N181" i="5"/>
  <c r="M181" i="5"/>
  <c r="L181" i="5"/>
  <c r="K181" i="5"/>
  <c r="I181" i="5" s="1"/>
  <c r="BG181" i="5" s="1"/>
  <c r="J181" i="5"/>
  <c r="AE181" i="5" s="1"/>
  <c r="BE181" i="5" s="1"/>
  <c r="Z180" i="5"/>
  <c r="Y180" i="5"/>
  <c r="X180" i="5"/>
  <c r="W180" i="5"/>
  <c r="AA180" i="5" s="1"/>
  <c r="V180" i="5"/>
  <c r="N180" i="5"/>
  <c r="M180" i="5"/>
  <c r="L180" i="5"/>
  <c r="K180" i="5"/>
  <c r="J180" i="5"/>
  <c r="AE180" i="5" s="1"/>
  <c r="BE180" i="5" s="1"/>
  <c r="AE179" i="5"/>
  <c r="BE179" i="5" s="1"/>
  <c r="Z179" i="5"/>
  <c r="Y179" i="5"/>
  <c r="X179" i="5"/>
  <c r="W179" i="5"/>
  <c r="V179" i="5"/>
  <c r="AA179" i="5" s="1"/>
  <c r="N179" i="5"/>
  <c r="M179" i="5"/>
  <c r="L179" i="5"/>
  <c r="U179" i="5" s="1"/>
  <c r="K179" i="5"/>
  <c r="J179" i="5"/>
  <c r="T179" i="5" s="1"/>
  <c r="I179" i="5"/>
  <c r="BG179" i="5" s="1"/>
  <c r="Z178" i="5"/>
  <c r="Y178" i="5"/>
  <c r="X178" i="5"/>
  <c r="W178" i="5"/>
  <c r="V178" i="5"/>
  <c r="AA178" i="5" s="1"/>
  <c r="N178" i="5"/>
  <c r="M178" i="5"/>
  <c r="L178" i="5"/>
  <c r="U178" i="5" s="1"/>
  <c r="K178" i="5"/>
  <c r="T178" i="5" s="1"/>
  <c r="J178" i="5"/>
  <c r="AE178" i="5" s="1"/>
  <c r="BE178" i="5" s="1"/>
  <c r="Z177" i="5"/>
  <c r="Y177" i="5"/>
  <c r="X177" i="5"/>
  <c r="W177" i="5"/>
  <c r="AA177" i="5" s="1"/>
  <c r="V177" i="5"/>
  <c r="N177" i="5"/>
  <c r="M177" i="5"/>
  <c r="L177" i="5"/>
  <c r="K177" i="5"/>
  <c r="I177" i="5" s="1"/>
  <c r="BG177" i="5" s="1"/>
  <c r="J177" i="5"/>
  <c r="AE177" i="5" s="1"/>
  <c r="BE177" i="5" s="1"/>
  <c r="Z176" i="5"/>
  <c r="Y176" i="5"/>
  <c r="X176" i="5"/>
  <c r="W176" i="5"/>
  <c r="AA176" i="5" s="1"/>
  <c r="V176" i="5"/>
  <c r="N176" i="5"/>
  <c r="M176" i="5"/>
  <c r="L176" i="5"/>
  <c r="K176" i="5"/>
  <c r="J176" i="5"/>
  <c r="AE176" i="5" s="1"/>
  <c r="BE176" i="5" s="1"/>
  <c r="AE175" i="5"/>
  <c r="BE175" i="5" s="1"/>
  <c r="Z175" i="5"/>
  <c r="Y175" i="5"/>
  <c r="X175" i="5"/>
  <c r="W175" i="5"/>
  <c r="V175" i="5"/>
  <c r="AA175" i="5" s="1"/>
  <c r="N175" i="5"/>
  <c r="M175" i="5"/>
  <c r="L175" i="5"/>
  <c r="U175" i="5" s="1"/>
  <c r="K175" i="5"/>
  <c r="J175" i="5"/>
  <c r="T175" i="5" s="1"/>
  <c r="I175" i="5"/>
  <c r="BG175" i="5" s="1"/>
  <c r="Z174" i="5"/>
  <c r="Y174" i="5"/>
  <c r="X174" i="5"/>
  <c r="W174" i="5"/>
  <c r="V174" i="5"/>
  <c r="AA174" i="5" s="1"/>
  <c r="N174" i="5"/>
  <c r="M174" i="5"/>
  <c r="L174" i="5"/>
  <c r="U174" i="5" s="1"/>
  <c r="K174" i="5"/>
  <c r="T174" i="5" s="1"/>
  <c r="J174" i="5"/>
  <c r="AE174" i="5" s="1"/>
  <c r="BE174" i="5" s="1"/>
  <c r="Z173" i="5"/>
  <c r="Y173" i="5"/>
  <c r="X173" i="5"/>
  <c r="W173" i="5"/>
  <c r="AA173" i="5" s="1"/>
  <c r="V173" i="5"/>
  <c r="N173" i="5"/>
  <c r="M173" i="5"/>
  <c r="L173" i="5"/>
  <c r="K173" i="5"/>
  <c r="I173" i="5" s="1"/>
  <c r="J173" i="5"/>
  <c r="AE173" i="5" s="1"/>
  <c r="BE173" i="5" s="1"/>
  <c r="Z172" i="5"/>
  <c r="Y172" i="5"/>
  <c r="X172" i="5"/>
  <c r="W172" i="5"/>
  <c r="AA172" i="5" s="1"/>
  <c r="V172" i="5"/>
  <c r="N172" i="5"/>
  <c r="M172" i="5"/>
  <c r="L172" i="5"/>
  <c r="K172" i="5"/>
  <c r="J172" i="5"/>
  <c r="AE172" i="5" s="1"/>
  <c r="BE172" i="5" s="1"/>
  <c r="AE171" i="5"/>
  <c r="BE171" i="5" s="1"/>
  <c r="Z171" i="5"/>
  <c r="Y171" i="5"/>
  <c r="X171" i="5"/>
  <c r="W171" i="5"/>
  <c r="V171" i="5"/>
  <c r="AA171" i="5" s="1"/>
  <c r="N171" i="5"/>
  <c r="M171" i="5"/>
  <c r="L171" i="5"/>
  <c r="U171" i="5" s="1"/>
  <c r="K171" i="5"/>
  <c r="J171" i="5"/>
  <c r="T171" i="5" s="1"/>
  <c r="I171" i="5"/>
  <c r="BG171" i="5" s="1"/>
  <c r="Z170" i="5"/>
  <c r="Y170" i="5"/>
  <c r="X170" i="5"/>
  <c r="W170" i="5"/>
  <c r="V170" i="5"/>
  <c r="AA170" i="5" s="1"/>
  <c r="N170" i="5"/>
  <c r="M170" i="5"/>
  <c r="L170" i="5"/>
  <c r="U170" i="5" s="1"/>
  <c r="K170" i="5"/>
  <c r="T170" i="5" s="1"/>
  <c r="J170" i="5"/>
  <c r="AE170" i="5" s="1"/>
  <c r="BE170" i="5" s="1"/>
  <c r="Z169" i="5"/>
  <c r="Y169" i="5"/>
  <c r="X169" i="5"/>
  <c r="W169" i="5"/>
  <c r="AA169" i="5" s="1"/>
  <c r="V169" i="5"/>
  <c r="N169" i="5"/>
  <c r="M169" i="5"/>
  <c r="L169" i="5"/>
  <c r="K169" i="5"/>
  <c r="I169" i="5" s="1"/>
  <c r="BG169" i="5" s="1"/>
  <c r="J169" i="5"/>
  <c r="AE169" i="5" s="1"/>
  <c r="BE169" i="5" s="1"/>
  <c r="Z168" i="5"/>
  <c r="Y168" i="5"/>
  <c r="X168" i="5"/>
  <c r="W168" i="5"/>
  <c r="AA168" i="5" s="1"/>
  <c r="V168" i="5"/>
  <c r="N168" i="5"/>
  <c r="M168" i="5"/>
  <c r="L168" i="5"/>
  <c r="K168" i="5"/>
  <c r="J168" i="5"/>
  <c r="AE168" i="5" s="1"/>
  <c r="BE168" i="5" s="1"/>
  <c r="AE167" i="5"/>
  <c r="BE167" i="5" s="1"/>
  <c r="Z167" i="5"/>
  <c r="Y167" i="5"/>
  <c r="X167" i="5"/>
  <c r="W167" i="5"/>
  <c r="V167" i="5"/>
  <c r="AA167" i="5" s="1"/>
  <c r="N167" i="5"/>
  <c r="M167" i="5"/>
  <c r="L167" i="5"/>
  <c r="U167" i="5" s="1"/>
  <c r="K167" i="5"/>
  <c r="J167" i="5"/>
  <c r="T167" i="5" s="1"/>
  <c r="I167" i="5"/>
  <c r="BG167" i="5" s="1"/>
  <c r="Z166" i="5"/>
  <c r="Y166" i="5"/>
  <c r="X166" i="5"/>
  <c r="W166" i="5"/>
  <c r="V166" i="5"/>
  <c r="AA166" i="5" s="1"/>
  <c r="N166" i="5"/>
  <c r="M166" i="5"/>
  <c r="L166" i="5"/>
  <c r="U166" i="5" s="1"/>
  <c r="K166" i="5"/>
  <c r="T166" i="5" s="1"/>
  <c r="J166" i="5"/>
  <c r="AE166" i="5" s="1"/>
  <c r="BE166" i="5" s="1"/>
  <c r="Z165" i="5"/>
  <c r="Y165" i="5"/>
  <c r="X165" i="5"/>
  <c r="W165" i="5"/>
  <c r="AA165" i="5" s="1"/>
  <c r="V165" i="5"/>
  <c r="N165" i="5"/>
  <c r="M165" i="5"/>
  <c r="L165" i="5"/>
  <c r="K165" i="5"/>
  <c r="I165" i="5" s="1"/>
  <c r="BG165" i="5" s="1"/>
  <c r="J165" i="5"/>
  <c r="AE165" i="5" s="1"/>
  <c r="BE165" i="5" s="1"/>
  <c r="Z164" i="5"/>
  <c r="Y164" i="5"/>
  <c r="X164" i="5"/>
  <c r="W164" i="5"/>
  <c r="AA164" i="5" s="1"/>
  <c r="V164" i="5"/>
  <c r="N164" i="5"/>
  <c r="M164" i="5"/>
  <c r="L164" i="5"/>
  <c r="K164" i="5"/>
  <c r="J164" i="5"/>
  <c r="AE164" i="5" s="1"/>
  <c r="BE164" i="5" s="1"/>
  <c r="AE163" i="5"/>
  <c r="BE163" i="5" s="1"/>
  <c r="Z163" i="5"/>
  <c r="Y163" i="5"/>
  <c r="X163" i="5"/>
  <c r="W163" i="5"/>
  <c r="V163" i="5"/>
  <c r="AA163" i="5" s="1"/>
  <c r="N163" i="5"/>
  <c r="M163" i="5"/>
  <c r="L163" i="5"/>
  <c r="U163" i="5" s="1"/>
  <c r="K163" i="5"/>
  <c r="J163" i="5"/>
  <c r="T163" i="5" s="1"/>
  <c r="I163" i="5"/>
  <c r="BG163" i="5" s="1"/>
  <c r="Z162" i="5"/>
  <c r="Y162" i="5"/>
  <c r="X162" i="5"/>
  <c r="W162" i="5"/>
  <c r="V162" i="5"/>
  <c r="AA162" i="5" s="1"/>
  <c r="N162" i="5"/>
  <c r="M162" i="5"/>
  <c r="L162" i="5"/>
  <c r="U162" i="5" s="1"/>
  <c r="K162" i="5"/>
  <c r="T162" i="5" s="1"/>
  <c r="J162" i="5"/>
  <c r="AE162" i="5" s="1"/>
  <c r="BE162" i="5" s="1"/>
  <c r="Z161" i="5"/>
  <c r="Y161" i="5"/>
  <c r="X161" i="5"/>
  <c r="W161" i="5"/>
  <c r="AA161" i="5" s="1"/>
  <c r="V161" i="5"/>
  <c r="N161" i="5"/>
  <c r="M161" i="5"/>
  <c r="L161" i="5"/>
  <c r="K161" i="5"/>
  <c r="I161" i="5" s="1"/>
  <c r="J161" i="5"/>
  <c r="AE161" i="5" s="1"/>
  <c r="BE161" i="5" s="1"/>
  <c r="Z160" i="5"/>
  <c r="Y160" i="5"/>
  <c r="X160" i="5"/>
  <c r="W160" i="5"/>
  <c r="AA160" i="5" s="1"/>
  <c r="V160" i="5"/>
  <c r="N160" i="5"/>
  <c r="M160" i="5"/>
  <c r="L160" i="5"/>
  <c r="K160" i="5"/>
  <c r="J160" i="5"/>
  <c r="AE160" i="5" s="1"/>
  <c r="BE160" i="5" s="1"/>
  <c r="AE159" i="5"/>
  <c r="BE159" i="5" s="1"/>
  <c r="Z159" i="5"/>
  <c r="Y159" i="5"/>
  <c r="X159" i="5"/>
  <c r="W159" i="5"/>
  <c r="V159" i="5"/>
  <c r="AA159" i="5" s="1"/>
  <c r="N159" i="5"/>
  <c r="M159" i="5"/>
  <c r="L159" i="5"/>
  <c r="U159" i="5" s="1"/>
  <c r="K159" i="5"/>
  <c r="J159" i="5"/>
  <c r="T159" i="5" s="1"/>
  <c r="I159" i="5"/>
  <c r="BG159" i="5" s="1"/>
  <c r="Z158" i="5"/>
  <c r="Y158" i="5"/>
  <c r="X158" i="5"/>
  <c r="W158" i="5"/>
  <c r="V158" i="5"/>
  <c r="AA158" i="5" s="1"/>
  <c r="N158" i="5"/>
  <c r="M158" i="5"/>
  <c r="L158" i="5"/>
  <c r="U158" i="5" s="1"/>
  <c r="K158" i="5"/>
  <c r="T158" i="5" s="1"/>
  <c r="J158" i="5"/>
  <c r="AE158" i="5" s="1"/>
  <c r="BE158" i="5" s="1"/>
  <c r="BG157" i="5"/>
  <c r="Z157" i="5"/>
  <c r="Y157" i="5"/>
  <c r="X157" i="5"/>
  <c r="W157" i="5"/>
  <c r="AA157" i="5" s="1"/>
  <c r="V157" i="5"/>
  <c r="U157" i="5"/>
  <c r="T157" i="5"/>
  <c r="P157" i="5"/>
  <c r="Z156" i="5"/>
  <c r="Y156" i="5"/>
  <c r="X156" i="5"/>
  <c r="W156" i="5"/>
  <c r="V156" i="5"/>
  <c r="AA156" i="5" s="1"/>
  <c r="N156" i="5"/>
  <c r="M156" i="5"/>
  <c r="L156" i="5"/>
  <c r="U156" i="5" s="1"/>
  <c r="K156" i="5"/>
  <c r="T156" i="5" s="1"/>
  <c r="J156" i="5"/>
  <c r="AE156" i="5" s="1"/>
  <c r="BE156" i="5" s="1"/>
  <c r="Z155" i="5"/>
  <c r="Y155" i="5"/>
  <c r="X155" i="5"/>
  <c r="W155" i="5"/>
  <c r="AA155" i="5" s="1"/>
  <c r="V155" i="5"/>
  <c r="N155" i="5"/>
  <c r="M155" i="5"/>
  <c r="L155" i="5"/>
  <c r="K155" i="5"/>
  <c r="I155" i="5" s="1"/>
  <c r="J155" i="5"/>
  <c r="AE155" i="5" s="1"/>
  <c r="BE155" i="5" s="1"/>
  <c r="Z154" i="5"/>
  <c r="Y154" i="5"/>
  <c r="X154" i="5"/>
  <c r="W154" i="5"/>
  <c r="AA154" i="5" s="1"/>
  <c r="V154" i="5"/>
  <c r="N154" i="5"/>
  <c r="M154" i="5"/>
  <c r="L154" i="5"/>
  <c r="K154" i="5"/>
  <c r="J154" i="5"/>
  <c r="AE154" i="5" s="1"/>
  <c r="BE154" i="5" s="1"/>
  <c r="AE153" i="5"/>
  <c r="BE153" i="5" s="1"/>
  <c r="Z153" i="5"/>
  <c r="Y153" i="5"/>
  <c r="X153" i="5"/>
  <c r="W153" i="5"/>
  <c r="V153" i="5"/>
  <c r="AA153" i="5" s="1"/>
  <c r="N153" i="5"/>
  <c r="M153" i="5"/>
  <c r="L153" i="5"/>
  <c r="U153" i="5" s="1"/>
  <c r="K153" i="5"/>
  <c r="J153" i="5"/>
  <c r="T153" i="5" s="1"/>
  <c r="I153" i="5"/>
  <c r="BG153" i="5" s="1"/>
  <c r="Z152" i="5"/>
  <c r="Y152" i="5"/>
  <c r="X152" i="5"/>
  <c r="W152" i="5"/>
  <c r="V152" i="5"/>
  <c r="AA152" i="5" s="1"/>
  <c r="N152" i="5"/>
  <c r="M152" i="5"/>
  <c r="L152" i="5"/>
  <c r="U152" i="5" s="1"/>
  <c r="K152" i="5"/>
  <c r="T152" i="5" s="1"/>
  <c r="J152" i="5"/>
  <c r="AE152" i="5" s="1"/>
  <c r="BE152" i="5" s="1"/>
  <c r="Z151" i="5"/>
  <c r="Y151" i="5"/>
  <c r="X151" i="5"/>
  <c r="W151" i="5"/>
  <c r="AA151" i="5" s="1"/>
  <c r="V151" i="5"/>
  <c r="N151" i="5"/>
  <c r="M151" i="5"/>
  <c r="L151" i="5"/>
  <c r="K151" i="5"/>
  <c r="I151" i="5" s="1"/>
  <c r="J151" i="5"/>
  <c r="AE151" i="5" s="1"/>
  <c r="BE151" i="5" s="1"/>
  <c r="Z150" i="5"/>
  <c r="Y150" i="5"/>
  <c r="X150" i="5"/>
  <c r="W150" i="5"/>
  <c r="AA150" i="5" s="1"/>
  <c r="V150" i="5"/>
  <c r="N150" i="5"/>
  <c r="M150" i="5"/>
  <c r="L150" i="5"/>
  <c r="K150" i="5"/>
  <c r="J150" i="5"/>
  <c r="AE150" i="5" s="1"/>
  <c r="BE150" i="5" s="1"/>
  <c r="AE149" i="5"/>
  <c r="BE149" i="5" s="1"/>
  <c r="Z149" i="5"/>
  <c r="Y149" i="5"/>
  <c r="X149" i="5"/>
  <c r="W149" i="5"/>
  <c r="V149" i="5"/>
  <c r="AA149" i="5" s="1"/>
  <c r="N149" i="5"/>
  <c r="M149" i="5"/>
  <c r="L149" i="5"/>
  <c r="U149" i="5" s="1"/>
  <c r="K149" i="5"/>
  <c r="J149" i="5"/>
  <c r="T149" i="5" s="1"/>
  <c r="I149" i="5"/>
  <c r="BG149" i="5" s="1"/>
  <c r="Z148" i="5"/>
  <c r="Y148" i="5"/>
  <c r="X148" i="5"/>
  <c r="W148" i="5"/>
  <c r="V148" i="5"/>
  <c r="AA148" i="5" s="1"/>
  <c r="N148" i="5"/>
  <c r="M148" i="5"/>
  <c r="L148" i="5"/>
  <c r="U148" i="5" s="1"/>
  <c r="K148" i="5"/>
  <c r="T148" i="5" s="1"/>
  <c r="J148" i="5"/>
  <c r="AE148" i="5" s="1"/>
  <c r="BE148" i="5" s="1"/>
  <c r="Z147" i="5"/>
  <c r="Y147" i="5"/>
  <c r="X147" i="5"/>
  <c r="W147" i="5"/>
  <c r="AA147" i="5" s="1"/>
  <c r="V147" i="5"/>
  <c r="N147" i="5"/>
  <c r="M147" i="5"/>
  <c r="L147" i="5"/>
  <c r="K147" i="5"/>
  <c r="I147" i="5" s="1"/>
  <c r="BG147" i="5" s="1"/>
  <c r="J147" i="5"/>
  <c r="AE147" i="5" s="1"/>
  <c r="BE147" i="5" s="1"/>
  <c r="Z146" i="5"/>
  <c r="Y146" i="5"/>
  <c r="X146" i="5"/>
  <c r="W146" i="5"/>
  <c r="AA146" i="5" s="1"/>
  <c r="V146" i="5"/>
  <c r="N146" i="5"/>
  <c r="M146" i="5"/>
  <c r="L146" i="5"/>
  <c r="K146" i="5"/>
  <c r="J146" i="5"/>
  <c r="AE146" i="5" s="1"/>
  <c r="BE146" i="5" s="1"/>
  <c r="AE145" i="5"/>
  <c r="BE145" i="5" s="1"/>
  <c r="Z145" i="5"/>
  <c r="Z355" i="5" s="1"/>
  <c r="Y145" i="5"/>
  <c r="Y357" i="5" s="1"/>
  <c r="X145" i="5"/>
  <c r="X356" i="5" s="1"/>
  <c r="W145" i="5"/>
  <c r="V145" i="5"/>
  <c r="V355" i="5" s="1"/>
  <c r="N145" i="5"/>
  <c r="M145" i="5"/>
  <c r="L145" i="5"/>
  <c r="U145" i="5" s="1"/>
  <c r="K145" i="5"/>
  <c r="J145" i="5"/>
  <c r="T145" i="5" s="1"/>
  <c r="I145" i="5"/>
  <c r="BG145" i="5" s="1"/>
  <c r="BH144" i="5"/>
  <c r="BG144" i="5"/>
  <c r="BF144" i="5"/>
  <c r="BE144" i="5"/>
  <c r="BC144" i="5"/>
  <c r="BA144" i="5"/>
  <c r="AZ144" i="5"/>
  <c r="AF144" i="5"/>
  <c r="AE144" i="5"/>
  <c r="AC144" i="5"/>
  <c r="AB144" i="5"/>
  <c r="AA144" i="5"/>
  <c r="W144" i="5"/>
  <c r="U144" i="5"/>
  <c r="T144" i="5"/>
  <c r="S144" i="5"/>
  <c r="R144" i="5"/>
  <c r="Q144" i="5"/>
  <c r="P144" i="5"/>
  <c r="N144" i="5"/>
  <c r="Z144" i="5" s="1"/>
  <c r="M144" i="5"/>
  <c r="Y144" i="5" s="1"/>
  <c r="L144" i="5"/>
  <c r="X144" i="5" s="1"/>
  <c r="K144" i="5"/>
  <c r="J144" i="5"/>
  <c r="V143" i="5"/>
  <c r="N143" i="5"/>
  <c r="M143" i="5"/>
  <c r="L143" i="5"/>
  <c r="K143" i="5"/>
  <c r="J143" i="5"/>
  <c r="I143" i="5"/>
  <c r="N142" i="5"/>
  <c r="M142" i="5"/>
  <c r="L142" i="5"/>
  <c r="K142" i="5"/>
  <c r="I142" i="5" s="1"/>
  <c r="J142" i="5"/>
  <c r="N141" i="5"/>
  <c r="M141" i="5"/>
  <c r="L141" i="5"/>
  <c r="K141" i="5"/>
  <c r="J141" i="5"/>
  <c r="I141" i="5"/>
  <c r="N140" i="5"/>
  <c r="M140" i="5"/>
  <c r="L140" i="5"/>
  <c r="K140" i="5"/>
  <c r="I140" i="5" s="1"/>
  <c r="J140" i="5"/>
  <c r="N139" i="5"/>
  <c r="M139" i="5"/>
  <c r="L139" i="5"/>
  <c r="K139" i="5"/>
  <c r="J139" i="5"/>
  <c r="I139" i="5"/>
  <c r="N138" i="5"/>
  <c r="M138" i="5"/>
  <c r="L138" i="5"/>
  <c r="K138" i="5"/>
  <c r="I138" i="5" s="1"/>
  <c r="J138" i="5"/>
  <c r="N137" i="5"/>
  <c r="M137" i="5"/>
  <c r="L137" i="5"/>
  <c r="K137" i="5"/>
  <c r="J137" i="5"/>
  <c r="I137" i="5"/>
  <c r="N136" i="5"/>
  <c r="M136" i="5"/>
  <c r="L136" i="5"/>
  <c r="K136" i="5"/>
  <c r="I136" i="5" s="1"/>
  <c r="J136" i="5"/>
  <c r="N135" i="5"/>
  <c r="M135" i="5"/>
  <c r="L135" i="5"/>
  <c r="K135" i="5"/>
  <c r="J135" i="5"/>
  <c r="I135" i="5"/>
  <c r="N134" i="5"/>
  <c r="M134" i="5"/>
  <c r="L134" i="5"/>
  <c r="K134" i="5"/>
  <c r="I134" i="5" s="1"/>
  <c r="J134" i="5"/>
  <c r="N133" i="5"/>
  <c r="M133" i="5"/>
  <c r="L133" i="5"/>
  <c r="K133" i="5"/>
  <c r="J133" i="5"/>
  <c r="I133" i="5"/>
  <c r="N132" i="5"/>
  <c r="M132" i="5"/>
  <c r="L132" i="5"/>
  <c r="K132" i="5"/>
  <c r="I132" i="5" s="1"/>
  <c r="J132" i="5"/>
  <c r="N131" i="5"/>
  <c r="M131" i="5"/>
  <c r="L131" i="5"/>
  <c r="K131" i="5"/>
  <c r="J131" i="5"/>
  <c r="I131" i="5"/>
  <c r="N130" i="5"/>
  <c r="M130" i="5"/>
  <c r="L130" i="5"/>
  <c r="K130" i="5"/>
  <c r="I130" i="5" s="1"/>
  <c r="J130" i="5"/>
  <c r="N129" i="5"/>
  <c r="M129" i="5"/>
  <c r="L129" i="5"/>
  <c r="K129" i="5"/>
  <c r="J129" i="5"/>
  <c r="I129" i="5"/>
  <c r="N128" i="5"/>
  <c r="M128" i="5"/>
  <c r="L128" i="5"/>
  <c r="K128" i="5"/>
  <c r="I128" i="5" s="1"/>
  <c r="J128" i="5"/>
  <c r="N127" i="5"/>
  <c r="M127" i="5"/>
  <c r="L127" i="5"/>
  <c r="K127" i="5"/>
  <c r="J127" i="5"/>
  <c r="I127" i="5"/>
  <c r="N126" i="5"/>
  <c r="M126" i="5"/>
  <c r="L126" i="5"/>
  <c r="K126" i="5"/>
  <c r="I126" i="5" s="1"/>
  <c r="J126" i="5"/>
  <c r="N125" i="5"/>
  <c r="M125" i="5"/>
  <c r="L125" i="5"/>
  <c r="K125" i="5"/>
  <c r="J125" i="5"/>
  <c r="I125" i="5"/>
  <c r="N124" i="5"/>
  <c r="M124" i="5"/>
  <c r="L124" i="5"/>
  <c r="K124" i="5"/>
  <c r="I124" i="5" s="1"/>
  <c r="J124" i="5"/>
  <c r="N123" i="5"/>
  <c r="M123" i="5"/>
  <c r="L123" i="5"/>
  <c r="K123" i="5"/>
  <c r="J123" i="5"/>
  <c r="I123" i="5"/>
  <c r="N122" i="5"/>
  <c r="M122" i="5"/>
  <c r="L122" i="5"/>
  <c r="K122" i="5"/>
  <c r="I122" i="5" s="1"/>
  <c r="J122" i="5"/>
  <c r="N121" i="5"/>
  <c r="M121" i="5"/>
  <c r="L121" i="5"/>
  <c r="K121" i="5"/>
  <c r="J121" i="5"/>
  <c r="I121" i="5"/>
  <c r="N120" i="5"/>
  <c r="M120" i="5"/>
  <c r="L120" i="5"/>
  <c r="K120" i="5"/>
  <c r="I120" i="5" s="1"/>
  <c r="J120" i="5"/>
  <c r="N119" i="5"/>
  <c r="M119" i="5"/>
  <c r="L119" i="5"/>
  <c r="K119" i="5"/>
  <c r="J119" i="5"/>
  <c r="I119" i="5"/>
  <c r="N118" i="5"/>
  <c r="M118" i="5"/>
  <c r="L118" i="5"/>
  <c r="K118" i="5"/>
  <c r="I118" i="5" s="1"/>
  <c r="J118" i="5"/>
  <c r="N117" i="5"/>
  <c r="M117" i="5"/>
  <c r="L117" i="5"/>
  <c r="K117" i="5"/>
  <c r="J117" i="5"/>
  <c r="I117" i="5"/>
  <c r="N116" i="5"/>
  <c r="M116" i="5"/>
  <c r="L116" i="5"/>
  <c r="K116" i="5"/>
  <c r="I116" i="5" s="1"/>
  <c r="J116" i="5"/>
  <c r="N115" i="5"/>
  <c r="M115" i="5"/>
  <c r="L115" i="5"/>
  <c r="K115" i="5"/>
  <c r="J115" i="5"/>
  <c r="I115" i="5"/>
  <c r="N114" i="5"/>
  <c r="M114" i="5"/>
  <c r="L114" i="5"/>
  <c r="K114" i="5"/>
  <c r="I114" i="5" s="1"/>
  <c r="J114" i="5"/>
  <c r="N113" i="5"/>
  <c r="M113" i="5"/>
  <c r="L113" i="5"/>
  <c r="K113" i="5"/>
  <c r="J113" i="5"/>
  <c r="I113" i="5"/>
  <c r="N112" i="5"/>
  <c r="M112" i="5"/>
  <c r="L112" i="5"/>
  <c r="K112" i="5"/>
  <c r="I112" i="5" s="1"/>
  <c r="J112" i="5"/>
  <c r="N111" i="5"/>
  <c r="M111" i="5"/>
  <c r="L111" i="5"/>
  <c r="K111" i="5"/>
  <c r="J111" i="5"/>
  <c r="I111" i="5"/>
  <c r="N110" i="5"/>
  <c r="M110" i="5"/>
  <c r="L110" i="5"/>
  <c r="K110" i="5"/>
  <c r="I110" i="5" s="1"/>
  <c r="J110" i="5"/>
  <c r="N109" i="5"/>
  <c r="M109" i="5"/>
  <c r="L109" i="5"/>
  <c r="K109" i="5"/>
  <c r="J109" i="5"/>
  <c r="I109" i="5"/>
  <c r="N108" i="5"/>
  <c r="M108" i="5"/>
  <c r="L108" i="5"/>
  <c r="K108" i="5"/>
  <c r="I108" i="5" s="1"/>
  <c r="J108" i="5"/>
  <c r="N107" i="5"/>
  <c r="M107" i="5"/>
  <c r="L107" i="5"/>
  <c r="K107" i="5"/>
  <c r="J107" i="5"/>
  <c r="I107" i="5"/>
  <c r="N106" i="5"/>
  <c r="M106" i="5"/>
  <c r="L106" i="5"/>
  <c r="K106" i="5"/>
  <c r="I106" i="5" s="1"/>
  <c r="J106" i="5"/>
  <c r="N105" i="5"/>
  <c r="M105" i="5"/>
  <c r="L105" i="5"/>
  <c r="K105" i="5"/>
  <c r="J105" i="5"/>
  <c r="I105" i="5"/>
  <c r="N104" i="5"/>
  <c r="M104" i="5"/>
  <c r="L104" i="5"/>
  <c r="K104" i="5"/>
  <c r="I104" i="5" s="1"/>
  <c r="J104" i="5"/>
  <c r="N103" i="5"/>
  <c r="M103" i="5"/>
  <c r="L103" i="5"/>
  <c r="K103" i="5"/>
  <c r="J103" i="5"/>
  <c r="I103" i="5"/>
  <c r="N102" i="5"/>
  <c r="M102" i="5"/>
  <c r="L102" i="5"/>
  <c r="K102" i="5"/>
  <c r="I102" i="5" s="1"/>
  <c r="J102" i="5"/>
  <c r="N101" i="5"/>
  <c r="M101" i="5"/>
  <c r="L101" i="5"/>
  <c r="K101" i="5"/>
  <c r="J101" i="5"/>
  <c r="I101" i="5"/>
  <c r="N100" i="5"/>
  <c r="M100" i="5"/>
  <c r="L100" i="5"/>
  <c r="K100" i="5"/>
  <c r="I100" i="5" s="1"/>
  <c r="J100" i="5"/>
  <c r="N99" i="5"/>
  <c r="M99" i="5"/>
  <c r="L99" i="5"/>
  <c r="K99" i="5"/>
  <c r="J99" i="5"/>
  <c r="I99" i="5"/>
  <c r="N98" i="5"/>
  <c r="M98" i="5"/>
  <c r="L98" i="5"/>
  <c r="K98" i="5"/>
  <c r="I98" i="5" s="1"/>
  <c r="J98" i="5"/>
  <c r="N97" i="5"/>
  <c r="M97" i="5"/>
  <c r="L97" i="5"/>
  <c r="K97" i="5"/>
  <c r="J97" i="5"/>
  <c r="I97" i="5"/>
  <c r="N96" i="5"/>
  <c r="M96" i="5"/>
  <c r="L96" i="5"/>
  <c r="K96" i="5"/>
  <c r="I96" i="5" s="1"/>
  <c r="J96" i="5"/>
  <c r="N95" i="5"/>
  <c r="M95" i="5"/>
  <c r="L95" i="5"/>
  <c r="K95" i="5"/>
  <c r="J95" i="5"/>
  <c r="I95" i="5"/>
  <c r="N94" i="5"/>
  <c r="M94" i="5"/>
  <c r="L94" i="5"/>
  <c r="K94" i="5"/>
  <c r="I94" i="5" s="1"/>
  <c r="J94" i="5"/>
  <c r="N93" i="5"/>
  <c r="M93" i="5"/>
  <c r="L93" i="5"/>
  <c r="K93" i="5"/>
  <c r="J93" i="5"/>
  <c r="I93" i="5"/>
  <c r="N92" i="5"/>
  <c r="M92" i="5"/>
  <c r="L92" i="5"/>
  <c r="K92" i="5"/>
  <c r="I92" i="5" s="1"/>
  <c r="J92" i="5"/>
  <c r="N91" i="5"/>
  <c r="M91" i="5"/>
  <c r="L91" i="5"/>
  <c r="K91" i="5"/>
  <c r="J91" i="5"/>
  <c r="I91" i="5"/>
  <c r="N90" i="5"/>
  <c r="M90" i="5"/>
  <c r="L90" i="5"/>
  <c r="K90" i="5"/>
  <c r="I90" i="5" s="1"/>
  <c r="J90" i="5"/>
  <c r="N89" i="5"/>
  <c r="M89" i="5"/>
  <c r="L89" i="5"/>
  <c r="J89" i="5"/>
  <c r="L88" i="5"/>
  <c r="K88" i="5"/>
  <c r="J88" i="5"/>
  <c r="L87" i="5"/>
  <c r="K87" i="5"/>
  <c r="J87" i="5"/>
  <c r="L86" i="5"/>
  <c r="K86" i="5"/>
  <c r="J86" i="5"/>
  <c r="L85" i="5"/>
  <c r="K85" i="5"/>
  <c r="J85" i="5"/>
  <c r="L84" i="5"/>
  <c r="K84" i="5"/>
  <c r="J84" i="5"/>
  <c r="L83" i="5"/>
  <c r="K83" i="5"/>
  <c r="J83" i="5"/>
  <c r="L82" i="5"/>
  <c r="K82" i="5"/>
  <c r="J82" i="5"/>
  <c r="L81" i="5"/>
  <c r="K81" i="5"/>
  <c r="J81" i="5"/>
  <c r="N80" i="5"/>
  <c r="M80" i="5"/>
  <c r="L80" i="5"/>
  <c r="K80" i="5"/>
  <c r="I80" i="5" s="1"/>
  <c r="J80" i="5"/>
  <c r="N79" i="5"/>
  <c r="M79" i="5"/>
  <c r="L79" i="5"/>
  <c r="K79" i="5"/>
  <c r="J79" i="5"/>
  <c r="I79" i="5" s="1"/>
  <c r="N78" i="5"/>
  <c r="M78" i="5"/>
  <c r="L78" i="5"/>
  <c r="J78" i="5"/>
  <c r="L77" i="5"/>
  <c r="K77" i="5"/>
  <c r="J77" i="5"/>
  <c r="J76" i="5"/>
  <c r="J75" i="5"/>
  <c r="J74" i="5"/>
  <c r="J73" i="5"/>
  <c r="J72" i="5"/>
  <c r="J71" i="5"/>
  <c r="J70" i="5"/>
  <c r="N69" i="5"/>
  <c r="M69" i="5"/>
  <c r="J69" i="5"/>
  <c r="N68" i="5"/>
  <c r="M68" i="5"/>
  <c r="J68" i="5"/>
  <c r="N67" i="5"/>
  <c r="M67" i="5"/>
  <c r="K67" i="5"/>
  <c r="J67" i="5"/>
  <c r="E67" i="5"/>
  <c r="L67" i="5" s="1"/>
  <c r="I67" i="5" s="1"/>
  <c r="N66" i="5"/>
  <c r="M66" i="5"/>
  <c r="L66" i="5"/>
  <c r="K66" i="5"/>
  <c r="I66" i="5" s="1"/>
  <c r="J66" i="5"/>
  <c r="N65" i="5"/>
  <c r="M65" i="5"/>
  <c r="L65" i="5"/>
  <c r="K65" i="5"/>
  <c r="J65" i="5"/>
  <c r="I65" i="5" s="1"/>
  <c r="N64" i="5"/>
  <c r="M64" i="5"/>
  <c r="L64" i="5"/>
  <c r="K64" i="5"/>
  <c r="I64" i="5" s="1"/>
  <c r="J64" i="5"/>
  <c r="N63" i="5"/>
  <c r="M63" i="5"/>
  <c r="L63" i="5"/>
  <c r="K63" i="5"/>
  <c r="J63" i="5"/>
  <c r="I63" i="5" s="1"/>
  <c r="N62" i="5"/>
  <c r="M62" i="5"/>
  <c r="L62" i="5"/>
  <c r="K62" i="5"/>
  <c r="I62" i="5" s="1"/>
  <c r="J62" i="5"/>
  <c r="N61" i="5"/>
  <c r="M61" i="5"/>
  <c r="L61" i="5"/>
  <c r="K61" i="5"/>
  <c r="J61" i="5"/>
  <c r="I61" i="5" s="1"/>
  <c r="N60" i="5"/>
  <c r="M60" i="5"/>
  <c r="L60" i="5"/>
  <c r="K60" i="5"/>
  <c r="I60" i="5" s="1"/>
  <c r="J60" i="5"/>
  <c r="K39" i="5"/>
  <c r="V37" i="5"/>
  <c r="U37" i="5"/>
  <c r="T37" i="5" s="1"/>
  <c r="L37" i="5"/>
  <c r="K37" i="5"/>
  <c r="J37" i="5" s="1"/>
  <c r="V36" i="5"/>
  <c r="U36" i="5"/>
  <c r="T36" i="5" s="1"/>
  <c r="V35" i="5"/>
  <c r="U35" i="5"/>
  <c r="T35" i="5" s="1"/>
  <c r="V33" i="5"/>
  <c r="U33" i="5"/>
  <c r="T33" i="5" s="1"/>
  <c r="L33" i="5"/>
  <c r="K33" i="5"/>
  <c r="J33" i="5" s="1"/>
  <c r="V32" i="5"/>
  <c r="U32" i="5"/>
  <c r="T32" i="5" s="1"/>
  <c r="L32" i="5"/>
  <c r="K32" i="5"/>
  <c r="J32" i="5" s="1"/>
  <c r="V31" i="5"/>
  <c r="U31" i="5"/>
  <c r="T31" i="5" s="1"/>
  <c r="V28" i="5"/>
  <c r="U28" i="5"/>
  <c r="T28" i="5" s="1"/>
  <c r="V26" i="5"/>
  <c r="U26" i="5"/>
  <c r="T26" i="5" s="1"/>
  <c r="L24" i="5"/>
  <c r="K24" i="5"/>
  <c r="J24" i="5" s="1"/>
  <c r="V22" i="5"/>
  <c r="W22" i="5" s="1"/>
  <c r="U22" i="5"/>
  <c r="T22" i="5" s="1"/>
  <c r="L22" i="5"/>
  <c r="M22" i="5" s="1"/>
  <c r="K22" i="5"/>
  <c r="J22" i="5" s="1"/>
  <c r="E12" i="5"/>
  <c r="D12" i="5"/>
  <c r="K10" i="5"/>
  <c r="K9" i="5"/>
  <c r="K8" i="5"/>
  <c r="K7" i="5"/>
  <c r="K6" i="5"/>
  <c r="J5" i="5"/>
  <c r="L4" i="5"/>
  <c r="K4" i="5"/>
  <c r="J4" i="5"/>
  <c r="P3" i="5"/>
  <c r="O3" i="5"/>
  <c r="N3" i="5"/>
  <c r="M3" i="5"/>
  <c r="L3" i="5"/>
  <c r="K3" i="5"/>
  <c r="J3" i="5"/>
  <c r="K2" i="5"/>
  <c r="D1" i="5"/>
  <c r="L5" i="5" s="1"/>
  <c r="C538" i="4"/>
  <c r="C534" i="4"/>
  <c r="C532" i="4"/>
  <c r="L524" i="4"/>
  <c r="J524" i="4"/>
  <c r="K533" i="4" s="1"/>
  <c r="I524" i="4"/>
  <c r="J533" i="4" s="1"/>
  <c r="F524" i="4"/>
  <c r="G533" i="4" s="1"/>
  <c r="C523" i="4"/>
  <c r="I522" i="4"/>
  <c r="I521" i="4"/>
  <c r="I520" i="4"/>
  <c r="AZ451" i="4" s="1"/>
  <c r="I519" i="4"/>
  <c r="C518" i="4"/>
  <c r="C516" i="4"/>
  <c r="C512" i="4"/>
  <c r="C537" i="4" s="1"/>
  <c r="F533" i="4" s="1"/>
  <c r="C510" i="4"/>
  <c r="C527" i="4" s="1"/>
  <c r="D533" i="4" s="1"/>
  <c r="C508" i="4"/>
  <c r="C525" i="4" s="1"/>
  <c r="P507" i="4"/>
  <c r="J507" i="4"/>
  <c r="I507" i="4"/>
  <c r="X503" i="4"/>
  <c r="X502" i="4"/>
  <c r="AK498" i="4"/>
  <c r="AB498" i="4"/>
  <c r="Y498" i="4"/>
  <c r="X498" i="4"/>
  <c r="X497" i="4"/>
  <c r="X500" i="4" s="1"/>
  <c r="X501" i="4" s="1"/>
  <c r="S496" i="4"/>
  <c r="AE495" i="4"/>
  <c r="AE496" i="4" s="1"/>
  <c r="S495" i="4"/>
  <c r="S494" i="4"/>
  <c r="X493" i="4"/>
  <c r="U493" i="4"/>
  <c r="S493" i="4"/>
  <c r="X492" i="4"/>
  <c r="U492" i="4"/>
  <c r="S492" i="4"/>
  <c r="U491" i="4"/>
  <c r="S491" i="4"/>
  <c r="Q491" i="4"/>
  <c r="Q492" i="4" s="1"/>
  <c r="AK490" i="4"/>
  <c r="AK495" i="4" s="1"/>
  <c r="AK496" i="4" s="1"/>
  <c r="AE490" i="4"/>
  <c r="AE493" i="4" s="1"/>
  <c r="AE494" i="4" s="1"/>
  <c r="J490" i="4"/>
  <c r="J491" i="4" s="1"/>
  <c r="X489" i="4"/>
  <c r="X494" i="4" s="1"/>
  <c r="X495" i="4" s="1"/>
  <c r="U489" i="4"/>
  <c r="T489" i="4"/>
  <c r="Q489" i="4"/>
  <c r="D489" i="4"/>
  <c r="Q488" i="4"/>
  <c r="Q493" i="4" s="1"/>
  <c r="Q494" i="4" s="1"/>
  <c r="J488" i="4"/>
  <c r="J489" i="4" s="1"/>
  <c r="D488" i="4"/>
  <c r="AK487" i="4"/>
  <c r="AK488" i="4" s="1"/>
  <c r="D487" i="4"/>
  <c r="X486" i="4"/>
  <c r="X487" i="4" s="1"/>
  <c r="D486" i="4"/>
  <c r="J485" i="4"/>
  <c r="D485" i="4"/>
  <c r="Q484" i="4"/>
  <c r="Q485" i="4" s="1"/>
  <c r="D484" i="4"/>
  <c r="D483" i="4"/>
  <c r="AK482" i="4"/>
  <c r="AK485" i="4" s="1"/>
  <c r="AK486" i="4" s="1"/>
  <c r="Q482" i="4"/>
  <c r="Q483" i="4" s="1"/>
  <c r="D482" i="4"/>
  <c r="X481" i="4"/>
  <c r="X484" i="4" s="1"/>
  <c r="X485" i="4" s="1"/>
  <c r="F480" i="4"/>
  <c r="D480" i="4"/>
  <c r="D481" i="4" s="1"/>
  <c r="Q479" i="4"/>
  <c r="F478" i="4"/>
  <c r="AK477" i="4"/>
  <c r="AK478" i="4" s="1"/>
  <c r="L476" i="4"/>
  <c r="H476" i="4"/>
  <c r="H507" i="4" s="1"/>
  <c r="O507" i="4" s="1"/>
  <c r="G476" i="4"/>
  <c r="AA498" i="4" s="1"/>
  <c r="F476" i="4"/>
  <c r="F507" i="4" s="1"/>
  <c r="M507" i="4" s="1"/>
  <c r="E476" i="4"/>
  <c r="E507" i="4" s="1"/>
  <c r="L507" i="4" s="1"/>
  <c r="D476" i="4"/>
  <c r="D507" i="4" s="1"/>
  <c r="K507" i="4" s="1"/>
  <c r="AK475" i="4"/>
  <c r="AK476" i="4" s="1"/>
  <c r="K475" i="4"/>
  <c r="K480" i="4" s="1"/>
  <c r="K481" i="4" s="1"/>
  <c r="D475" i="4"/>
  <c r="D478" i="4" s="1"/>
  <c r="D479" i="4" s="1"/>
  <c r="X474" i="4"/>
  <c r="X475" i="4" s="1"/>
  <c r="AK472" i="4"/>
  <c r="L471" i="4"/>
  <c r="AB470" i="4"/>
  <c r="AA470" i="4"/>
  <c r="X470" i="4"/>
  <c r="Q470" i="4"/>
  <c r="Q473" i="4" s="1"/>
  <c r="Q474" i="4" s="1"/>
  <c r="L470" i="4"/>
  <c r="X469" i="4"/>
  <c r="X472" i="4" s="1"/>
  <c r="X473" i="4" s="1"/>
  <c r="N469" i="4"/>
  <c r="L469" i="4"/>
  <c r="S468" i="4"/>
  <c r="N468" i="4"/>
  <c r="L468" i="4"/>
  <c r="S467" i="4"/>
  <c r="AE466" i="4"/>
  <c r="AE467" i="4" s="1"/>
  <c r="S466" i="4"/>
  <c r="N466" i="4"/>
  <c r="M466" i="4"/>
  <c r="J466" i="4"/>
  <c r="U465" i="4"/>
  <c r="S465" i="4"/>
  <c r="Q465" i="4"/>
  <c r="Q466" i="4" s="1"/>
  <c r="J465" i="4"/>
  <c r="AE464" i="4"/>
  <c r="AE465" i="4" s="1"/>
  <c r="U464" i="4"/>
  <c r="S464" i="4"/>
  <c r="Q464" i="4"/>
  <c r="U463" i="4"/>
  <c r="S463" i="4"/>
  <c r="Q463" i="4"/>
  <c r="AB462" i="4"/>
  <c r="AA462" i="4"/>
  <c r="X462" i="4"/>
  <c r="AK461" i="4"/>
  <c r="AK466" i="4" s="1"/>
  <c r="AK467" i="4" s="1"/>
  <c r="AE461" i="4"/>
  <c r="X461" i="4"/>
  <c r="U461" i="4"/>
  <c r="R461" i="4"/>
  <c r="Q461" i="4"/>
  <c r="Q460" i="4"/>
  <c r="C511" i="4" s="1"/>
  <c r="X458" i="4"/>
  <c r="X459" i="4" s="1"/>
  <c r="X456" i="4"/>
  <c r="X457" i="4" s="1"/>
  <c r="BA455" i="4"/>
  <c r="AZ455" i="4"/>
  <c r="AB454" i="4"/>
  <c r="AA454" i="4"/>
  <c r="X454" i="4"/>
  <c r="AZ453" i="4"/>
  <c r="X453" i="4"/>
  <c r="C513" i="4" s="1"/>
  <c r="AZ452" i="4"/>
  <c r="AK452" i="4"/>
  <c r="AK457" i="4" s="1"/>
  <c r="AK458" i="4" s="1"/>
  <c r="AZ450" i="4"/>
  <c r="B450" i="4"/>
  <c r="AZ448" i="4"/>
  <c r="N399" i="4"/>
  <c r="M399" i="4"/>
  <c r="L399" i="4"/>
  <c r="K399" i="4"/>
  <c r="J399" i="4"/>
  <c r="I399" i="4" s="1"/>
  <c r="N398" i="4"/>
  <c r="M398" i="4"/>
  <c r="L398" i="4"/>
  <c r="K398" i="4"/>
  <c r="J398" i="4"/>
  <c r="N397" i="4"/>
  <c r="M397" i="4"/>
  <c r="L397" i="4"/>
  <c r="K397" i="4"/>
  <c r="J397" i="4"/>
  <c r="I397" i="4" s="1"/>
  <c r="N396" i="4"/>
  <c r="M396" i="4"/>
  <c r="L396" i="4"/>
  <c r="K396" i="4"/>
  <c r="I396" i="4" s="1"/>
  <c r="J396" i="4"/>
  <c r="N395" i="4"/>
  <c r="M395" i="4"/>
  <c r="L395" i="4"/>
  <c r="K395" i="4"/>
  <c r="J395" i="4"/>
  <c r="I395" i="4" s="1"/>
  <c r="N394" i="4"/>
  <c r="M394" i="4"/>
  <c r="L394" i="4"/>
  <c r="K394" i="4"/>
  <c r="I394" i="4" s="1"/>
  <c r="J394" i="4"/>
  <c r="N393" i="4"/>
  <c r="M393" i="4"/>
  <c r="L393" i="4"/>
  <c r="K393" i="4"/>
  <c r="J393" i="4"/>
  <c r="I393" i="4" s="1"/>
  <c r="N392" i="4"/>
  <c r="M392" i="4"/>
  <c r="L392" i="4"/>
  <c r="K392" i="4"/>
  <c r="I392" i="4" s="1"/>
  <c r="J392" i="4"/>
  <c r="N391" i="4"/>
  <c r="M391" i="4"/>
  <c r="L391" i="4"/>
  <c r="K391" i="4"/>
  <c r="J391" i="4"/>
  <c r="I391" i="4" s="1"/>
  <c r="N390" i="4"/>
  <c r="M390" i="4"/>
  <c r="L390" i="4"/>
  <c r="K390" i="4"/>
  <c r="I390" i="4" s="1"/>
  <c r="J390" i="4"/>
  <c r="N389" i="4"/>
  <c r="M389" i="4"/>
  <c r="L389" i="4"/>
  <c r="K389" i="4"/>
  <c r="J389" i="4"/>
  <c r="I389" i="4" s="1"/>
  <c r="N388" i="4"/>
  <c r="M388" i="4"/>
  <c r="L388" i="4"/>
  <c r="K388" i="4"/>
  <c r="I388" i="4" s="1"/>
  <c r="J388" i="4"/>
  <c r="N387" i="4"/>
  <c r="M387" i="4"/>
  <c r="L387" i="4"/>
  <c r="K387" i="4"/>
  <c r="J387" i="4"/>
  <c r="I387" i="4" s="1"/>
  <c r="N386" i="4"/>
  <c r="M386" i="4"/>
  <c r="L386" i="4"/>
  <c r="K386" i="4"/>
  <c r="I386" i="4" s="1"/>
  <c r="J386" i="4"/>
  <c r="N385" i="4"/>
  <c r="M385" i="4"/>
  <c r="L385" i="4"/>
  <c r="K385" i="4"/>
  <c r="J385" i="4"/>
  <c r="I385" i="4" s="1"/>
  <c r="N384" i="4"/>
  <c r="M384" i="4"/>
  <c r="L384" i="4"/>
  <c r="K384" i="4"/>
  <c r="I384" i="4" s="1"/>
  <c r="J384" i="4"/>
  <c r="N383" i="4"/>
  <c r="M383" i="4"/>
  <c r="L383" i="4"/>
  <c r="K383" i="4"/>
  <c r="J383" i="4"/>
  <c r="I383" i="4" s="1"/>
  <c r="N382" i="4"/>
  <c r="M382" i="4"/>
  <c r="L382" i="4"/>
  <c r="K382" i="4"/>
  <c r="I382" i="4" s="1"/>
  <c r="J382" i="4"/>
  <c r="N381" i="4"/>
  <c r="M381" i="4"/>
  <c r="L381" i="4"/>
  <c r="K381" i="4"/>
  <c r="J381" i="4"/>
  <c r="I381" i="4" s="1"/>
  <c r="N380" i="4"/>
  <c r="M380" i="4"/>
  <c r="L380" i="4"/>
  <c r="K380" i="4"/>
  <c r="I380" i="4" s="1"/>
  <c r="J380" i="4"/>
  <c r="N379" i="4"/>
  <c r="M379" i="4"/>
  <c r="L379" i="4"/>
  <c r="K379" i="4"/>
  <c r="J379" i="4"/>
  <c r="I379" i="4" s="1"/>
  <c r="N378" i="4"/>
  <c r="M378" i="4"/>
  <c r="L378" i="4"/>
  <c r="K378" i="4"/>
  <c r="I378" i="4" s="1"/>
  <c r="J378" i="4"/>
  <c r="N377" i="4"/>
  <c r="M377" i="4"/>
  <c r="L377" i="4"/>
  <c r="K377" i="4"/>
  <c r="J377" i="4"/>
  <c r="I377" i="4" s="1"/>
  <c r="N376" i="4"/>
  <c r="M376" i="4"/>
  <c r="L376" i="4"/>
  <c r="K376" i="4"/>
  <c r="I376" i="4" s="1"/>
  <c r="J376" i="4"/>
  <c r="N375" i="4"/>
  <c r="M375" i="4"/>
  <c r="L375" i="4"/>
  <c r="K375" i="4"/>
  <c r="J375" i="4"/>
  <c r="I375" i="4" s="1"/>
  <c r="N374" i="4"/>
  <c r="M374" i="4"/>
  <c r="L374" i="4"/>
  <c r="K374" i="4"/>
  <c r="I374" i="4" s="1"/>
  <c r="J374" i="4"/>
  <c r="N373" i="4"/>
  <c r="M373" i="4"/>
  <c r="L373" i="4"/>
  <c r="K373" i="4"/>
  <c r="J373" i="4"/>
  <c r="I373" i="4" s="1"/>
  <c r="N372" i="4"/>
  <c r="M372" i="4"/>
  <c r="L372" i="4"/>
  <c r="K372" i="4"/>
  <c r="J372" i="4"/>
  <c r="N371" i="4"/>
  <c r="M371" i="4"/>
  <c r="L371" i="4"/>
  <c r="K371" i="4"/>
  <c r="J371" i="4"/>
  <c r="I371" i="4"/>
  <c r="N370" i="4"/>
  <c r="M370" i="4"/>
  <c r="L370" i="4"/>
  <c r="K370" i="4"/>
  <c r="I370" i="4" s="1"/>
  <c r="J370" i="4"/>
  <c r="N369" i="4"/>
  <c r="M369" i="4"/>
  <c r="L369" i="4"/>
  <c r="K369" i="4"/>
  <c r="J369" i="4"/>
  <c r="I369" i="4" s="1"/>
  <c r="N368" i="4"/>
  <c r="M368" i="4"/>
  <c r="L368" i="4"/>
  <c r="K368" i="4"/>
  <c r="J368" i="4"/>
  <c r="N367" i="4"/>
  <c r="M367" i="4"/>
  <c r="L367" i="4"/>
  <c r="K367" i="4"/>
  <c r="J367" i="4"/>
  <c r="I367" i="4"/>
  <c r="N366" i="4"/>
  <c r="M366" i="4"/>
  <c r="L366" i="4"/>
  <c r="K366" i="4"/>
  <c r="I366" i="4" s="1"/>
  <c r="J366" i="4"/>
  <c r="N365" i="4"/>
  <c r="M365" i="4"/>
  <c r="L365" i="4"/>
  <c r="K365" i="4"/>
  <c r="J365" i="4"/>
  <c r="I365" i="4" s="1"/>
  <c r="N364" i="4"/>
  <c r="M364" i="4"/>
  <c r="L364" i="4"/>
  <c r="K364" i="4"/>
  <c r="J364" i="4"/>
  <c r="N363" i="4"/>
  <c r="M363" i="4"/>
  <c r="L363" i="4"/>
  <c r="K363" i="4"/>
  <c r="J363" i="4"/>
  <c r="I363" i="4"/>
  <c r="N362" i="4"/>
  <c r="M362" i="4"/>
  <c r="L362" i="4"/>
  <c r="K362" i="4"/>
  <c r="I362" i="4" s="1"/>
  <c r="J362" i="4"/>
  <c r="N361" i="4"/>
  <c r="M361" i="4"/>
  <c r="L361" i="4"/>
  <c r="K361" i="4"/>
  <c r="J361" i="4"/>
  <c r="I361" i="4" s="1"/>
  <c r="V360" i="4"/>
  <c r="N360" i="4"/>
  <c r="M360" i="4"/>
  <c r="L360" i="4"/>
  <c r="K360" i="4"/>
  <c r="J360" i="4"/>
  <c r="I360" i="4" s="1"/>
  <c r="N359" i="4"/>
  <c r="M359" i="4"/>
  <c r="L359" i="4"/>
  <c r="K359" i="4"/>
  <c r="J359" i="4"/>
  <c r="N358" i="4"/>
  <c r="M358" i="4"/>
  <c r="L358" i="4"/>
  <c r="K358" i="4"/>
  <c r="I358" i="4" s="1"/>
  <c r="J358" i="4"/>
  <c r="N357" i="4"/>
  <c r="M357" i="4"/>
  <c r="L357" i="4"/>
  <c r="K357" i="4"/>
  <c r="J357" i="4"/>
  <c r="I357" i="4" s="1"/>
  <c r="N356" i="4"/>
  <c r="M356" i="4"/>
  <c r="L356" i="4"/>
  <c r="K356" i="4"/>
  <c r="I356" i="4" s="1"/>
  <c r="J356" i="4"/>
  <c r="N355" i="4"/>
  <c r="M355" i="4"/>
  <c r="L355" i="4"/>
  <c r="K355" i="4"/>
  <c r="J355" i="4"/>
  <c r="N354" i="4"/>
  <c r="M354" i="4"/>
  <c r="L354" i="4"/>
  <c r="K354" i="4"/>
  <c r="J354" i="4"/>
  <c r="I354" i="4"/>
  <c r="Y353" i="4"/>
  <c r="X353" i="4"/>
  <c r="W353" i="4"/>
  <c r="V353" i="4"/>
  <c r="N353" i="4"/>
  <c r="M353" i="4"/>
  <c r="T353" i="4" s="1"/>
  <c r="L353" i="4"/>
  <c r="K353" i="4"/>
  <c r="J353" i="4"/>
  <c r="I353" i="4"/>
  <c r="V352" i="4"/>
  <c r="N352" i="4"/>
  <c r="M352" i="4"/>
  <c r="L352" i="4"/>
  <c r="K352" i="4"/>
  <c r="I352" i="4" s="1"/>
  <c r="J352" i="4"/>
  <c r="U352" i="4" s="1"/>
  <c r="N351" i="4"/>
  <c r="M351" i="4"/>
  <c r="AE351" i="4" s="1"/>
  <c r="BE351" i="4" s="1"/>
  <c r="L351" i="4"/>
  <c r="K351" i="4"/>
  <c r="T351" i="4" s="1"/>
  <c r="J351" i="4"/>
  <c r="U351" i="4" s="1"/>
  <c r="I351" i="4"/>
  <c r="BG351" i="4" s="1"/>
  <c r="N350" i="4"/>
  <c r="M350" i="4"/>
  <c r="L350" i="4"/>
  <c r="U350" i="4" s="1"/>
  <c r="K350" i="4"/>
  <c r="J350" i="4"/>
  <c r="AE350" i="4" s="1"/>
  <c r="BE350" i="4" s="1"/>
  <c r="N349" i="4"/>
  <c r="M349" i="4"/>
  <c r="L349" i="4"/>
  <c r="K349" i="4"/>
  <c r="AE349" i="4" s="1"/>
  <c r="BE349" i="4" s="1"/>
  <c r="J349" i="4"/>
  <c r="N348" i="4"/>
  <c r="M348" i="4"/>
  <c r="L348" i="4"/>
  <c r="K348" i="4"/>
  <c r="I348" i="4" s="1"/>
  <c r="BG348" i="4" s="1"/>
  <c r="J348" i="4"/>
  <c r="U348" i="4" s="1"/>
  <c r="N347" i="4"/>
  <c r="M347" i="4"/>
  <c r="AE347" i="4" s="1"/>
  <c r="BE347" i="4" s="1"/>
  <c r="L347" i="4"/>
  <c r="K347" i="4"/>
  <c r="T347" i="4" s="1"/>
  <c r="J347" i="4"/>
  <c r="U347" i="4" s="1"/>
  <c r="I347" i="4"/>
  <c r="BG347" i="4" s="1"/>
  <c r="V346" i="4"/>
  <c r="N346" i="4"/>
  <c r="M346" i="4"/>
  <c r="L346" i="4"/>
  <c r="U346" i="4" s="1"/>
  <c r="K346" i="4"/>
  <c r="J346" i="4"/>
  <c r="AE346" i="4" s="1"/>
  <c r="BE346" i="4" s="1"/>
  <c r="N345" i="4"/>
  <c r="M345" i="4"/>
  <c r="L345" i="4"/>
  <c r="K345" i="4"/>
  <c r="AE345" i="4" s="1"/>
  <c r="BE345" i="4" s="1"/>
  <c r="J345" i="4"/>
  <c r="N344" i="4"/>
  <c r="M344" i="4"/>
  <c r="L344" i="4"/>
  <c r="K344" i="4"/>
  <c r="I344" i="4" s="1"/>
  <c r="BG344" i="4" s="1"/>
  <c r="J344" i="4"/>
  <c r="U344" i="4" s="1"/>
  <c r="Y343" i="4"/>
  <c r="N343" i="4"/>
  <c r="M343" i="4"/>
  <c r="AE343" i="4" s="1"/>
  <c r="BE343" i="4" s="1"/>
  <c r="L343" i="4"/>
  <c r="K343" i="4"/>
  <c r="T343" i="4" s="1"/>
  <c r="J343" i="4"/>
  <c r="U343" i="4" s="1"/>
  <c r="I343" i="4"/>
  <c r="BG343" i="4" s="1"/>
  <c r="N342" i="4"/>
  <c r="M342" i="4"/>
  <c r="L342" i="4"/>
  <c r="U342" i="4" s="1"/>
  <c r="K342" i="4"/>
  <c r="J342" i="4"/>
  <c r="AE342" i="4" s="1"/>
  <c r="BE342" i="4" s="1"/>
  <c r="N341" i="4"/>
  <c r="M341" i="4"/>
  <c r="L341" i="4"/>
  <c r="K341" i="4"/>
  <c r="AE341" i="4" s="1"/>
  <c r="BE341" i="4" s="1"/>
  <c r="J341" i="4"/>
  <c r="N340" i="4"/>
  <c r="M340" i="4"/>
  <c r="L340" i="4"/>
  <c r="K340" i="4"/>
  <c r="I340" i="4" s="1"/>
  <c r="BG340" i="4" s="1"/>
  <c r="J340" i="4"/>
  <c r="U340" i="4" s="1"/>
  <c r="N339" i="4"/>
  <c r="M339" i="4"/>
  <c r="AE339" i="4" s="1"/>
  <c r="BE339" i="4" s="1"/>
  <c r="L339" i="4"/>
  <c r="K339" i="4"/>
  <c r="T339" i="4" s="1"/>
  <c r="J339" i="4"/>
  <c r="U339" i="4" s="1"/>
  <c r="I339" i="4"/>
  <c r="BG339" i="4" s="1"/>
  <c r="Z338" i="4"/>
  <c r="Y338" i="4"/>
  <c r="X338" i="4"/>
  <c r="W338" i="4"/>
  <c r="AA338" i="4" s="1"/>
  <c r="V338" i="4"/>
  <c r="N338" i="4"/>
  <c r="M338" i="4"/>
  <c r="L338" i="4"/>
  <c r="U338" i="4" s="1"/>
  <c r="K338" i="4"/>
  <c r="J338" i="4"/>
  <c r="AE338" i="4" s="1"/>
  <c r="BE338" i="4" s="1"/>
  <c r="N337" i="4"/>
  <c r="M337" i="4"/>
  <c r="L337" i="4"/>
  <c r="K337" i="4"/>
  <c r="AE337" i="4" s="1"/>
  <c r="BE337" i="4" s="1"/>
  <c r="J337" i="4"/>
  <c r="U337" i="4" s="1"/>
  <c r="Z336" i="4"/>
  <c r="Y336" i="4"/>
  <c r="X336" i="4"/>
  <c r="W336" i="4"/>
  <c r="AA336" i="4" s="1"/>
  <c r="V336" i="4"/>
  <c r="N336" i="4"/>
  <c r="M336" i="4"/>
  <c r="L336" i="4"/>
  <c r="K336" i="4"/>
  <c r="J336" i="4"/>
  <c r="U336" i="4" s="1"/>
  <c r="N335" i="4"/>
  <c r="M335" i="4"/>
  <c r="AE335" i="4" s="1"/>
  <c r="BE335" i="4" s="1"/>
  <c r="L335" i="4"/>
  <c r="K335" i="4"/>
  <c r="T335" i="4" s="1"/>
  <c r="J335" i="4"/>
  <c r="U335" i="4" s="1"/>
  <c r="I335" i="4"/>
  <c r="BG335" i="4" s="1"/>
  <c r="N334" i="4"/>
  <c r="M334" i="4"/>
  <c r="L334" i="4"/>
  <c r="U334" i="4" s="1"/>
  <c r="K334" i="4"/>
  <c r="J334" i="4"/>
  <c r="AE334" i="4" s="1"/>
  <c r="BE334" i="4" s="1"/>
  <c r="N333" i="4"/>
  <c r="M333" i="4"/>
  <c r="L333" i="4"/>
  <c r="K333" i="4"/>
  <c r="AE333" i="4" s="1"/>
  <c r="BE333" i="4" s="1"/>
  <c r="J333" i="4"/>
  <c r="U333" i="4" s="1"/>
  <c r="N332" i="4"/>
  <c r="M332" i="4"/>
  <c r="L332" i="4"/>
  <c r="K332" i="4"/>
  <c r="J332" i="4"/>
  <c r="U332" i="4" s="1"/>
  <c r="AE331" i="4"/>
  <c r="BE331" i="4" s="1"/>
  <c r="Z331" i="4"/>
  <c r="Y331" i="4"/>
  <c r="X331" i="4"/>
  <c r="W331" i="4"/>
  <c r="V331" i="4"/>
  <c r="AA331" i="4" s="1"/>
  <c r="N331" i="4"/>
  <c r="M331" i="4"/>
  <c r="L331" i="4"/>
  <c r="K331" i="4"/>
  <c r="T331" i="4" s="1"/>
  <c r="J331" i="4"/>
  <c r="U331" i="4" s="1"/>
  <c r="I331" i="4"/>
  <c r="BG331" i="4" s="1"/>
  <c r="N330" i="4"/>
  <c r="M330" i="4"/>
  <c r="L330" i="4"/>
  <c r="U330" i="4" s="1"/>
  <c r="K330" i="4"/>
  <c r="J330" i="4"/>
  <c r="AE330" i="4" s="1"/>
  <c r="BE330" i="4" s="1"/>
  <c r="N329" i="4"/>
  <c r="M329" i="4"/>
  <c r="L329" i="4"/>
  <c r="K329" i="4"/>
  <c r="AE329" i="4" s="1"/>
  <c r="BE329" i="4" s="1"/>
  <c r="J329" i="4"/>
  <c r="U329" i="4" s="1"/>
  <c r="BG328" i="4"/>
  <c r="W328" i="4"/>
  <c r="U328" i="4"/>
  <c r="Y328" i="4" s="1"/>
  <c r="T328" i="4"/>
  <c r="X328" i="4" s="1"/>
  <c r="P328" i="4"/>
  <c r="AE327" i="4"/>
  <c r="BE327" i="4" s="1"/>
  <c r="Z327" i="4"/>
  <c r="Y327" i="4"/>
  <c r="X327" i="4"/>
  <c r="W327" i="4"/>
  <c r="V327" i="4"/>
  <c r="AA327" i="4" s="1"/>
  <c r="N327" i="4"/>
  <c r="M327" i="4"/>
  <c r="L327" i="4"/>
  <c r="K327" i="4"/>
  <c r="I327" i="4" s="1"/>
  <c r="BG327" i="4" s="1"/>
  <c r="J327" i="4"/>
  <c r="U327" i="4" s="1"/>
  <c r="N326" i="4"/>
  <c r="M326" i="4"/>
  <c r="L326" i="4"/>
  <c r="K326" i="4"/>
  <c r="J326" i="4"/>
  <c r="U326" i="4" s="1"/>
  <c r="AE325" i="4"/>
  <c r="BE325" i="4" s="1"/>
  <c r="V325" i="4"/>
  <c r="N325" i="4"/>
  <c r="M325" i="4"/>
  <c r="L325" i="4"/>
  <c r="K325" i="4"/>
  <c r="T325" i="4" s="1"/>
  <c r="J325" i="4"/>
  <c r="I325" i="4"/>
  <c r="BG325" i="4" s="1"/>
  <c r="N324" i="4"/>
  <c r="M324" i="4"/>
  <c r="L324" i="4"/>
  <c r="U324" i="4" s="1"/>
  <c r="K324" i="4"/>
  <c r="I324" i="4" s="1"/>
  <c r="BG324" i="4" s="1"/>
  <c r="J324" i="4"/>
  <c r="AE324" i="4" s="1"/>
  <c r="BE324" i="4" s="1"/>
  <c r="Z323" i="4"/>
  <c r="Y323" i="4"/>
  <c r="W323" i="4"/>
  <c r="N323" i="4"/>
  <c r="M323" i="4"/>
  <c r="L323" i="4"/>
  <c r="K323" i="4"/>
  <c r="AE323" i="4" s="1"/>
  <c r="BE323" i="4" s="1"/>
  <c r="J323" i="4"/>
  <c r="U323" i="4" s="1"/>
  <c r="Z322" i="4"/>
  <c r="Y322" i="4"/>
  <c r="N322" i="4"/>
  <c r="M322" i="4"/>
  <c r="L322" i="4"/>
  <c r="K322" i="4"/>
  <c r="J322" i="4"/>
  <c r="U322" i="4" s="1"/>
  <c r="AE321" i="4"/>
  <c r="BE321" i="4" s="1"/>
  <c r="Z321" i="4"/>
  <c r="Y321" i="4"/>
  <c r="X321" i="4"/>
  <c r="W321" i="4"/>
  <c r="V321" i="4"/>
  <c r="AA321" i="4" s="1"/>
  <c r="N321" i="4"/>
  <c r="M321" i="4"/>
  <c r="L321" i="4"/>
  <c r="K321" i="4"/>
  <c r="T321" i="4" s="1"/>
  <c r="J321" i="4"/>
  <c r="I321" i="4"/>
  <c r="BG321" i="4" s="1"/>
  <c r="Z320" i="4"/>
  <c r="Y320" i="4"/>
  <c r="X320" i="4"/>
  <c r="W320" i="4"/>
  <c r="AA320" i="4" s="1"/>
  <c r="V320" i="4"/>
  <c r="N320" i="4"/>
  <c r="M320" i="4"/>
  <c r="L320" i="4"/>
  <c r="U320" i="4" s="1"/>
  <c r="K320" i="4"/>
  <c r="I320" i="4" s="1"/>
  <c r="BG320" i="4" s="1"/>
  <c r="J320" i="4"/>
  <c r="AE320" i="4" s="1"/>
  <c r="BE320" i="4" s="1"/>
  <c r="AE319" i="4"/>
  <c r="BE319" i="4" s="1"/>
  <c r="Z319" i="4"/>
  <c r="Y319" i="4"/>
  <c r="X319" i="4"/>
  <c r="W319" i="4"/>
  <c r="V319" i="4"/>
  <c r="AA319" i="4" s="1"/>
  <c r="N319" i="4"/>
  <c r="M319" i="4"/>
  <c r="L319" i="4"/>
  <c r="K319" i="4"/>
  <c r="I319" i="4" s="1"/>
  <c r="BG319" i="4" s="1"/>
  <c r="J319" i="4"/>
  <c r="U319" i="4" s="1"/>
  <c r="N318" i="4"/>
  <c r="M318" i="4"/>
  <c r="L318" i="4"/>
  <c r="K318" i="4"/>
  <c r="J318" i="4"/>
  <c r="U318" i="4" s="1"/>
  <c r="N317" i="4"/>
  <c r="M317" i="4"/>
  <c r="AE317" i="4" s="1"/>
  <c r="BE317" i="4" s="1"/>
  <c r="L317" i="4"/>
  <c r="K317" i="4"/>
  <c r="T317" i="4" s="1"/>
  <c r="J317" i="4"/>
  <c r="U317" i="4" s="1"/>
  <c r="I317" i="4"/>
  <c r="BG317" i="4" s="1"/>
  <c r="N316" i="4"/>
  <c r="M316" i="4"/>
  <c r="L316" i="4"/>
  <c r="U316" i="4" s="1"/>
  <c r="K316" i="4"/>
  <c r="I316" i="4" s="1"/>
  <c r="BG316" i="4" s="1"/>
  <c r="J316" i="4"/>
  <c r="AE316" i="4" s="1"/>
  <c r="BE316" i="4" s="1"/>
  <c r="AE315" i="4"/>
  <c r="BE315" i="4" s="1"/>
  <c r="V315" i="4"/>
  <c r="N315" i="4"/>
  <c r="M315" i="4"/>
  <c r="L315" i="4"/>
  <c r="K315" i="4"/>
  <c r="I315" i="4" s="1"/>
  <c r="BG315" i="4" s="1"/>
  <c r="J315" i="4"/>
  <c r="U315" i="4" s="1"/>
  <c r="V314" i="4"/>
  <c r="N314" i="4"/>
  <c r="M314" i="4"/>
  <c r="L314" i="4"/>
  <c r="K314" i="4"/>
  <c r="J314" i="4"/>
  <c r="U314" i="4" s="1"/>
  <c r="N313" i="4"/>
  <c r="M313" i="4"/>
  <c r="AE313" i="4" s="1"/>
  <c r="BE313" i="4" s="1"/>
  <c r="L313" i="4"/>
  <c r="K313" i="4"/>
  <c r="T313" i="4" s="1"/>
  <c r="J313" i="4"/>
  <c r="U313" i="4" s="1"/>
  <c r="I313" i="4"/>
  <c r="BG313" i="4" s="1"/>
  <c r="N312" i="4"/>
  <c r="M312" i="4"/>
  <c r="L312" i="4"/>
  <c r="U312" i="4" s="1"/>
  <c r="K312" i="4"/>
  <c r="J312" i="4"/>
  <c r="AE312" i="4" s="1"/>
  <c r="BE312" i="4" s="1"/>
  <c r="BG311" i="4"/>
  <c r="U311" i="4"/>
  <c r="T311" i="4"/>
  <c r="Z311" i="4" s="1"/>
  <c r="P311" i="4"/>
  <c r="Z310" i="4"/>
  <c r="Y310" i="4"/>
  <c r="X310" i="4"/>
  <c r="W310" i="4"/>
  <c r="AA310" i="4" s="1"/>
  <c r="V310" i="4"/>
  <c r="N310" i="4"/>
  <c r="M310" i="4"/>
  <c r="L310" i="4"/>
  <c r="U310" i="4" s="1"/>
  <c r="K310" i="4"/>
  <c r="J310" i="4"/>
  <c r="AE310" i="4" s="1"/>
  <c r="BE310" i="4" s="1"/>
  <c r="N309" i="4"/>
  <c r="M309" i="4"/>
  <c r="L309" i="4"/>
  <c r="K309" i="4"/>
  <c r="AE309" i="4" s="1"/>
  <c r="BE309" i="4" s="1"/>
  <c r="J309" i="4"/>
  <c r="U309" i="4" s="1"/>
  <c r="V308" i="4"/>
  <c r="N308" i="4"/>
  <c r="M308" i="4"/>
  <c r="L308" i="4"/>
  <c r="K308" i="4"/>
  <c r="J308" i="4"/>
  <c r="U308" i="4" s="1"/>
  <c r="N307" i="4"/>
  <c r="M307" i="4"/>
  <c r="AE307" i="4" s="1"/>
  <c r="BE307" i="4" s="1"/>
  <c r="L307" i="4"/>
  <c r="K307" i="4"/>
  <c r="T307" i="4" s="1"/>
  <c r="J307" i="4"/>
  <c r="U307" i="4" s="1"/>
  <c r="I307" i="4"/>
  <c r="BG307" i="4" s="1"/>
  <c r="N306" i="4"/>
  <c r="M306" i="4"/>
  <c r="L306" i="4"/>
  <c r="U306" i="4" s="1"/>
  <c r="K306" i="4"/>
  <c r="J306" i="4"/>
  <c r="AE306" i="4" s="1"/>
  <c r="BE306" i="4" s="1"/>
  <c r="N305" i="4"/>
  <c r="M305" i="4"/>
  <c r="L305" i="4"/>
  <c r="K305" i="4"/>
  <c r="AE305" i="4" s="1"/>
  <c r="BE305" i="4" s="1"/>
  <c r="J305" i="4"/>
  <c r="U305" i="4" s="1"/>
  <c r="N304" i="4"/>
  <c r="M304" i="4"/>
  <c r="L304" i="4"/>
  <c r="K304" i="4"/>
  <c r="J304" i="4"/>
  <c r="U304" i="4" s="1"/>
  <c r="N303" i="4"/>
  <c r="M303" i="4"/>
  <c r="AE303" i="4" s="1"/>
  <c r="BE303" i="4" s="1"/>
  <c r="L303" i="4"/>
  <c r="K303" i="4"/>
  <c r="T303" i="4" s="1"/>
  <c r="J303" i="4"/>
  <c r="U303" i="4" s="1"/>
  <c r="I303" i="4"/>
  <c r="BG303" i="4" s="1"/>
  <c r="Z302" i="4"/>
  <c r="Y302" i="4"/>
  <c r="X302" i="4"/>
  <c r="W302" i="4"/>
  <c r="AA302" i="4" s="1"/>
  <c r="V302" i="4"/>
  <c r="N302" i="4"/>
  <c r="M302" i="4"/>
  <c r="L302" i="4"/>
  <c r="U302" i="4" s="1"/>
  <c r="K302" i="4"/>
  <c r="J302" i="4"/>
  <c r="AE302" i="4" s="1"/>
  <c r="BE302" i="4" s="1"/>
  <c r="N301" i="4"/>
  <c r="M301" i="4"/>
  <c r="L301" i="4"/>
  <c r="K301" i="4"/>
  <c r="AE301" i="4" s="1"/>
  <c r="BE301" i="4" s="1"/>
  <c r="J301" i="4"/>
  <c r="U301" i="4" s="1"/>
  <c r="N300" i="4"/>
  <c r="M300" i="4"/>
  <c r="L300" i="4"/>
  <c r="K300" i="4"/>
  <c r="J300" i="4"/>
  <c r="U300" i="4" s="1"/>
  <c r="AE299" i="4"/>
  <c r="BE299" i="4" s="1"/>
  <c r="Z299" i="4"/>
  <c r="Y299" i="4"/>
  <c r="X299" i="4"/>
  <c r="W299" i="4"/>
  <c r="V299" i="4"/>
  <c r="AA299" i="4" s="1"/>
  <c r="N299" i="4"/>
  <c r="M299" i="4"/>
  <c r="L299" i="4"/>
  <c r="K299" i="4"/>
  <c r="T299" i="4" s="1"/>
  <c r="J299" i="4"/>
  <c r="I299" i="4"/>
  <c r="BG299" i="4" s="1"/>
  <c r="N298" i="4"/>
  <c r="M298" i="4"/>
  <c r="L298" i="4"/>
  <c r="U298" i="4" s="1"/>
  <c r="K298" i="4"/>
  <c r="I298" i="4" s="1"/>
  <c r="BG298" i="4" s="1"/>
  <c r="J298" i="4"/>
  <c r="AE298" i="4" s="1"/>
  <c r="BE298" i="4" s="1"/>
  <c r="N297" i="4"/>
  <c r="M297" i="4"/>
  <c r="L297" i="4"/>
  <c r="K297" i="4"/>
  <c r="AE297" i="4" s="1"/>
  <c r="BE297" i="4" s="1"/>
  <c r="J297" i="4"/>
  <c r="U297" i="4" s="1"/>
  <c r="N296" i="4"/>
  <c r="M296" i="4"/>
  <c r="L296" i="4"/>
  <c r="K296" i="4"/>
  <c r="J296" i="4"/>
  <c r="U296" i="4" s="1"/>
  <c r="N295" i="4"/>
  <c r="M295" i="4"/>
  <c r="AE295" i="4" s="1"/>
  <c r="BE295" i="4" s="1"/>
  <c r="L295" i="4"/>
  <c r="K295" i="4"/>
  <c r="T295" i="4" s="1"/>
  <c r="J295" i="4"/>
  <c r="U295" i="4" s="1"/>
  <c r="I295" i="4"/>
  <c r="BG295" i="4" s="1"/>
  <c r="N294" i="4"/>
  <c r="M294" i="4"/>
  <c r="L294" i="4"/>
  <c r="U294" i="4" s="1"/>
  <c r="K294" i="4"/>
  <c r="I294" i="4" s="1"/>
  <c r="BG294" i="4" s="1"/>
  <c r="J294" i="4"/>
  <c r="AE294" i="4" s="1"/>
  <c r="BE294" i="4" s="1"/>
  <c r="AE293" i="4"/>
  <c r="BE293" i="4" s="1"/>
  <c r="V293" i="4"/>
  <c r="N293" i="4"/>
  <c r="M293" i="4"/>
  <c r="L293" i="4"/>
  <c r="K293" i="4"/>
  <c r="I293" i="4" s="1"/>
  <c r="BG293" i="4" s="1"/>
  <c r="J293" i="4"/>
  <c r="U293" i="4" s="1"/>
  <c r="N292" i="4"/>
  <c r="M292" i="4"/>
  <c r="L292" i="4"/>
  <c r="K292" i="4"/>
  <c r="J292" i="4"/>
  <c r="U292" i="4" s="1"/>
  <c r="N291" i="4"/>
  <c r="M291" i="4"/>
  <c r="AE291" i="4" s="1"/>
  <c r="BE291" i="4" s="1"/>
  <c r="L291" i="4"/>
  <c r="K291" i="4"/>
  <c r="T291" i="4" s="1"/>
  <c r="J291" i="4"/>
  <c r="U291" i="4" s="1"/>
  <c r="I291" i="4"/>
  <c r="BG291" i="4" s="1"/>
  <c r="Z290" i="4"/>
  <c r="Y290" i="4"/>
  <c r="X290" i="4"/>
  <c r="W290" i="4"/>
  <c r="AA290" i="4" s="1"/>
  <c r="V290" i="4"/>
  <c r="N290" i="4"/>
  <c r="M290" i="4"/>
  <c r="L290" i="4"/>
  <c r="U290" i="4" s="1"/>
  <c r="K290" i="4"/>
  <c r="J290" i="4"/>
  <c r="AE290" i="4" s="1"/>
  <c r="BE290" i="4" s="1"/>
  <c r="N289" i="4"/>
  <c r="M289" i="4"/>
  <c r="L289" i="4"/>
  <c r="K289" i="4"/>
  <c r="AE289" i="4" s="1"/>
  <c r="BE289" i="4" s="1"/>
  <c r="J289" i="4"/>
  <c r="U289" i="4" s="1"/>
  <c r="N288" i="4"/>
  <c r="M288" i="4"/>
  <c r="L288" i="4"/>
  <c r="K288" i="4"/>
  <c r="J288" i="4"/>
  <c r="U288" i="4" s="1"/>
  <c r="AE287" i="4"/>
  <c r="BE287" i="4" s="1"/>
  <c r="Z287" i="4"/>
  <c r="Y287" i="4"/>
  <c r="X287" i="4"/>
  <c r="W287" i="4"/>
  <c r="V287" i="4"/>
  <c r="AA287" i="4" s="1"/>
  <c r="N287" i="4"/>
  <c r="M287" i="4"/>
  <c r="L287" i="4"/>
  <c r="K287" i="4"/>
  <c r="T287" i="4" s="1"/>
  <c r="J287" i="4"/>
  <c r="U287" i="4" s="1"/>
  <c r="I287" i="4"/>
  <c r="BG287" i="4" s="1"/>
  <c r="N286" i="4"/>
  <c r="M286" i="4"/>
  <c r="L286" i="4"/>
  <c r="U286" i="4" s="1"/>
  <c r="K286" i="4"/>
  <c r="J286" i="4"/>
  <c r="AE286" i="4" s="1"/>
  <c r="BE286" i="4" s="1"/>
  <c r="N285" i="4"/>
  <c r="M285" i="4"/>
  <c r="L285" i="4"/>
  <c r="K285" i="4"/>
  <c r="AE285" i="4" s="1"/>
  <c r="BE285" i="4" s="1"/>
  <c r="J285" i="4"/>
  <c r="U285" i="4" s="1"/>
  <c r="N284" i="4"/>
  <c r="M284" i="4"/>
  <c r="L284" i="4"/>
  <c r="K284" i="4"/>
  <c r="J284" i="4"/>
  <c r="U284" i="4" s="1"/>
  <c r="N283" i="4"/>
  <c r="M283" i="4"/>
  <c r="AE283" i="4" s="1"/>
  <c r="BE283" i="4" s="1"/>
  <c r="L283" i="4"/>
  <c r="K283" i="4"/>
  <c r="T283" i="4" s="1"/>
  <c r="J283" i="4"/>
  <c r="U283" i="4" s="1"/>
  <c r="I283" i="4"/>
  <c r="BG283" i="4" s="1"/>
  <c r="Z282" i="4"/>
  <c r="Y282" i="4"/>
  <c r="X282" i="4"/>
  <c r="W282" i="4"/>
  <c r="AA282" i="4" s="1"/>
  <c r="V282" i="4"/>
  <c r="N282" i="4"/>
  <c r="M282" i="4"/>
  <c r="L282" i="4"/>
  <c r="U282" i="4" s="1"/>
  <c r="K282" i="4"/>
  <c r="J282" i="4"/>
  <c r="AE282" i="4" s="1"/>
  <c r="BE282" i="4" s="1"/>
  <c r="AE281" i="4"/>
  <c r="BE281" i="4" s="1"/>
  <c r="Z281" i="4"/>
  <c r="Y281" i="4"/>
  <c r="X281" i="4"/>
  <c r="W281" i="4"/>
  <c r="V281" i="4"/>
  <c r="AA281" i="4" s="1"/>
  <c r="N281" i="4"/>
  <c r="M281" i="4"/>
  <c r="L281" i="4"/>
  <c r="K281" i="4"/>
  <c r="I281" i="4" s="1"/>
  <c r="BG281" i="4" s="1"/>
  <c r="J281" i="4"/>
  <c r="U281" i="4" s="1"/>
  <c r="V280" i="4"/>
  <c r="N280" i="4"/>
  <c r="M280" i="4"/>
  <c r="L280" i="4"/>
  <c r="K280" i="4"/>
  <c r="J280" i="4"/>
  <c r="U280" i="4" s="1"/>
  <c r="AE279" i="4"/>
  <c r="BE279" i="4" s="1"/>
  <c r="Z279" i="4"/>
  <c r="Y279" i="4"/>
  <c r="X279" i="4"/>
  <c r="W279" i="4"/>
  <c r="V279" i="4"/>
  <c r="AA279" i="4" s="1"/>
  <c r="N279" i="4"/>
  <c r="M279" i="4"/>
  <c r="L279" i="4"/>
  <c r="K279" i="4"/>
  <c r="T279" i="4" s="1"/>
  <c r="J279" i="4"/>
  <c r="U279" i="4" s="1"/>
  <c r="I279" i="4"/>
  <c r="BG279" i="4" s="1"/>
  <c r="N278" i="4"/>
  <c r="M278" i="4"/>
  <c r="L278" i="4"/>
  <c r="U278" i="4" s="1"/>
  <c r="K278" i="4"/>
  <c r="J278" i="4"/>
  <c r="AE278" i="4" s="1"/>
  <c r="BE278" i="4" s="1"/>
  <c r="N277" i="4"/>
  <c r="M277" i="4"/>
  <c r="L277" i="4"/>
  <c r="K277" i="4"/>
  <c r="AE277" i="4" s="1"/>
  <c r="BE277" i="4" s="1"/>
  <c r="J277" i="4"/>
  <c r="U277" i="4" s="1"/>
  <c r="N276" i="4"/>
  <c r="M276" i="4"/>
  <c r="L276" i="4"/>
  <c r="K276" i="4"/>
  <c r="J276" i="4"/>
  <c r="U276" i="4" s="1"/>
  <c r="AE275" i="4"/>
  <c r="BE275" i="4" s="1"/>
  <c r="Z275" i="4"/>
  <c r="Y275" i="4"/>
  <c r="X275" i="4"/>
  <c r="W275" i="4"/>
  <c r="V275" i="4"/>
  <c r="AA275" i="4" s="1"/>
  <c r="N275" i="4"/>
  <c r="M275" i="4"/>
  <c r="L275" i="4"/>
  <c r="K275" i="4"/>
  <c r="T275" i="4" s="1"/>
  <c r="J275" i="4"/>
  <c r="I275" i="4"/>
  <c r="BG275" i="4" s="1"/>
  <c r="Z274" i="4"/>
  <c r="Y274" i="4"/>
  <c r="X274" i="4"/>
  <c r="W274" i="4"/>
  <c r="AA274" i="4" s="1"/>
  <c r="V274" i="4"/>
  <c r="N274" i="4"/>
  <c r="M274" i="4"/>
  <c r="L274" i="4"/>
  <c r="U274" i="4" s="1"/>
  <c r="K274" i="4"/>
  <c r="I274" i="4" s="1"/>
  <c r="BG274" i="4" s="1"/>
  <c r="J274" i="4"/>
  <c r="AE274" i="4" s="1"/>
  <c r="BE274" i="4" s="1"/>
  <c r="AE273" i="4"/>
  <c r="BE273" i="4" s="1"/>
  <c r="Z273" i="4"/>
  <c r="Y273" i="4"/>
  <c r="X273" i="4"/>
  <c r="W273" i="4"/>
  <c r="V273" i="4"/>
  <c r="AA273" i="4" s="1"/>
  <c r="N273" i="4"/>
  <c r="M273" i="4"/>
  <c r="L273" i="4"/>
  <c r="K273" i="4"/>
  <c r="I273" i="4" s="1"/>
  <c r="BG273" i="4" s="1"/>
  <c r="J273" i="4"/>
  <c r="U273" i="4" s="1"/>
  <c r="N272" i="4"/>
  <c r="M272" i="4"/>
  <c r="L272" i="4"/>
  <c r="K272" i="4"/>
  <c r="J272" i="4"/>
  <c r="U272" i="4" s="1"/>
  <c r="BG271" i="4"/>
  <c r="Z271" i="4"/>
  <c r="Y271" i="4"/>
  <c r="X271" i="4"/>
  <c r="W271" i="4"/>
  <c r="V271" i="4"/>
  <c r="AA271" i="4" s="1"/>
  <c r="U271" i="4"/>
  <c r="T271" i="4"/>
  <c r="P271" i="4"/>
  <c r="N270" i="4"/>
  <c r="M270" i="4"/>
  <c r="L270" i="4"/>
  <c r="K270" i="4"/>
  <c r="J270" i="4"/>
  <c r="U270" i="4" s="1"/>
  <c r="AE269" i="4"/>
  <c r="BE269" i="4" s="1"/>
  <c r="Z269" i="4"/>
  <c r="Y269" i="4"/>
  <c r="X269" i="4"/>
  <c r="W269" i="4"/>
  <c r="V269" i="4"/>
  <c r="AA269" i="4" s="1"/>
  <c r="N269" i="4"/>
  <c r="M269" i="4"/>
  <c r="L269" i="4"/>
  <c r="K269" i="4"/>
  <c r="T269" i="4" s="1"/>
  <c r="J269" i="4"/>
  <c r="I269" i="4"/>
  <c r="BG269" i="4" s="1"/>
  <c r="N268" i="4"/>
  <c r="M268" i="4"/>
  <c r="L268" i="4"/>
  <c r="U268" i="4" s="1"/>
  <c r="K268" i="4"/>
  <c r="I268" i="4" s="1"/>
  <c r="BG268" i="4" s="1"/>
  <c r="J268" i="4"/>
  <c r="AE268" i="4" s="1"/>
  <c r="BE268" i="4" s="1"/>
  <c r="N267" i="4"/>
  <c r="M267" i="4"/>
  <c r="L267" i="4"/>
  <c r="K267" i="4"/>
  <c r="AE267" i="4" s="1"/>
  <c r="BE267" i="4" s="1"/>
  <c r="J267" i="4"/>
  <c r="U267" i="4" s="1"/>
  <c r="N266" i="4"/>
  <c r="M266" i="4"/>
  <c r="L266" i="4"/>
  <c r="K266" i="4"/>
  <c r="J266" i="4"/>
  <c r="U266" i="4" s="1"/>
  <c r="N265" i="4"/>
  <c r="M265" i="4"/>
  <c r="AE265" i="4" s="1"/>
  <c r="BE265" i="4" s="1"/>
  <c r="L265" i="4"/>
  <c r="K265" i="4"/>
  <c r="T265" i="4" s="1"/>
  <c r="J265" i="4"/>
  <c r="U265" i="4" s="1"/>
  <c r="I265" i="4"/>
  <c r="BG265" i="4" s="1"/>
  <c r="N264" i="4"/>
  <c r="M264" i="4"/>
  <c r="L264" i="4"/>
  <c r="U264" i="4" s="1"/>
  <c r="K264" i="4"/>
  <c r="I264" i="4" s="1"/>
  <c r="BG264" i="4" s="1"/>
  <c r="J264" i="4"/>
  <c r="AE264" i="4" s="1"/>
  <c r="BE264" i="4" s="1"/>
  <c r="N263" i="4"/>
  <c r="M263" i="4"/>
  <c r="L263" i="4"/>
  <c r="K263" i="4"/>
  <c r="AE263" i="4" s="1"/>
  <c r="BE263" i="4" s="1"/>
  <c r="J263" i="4"/>
  <c r="U263" i="4" s="1"/>
  <c r="Z262" i="4"/>
  <c r="Y262" i="4"/>
  <c r="V262" i="4"/>
  <c r="N262" i="4"/>
  <c r="M262" i="4"/>
  <c r="L262" i="4"/>
  <c r="K262" i="4"/>
  <c r="J262" i="4"/>
  <c r="U262" i="4" s="1"/>
  <c r="AE261" i="4"/>
  <c r="BE261" i="4" s="1"/>
  <c r="Z261" i="4"/>
  <c r="Y261" i="4"/>
  <c r="X261" i="4"/>
  <c r="W261" i="4"/>
  <c r="V261" i="4"/>
  <c r="AA261" i="4" s="1"/>
  <c r="N261" i="4"/>
  <c r="M261" i="4"/>
  <c r="L261" i="4"/>
  <c r="K261" i="4"/>
  <c r="T261" i="4" s="1"/>
  <c r="J261" i="4"/>
  <c r="U261" i="4" s="1"/>
  <c r="I261" i="4"/>
  <c r="BG261" i="4" s="1"/>
  <c r="N260" i="4"/>
  <c r="M260" i="4"/>
  <c r="L260" i="4"/>
  <c r="U260" i="4" s="1"/>
  <c r="K260" i="4"/>
  <c r="J260" i="4"/>
  <c r="AE260" i="4" s="1"/>
  <c r="BE260" i="4" s="1"/>
  <c r="N259" i="4"/>
  <c r="M259" i="4"/>
  <c r="L259" i="4"/>
  <c r="K259" i="4"/>
  <c r="AE259" i="4" s="1"/>
  <c r="BE259" i="4" s="1"/>
  <c r="J259" i="4"/>
  <c r="U259" i="4" s="1"/>
  <c r="N258" i="4"/>
  <c r="M258" i="4"/>
  <c r="L258" i="4"/>
  <c r="K258" i="4"/>
  <c r="J258" i="4"/>
  <c r="U258" i="4" s="1"/>
  <c r="N257" i="4"/>
  <c r="M257" i="4"/>
  <c r="AE257" i="4" s="1"/>
  <c r="BE257" i="4" s="1"/>
  <c r="L257" i="4"/>
  <c r="K257" i="4"/>
  <c r="T257" i="4" s="1"/>
  <c r="J257" i="4"/>
  <c r="U257" i="4" s="1"/>
  <c r="I257" i="4"/>
  <c r="BG257" i="4" s="1"/>
  <c r="N256" i="4"/>
  <c r="M256" i="4"/>
  <c r="L256" i="4"/>
  <c r="U256" i="4" s="1"/>
  <c r="K256" i="4"/>
  <c r="J256" i="4"/>
  <c r="AE256" i="4" s="1"/>
  <c r="BE256" i="4" s="1"/>
  <c r="N255" i="4"/>
  <c r="M255" i="4"/>
  <c r="L255" i="4"/>
  <c r="K255" i="4"/>
  <c r="AE255" i="4" s="1"/>
  <c r="BE255" i="4" s="1"/>
  <c r="J255" i="4"/>
  <c r="U255" i="4" s="1"/>
  <c r="Z254" i="4"/>
  <c r="Y254" i="4"/>
  <c r="X254" i="4"/>
  <c r="W254" i="4"/>
  <c r="AA254" i="4" s="1"/>
  <c r="V254" i="4"/>
  <c r="N254" i="4"/>
  <c r="M254" i="4"/>
  <c r="L254" i="4"/>
  <c r="K254" i="4"/>
  <c r="J254" i="4"/>
  <c r="U254" i="4" s="1"/>
  <c r="N253" i="4"/>
  <c r="M253" i="4"/>
  <c r="AE253" i="4" s="1"/>
  <c r="BE253" i="4" s="1"/>
  <c r="L253" i="4"/>
  <c r="K253" i="4"/>
  <c r="T253" i="4" s="1"/>
  <c r="J253" i="4"/>
  <c r="U253" i="4" s="1"/>
  <c r="I253" i="4"/>
  <c r="BG253" i="4" s="1"/>
  <c r="V252" i="4"/>
  <c r="N252" i="4"/>
  <c r="M252" i="4"/>
  <c r="L252" i="4"/>
  <c r="U252" i="4" s="1"/>
  <c r="K252" i="4"/>
  <c r="J252" i="4"/>
  <c r="AE252" i="4" s="1"/>
  <c r="BE252" i="4" s="1"/>
  <c r="AE251" i="4"/>
  <c r="BE251" i="4" s="1"/>
  <c r="V251" i="4"/>
  <c r="N251" i="4"/>
  <c r="M251" i="4"/>
  <c r="L251" i="4"/>
  <c r="K251" i="4"/>
  <c r="I251" i="4" s="1"/>
  <c r="J251" i="4"/>
  <c r="U251" i="4" s="1"/>
  <c r="N250" i="4"/>
  <c r="M250" i="4"/>
  <c r="L250" i="4"/>
  <c r="K250" i="4"/>
  <c r="J250" i="4"/>
  <c r="U250" i="4" s="1"/>
  <c r="N249" i="4"/>
  <c r="M249" i="4"/>
  <c r="AE249" i="4" s="1"/>
  <c r="BE249" i="4" s="1"/>
  <c r="L249" i="4"/>
  <c r="K249" i="4"/>
  <c r="T249" i="4" s="1"/>
  <c r="J249" i="4"/>
  <c r="U249" i="4" s="1"/>
  <c r="I249" i="4"/>
  <c r="BG249" i="4" s="1"/>
  <c r="N248" i="4"/>
  <c r="M248" i="4"/>
  <c r="L248" i="4"/>
  <c r="U248" i="4" s="1"/>
  <c r="K248" i="4"/>
  <c r="J248" i="4"/>
  <c r="AE248" i="4" s="1"/>
  <c r="BE248" i="4" s="1"/>
  <c r="N247" i="4"/>
  <c r="M247" i="4"/>
  <c r="L247" i="4"/>
  <c r="K247" i="4"/>
  <c r="AE247" i="4" s="1"/>
  <c r="BE247" i="4" s="1"/>
  <c r="J247" i="4"/>
  <c r="U247" i="4" s="1"/>
  <c r="BG246" i="4"/>
  <c r="W246" i="4"/>
  <c r="U246" i="4"/>
  <c r="Y246" i="4" s="1"/>
  <c r="T246" i="4"/>
  <c r="X246" i="4" s="1"/>
  <c r="P246" i="4"/>
  <c r="AE245" i="4"/>
  <c r="BE245" i="4" s="1"/>
  <c r="Z245" i="4"/>
  <c r="Y245" i="4"/>
  <c r="X245" i="4"/>
  <c r="W245" i="4"/>
  <c r="V245" i="4"/>
  <c r="AA245" i="4" s="1"/>
  <c r="N245" i="4"/>
  <c r="M245" i="4"/>
  <c r="L245" i="4"/>
  <c r="K245" i="4"/>
  <c r="I245" i="4" s="1"/>
  <c r="BG245" i="4" s="1"/>
  <c r="J245" i="4"/>
  <c r="U245" i="4" s="1"/>
  <c r="V244" i="4"/>
  <c r="N244" i="4"/>
  <c r="M244" i="4"/>
  <c r="L244" i="4"/>
  <c r="K244" i="4"/>
  <c r="J244" i="4"/>
  <c r="U244" i="4" s="1"/>
  <c r="N243" i="4"/>
  <c r="M243" i="4"/>
  <c r="AE243" i="4" s="1"/>
  <c r="BE243" i="4" s="1"/>
  <c r="L243" i="4"/>
  <c r="K243" i="4"/>
  <c r="T243" i="4" s="1"/>
  <c r="J243" i="4"/>
  <c r="U243" i="4" s="1"/>
  <c r="I243" i="4"/>
  <c r="BG243" i="4" s="1"/>
  <c r="N242" i="4"/>
  <c r="M242" i="4"/>
  <c r="L242" i="4"/>
  <c r="U242" i="4" s="1"/>
  <c r="K242" i="4"/>
  <c r="I242" i="4" s="1"/>
  <c r="BG242" i="4" s="1"/>
  <c r="J242" i="4"/>
  <c r="AE242" i="4" s="1"/>
  <c r="BE242" i="4" s="1"/>
  <c r="N241" i="4"/>
  <c r="M241" i="4"/>
  <c r="L241" i="4"/>
  <c r="K241" i="4"/>
  <c r="AE241" i="4" s="1"/>
  <c r="BE241" i="4" s="1"/>
  <c r="J241" i="4"/>
  <c r="U241" i="4" s="1"/>
  <c r="N240" i="4"/>
  <c r="M240" i="4"/>
  <c r="L240" i="4"/>
  <c r="K240" i="4"/>
  <c r="J240" i="4"/>
  <c r="U240" i="4" s="1"/>
  <c r="N239" i="4"/>
  <c r="M239" i="4"/>
  <c r="AE239" i="4" s="1"/>
  <c r="BE239" i="4" s="1"/>
  <c r="L239" i="4"/>
  <c r="K239" i="4"/>
  <c r="T239" i="4" s="1"/>
  <c r="J239" i="4"/>
  <c r="U239" i="4" s="1"/>
  <c r="I239" i="4"/>
  <c r="BG239" i="4" s="1"/>
  <c r="N238" i="4"/>
  <c r="M238" i="4"/>
  <c r="L238" i="4"/>
  <c r="U238" i="4" s="1"/>
  <c r="K238" i="4"/>
  <c r="I238" i="4" s="1"/>
  <c r="BG238" i="4" s="1"/>
  <c r="J238" i="4"/>
  <c r="AE238" i="4" s="1"/>
  <c r="BE238" i="4" s="1"/>
  <c r="AE237" i="4"/>
  <c r="BE237" i="4" s="1"/>
  <c r="Z237" i="4"/>
  <c r="Y237" i="4"/>
  <c r="X237" i="4"/>
  <c r="W237" i="4"/>
  <c r="V237" i="4"/>
  <c r="AA237" i="4" s="1"/>
  <c r="N237" i="4"/>
  <c r="M237" i="4"/>
  <c r="L237" i="4"/>
  <c r="K237" i="4"/>
  <c r="I237" i="4" s="1"/>
  <c r="BG237" i="4" s="1"/>
  <c r="J237" i="4"/>
  <c r="U237" i="4" s="1"/>
  <c r="Z236" i="4"/>
  <c r="Y236" i="4"/>
  <c r="X236" i="4"/>
  <c r="V236" i="4"/>
  <c r="N236" i="4"/>
  <c r="M236" i="4"/>
  <c r="L236" i="4"/>
  <c r="K236" i="4"/>
  <c r="J236" i="4"/>
  <c r="U236" i="4" s="1"/>
  <c r="AE235" i="4"/>
  <c r="BE235" i="4" s="1"/>
  <c r="Z235" i="4"/>
  <c r="Y235" i="4"/>
  <c r="X235" i="4"/>
  <c r="V235" i="4"/>
  <c r="N235" i="4"/>
  <c r="M235" i="4"/>
  <c r="L235" i="4"/>
  <c r="K235" i="4"/>
  <c r="T235" i="4" s="1"/>
  <c r="J235" i="4"/>
  <c r="U235" i="4" s="1"/>
  <c r="I235" i="4"/>
  <c r="BG235" i="4" s="1"/>
  <c r="N234" i="4"/>
  <c r="M234" i="4"/>
  <c r="L234" i="4"/>
  <c r="U234" i="4" s="1"/>
  <c r="K234" i="4"/>
  <c r="J234" i="4"/>
  <c r="AE234" i="4" s="1"/>
  <c r="BE234" i="4" s="1"/>
  <c r="AE233" i="4"/>
  <c r="BE233" i="4" s="1"/>
  <c r="Z233" i="4"/>
  <c r="Y233" i="4"/>
  <c r="X233" i="4"/>
  <c r="W233" i="4"/>
  <c r="V233" i="4"/>
  <c r="AA233" i="4" s="1"/>
  <c r="N233" i="4"/>
  <c r="M233" i="4"/>
  <c r="L233" i="4"/>
  <c r="K233" i="4"/>
  <c r="I233" i="4" s="1"/>
  <c r="BG233" i="4" s="1"/>
  <c r="J233" i="4"/>
  <c r="U233" i="4" s="1"/>
  <c r="Z232" i="4"/>
  <c r="Y232" i="4"/>
  <c r="X232" i="4"/>
  <c r="W232" i="4"/>
  <c r="AA232" i="4" s="1"/>
  <c r="V232" i="4"/>
  <c r="N232" i="4"/>
  <c r="M232" i="4"/>
  <c r="L232" i="4"/>
  <c r="K232" i="4"/>
  <c r="J232" i="4"/>
  <c r="U232" i="4" s="1"/>
  <c r="N231" i="4"/>
  <c r="M231" i="4"/>
  <c r="AE231" i="4" s="1"/>
  <c r="BE231" i="4" s="1"/>
  <c r="L231" i="4"/>
  <c r="K231" i="4"/>
  <c r="T231" i="4" s="1"/>
  <c r="J231" i="4"/>
  <c r="U231" i="4" s="1"/>
  <c r="I231" i="4"/>
  <c r="BG231" i="4" s="1"/>
  <c r="N230" i="4"/>
  <c r="M230" i="4"/>
  <c r="L230" i="4"/>
  <c r="U230" i="4" s="1"/>
  <c r="K230" i="4"/>
  <c r="J230" i="4"/>
  <c r="AE230" i="4" s="1"/>
  <c r="BE230" i="4" s="1"/>
  <c r="N229" i="4"/>
  <c r="M229" i="4"/>
  <c r="L229" i="4"/>
  <c r="K229" i="4"/>
  <c r="AE229" i="4" s="1"/>
  <c r="BE229" i="4" s="1"/>
  <c r="J229" i="4"/>
  <c r="U229" i="4" s="1"/>
  <c r="N228" i="4"/>
  <c r="M228" i="4"/>
  <c r="L228" i="4"/>
  <c r="K228" i="4"/>
  <c r="J228" i="4"/>
  <c r="U228" i="4" s="1"/>
  <c r="BG227" i="4"/>
  <c r="Z227" i="4"/>
  <c r="V227" i="4"/>
  <c r="U227" i="4"/>
  <c r="T227" i="4"/>
  <c r="X227" i="4" s="1"/>
  <c r="P227" i="4"/>
  <c r="Z226" i="4"/>
  <c r="Y226" i="4"/>
  <c r="X226" i="4"/>
  <c r="W226" i="4"/>
  <c r="AA226" i="4" s="1"/>
  <c r="V226" i="4"/>
  <c r="N226" i="4"/>
  <c r="M226" i="4"/>
  <c r="L226" i="4"/>
  <c r="K226" i="4"/>
  <c r="J226" i="4"/>
  <c r="U226" i="4" s="1"/>
  <c r="N225" i="4"/>
  <c r="M225" i="4"/>
  <c r="AE225" i="4" s="1"/>
  <c r="BE225" i="4" s="1"/>
  <c r="L225" i="4"/>
  <c r="K225" i="4"/>
  <c r="J225" i="4"/>
  <c r="T225" i="4" s="1"/>
  <c r="I225" i="4"/>
  <c r="BG225" i="4" s="1"/>
  <c r="N224" i="4"/>
  <c r="M224" i="4"/>
  <c r="L224" i="4"/>
  <c r="U224" i="4" s="1"/>
  <c r="K224" i="4"/>
  <c r="J224" i="4"/>
  <c r="AE224" i="4" s="1"/>
  <c r="BE224" i="4" s="1"/>
  <c r="N223" i="4"/>
  <c r="M223" i="4"/>
  <c r="L223" i="4"/>
  <c r="K223" i="4"/>
  <c r="I223" i="4" s="1"/>
  <c r="BG223" i="4" s="1"/>
  <c r="J223" i="4"/>
  <c r="AE223" i="4" s="1"/>
  <c r="BE223" i="4" s="1"/>
  <c r="Z222" i="4"/>
  <c r="Y222" i="4"/>
  <c r="X222" i="4"/>
  <c r="W222" i="4"/>
  <c r="AA222" i="4" s="1"/>
  <c r="V222" i="4"/>
  <c r="N222" i="4"/>
  <c r="M222" i="4"/>
  <c r="L222" i="4"/>
  <c r="K222" i="4"/>
  <c r="J222" i="4"/>
  <c r="U222" i="4" s="1"/>
  <c r="N221" i="4"/>
  <c r="M221" i="4"/>
  <c r="AE221" i="4" s="1"/>
  <c r="BE221" i="4" s="1"/>
  <c r="L221" i="4"/>
  <c r="K221" i="4"/>
  <c r="J221" i="4"/>
  <c r="T221" i="4" s="1"/>
  <c r="I221" i="4"/>
  <c r="BG221" i="4" s="1"/>
  <c r="N220" i="4"/>
  <c r="M220" i="4"/>
  <c r="L220" i="4"/>
  <c r="U220" i="4" s="1"/>
  <c r="K220" i="4"/>
  <c r="J220" i="4"/>
  <c r="AE220" i="4" s="1"/>
  <c r="BE220" i="4" s="1"/>
  <c r="N219" i="4"/>
  <c r="M219" i="4"/>
  <c r="L219" i="4"/>
  <c r="K219" i="4"/>
  <c r="I219" i="4" s="1"/>
  <c r="BG219" i="4" s="1"/>
  <c r="J219" i="4"/>
  <c r="AE219" i="4" s="1"/>
  <c r="BE219" i="4" s="1"/>
  <c r="N218" i="4"/>
  <c r="M218" i="4"/>
  <c r="L218" i="4"/>
  <c r="K218" i="4"/>
  <c r="J218" i="4"/>
  <c r="U218" i="4" s="1"/>
  <c r="N217" i="4"/>
  <c r="M217" i="4"/>
  <c r="AE217" i="4" s="1"/>
  <c r="BE217" i="4" s="1"/>
  <c r="L217" i="4"/>
  <c r="K217" i="4"/>
  <c r="J217" i="4"/>
  <c r="T217" i="4" s="1"/>
  <c r="I217" i="4"/>
  <c r="BG217" i="4" s="1"/>
  <c r="V216" i="4"/>
  <c r="N216" i="4"/>
  <c r="M216" i="4"/>
  <c r="L216" i="4"/>
  <c r="U216" i="4" s="1"/>
  <c r="K216" i="4"/>
  <c r="J216" i="4"/>
  <c r="AE216" i="4" s="1"/>
  <c r="BE216" i="4" s="1"/>
  <c r="AE215" i="4"/>
  <c r="BE215" i="4" s="1"/>
  <c r="Z215" i="4"/>
  <c r="Y215" i="4"/>
  <c r="X215" i="4"/>
  <c r="W215" i="4"/>
  <c r="V215" i="4"/>
  <c r="AA215" i="4" s="1"/>
  <c r="N215" i="4"/>
  <c r="M215" i="4"/>
  <c r="L215" i="4"/>
  <c r="K215" i="4"/>
  <c r="I215" i="4" s="1"/>
  <c r="BG215" i="4" s="1"/>
  <c r="J215" i="4"/>
  <c r="N214" i="4"/>
  <c r="M214" i="4"/>
  <c r="L214" i="4"/>
  <c r="K214" i="4"/>
  <c r="J214" i="4"/>
  <c r="U214" i="4" s="1"/>
  <c r="N213" i="4"/>
  <c r="M213" i="4"/>
  <c r="AE213" i="4" s="1"/>
  <c r="BE213" i="4" s="1"/>
  <c r="L213" i="4"/>
  <c r="K213" i="4"/>
  <c r="J213" i="4"/>
  <c r="T213" i="4" s="1"/>
  <c r="I213" i="4"/>
  <c r="BG213" i="4" s="1"/>
  <c r="N212" i="4"/>
  <c r="M212" i="4"/>
  <c r="L212" i="4"/>
  <c r="I212" i="4" s="1"/>
  <c r="BG212" i="4" s="1"/>
  <c r="K212" i="4"/>
  <c r="J212" i="4"/>
  <c r="AE212" i="4" s="1"/>
  <c r="BE212" i="4" s="1"/>
  <c r="N211" i="4"/>
  <c r="M211" i="4"/>
  <c r="L211" i="4"/>
  <c r="K211" i="4"/>
  <c r="I211" i="4" s="1"/>
  <c r="BG211" i="4" s="1"/>
  <c r="J211" i="4"/>
  <c r="AE211" i="4" s="1"/>
  <c r="BE211" i="4" s="1"/>
  <c r="N210" i="4"/>
  <c r="M210" i="4"/>
  <c r="L210" i="4"/>
  <c r="K210" i="4"/>
  <c r="J210" i="4"/>
  <c r="U210" i="4" s="1"/>
  <c r="AE209" i="4"/>
  <c r="BE209" i="4" s="1"/>
  <c r="V209" i="4"/>
  <c r="N209" i="4"/>
  <c r="M209" i="4"/>
  <c r="L209" i="4"/>
  <c r="K209" i="4"/>
  <c r="J209" i="4"/>
  <c r="T209" i="4" s="1"/>
  <c r="I209" i="4"/>
  <c r="BG209" i="4" s="1"/>
  <c r="Z208" i="4"/>
  <c r="Y208" i="4"/>
  <c r="X208" i="4"/>
  <c r="W208" i="4"/>
  <c r="V208" i="4"/>
  <c r="AA208" i="4" s="1"/>
  <c r="N208" i="4"/>
  <c r="M208" i="4"/>
  <c r="L208" i="4"/>
  <c r="I208" i="4" s="1"/>
  <c r="BG208" i="4" s="1"/>
  <c r="K208" i="4"/>
  <c r="J208" i="4"/>
  <c r="AE208" i="4" s="1"/>
  <c r="BE208" i="4" s="1"/>
  <c r="N207" i="4"/>
  <c r="M207" i="4"/>
  <c r="L207" i="4"/>
  <c r="K207" i="4"/>
  <c r="I207" i="4" s="1"/>
  <c r="BG207" i="4" s="1"/>
  <c r="J207" i="4"/>
  <c r="AE207" i="4" s="1"/>
  <c r="BE207" i="4" s="1"/>
  <c r="N206" i="4"/>
  <c r="M206" i="4"/>
  <c r="L206" i="4"/>
  <c r="K206" i="4"/>
  <c r="J206" i="4"/>
  <c r="U206" i="4" s="1"/>
  <c r="BG205" i="4"/>
  <c r="Z205" i="4"/>
  <c r="V205" i="4"/>
  <c r="U205" i="4"/>
  <c r="Y205" i="4" s="1"/>
  <c r="T205" i="4"/>
  <c r="X205" i="4" s="1"/>
  <c r="P205" i="4"/>
  <c r="Z204" i="4"/>
  <c r="Y204" i="4"/>
  <c r="X204" i="4"/>
  <c r="W204" i="4"/>
  <c r="AA204" i="4" s="1"/>
  <c r="V204" i="4"/>
  <c r="N204" i="4"/>
  <c r="M204" i="4"/>
  <c r="L204" i="4"/>
  <c r="K204" i="4"/>
  <c r="J204" i="4"/>
  <c r="U204" i="4" s="1"/>
  <c r="AE203" i="4"/>
  <c r="BE203" i="4" s="1"/>
  <c r="Y203" i="4"/>
  <c r="X203" i="4"/>
  <c r="W203" i="4"/>
  <c r="V203" i="4"/>
  <c r="N203" i="4"/>
  <c r="M203" i="4"/>
  <c r="L203" i="4"/>
  <c r="U203" i="4" s="1"/>
  <c r="K203" i="4"/>
  <c r="J203" i="4"/>
  <c r="T203" i="4" s="1"/>
  <c r="Z203" i="4" s="1"/>
  <c r="I203" i="4"/>
  <c r="BG203" i="4" s="1"/>
  <c r="V202" i="4"/>
  <c r="N202" i="4"/>
  <c r="M202" i="4"/>
  <c r="L202" i="4"/>
  <c r="U202" i="4" s="1"/>
  <c r="K202" i="4"/>
  <c r="J202" i="4"/>
  <c r="AE202" i="4" s="1"/>
  <c r="BE202" i="4" s="1"/>
  <c r="N201" i="4"/>
  <c r="M201" i="4"/>
  <c r="L201" i="4"/>
  <c r="K201" i="4"/>
  <c r="I201" i="4" s="1"/>
  <c r="J201" i="4"/>
  <c r="AE201" i="4" s="1"/>
  <c r="BE201" i="4" s="1"/>
  <c r="N200" i="4"/>
  <c r="M200" i="4"/>
  <c r="L200" i="4"/>
  <c r="K200" i="4"/>
  <c r="J200" i="4"/>
  <c r="U200" i="4" s="1"/>
  <c r="AE199" i="4"/>
  <c r="BE199" i="4" s="1"/>
  <c r="V199" i="4"/>
  <c r="N199" i="4"/>
  <c r="M199" i="4"/>
  <c r="L199" i="4"/>
  <c r="K199" i="4"/>
  <c r="J199" i="4"/>
  <c r="T199" i="4" s="1"/>
  <c r="I199" i="4"/>
  <c r="BG199" i="4" s="1"/>
  <c r="N198" i="4"/>
  <c r="M198" i="4"/>
  <c r="L198" i="4"/>
  <c r="U198" i="4" s="1"/>
  <c r="K198" i="4"/>
  <c r="J198" i="4"/>
  <c r="AE198" i="4" s="1"/>
  <c r="BE198" i="4" s="1"/>
  <c r="N197" i="4"/>
  <c r="M197" i="4"/>
  <c r="L197" i="4"/>
  <c r="K197" i="4"/>
  <c r="I197" i="4" s="1"/>
  <c r="BG197" i="4" s="1"/>
  <c r="J197" i="4"/>
  <c r="AE197" i="4" s="1"/>
  <c r="BE197" i="4" s="1"/>
  <c r="V196" i="4"/>
  <c r="N196" i="4"/>
  <c r="M196" i="4"/>
  <c r="L196" i="4"/>
  <c r="K196" i="4"/>
  <c r="J196" i="4"/>
  <c r="U196" i="4" s="1"/>
  <c r="N195" i="4"/>
  <c r="M195" i="4"/>
  <c r="AE195" i="4" s="1"/>
  <c r="BE195" i="4" s="1"/>
  <c r="L195" i="4"/>
  <c r="K195" i="4"/>
  <c r="J195" i="4"/>
  <c r="T195" i="4" s="1"/>
  <c r="I195" i="4"/>
  <c r="BG195" i="4" s="1"/>
  <c r="N194" i="4"/>
  <c r="M194" i="4"/>
  <c r="L194" i="4"/>
  <c r="U194" i="4" s="1"/>
  <c r="K194" i="4"/>
  <c r="J194" i="4"/>
  <c r="AE194" i="4" s="1"/>
  <c r="BE194" i="4" s="1"/>
  <c r="Z193" i="4"/>
  <c r="Y193" i="4"/>
  <c r="X193" i="4"/>
  <c r="W193" i="4"/>
  <c r="AA193" i="4" s="1"/>
  <c r="V193" i="4"/>
  <c r="N193" i="4"/>
  <c r="M193" i="4"/>
  <c r="L193" i="4"/>
  <c r="K193" i="4"/>
  <c r="I193" i="4" s="1"/>
  <c r="BG193" i="4" s="1"/>
  <c r="J193" i="4"/>
  <c r="AE193" i="4" s="1"/>
  <c r="BE193" i="4" s="1"/>
  <c r="N192" i="4"/>
  <c r="M192" i="4"/>
  <c r="L192" i="4"/>
  <c r="K192" i="4"/>
  <c r="J192" i="4"/>
  <c r="U192" i="4" s="1"/>
  <c r="Z191" i="4"/>
  <c r="Y191" i="4"/>
  <c r="N191" i="4"/>
  <c r="M191" i="4"/>
  <c r="AE191" i="4" s="1"/>
  <c r="BE191" i="4" s="1"/>
  <c r="L191" i="4"/>
  <c r="K191" i="4"/>
  <c r="J191" i="4"/>
  <c r="T191" i="4" s="1"/>
  <c r="I191" i="4"/>
  <c r="BG191" i="4" s="1"/>
  <c r="Z190" i="4"/>
  <c r="Y190" i="4"/>
  <c r="X190" i="4"/>
  <c r="W190" i="4"/>
  <c r="V190" i="4"/>
  <c r="AA190" i="4" s="1"/>
  <c r="N190" i="4"/>
  <c r="M190" i="4"/>
  <c r="L190" i="4"/>
  <c r="U190" i="4" s="1"/>
  <c r="K190" i="4"/>
  <c r="I190" i="4" s="1"/>
  <c r="BG190" i="4" s="1"/>
  <c r="J190" i="4"/>
  <c r="AE190" i="4" s="1"/>
  <c r="BE190" i="4" s="1"/>
  <c r="Z189" i="4"/>
  <c r="Y189" i="4"/>
  <c r="N189" i="4"/>
  <c r="M189" i="4"/>
  <c r="L189" i="4"/>
  <c r="K189" i="4"/>
  <c r="I189" i="4" s="1"/>
  <c r="BG189" i="4" s="1"/>
  <c r="J189" i="4"/>
  <c r="AE189" i="4" s="1"/>
  <c r="BE189" i="4" s="1"/>
  <c r="Z188" i="4"/>
  <c r="Y188" i="4"/>
  <c r="N188" i="4"/>
  <c r="M188" i="4"/>
  <c r="L188" i="4"/>
  <c r="K188" i="4"/>
  <c r="J188" i="4"/>
  <c r="U188" i="4" s="1"/>
  <c r="AE187" i="4"/>
  <c r="BE187" i="4" s="1"/>
  <c r="Y187" i="4"/>
  <c r="X187" i="4"/>
  <c r="W187" i="4"/>
  <c r="V187" i="4"/>
  <c r="N187" i="4"/>
  <c r="M187" i="4"/>
  <c r="L187" i="4"/>
  <c r="U187" i="4" s="1"/>
  <c r="K187" i="4"/>
  <c r="J187" i="4"/>
  <c r="T187" i="4" s="1"/>
  <c r="I187" i="4"/>
  <c r="BG187" i="4" s="1"/>
  <c r="V186" i="4"/>
  <c r="N186" i="4"/>
  <c r="M186" i="4"/>
  <c r="L186" i="4"/>
  <c r="U186" i="4" s="1"/>
  <c r="K186" i="4"/>
  <c r="J186" i="4"/>
  <c r="AE186" i="4" s="1"/>
  <c r="BE186" i="4" s="1"/>
  <c r="N185" i="4"/>
  <c r="M185" i="4"/>
  <c r="L185" i="4"/>
  <c r="K185" i="4"/>
  <c r="I185" i="4" s="1"/>
  <c r="J185" i="4"/>
  <c r="AE185" i="4" s="1"/>
  <c r="BE185" i="4" s="1"/>
  <c r="Z184" i="4"/>
  <c r="Y184" i="4"/>
  <c r="X184" i="4"/>
  <c r="W184" i="4"/>
  <c r="AA184" i="4" s="1"/>
  <c r="V184" i="4"/>
  <c r="N184" i="4"/>
  <c r="M184" i="4"/>
  <c r="L184" i="4"/>
  <c r="K184" i="4"/>
  <c r="J184" i="4"/>
  <c r="U184" i="4" s="1"/>
  <c r="N183" i="4"/>
  <c r="M183" i="4"/>
  <c r="AE183" i="4" s="1"/>
  <c r="BE183" i="4" s="1"/>
  <c r="L183" i="4"/>
  <c r="K183" i="4"/>
  <c r="J183" i="4"/>
  <c r="T183" i="4" s="1"/>
  <c r="I183" i="4"/>
  <c r="BG183" i="4" s="1"/>
  <c r="BE182" i="4"/>
  <c r="AE182" i="4"/>
  <c r="Z182" i="4"/>
  <c r="Y182" i="4"/>
  <c r="X182" i="4"/>
  <c r="W182" i="4"/>
  <c r="V182" i="4"/>
  <c r="AA182" i="4" s="1"/>
  <c r="N182" i="4"/>
  <c r="M182" i="4"/>
  <c r="L182" i="4"/>
  <c r="U182" i="4" s="1"/>
  <c r="K182" i="4"/>
  <c r="I182" i="4" s="1"/>
  <c r="BG182" i="4" s="1"/>
  <c r="J182" i="4"/>
  <c r="Z181" i="4"/>
  <c r="Y181" i="4"/>
  <c r="X181" i="4"/>
  <c r="W181" i="4"/>
  <c r="AA181" i="4" s="1"/>
  <c r="V181" i="4"/>
  <c r="N181" i="4"/>
  <c r="M181" i="4"/>
  <c r="L181" i="4"/>
  <c r="K181" i="4"/>
  <c r="I181" i="4" s="1"/>
  <c r="BG181" i="4" s="1"/>
  <c r="J181" i="4"/>
  <c r="AE181" i="4" s="1"/>
  <c r="BE181" i="4" s="1"/>
  <c r="Z180" i="4"/>
  <c r="Y180" i="4"/>
  <c r="X180" i="4"/>
  <c r="W180" i="4"/>
  <c r="AA180" i="4" s="1"/>
  <c r="V180" i="4"/>
  <c r="N180" i="4"/>
  <c r="M180" i="4"/>
  <c r="L180" i="4"/>
  <c r="K180" i="4"/>
  <c r="J180" i="4"/>
  <c r="U180" i="4" s="1"/>
  <c r="N179" i="4"/>
  <c r="M179" i="4"/>
  <c r="AE179" i="4" s="1"/>
  <c r="BE179" i="4" s="1"/>
  <c r="L179" i="4"/>
  <c r="K179" i="4"/>
  <c r="J179" i="4"/>
  <c r="T179" i="4" s="1"/>
  <c r="I179" i="4"/>
  <c r="BG179" i="4" s="1"/>
  <c r="N178" i="4"/>
  <c r="M178" i="4"/>
  <c r="L178" i="4"/>
  <c r="U178" i="4" s="1"/>
  <c r="K178" i="4"/>
  <c r="J178" i="4"/>
  <c r="AE178" i="4" s="1"/>
  <c r="BE178" i="4" s="1"/>
  <c r="N177" i="4"/>
  <c r="M177" i="4"/>
  <c r="L177" i="4"/>
  <c r="K177" i="4"/>
  <c r="I177" i="4" s="1"/>
  <c r="BG177" i="4" s="1"/>
  <c r="J177" i="4"/>
  <c r="AE177" i="4" s="1"/>
  <c r="BE177" i="4" s="1"/>
  <c r="N176" i="4"/>
  <c r="M176" i="4"/>
  <c r="L176" i="4"/>
  <c r="K176" i="4"/>
  <c r="J176" i="4"/>
  <c r="U176" i="4" s="1"/>
  <c r="N175" i="4"/>
  <c r="M175" i="4"/>
  <c r="AE175" i="4" s="1"/>
  <c r="BE175" i="4" s="1"/>
  <c r="L175" i="4"/>
  <c r="K175" i="4"/>
  <c r="J175" i="4"/>
  <c r="T175" i="4" s="1"/>
  <c r="I175" i="4"/>
  <c r="BG175" i="4" s="1"/>
  <c r="Y174" i="4"/>
  <c r="X174" i="4"/>
  <c r="W174" i="4"/>
  <c r="V174" i="4"/>
  <c r="N174" i="4"/>
  <c r="M174" i="4"/>
  <c r="L174" i="4"/>
  <c r="U174" i="4" s="1"/>
  <c r="K174" i="4"/>
  <c r="I174" i="4" s="1"/>
  <c r="J174" i="4"/>
  <c r="AE174" i="4" s="1"/>
  <c r="BE174" i="4" s="1"/>
  <c r="V173" i="4"/>
  <c r="N173" i="4"/>
  <c r="M173" i="4"/>
  <c r="L173" i="4"/>
  <c r="K173" i="4"/>
  <c r="I173" i="4" s="1"/>
  <c r="J173" i="4"/>
  <c r="AE173" i="4" s="1"/>
  <c r="BE173" i="4" s="1"/>
  <c r="N172" i="4"/>
  <c r="M172" i="4"/>
  <c r="L172" i="4"/>
  <c r="K172" i="4"/>
  <c r="J172" i="4"/>
  <c r="U172" i="4" s="1"/>
  <c r="N171" i="4"/>
  <c r="M171" i="4"/>
  <c r="AE171" i="4" s="1"/>
  <c r="BE171" i="4" s="1"/>
  <c r="L171" i="4"/>
  <c r="K171" i="4"/>
  <c r="J171" i="4"/>
  <c r="T171" i="4" s="1"/>
  <c r="I171" i="4"/>
  <c r="BG171" i="4" s="1"/>
  <c r="N170" i="4"/>
  <c r="M170" i="4"/>
  <c r="L170" i="4"/>
  <c r="U170" i="4" s="1"/>
  <c r="K170" i="4"/>
  <c r="J170" i="4"/>
  <c r="V169" i="4"/>
  <c r="N169" i="4"/>
  <c r="M169" i="4"/>
  <c r="L169" i="4"/>
  <c r="K169" i="4"/>
  <c r="I169" i="4" s="1"/>
  <c r="BG169" i="4" s="1"/>
  <c r="J169" i="4"/>
  <c r="AE169" i="4" s="1"/>
  <c r="BE169" i="4" s="1"/>
  <c r="N168" i="4"/>
  <c r="M168" i="4"/>
  <c r="L168" i="4"/>
  <c r="K168" i="4"/>
  <c r="J168" i="4"/>
  <c r="U168" i="4" s="1"/>
  <c r="AE167" i="4"/>
  <c r="BE167" i="4" s="1"/>
  <c r="Z167" i="4"/>
  <c r="Y167" i="4"/>
  <c r="X167" i="4"/>
  <c r="W167" i="4"/>
  <c r="V167" i="4"/>
  <c r="AA167" i="4" s="1"/>
  <c r="N167" i="4"/>
  <c r="M167" i="4"/>
  <c r="L167" i="4"/>
  <c r="U167" i="4" s="1"/>
  <c r="K167" i="4"/>
  <c r="J167" i="4"/>
  <c r="T167" i="4" s="1"/>
  <c r="I167" i="4"/>
  <c r="BG167" i="4" s="1"/>
  <c r="BE166" i="4"/>
  <c r="AE166" i="4"/>
  <c r="Z166" i="4"/>
  <c r="Y166" i="4"/>
  <c r="X166" i="4"/>
  <c r="W166" i="4"/>
  <c r="V166" i="4"/>
  <c r="AA166" i="4" s="1"/>
  <c r="N166" i="4"/>
  <c r="M166" i="4"/>
  <c r="L166" i="4"/>
  <c r="U166" i="4" s="1"/>
  <c r="K166" i="4"/>
  <c r="I166" i="4" s="1"/>
  <c r="BG166" i="4" s="1"/>
  <c r="J166" i="4"/>
  <c r="N165" i="4"/>
  <c r="M165" i="4"/>
  <c r="L165" i="4"/>
  <c r="K165" i="4"/>
  <c r="I165" i="4" s="1"/>
  <c r="BG165" i="4" s="1"/>
  <c r="J165" i="4"/>
  <c r="AE165" i="4" s="1"/>
  <c r="BE165" i="4" s="1"/>
  <c r="N164" i="4"/>
  <c r="M164" i="4"/>
  <c r="L164" i="4"/>
  <c r="K164" i="4"/>
  <c r="J164" i="4"/>
  <c r="U164" i="4" s="1"/>
  <c r="N163" i="4"/>
  <c r="M163" i="4"/>
  <c r="AE163" i="4" s="1"/>
  <c r="BE163" i="4" s="1"/>
  <c r="L163" i="4"/>
  <c r="K163" i="4"/>
  <c r="J163" i="4"/>
  <c r="T163" i="4" s="1"/>
  <c r="I163" i="4"/>
  <c r="BG163" i="4" s="1"/>
  <c r="BE162" i="4"/>
  <c r="AE162" i="4"/>
  <c r="Z162" i="4"/>
  <c r="Y162" i="4"/>
  <c r="X162" i="4"/>
  <c r="W162" i="4"/>
  <c r="V162" i="4"/>
  <c r="AA162" i="4" s="1"/>
  <c r="N162" i="4"/>
  <c r="M162" i="4"/>
  <c r="L162" i="4"/>
  <c r="U162" i="4" s="1"/>
  <c r="K162" i="4"/>
  <c r="I162" i="4" s="1"/>
  <c r="J162" i="4"/>
  <c r="V161" i="4"/>
  <c r="N161" i="4"/>
  <c r="M161" i="4"/>
  <c r="L161" i="4"/>
  <c r="K161" i="4"/>
  <c r="I161" i="4" s="1"/>
  <c r="J161" i="4"/>
  <c r="AE161" i="4" s="1"/>
  <c r="BE161" i="4" s="1"/>
  <c r="N160" i="4"/>
  <c r="M160" i="4"/>
  <c r="L160" i="4"/>
  <c r="K160" i="4"/>
  <c r="J160" i="4"/>
  <c r="U160" i="4" s="1"/>
  <c r="N159" i="4"/>
  <c r="M159" i="4"/>
  <c r="AE159" i="4" s="1"/>
  <c r="BE159" i="4" s="1"/>
  <c r="L159" i="4"/>
  <c r="K159" i="4"/>
  <c r="J159" i="4"/>
  <c r="T159" i="4" s="1"/>
  <c r="I159" i="4"/>
  <c r="BG159" i="4" s="1"/>
  <c r="N158" i="4"/>
  <c r="M158" i="4"/>
  <c r="L158" i="4"/>
  <c r="U158" i="4" s="1"/>
  <c r="K158" i="4"/>
  <c r="J158" i="4"/>
  <c r="BG157" i="4"/>
  <c r="U157" i="4"/>
  <c r="T157" i="4"/>
  <c r="Z157" i="4" s="1"/>
  <c r="P157" i="4"/>
  <c r="Z156" i="4"/>
  <c r="Y156" i="4"/>
  <c r="X156" i="4"/>
  <c r="W156" i="4"/>
  <c r="V156" i="4"/>
  <c r="AA156" i="4" s="1"/>
  <c r="N156" i="4"/>
  <c r="M156" i="4"/>
  <c r="L156" i="4"/>
  <c r="U156" i="4" s="1"/>
  <c r="K156" i="4"/>
  <c r="I156" i="4" s="1"/>
  <c r="BG156" i="4" s="1"/>
  <c r="J156" i="4"/>
  <c r="AE156" i="4" s="1"/>
  <c r="BE156" i="4" s="1"/>
  <c r="Y155" i="4"/>
  <c r="X155" i="4"/>
  <c r="W155" i="4"/>
  <c r="V155" i="4"/>
  <c r="N155" i="4"/>
  <c r="M155" i="4"/>
  <c r="L155" i="4"/>
  <c r="K155" i="4"/>
  <c r="I155" i="4" s="1"/>
  <c r="J155" i="4"/>
  <c r="AE155" i="4" s="1"/>
  <c r="BE155" i="4" s="1"/>
  <c r="V154" i="4"/>
  <c r="N154" i="4"/>
  <c r="M154" i="4"/>
  <c r="L154" i="4"/>
  <c r="K154" i="4"/>
  <c r="J154" i="4"/>
  <c r="U154" i="4" s="1"/>
  <c r="N153" i="4"/>
  <c r="M153" i="4"/>
  <c r="AE153" i="4" s="1"/>
  <c r="BE153" i="4" s="1"/>
  <c r="L153" i="4"/>
  <c r="K153" i="4"/>
  <c r="J153" i="4"/>
  <c r="T153" i="4" s="1"/>
  <c r="I153" i="4"/>
  <c r="BG153" i="4" s="1"/>
  <c r="V152" i="4"/>
  <c r="N152" i="4"/>
  <c r="M152" i="4"/>
  <c r="L152" i="4"/>
  <c r="U152" i="4" s="1"/>
  <c r="K152" i="4"/>
  <c r="J152" i="4"/>
  <c r="AE152" i="4" s="1"/>
  <c r="BE152" i="4" s="1"/>
  <c r="N151" i="4"/>
  <c r="M151" i="4"/>
  <c r="L151" i="4"/>
  <c r="K151" i="4"/>
  <c r="I151" i="4" s="1"/>
  <c r="J151" i="4"/>
  <c r="AE151" i="4" s="1"/>
  <c r="BE151" i="4" s="1"/>
  <c r="N150" i="4"/>
  <c r="M150" i="4"/>
  <c r="L150" i="4"/>
  <c r="K150" i="4"/>
  <c r="J150" i="4"/>
  <c r="U150" i="4" s="1"/>
  <c r="N149" i="4"/>
  <c r="M149" i="4"/>
  <c r="AE149" i="4" s="1"/>
  <c r="BE149" i="4" s="1"/>
  <c r="L149" i="4"/>
  <c r="K149" i="4"/>
  <c r="J149" i="4"/>
  <c r="T149" i="4" s="1"/>
  <c r="I149" i="4"/>
  <c r="BG149" i="4" s="1"/>
  <c r="N148" i="4"/>
  <c r="M148" i="4"/>
  <c r="L148" i="4"/>
  <c r="U148" i="4" s="1"/>
  <c r="K148" i="4"/>
  <c r="J148" i="4"/>
  <c r="AE148" i="4" s="1"/>
  <c r="BE148" i="4" s="1"/>
  <c r="N147" i="4"/>
  <c r="M147" i="4"/>
  <c r="L147" i="4"/>
  <c r="K147" i="4"/>
  <c r="I147" i="4" s="1"/>
  <c r="BG147" i="4" s="1"/>
  <c r="J147" i="4"/>
  <c r="AE147" i="4" s="1"/>
  <c r="BE147" i="4" s="1"/>
  <c r="V146" i="4"/>
  <c r="N146" i="4"/>
  <c r="M146" i="4"/>
  <c r="L146" i="4"/>
  <c r="K146" i="4"/>
  <c r="J146" i="4"/>
  <c r="U146" i="4" s="1"/>
  <c r="N145" i="4"/>
  <c r="M145" i="4"/>
  <c r="AE145" i="4" s="1"/>
  <c r="BE145" i="4" s="1"/>
  <c r="L145" i="4"/>
  <c r="K145" i="4"/>
  <c r="J145" i="4"/>
  <c r="T145" i="4" s="1"/>
  <c r="I145" i="4"/>
  <c r="BG145" i="4" s="1"/>
  <c r="BH144" i="4"/>
  <c r="BG144" i="4"/>
  <c r="BF144" i="4"/>
  <c r="BE144" i="4"/>
  <c r="BC144" i="4"/>
  <c r="BA144" i="4"/>
  <c r="AZ144" i="4"/>
  <c r="AF144" i="4"/>
  <c r="AE144" i="4"/>
  <c r="AC144" i="4"/>
  <c r="AB144" i="4"/>
  <c r="AA144" i="4"/>
  <c r="W144" i="4"/>
  <c r="U144" i="4"/>
  <c r="T144" i="4"/>
  <c r="S144" i="4"/>
  <c r="R144" i="4"/>
  <c r="Q144" i="4"/>
  <c r="P144" i="4"/>
  <c r="N144" i="4"/>
  <c r="Z144" i="4" s="1"/>
  <c r="M144" i="4"/>
  <c r="Y144" i="4" s="1"/>
  <c r="L144" i="4"/>
  <c r="X144" i="4" s="1"/>
  <c r="K144" i="4"/>
  <c r="J144" i="4"/>
  <c r="V143" i="4"/>
  <c r="N143" i="4"/>
  <c r="M143" i="4"/>
  <c r="L143" i="4"/>
  <c r="K143" i="4"/>
  <c r="J143" i="4"/>
  <c r="I143" i="4"/>
  <c r="N142" i="4"/>
  <c r="M142" i="4"/>
  <c r="L142" i="4"/>
  <c r="K142" i="4"/>
  <c r="I142" i="4" s="1"/>
  <c r="J142" i="4"/>
  <c r="N141" i="4"/>
  <c r="M141" i="4"/>
  <c r="L141" i="4"/>
  <c r="K141" i="4"/>
  <c r="J141" i="4"/>
  <c r="I141" i="4"/>
  <c r="N140" i="4"/>
  <c r="M140" i="4"/>
  <c r="L140" i="4"/>
  <c r="K140" i="4"/>
  <c r="I140" i="4" s="1"/>
  <c r="J140" i="4"/>
  <c r="N139" i="4"/>
  <c r="M139" i="4"/>
  <c r="L139" i="4"/>
  <c r="K139" i="4"/>
  <c r="J139" i="4"/>
  <c r="I139" i="4"/>
  <c r="N138" i="4"/>
  <c r="M138" i="4"/>
  <c r="L138" i="4"/>
  <c r="K138" i="4"/>
  <c r="I138" i="4" s="1"/>
  <c r="J138" i="4"/>
  <c r="N137" i="4"/>
  <c r="M137" i="4"/>
  <c r="L137" i="4"/>
  <c r="K137" i="4"/>
  <c r="J137" i="4"/>
  <c r="I137" i="4"/>
  <c r="N136" i="4"/>
  <c r="M136" i="4"/>
  <c r="L136" i="4"/>
  <c r="K136" i="4"/>
  <c r="I136" i="4" s="1"/>
  <c r="J136" i="4"/>
  <c r="N135" i="4"/>
  <c r="M135" i="4"/>
  <c r="L135" i="4"/>
  <c r="K135" i="4"/>
  <c r="J135" i="4"/>
  <c r="I135" i="4"/>
  <c r="N134" i="4"/>
  <c r="M134" i="4"/>
  <c r="L134" i="4"/>
  <c r="K134" i="4"/>
  <c r="I134" i="4" s="1"/>
  <c r="J134" i="4"/>
  <c r="N133" i="4"/>
  <c r="M133" i="4"/>
  <c r="L133" i="4"/>
  <c r="K133" i="4"/>
  <c r="J133" i="4"/>
  <c r="I133" i="4"/>
  <c r="N132" i="4"/>
  <c r="M132" i="4"/>
  <c r="L132" i="4"/>
  <c r="K132" i="4"/>
  <c r="I132" i="4" s="1"/>
  <c r="J132" i="4"/>
  <c r="N131" i="4"/>
  <c r="M131" i="4"/>
  <c r="L131" i="4"/>
  <c r="K131" i="4"/>
  <c r="J131" i="4"/>
  <c r="I131" i="4"/>
  <c r="N130" i="4"/>
  <c r="M130" i="4"/>
  <c r="L130" i="4"/>
  <c r="K130" i="4"/>
  <c r="I130" i="4" s="1"/>
  <c r="J130" i="4"/>
  <c r="N129" i="4"/>
  <c r="M129" i="4"/>
  <c r="L129" i="4"/>
  <c r="K129" i="4"/>
  <c r="J129" i="4"/>
  <c r="I129" i="4"/>
  <c r="N128" i="4"/>
  <c r="M128" i="4"/>
  <c r="L128" i="4"/>
  <c r="K128" i="4"/>
  <c r="I128" i="4" s="1"/>
  <c r="J128" i="4"/>
  <c r="N127" i="4"/>
  <c r="M127" i="4"/>
  <c r="L127" i="4"/>
  <c r="K127" i="4"/>
  <c r="J127" i="4"/>
  <c r="I127" i="4"/>
  <c r="N126" i="4"/>
  <c r="M126" i="4"/>
  <c r="L126" i="4"/>
  <c r="K126" i="4"/>
  <c r="I126" i="4" s="1"/>
  <c r="J126" i="4"/>
  <c r="N125" i="4"/>
  <c r="M125" i="4"/>
  <c r="L125" i="4"/>
  <c r="K125" i="4"/>
  <c r="J125" i="4"/>
  <c r="I125" i="4"/>
  <c r="N124" i="4"/>
  <c r="M124" i="4"/>
  <c r="L124" i="4"/>
  <c r="K124" i="4"/>
  <c r="I124" i="4" s="1"/>
  <c r="J124" i="4"/>
  <c r="N123" i="4"/>
  <c r="M123" i="4"/>
  <c r="L123" i="4"/>
  <c r="K123" i="4"/>
  <c r="J123" i="4"/>
  <c r="I123" i="4"/>
  <c r="N122" i="4"/>
  <c r="M122" i="4"/>
  <c r="L122" i="4"/>
  <c r="K122" i="4"/>
  <c r="I122" i="4" s="1"/>
  <c r="J122" i="4"/>
  <c r="N121" i="4"/>
  <c r="M121" i="4"/>
  <c r="L121" i="4"/>
  <c r="K121" i="4"/>
  <c r="J121" i="4"/>
  <c r="I121" i="4"/>
  <c r="N120" i="4"/>
  <c r="M120" i="4"/>
  <c r="L120" i="4"/>
  <c r="K120" i="4"/>
  <c r="I120" i="4" s="1"/>
  <c r="J120" i="4"/>
  <c r="N119" i="4"/>
  <c r="M119" i="4"/>
  <c r="L119" i="4"/>
  <c r="K119" i="4"/>
  <c r="J119" i="4"/>
  <c r="I119" i="4"/>
  <c r="N118" i="4"/>
  <c r="M118" i="4"/>
  <c r="L118" i="4"/>
  <c r="K118" i="4"/>
  <c r="I118" i="4" s="1"/>
  <c r="J118" i="4"/>
  <c r="N117" i="4"/>
  <c r="M117" i="4"/>
  <c r="L117" i="4"/>
  <c r="K117" i="4"/>
  <c r="J117" i="4"/>
  <c r="I117" i="4"/>
  <c r="N116" i="4"/>
  <c r="M116" i="4"/>
  <c r="L116" i="4"/>
  <c r="K116" i="4"/>
  <c r="I116" i="4" s="1"/>
  <c r="J116" i="4"/>
  <c r="N115" i="4"/>
  <c r="M115" i="4"/>
  <c r="L115" i="4"/>
  <c r="K115" i="4"/>
  <c r="J115" i="4"/>
  <c r="I115" i="4"/>
  <c r="N114" i="4"/>
  <c r="M114" i="4"/>
  <c r="L114" i="4"/>
  <c r="K114" i="4"/>
  <c r="I114" i="4" s="1"/>
  <c r="J114" i="4"/>
  <c r="N113" i="4"/>
  <c r="M113" i="4"/>
  <c r="L113" i="4"/>
  <c r="K113" i="4"/>
  <c r="J113" i="4"/>
  <c r="I113" i="4"/>
  <c r="N112" i="4"/>
  <c r="M112" i="4"/>
  <c r="L112" i="4"/>
  <c r="K112" i="4"/>
  <c r="I112" i="4" s="1"/>
  <c r="J112" i="4"/>
  <c r="N111" i="4"/>
  <c r="M111" i="4"/>
  <c r="L111" i="4"/>
  <c r="K111" i="4"/>
  <c r="J111" i="4"/>
  <c r="I111" i="4"/>
  <c r="N110" i="4"/>
  <c r="M110" i="4"/>
  <c r="L110" i="4"/>
  <c r="K110" i="4"/>
  <c r="I110" i="4" s="1"/>
  <c r="J110" i="4"/>
  <c r="N109" i="4"/>
  <c r="M109" i="4"/>
  <c r="L109" i="4"/>
  <c r="K109" i="4"/>
  <c r="J109" i="4"/>
  <c r="I109" i="4"/>
  <c r="N108" i="4"/>
  <c r="M108" i="4"/>
  <c r="L108" i="4"/>
  <c r="K108" i="4"/>
  <c r="I108" i="4" s="1"/>
  <c r="J108" i="4"/>
  <c r="N107" i="4"/>
  <c r="M107" i="4"/>
  <c r="L107" i="4"/>
  <c r="K107" i="4"/>
  <c r="J107" i="4"/>
  <c r="I107" i="4"/>
  <c r="N106" i="4"/>
  <c r="M106" i="4"/>
  <c r="L106" i="4"/>
  <c r="K106" i="4"/>
  <c r="I106" i="4" s="1"/>
  <c r="J106" i="4"/>
  <c r="N105" i="4"/>
  <c r="M105" i="4"/>
  <c r="L105" i="4"/>
  <c r="K105" i="4"/>
  <c r="J105" i="4"/>
  <c r="I105" i="4"/>
  <c r="N104" i="4"/>
  <c r="M104" i="4"/>
  <c r="L104" i="4"/>
  <c r="K104" i="4"/>
  <c r="I104" i="4" s="1"/>
  <c r="J104" i="4"/>
  <c r="N103" i="4"/>
  <c r="M103" i="4"/>
  <c r="L103" i="4"/>
  <c r="K103" i="4"/>
  <c r="J103" i="4"/>
  <c r="I103" i="4"/>
  <c r="N102" i="4"/>
  <c r="M102" i="4"/>
  <c r="L102" i="4"/>
  <c r="K102" i="4"/>
  <c r="I102" i="4" s="1"/>
  <c r="J102" i="4"/>
  <c r="N101" i="4"/>
  <c r="M101" i="4"/>
  <c r="L101" i="4"/>
  <c r="K101" i="4"/>
  <c r="J101" i="4"/>
  <c r="I101" i="4"/>
  <c r="N100" i="4"/>
  <c r="M100" i="4"/>
  <c r="L100" i="4"/>
  <c r="K100" i="4"/>
  <c r="I100" i="4" s="1"/>
  <c r="J100" i="4"/>
  <c r="N99" i="4"/>
  <c r="M99" i="4"/>
  <c r="L99" i="4"/>
  <c r="K99" i="4"/>
  <c r="J99" i="4"/>
  <c r="I99" i="4"/>
  <c r="N98" i="4"/>
  <c r="M98" i="4"/>
  <c r="L98" i="4"/>
  <c r="K98" i="4"/>
  <c r="I98" i="4" s="1"/>
  <c r="J98" i="4"/>
  <c r="N97" i="4"/>
  <c r="M97" i="4"/>
  <c r="L97" i="4"/>
  <c r="K97" i="4"/>
  <c r="J97" i="4"/>
  <c r="I97" i="4"/>
  <c r="N96" i="4"/>
  <c r="M96" i="4"/>
  <c r="L96" i="4"/>
  <c r="K96" i="4"/>
  <c r="I96" i="4" s="1"/>
  <c r="J96" i="4"/>
  <c r="N95" i="4"/>
  <c r="M95" i="4"/>
  <c r="L95" i="4"/>
  <c r="K95" i="4"/>
  <c r="J95" i="4"/>
  <c r="I95" i="4"/>
  <c r="N94" i="4"/>
  <c r="M94" i="4"/>
  <c r="L94" i="4"/>
  <c r="K94" i="4"/>
  <c r="I94" i="4" s="1"/>
  <c r="J94" i="4"/>
  <c r="N93" i="4"/>
  <c r="M93" i="4"/>
  <c r="L93" i="4"/>
  <c r="K93" i="4"/>
  <c r="J93" i="4"/>
  <c r="I93" i="4"/>
  <c r="N92" i="4"/>
  <c r="M92" i="4"/>
  <c r="L92" i="4"/>
  <c r="K92" i="4"/>
  <c r="I92" i="4" s="1"/>
  <c r="J92" i="4"/>
  <c r="N91" i="4"/>
  <c r="M91" i="4"/>
  <c r="L91" i="4"/>
  <c r="K91" i="4"/>
  <c r="J91" i="4"/>
  <c r="I91" i="4"/>
  <c r="N90" i="4"/>
  <c r="M90" i="4"/>
  <c r="L90" i="4"/>
  <c r="K90" i="4"/>
  <c r="I90" i="4" s="1"/>
  <c r="J90" i="4"/>
  <c r="N89" i="4"/>
  <c r="M89" i="4"/>
  <c r="L89" i="4"/>
  <c r="J89" i="4"/>
  <c r="L88" i="4"/>
  <c r="K88" i="4"/>
  <c r="J88" i="4"/>
  <c r="L87" i="4"/>
  <c r="K87" i="4"/>
  <c r="J87" i="4"/>
  <c r="L86" i="4"/>
  <c r="K86" i="4"/>
  <c r="J86" i="4"/>
  <c r="L85" i="4"/>
  <c r="K85" i="4"/>
  <c r="J85" i="4"/>
  <c r="L84" i="4"/>
  <c r="K84" i="4"/>
  <c r="J84" i="4"/>
  <c r="L83" i="4"/>
  <c r="K83" i="4"/>
  <c r="J83" i="4"/>
  <c r="L82" i="4"/>
  <c r="K82" i="4"/>
  <c r="J82" i="4"/>
  <c r="L81" i="4"/>
  <c r="K81" i="4"/>
  <c r="J81" i="4"/>
  <c r="N80" i="4"/>
  <c r="M80" i="4"/>
  <c r="L80" i="4"/>
  <c r="K80" i="4"/>
  <c r="I80" i="4" s="1"/>
  <c r="J80" i="4"/>
  <c r="N79" i="4"/>
  <c r="M79" i="4"/>
  <c r="L79" i="4"/>
  <c r="K79" i="4"/>
  <c r="J79" i="4"/>
  <c r="I79" i="4" s="1"/>
  <c r="N78" i="4"/>
  <c r="M78" i="4"/>
  <c r="L78" i="4"/>
  <c r="J78" i="4"/>
  <c r="L77" i="4"/>
  <c r="K77" i="4"/>
  <c r="J77" i="4"/>
  <c r="J76" i="4"/>
  <c r="J75" i="4"/>
  <c r="J74" i="4"/>
  <c r="J73" i="4"/>
  <c r="J72" i="4"/>
  <c r="J71" i="4"/>
  <c r="J70" i="4"/>
  <c r="N69" i="4"/>
  <c r="M69" i="4"/>
  <c r="J69" i="4"/>
  <c r="N68" i="4"/>
  <c r="M68" i="4"/>
  <c r="J68" i="4"/>
  <c r="N67" i="4"/>
  <c r="M67" i="4"/>
  <c r="K67" i="4"/>
  <c r="J67" i="4"/>
  <c r="E67" i="4"/>
  <c r="L67" i="4" s="1"/>
  <c r="I67" i="4" s="1"/>
  <c r="N66" i="4"/>
  <c r="M66" i="4"/>
  <c r="L66" i="4"/>
  <c r="K66" i="4"/>
  <c r="I66" i="4" s="1"/>
  <c r="J66" i="4"/>
  <c r="N65" i="4"/>
  <c r="M65" i="4"/>
  <c r="L65" i="4"/>
  <c r="K65" i="4"/>
  <c r="J65" i="4"/>
  <c r="I65" i="4" s="1"/>
  <c r="N64" i="4"/>
  <c r="M64" i="4"/>
  <c r="L64" i="4"/>
  <c r="K64" i="4"/>
  <c r="I64" i="4" s="1"/>
  <c r="J64" i="4"/>
  <c r="N63" i="4"/>
  <c r="M63" i="4"/>
  <c r="L63" i="4"/>
  <c r="K63" i="4"/>
  <c r="J63" i="4"/>
  <c r="I63" i="4" s="1"/>
  <c r="N62" i="4"/>
  <c r="M62" i="4"/>
  <c r="L62" i="4"/>
  <c r="K62" i="4"/>
  <c r="I62" i="4" s="1"/>
  <c r="J62" i="4"/>
  <c r="N61" i="4"/>
  <c r="M61" i="4"/>
  <c r="L61" i="4"/>
  <c r="K61" i="4"/>
  <c r="J61" i="4"/>
  <c r="I61" i="4" s="1"/>
  <c r="N60" i="4"/>
  <c r="M60" i="4"/>
  <c r="L60" i="4"/>
  <c r="K60" i="4"/>
  <c r="I60" i="4" s="1"/>
  <c r="J60" i="4"/>
  <c r="L38" i="4"/>
  <c r="K38" i="4"/>
  <c r="J38" i="4" s="1"/>
  <c r="V37" i="4"/>
  <c r="U37" i="4"/>
  <c r="T37" i="4" s="1"/>
  <c r="L37" i="4"/>
  <c r="K37" i="4"/>
  <c r="J37" i="4" s="1"/>
  <c r="V35" i="4"/>
  <c r="U35" i="4"/>
  <c r="T35" i="4" s="1"/>
  <c r="V33" i="4"/>
  <c r="U33" i="4"/>
  <c r="T33" i="4" s="1"/>
  <c r="L33" i="4"/>
  <c r="K33" i="4"/>
  <c r="J33" i="4" s="1"/>
  <c r="V32" i="4"/>
  <c r="U32" i="4"/>
  <c r="T32" i="4" s="1"/>
  <c r="L32" i="4"/>
  <c r="K32" i="4"/>
  <c r="J32" i="4" s="1"/>
  <c r="V31" i="4"/>
  <c r="U31" i="4"/>
  <c r="T31" i="4" s="1"/>
  <c r="V28" i="4"/>
  <c r="U28" i="4"/>
  <c r="T28" i="4" s="1"/>
  <c r="V26" i="4"/>
  <c r="U26" i="4"/>
  <c r="T26" i="4" s="1"/>
  <c r="L24" i="4"/>
  <c r="K24" i="4"/>
  <c r="J24" i="4" s="1"/>
  <c r="V22" i="4"/>
  <c r="W22" i="4" s="1"/>
  <c r="U22" i="4"/>
  <c r="T22" i="4" s="1"/>
  <c r="L22" i="4"/>
  <c r="M22" i="4" s="1"/>
  <c r="K22" i="4"/>
  <c r="J22" i="4" s="1"/>
  <c r="E12" i="4"/>
  <c r="D12" i="4"/>
  <c r="K10" i="4"/>
  <c r="K9" i="4"/>
  <c r="K8" i="4"/>
  <c r="K7" i="4"/>
  <c r="K6" i="4"/>
  <c r="J5" i="4"/>
  <c r="L4" i="4"/>
  <c r="K4" i="4"/>
  <c r="J4" i="4"/>
  <c r="P3" i="4"/>
  <c r="O3" i="4"/>
  <c r="N3" i="4"/>
  <c r="M3" i="4"/>
  <c r="L3" i="4"/>
  <c r="K3" i="4"/>
  <c r="J3" i="4"/>
  <c r="K2" i="4"/>
  <c r="D1" i="4"/>
  <c r="L5" i="4" s="1"/>
  <c r="C538" i="3"/>
  <c r="C534" i="3"/>
  <c r="C532" i="3"/>
  <c r="L524" i="3"/>
  <c r="J524" i="3"/>
  <c r="K533" i="3" s="1"/>
  <c r="I524" i="3"/>
  <c r="J533" i="3" s="1"/>
  <c r="F524" i="3"/>
  <c r="G533" i="3" s="1"/>
  <c r="C523" i="3"/>
  <c r="I522" i="3"/>
  <c r="I521" i="3"/>
  <c r="I520" i="3"/>
  <c r="I519" i="3"/>
  <c r="C518" i="3"/>
  <c r="C516" i="3"/>
  <c r="C512" i="3"/>
  <c r="C537" i="3" s="1"/>
  <c r="F533" i="3" s="1"/>
  <c r="C510" i="3"/>
  <c r="C527" i="3" s="1"/>
  <c r="D533" i="3" s="1"/>
  <c r="C508" i="3"/>
  <c r="C525" i="3" s="1"/>
  <c r="P507" i="3"/>
  <c r="J507" i="3"/>
  <c r="I507" i="3"/>
  <c r="X502" i="3"/>
  <c r="X503" i="3" s="1"/>
  <c r="AK498" i="3"/>
  <c r="AK503" i="3" s="1"/>
  <c r="AK504" i="3" s="1"/>
  <c r="AB498" i="3"/>
  <c r="Y498" i="3"/>
  <c r="X498" i="3"/>
  <c r="X497" i="3"/>
  <c r="X500" i="3" s="1"/>
  <c r="X501" i="3" s="1"/>
  <c r="S496" i="3"/>
  <c r="AE495" i="3"/>
  <c r="AE496" i="3" s="1"/>
  <c r="S495" i="3"/>
  <c r="S494" i="3"/>
  <c r="U493" i="3"/>
  <c r="S493" i="3"/>
  <c r="X492" i="3"/>
  <c r="X493" i="3" s="1"/>
  <c r="U492" i="3"/>
  <c r="S492" i="3"/>
  <c r="U491" i="3"/>
  <c r="S491" i="3"/>
  <c r="Q491" i="3"/>
  <c r="Q492" i="3" s="1"/>
  <c r="AK490" i="3"/>
  <c r="AK495" i="3" s="1"/>
  <c r="AK496" i="3" s="1"/>
  <c r="AE490" i="3"/>
  <c r="AE493" i="3" s="1"/>
  <c r="AE494" i="3" s="1"/>
  <c r="J490" i="3"/>
  <c r="J491" i="3" s="1"/>
  <c r="X489" i="3"/>
  <c r="X494" i="3" s="1"/>
  <c r="X495" i="3" s="1"/>
  <c r="T489" i="3"/>
  <c r="D489" i="3"/>
  <c r="Q488" i="3"/>
  <c r="Q493" i="3" s="1"/>
  <c r="Q494" i="3" s="1"/>
  <c r="J488" i="3"/>
  <c r="J489" i="3" s="1"/>
  <c r="D488" i="3"/>
  <c r="AK487" i="3"/>
  <c r="AK488" i="3" s="1"/>
  <c r="D487" i="3"/>
  <c r="X486" i="3"/>
  <c r="X487" i="3" s="1"/>
  <c r="D486" i="3"/>
  <c r="J485" i="3"/>
  <c r="D485" i="3"/>
  <c r="Q484" i="3"/>
  <c r="Q485" i="3" s="1"/>
  <c r="D484" i="3"/>
  <c r="D483" i="3"/>
  <c r="AK482" i="3"/>
  <c r="AK485" i="3" s="1"/>
  <c r="AK486" i="3" s="1"/>
  <c r="Q482" i="3"/>
  <c r="Q483" i="3" s="1"/>
  <c r="D482" i="3"/>
  <c r="X481" i="3"/>
  <c r="X484" i="3" s="1"/>
  <c r="X485" i="3" s="1"/>
  <c r="F480" i="3"/>
  <c r="D480" i="3"/>
  <c r="D481" i="3" s="1"/>
  <c r="Q479" i="3"/>
  <c r="F478" i="3"/>
  <c r="AK477" i="3"/>
  <c r="AK478" i="3" s="1"/>
  <c r="H476" i="3"/>
  <c r="H507" i="3" s="1"/>
  <c r="O507" i="3" s="1"/>
  <c r="G476" i="3"/>
  <c r="AA498" i="3" s="1"/>
  <c r="F476" i="3"/>
  <c r="Z462" i="3" s="1"/>
  <c r="E476" i="3"/>
  <c r="R489" i="3" s="1"/>
  <c r="D476" i="3"/>
  <c r="D507" i="3" s="1"/>
  <c r="K507" i="3" s="1"/>
  <c r="AK475" i="3"/>
  <c r="AK476" i="3" s="1"/>
  <c r="K475" i="3"/>
  <c r="K478" i="3" s="1"/>
  <c r="K479" i="3" s="1"/>
  <c r="D475" i="3"/>
  <c r="D478" i="3" s="1"/>
  <c r="D479" i="3" s="1"/>
  <c r="X474" i="3"/>
  <c r="X475" i="3" s="1"/>
  <c r="AK472" i="3"/>
  <c r="L471" i="3"/>
  <c r="AB470" i="3"/>
  <c r="AA470" i="3"/>
  <c r="X470" i="3"/>
  <c r="Q470" i="3"/>
  <c r="Q473" i="3" s="1"/>
  <c r="Q474" i="3" s="1"/>
  <c r="L470" i="3"/>
  <c r="X469" i="3"/>
  <c r="H524" i="3" s="1"/>
  <c r="I533" i="3" s="1"/>
  <c r="N469" i="3"/>
  <c r="L469" i="3"/>
  <c r="S468" i="3"/>
  <c r="N468" i="3"/>
  <c r="L468" i="3"/>
  <c r="S467" i="3"/>
  <c r="AE466" i="3"/>
  <c r="AE467" i="3" s="1"/>
  <c r="S466" i="3"/>
  <c r="N466" i="3"/>
  <c r="M466" i="3"/>
  <c r="J466" i="3"/>
  <c r="U465" i="3"/>
  <c r="S465" i="3"/>
  <c r="J465" i="3"/>
  <c r="C509" i="3" s="1"/>
  <c r="AE464" i="3"/>
  <c r="AE465" i="3" s="1"/>
  <c r="U464" i="3"/>
  <c r="S464" i="3"/>
  <c r="U463" i="3"/>
  <c r="S463" i="3"/>
  <c r="AB462" i="3"/>
  <c r="AA462" i="3"/>
  <c r="X462" i="3"/>
  <c r="AK461" i="3"/>
  <c r="AK466" i="3" s="1"/>
  <c r="AK467" i="3" s="1"/>
  <c r="AE461" i="3"/>
  <c r="X461" i="3"/>
  <c r="X466" i="3" s="1"/>
  <c r="X467" i="3" s="1"/>
  <c r="U461" i="3"/>
  <c r="T461" i="3"/>
  <c r="R461" i="3"/>
  <c r="Q461" i="3"/>
  <c r="Q460" i="3"/>
  <c r="C511" i="3" s="1"/>
  <c r="X458" i="3"/>
  <c r="X459" i="3" s="1"/>
  <c r="X456" i="3"/>
  <c r="X457" i="3" s="1"/>
  <c r="BA455" i="3"/>
  <c r="AZ455" i="3"/>
  <c r="AB454" i="3"/>
  <c r="AA454" i="3"/>
  <c r="X454" i="3"/>
  <c r="AZ453" i="3"/>
  <c r="X453" i="3"/>
  <c r="C513" i="3" s="1"/>
  <c r="AZ452" i="3"/>
  <c r="AK452" i="3"/>
  <c r="AK457" i="3" s="1"/>
  <c r="AK458" i="3" s="1"/>
  <c r="AZ451" i="3"/>
  <c r="AZ450" i="3"/>
  <c r="B450" i="3"/>
  <c r="AZ448" i="3"/>
  <c r="N399" i="3"/>
  <c r="M399" i="3"/>
  <c r="L399" i="3"/>
  <c r="K399" i="3"/>
  <c r="J399" i="3"/>
  <c r="I399" i="3" s="1"/>
  <c r="N398" i="3"/>
  <c r="M398" i="3"/>
  <c r="L398" i="3"/>
  <c r="K398" i="3"/>
  <c r="I398" i="3" s="1"/>
  <c r="J398" i="3"/>
  <c r="N397" i="3"/>
  <c r="M397" i="3"/>
  <c r="L397" i="3"/>
  <c r="K397" i="3"/>
  <c r="J397" i="3"/>
  <c r="I397" i="3" s="1"/>
  <c r="N396" i="3"/>
  <c r="M396" i="3"/>
  <c r="L396" i="3"/>
  <c r="K396" i="3"/>
  <c r="I396" i="3" s="1"/>
  <c r="J396" i="3"/>
  <c r="N395" i="3"/>
  <c r="M395" i="3"/>
  <c r="L395" i="3"/>
  <c r="K395" i="3"/>
  <c r="J395" i="3"/>
  <c r="I395" i="3" s="1"/>
  <c r="N394" i="3"/>
  <c r="M394" i="3"/>
  <c r="L394" i="3"/>
  <c r="K394" i="3"/>
  <c r="I394" i="3" s="1"/>
  <c r="J394" i="3"/>
  <c r="N393" i="3"/>
  <c r="M393" i="3"/>
  <c r="L393" i="3"/>
  <c r="K393" i="3"/>
  <c r="J393" i="3"/>
  <c r="I393" i="3" s="1"/>
  <c r="N392" i="3"/>
  <c r="M392" i="3"/>
  <c r="L392" i="3"/>
  <c r="K392" i="3"/>
  <c r="I392" i="3" s="1"/>
  <c r="J392" i="3"/>
  <c r="N391" i="3"/>
  <c r="M391" i="3"/>
  <c r="L391" i="3"/>
  <c r="K391" i="3"/>
  <c r="J391" i="3"/>
  <c r="I391" i="3" s="1"/>
  <c r="N390" i="3"/>
  <c r="M390" i="3"/>
  <c r="L390" i="3"/>
  <c r="K390" i="3"/>
  <c r="I390" i="3" s="1"/>
  <c r="J390" i="3"/>
  <c r="N389" i="3"/>
  <c r="M389" i="3"/>
  <c r="L389" i="3"/>
  <c r="K389" i="3"/>
  <c r="J389" i="3"/>
  <c r="I389" i="3" s="1"/>
  <c r="N388" i="3"/>
  <c r="M388" i="3"/>
  <c r="L388" i="3"/>
  <c r="K388" i="3"/>
  <c r="I388" i="3" s="1"/>
  <c r="J388" i="3"/>
  <c r="N387" i="3"/>
  <c r="M387" i="3"/>
  <c r="L387" i="3"/>
  <c r="K387" i="3"/>
  <c r="J387" i="3"/>
  <c r="I387" i="3" s="1"/>
  <c r="N386" i="3"/>
  <c r="M386" i="3"/>
  <c r="L386" i="3"/>
  <c r="K386" i="3"/>
  <c r="I386" i="3" s="1"/>
  <c r="J386" i="3"/>
  <c r="N385" i="3"/>
  <c r="M385" i="3"/>
  <c r="L385" i="3"/>
  <c r="K385" i="3"/>
  <c r="J385" i="3"/>
  <c r="I385" i="3" s="1"/>
  <c r="N384" i="3"/>
  <c r="M384" i="3"/>
  <c r="L384" i="3"/>
  <c r="K384" i="3"/>
  <c r="I384" i="3" s="1"/>
  <c r="J384" i="3"/>
  <c r="N383" i="3"/>
  <c r="M383" i="3"/>
  <c r="L383" i="3"/>
  <c r="K383" i="3"/>
  <c r="J383" i="3"/>
  <c r="I383" i="3" s="1"/>
  <c r="N382" i="3"/>
  <c r="M382" i="3"/>
  <c r="L382" i="3"/>
  <c r="K382" i="3"/>
  <c r="I382" i="3" s="1"/>
  <c r="J382" i="3"/>
  <c r="N381" i="3"/>
  <c r="M381" i="3"/>
  <c r="L381" i="3"/>
  <c r="K381" i="3"/>
  <c r="J381" i="3"/>
  <c r="I381" i="3" s="1"/>
  <c r="N380" i="3"/>
  <c r="M380" i="3"/>
  <c r="L380" i="3"/>
  <c r="K380" i="3"/>
  <c r="I380" i="3" s="1"/>
  <c r="J380" i="3"/>
  <c r="N379" i="3"/>
  <c r="M379" i="3"/>
  <c r="L379" i="3"/>
  <c r="K379" i="3"/>
  <c r="J379" i="3"/>
  <c r="I379" i="3" s="1"/>
  <c r="N378" i="3"/>
  <c r="M378" i="3"/>
  <c r="L378" i="3"/>
  <c r="K378" i="3"/>
  <c r="I378" i="3" s="1"/>
  <c r="J378" i="3"/>
  <c r="N377" i="3"/>
  <c r="M377" i="3"/>
  <c r="L377" i="3"/>
  <c r="K377" i="3"/>
  <c r="J377" i="3"/>
  <c r="I377" i="3" s="1"/>
  <c r="N376" i="3"/>
  <c r="M376" i="3"/>
  <c r="L376" i="3"/>
  <c r="K376" i="3"/>
  <c r="I376" i="3" s="1"/>
  <c r="J376" i="3"/>
  <c r="N375" i="3"/>
  <c r="M375" i="3"/>
  <c r="L375" i="3"/>
  <c r="K375" i="3"/>
  <c r="J375" i="3"/>
  <c r="I375" i="3" s="1"/>
  <c r="N374" i="3"/>
  <c r="M374" i="3"/>
  <c r="L374" i="3"/>
  <c r="K374" i="3"/>
  <c r="I374" i="3" s="1"/>
  <c r="J374" i="3"/>
  <c r="N373" i="3"/>
  <c r="M373" i="3"/>
  <c r="L373" i="3"/>
  <c r="K373" i="3"/>
  <c r="J373" i="3"/>
  <c r="I373" i="3" s="1"/>
  <c r="N372" i="3"/>
  <c r="M372" i="3"/>
  <c r="L372" i="3"/>
  <c r="K372" i="3"/>
  <c r="I372" i="3" s="1"/>
  <c r="J372" i="3"/>
  <c r="N371" i="3"/>
  <c r="M371" i="3"/>
  <c r="L371" i="3"/>
  <c r="K371" i="3"/>
  <c r="J371" i="3"/>
  <c r="I371" i="3" s="1"/>
  <c r="N370" i="3"/>
  <c r="M370" i="3"/>
  <c r="L370" i="3"/>
  <c r="K370" i="3"/>
  <c r="I370" i="3" s="1"/>
  <c r="J370" i="3"/>
  <c r="N369" i="3"/>
  <c r="M369" i="3"/>
  <c r="L369" i="3"/>
  <c r="K369" i="3"/>
  <c r="J369" i="3"/>
  <c r="I369" i="3" s="1"/>
  <c r="N368" i="3"/>
  <c r="M368" i="3"/>
  <c r="L368" i="3"/>
  <c r="K368" i="3"/>
  <c r="I368" i="3" s="1"/>
  <c r="J368" i="3"/>
  <c r="N367" i="3"/>
  <c r="M367" i="3"/>
  <c r="L367" i="3"/>
  <c r="K367" i="3"/>
  <c r="J367" i="3"/>
  <c r="I367" i="3" s="1"/>
  <c r="N366" i="3"/>
  <c r="M366" i="3"/>
  <c r="L366" i="3"/>
  <c r="K366" i="3"/>
  <c r="I366" i="3" s="1"/>
  <c r="J366" i="3"/>
  <c r="N365" i="3"/>
  <c r="M365" i="3"/>
  <c r="L365" i="3"/>
  <c r="K365" i="3"/>
  <c r="J365" i="3"/>
  <c r="I365" i="3" s="1"/>
  <c r="N364" i="3"/>
  <c r="M364" i="3"/>
  <c r="L364" i="3"/>
  <c r="K364" i="3"/>
  <c r="I364" i="3" s="1"/>
  <c r="J364" i="3"/>
  <c r="N363" i="3"/>
  <c r="M363" i="3"/>
  <c r="L363" i="3"/>
  <c r="K363" i="3"/>
  <c r="J363" i="3"/>
  <c r="I363" i="3" s="1"/>
  <c r="N362" i="3"/>
  <c r="M362" i="3"/>
  <c r="L362" i="3"/>
  <c r="K362" i="3"/>
  <c r="I362" i="3" s="1"/>
  <c r="J362" i="3"/>
  <c r="N361" i="3"/>
  <c r="M361" i="3"/>
  <c r="L361" i="3"/>
  <c r="K361" i="3"/>
  <c r="J361" i="3"/>
  <c r="I361" i="3" s="1"/>
  <c r="V360" i="3"/>
  <c r="N360" i="3"/>
  <c r="M360" i="3"/>
  <c r="L360" i="3"/>
  <c r="K360" i="3"/>
  <c r="J360" i="3"/>
  <c r="I360" i="3" s="1"/>
  <c r="N359" i="3"/>
  <c r="M359" i="3"/>
  <c r="L359" i="3"/>
  <c r="K359" i="3"/>
  <c r="I359" i="3" s="1"/>
  <c r="J359" i="3"/>
  <c r="N358" i="3"/>
  <c r="M358" i="3"/>
  <c r="L358" i="3"/>
  <c r="K358" i="3"/>
  <c r="I358" i="3" s="1"/>
  <c r="J358" i="3"/>
  <c r="N357" i="3"/>
  <c r="M357" i="3"/>
  <c r="L357" i="3"/>
  <c r="K357" i="3"/>
  <c r="J357" i="3"/>
  <c r="I357" i="3" s="1"/>
  <c r="N356" i="3"/>
  <c r="M356" i="3"/>
  <c r="L356" i="3"/>
  <c r="K356" i="3"/>
  <c r="J356" i="3"/>
  <c r="I356" i="3"/>
  <c r="N355" i="3"/>
  <c r="M355" i="3"/>
  <c r="L355" i="3"/>
  <c r="K355" i="3"/>
  <c r="I355" i="3" s="1"/>
  <c r="J355" i="3"/>
  <c r="N354" i="3"/>
  <c r="M354" i="3"/>
  <c r="L354" i="3"/>
  <c r="K354" i="3"/>
  <c r="I354" i="3" s="1"/>
  <c r="J354" i="3"/>
  <c r="Y353" i="3"/>
  <c r="X353" i="3"/>
  <c r="W353" i="3"/>
  <c r="V353" i="3"/>
  <c r="N353" i="3"/>
  <c r="M353" i="3"/>
  <c r="L353" i="3"/>
  <c r="K353" i="3"/>
  <c r="J353" i="3"/>
  <c r="U353" i="3" s="1"/>
  <c r="AE352" i="3"/>
  <c r="BE352" i="3" s="1"/>
  <c r="V352" i="3"/>
  <c r="N352" i="3"/>
  <c r="M352" i="3"/>
  <c r="L352" i="3"/>
  <c r="K352" i="3"/>
  <c r="T352" i="3" s="1"/>
  <c r="J352" i="3"/>
  <c r="I352" i="3"/>
  <c r="BG352" i="3" s="1"/>
  <c r="N351" i="3"/>
  <c r="M351" i="3"/>
  <c r="L351" i="3"/>
  <c r="U351" i="3" s="1"/>
  <c r="K351" i="3"/>
  <c r="I351" i="3" s="1"/>
  <c r="BG351" i="3" s="1"/>
  <c r="J351" i="3"/>
  <c r="N350" i="3"/>
  <c r="M350" i="3"/>
  <c r="L350" i="3"/>
  <c r="K350" i="3"/>
  <c r="J350" i="3"/>
  <c r="U350" i="3" s="1"/>
  <c r="N349" i="3"/>
  <c r="M349" i="3"/>
  <c r="L349" i="3"/>
  <c r="K349" i="3"/>
  <c r="J349" i="3"/>
  <c r="U349" i="3" s="1"/>
  <c r="AE348" i="3"/>
  <c r="BE348" i="3" s="1"/>
  <c r="Z348" i="3"/>
  <c r="Y348" i="3"/>
  <c r="X348" i="3"/>
  <c r="W348" i="3"/>
  <c r="V348" i="3"/>
  <c r="AA348" i="3" s="1"/>
  <c r="N348" i="3"/>
  <c r="M348" i="3"/>
  <c r="L348" i="3"/>
  <c r="K348" i="3"/>
  <c r="T348" i="3" s="1"/>
  <c r="J348" i="3"/>
  <c r="I348" i="3"/>
  <c r="BG348" i="3" s="1"/>
  <c r="N347" i="3"/>
  <c r="M347" i="3"/>
  <c r="L347" i="3"/>
  <c r="U347" i="3" s="1"/>
  <c r="K347" i="3"/>
  <c r="I347" i="3" s="1"/>
  <c r="BG347" i="3" s="1"/>
  <c r="J347" i="3"/>
  <c r="AE346" i="3"/>
  <c r="BE346" i="3" s="1"/>
  <c r="V346" i="3"/>
  <c r="N346" i="3"/>
  <c r="M346" i="3"/>
  <c r="L346" i="3"/>
  <c r="K346" i="3"/>
  <c r="I346" i="3" s="1"/>
  <c r="BG346" i="3" s="1"/>
  <c r="J346" i="3"/>
  <c r="U346" i="3" s="1"/>
  <c r="N345" i="3"/>
  <c r="M345" i="3"/>
  <c r="L345" i="3"/>
  <c r="K345" i="3"/>
  <c r="J345" i="3"/>
  <c r="U345" i="3" s="1"/>
  <c r="Z344" i="3"/>
  <c r="N344" i="3"/>
  <c r="M344" i="3"/>
  <c r="AE344" i="3" s="1"/>
  <c r="BE344" i="3" s="1"/>
  <c r="L344" i="3"/>
  <c r="K344" i="3"/>
  <c r="T344" i="3" s="1"/>
  <c r="J344" i="3"/>
  <c r="I344" i="3"/>
  <c r="BG344" i="3" s="1"/>
  <c r="Y343" i="3"/>
  <c r="X343" i="3"/>
  <c r="W343" i="3"/>
  <c r="V343" i="3"/>
  <c r="N343" i="3"/>
  <c r="M343" i="3"/>
  <c r="L343" i="3"/>
  <c r="U343" i="3" s="1"/>
  <c r="K343" i="3"/>
  <c r="I343" i="3" s="1"/>
  <c r="BG343" i="3" s="1"/>
  <c r="J343" i="3"/>
  <c r="AE343" i="3" s="1"/>
  <c r="BE343" i="3" s="1"/>
  <c r="N342" i="3"/>
  <c r="M342" i="3"/>
  <c r="L342" i="3"/>
  <c r="K342" i="3"/>
  <c r="J342" i="3"/>
  <c r="U342" i="3" s="1"/>
  <c r="N341" i="3"/>
  <c r="M341" i="3"/>
  <c r="L341" i="3"/>
  <c r="K341" i="3"/>
  <c r="J341" i="3"/>
  <c r="U341" i="3" s="1"/>
  <c r="Z340" i="3"/>
  <c r="N340" i="3"/>
  <c r="M340" i="3"/>
  <c r="AE340" i="3" s="1"/>
  <c r="BE340" i="3" s="1"/>
  <c r="L340" i="3"/>
  <c r="K340" i="3"/>
  <c r="T340" i="3" s="1"/>
  <c r="J340" i="3"/>
  <c r="I340" i="3"/>
  <c r="BG340" i="3" s="1"/>
  <c r="N339" i="3"/>
  <c r="M339" i="3"/>
  <c r="L339" i="3"/>
  <c r="U339" i="3" s="1"/>
  <c r="K339" i="3"/>
  <c r="I339" i="3" s="1"/>
  <c r="BG339" i="3" s="1"/>
  <c r="J339" i="3"/>
  <c r="Z338" i="3"/>
  <c r="Y338" i="3"/>
  <c r="N338" i="3"/>
  <c r="M338" i="3"/>
  <c r="L338" i="3"/>
  <c r="K338" i="3"/>
  <c r="AE338" i="3" s="1"/>
  <c r="BE338" i="3" s="1"/>
  <c r="J338" i="3"/>
  <c r="U338" i="3" s="1"/>
  <c r="N337" i="3"/>
  <c r="M337" i="3"/>
  <c r="L337" i="3"/>
  <c r="K337" i="3"/>
  <c r="J337" i="3"/>
  <c r="U337" i="3" s="1"/>
  <c r="AE336" i="3"/>
  <c r="BE336" i="3" s="1"/>
  <c r="Z336" i="3"/>
  <c r="Y336" i="3"/>
  <c r="V336" i="3"/>
  <c r="N336" i="3"/>
  <c r="M336" i="3"/>
  <c r="L336" i="3"/>
  <c r="K336" i="3"/>
  <c r="T336" i="3" s="1"/>
  <c r="J336" i="3"/>
  <c r="I336" i="3"/>
  <c r="BG336" i="3" s="1"/>
  <c r="Z335" i="3"/>
  <c r="Y335" i="3"/>
  <c r="X335" i="3"/>
  <c r="W335" i="3"/>
  <c r="AA335" i="3" s="1"/>
  <c r="V335" i="3"/>
  <c r="N335" i="3"/>
  <c r="M335" i="3"/>
  <c r="L335" i="3"/>
  <c r="U335" i="3" s="1"/>
  <c r="K335" i="3"/>
  <c r="I335" i="3" s="1"/>
  <c r="BG335" i="3" s="1"/>
  <c r="J335" i="3"/>
  <c r="AE335" i="3" s="1"/>
  <c r="BE335" i="3" s="1"/>
  <c r="AE334" i="3"/>
  <c r="BE334" i="3" s="1"/>
  <c r="Z334" i="3"/>
  <c r="Y334" i="3"/>
  <c r="V334" i="3"/>
  <c r="N334" i="3"/>
  <c r="M334" i="3"/>
  <c r="L334" i="3"/>
  <c r="K334" i="3"/>
  <c r="I334" i="3" s="1"/>
  <c r="BG334" i="3" s="1"/>
  <c r="J334" i="3"/>
  <c r="U334" i="3" s="1"/>
  <c r="X333" i="3"/>
  <c r="W333" i="3"/>
  <c r="V333" i="3"/>
  <c r="N333" i="3"/>
  <c r="M333" i="3"/>
  <c r="L333" i="3"/>
  <c r="K333" i="3"/>
  <c r="J333" i="3"/>
  <c r="U333" i="3" s="1"/>
  <c r="AE332" i="3"/>
  <c r="BE332" i="3" s="1"/>
  <c r="V332" i="3"/>
  <c r="N332" i="3"/>
  <c r="M332" i="3"/>
  <c r="L332" i="3"/>
  <c r="K332" i="3"/>
  <c r="T332" i="3" s="1"/>
  <c r="J332" i="3"/>
  <c r="I332" i="3"/>
  <c r="BG332" i="3" s="1"/>
  <c r="Z331" i="3"/>
  <c r="Y331" i="3"/>
  <c r="X331" i="3"/>
  <c r="W331" i="3"/>
  <c r="AA331" i="3" s="1"/>
  <c r="V331" i="3"/>
  <c r="N331" i="3"/>
  <c r="M331" i="3"/>
  <c r="L331" i="3"/>
  <c r="U331" i="3" s="1"/>
  <c r="K331" i="3"/>
  <c r="I331" i="3" s="1"/>
  <c r="BG331" i="3" s="1"/>
  <c r="J331" i="3"/>
  <c r="AE331" i="3" s="1"/>
  <c r="BE331" i="3" s="1"/>
  <c r="N330" i="3"/>
  <c r="M330" i="3"/>
  <c r="L330" i="3"/>
  <c r="K330" i="3"/>
  <c r="J330" i="3"/>
  <c r="U330" i="3" s="1"/>
  <c r="N329" i="3"/>
  <c r="M329" i="3"/>
  <c r="L329" i="3"/>
  <c r="K329" i="3"/>
  <c r="J329" i="3"/>
  <c r="U329" i="3" s="1"/>
  <c r="BG328" i="3"/>
  <c r="Z328" i="3"/>
  <c r="V328" i="3"/>
  <c r="U328" i="3"/>
  <c r="T328" i="3"/>
  <c r="X328" i="3" s="1"/>
  <c r="P328" i="3"/>
  <c r="Z327" i="3"/>
  <c r="Y327" i="3"/>
  <c r="X327" i="3"/>
  <c r="W327" i="3"/>
  <c r="AA327" i="3" s="1"/>
  <c r="V327" i="3"/>
  <c r="N327" i="3"/>
  <c r="M327" i="3"/>
  <c r="L327" i="3"/>
  <c r="K327" i="3"/>
  <c r="J327" i="3"/>
  <c r="U327" i="3" s="1"/>
  <c r="N326" i="3"/>
  <c r="M326" i="3"/>
  <c r="L326" i="3"/>
  <c r="K326" i="3"/>
  <c r="T326" i="3" s="1"/>
  <c r="J326" i="3"/>
  <c r="I326" i="3"/>
  <c r="BG326" i="3" s="1"/>
  <c r="V325" i="3"/>
  <c r="N325" i="3"/>
  <c r="M325" i="3"/>
  <c r="L325" i="3"/>
  <c r="U325" i="3" s="1"/>
  <c r="K325" i="3"/>
  <c r="I325" i="3" s="1"/>
  <c r="BG325" i="3" s="1"/>
  <c r="J325" i="3"/>
  <c r="AE325" i="3" s="1"/>
  <c r="BE325" i="3" s="1"/>
  <c r="N324" i="3"/>
  <c r="M324" i="3"/>
  <c r="L324" i="3"/>
  <c r="K324" i="3"/>
  <c r="I324" i="3" s="1"/>
  <c r="BG324" i="3" s="1"/>
  <c r="J324" i="3"/>
  <c r="Z323" i="3"/>
  <c r="Y323" i="3"/>
  <c r="X323" i="3"/>
  <c r="W323" i="3"/>
  <c r="AA323" i="3" s="1"/>
  <c r="V323" i="3"/>
  <c r="N323" i="3"/>
  <c r="M323" i="3"/>
  <c r="L323" i="3"/>
  <c r="K323" i="3"/>
  <c r="J323" i="3"/>
  <c r="U323" i="3" s="1"/>
  <c r="AE322" i="3"/>
  <c r="BE322" i="3" s="1"/>
  <c r="Z322" i="3"/>
  <c r="Y322" i="3"/>
  <c r="X322" i="3"/>
  <c r="W322" i="3"/>
  <c r="V322" i="3"/>
  <c r="AA322" i="3" s="1"/>
  <c r="N322" i="3"/>
  <c r="M322" i="3"/>
  <c r="L322" i="3"/>
  <c r="K322" i="3"/>
  <c r="T322" i="3" s="1"/>
  <c r="J322" i="3"/>
  <c r="I322" i="3"/>
  <c r="BG322" i="3" s="1"/>
  <c r="N321" i="3"/>
  <c r="M321" i="3"/>
  <c r="L321" i="3"/>
  <c r="U321" i="3" s="1"/>
  <c r="K321" i="3"/>
  <c r="I321" i="3" s="1"/>
  <c r="BG321" i="3" s="1"/>
  <c r="J321" i="3"/>
  <c r="N320" i="3"/>
  <c r="M320" i="3"/>
  <c r="L320" i="3"/>
  <c r="K320" i="3"/>
  <c r="I320" i="3" s="1"/>
  <c r="BG320" i="3" s="1"/>
  <c r="J320" i="3"/>
  <c r="N319" i="3"/>
  <c r="M319" i="3"/>
  <c r="L319" i="3"/>
  <c r="K319" i="3"/>
  <c r="J319" i="3"/>
  <c r="U319" i="3" s="1"/>
  <c r="N318" i="3"/>
  <c r="M318" i="3"/>
  <c r="L318" i="3"/>
  <c r="K318" i="3"/>
  <c r="T318" i="3" s="1"/>
  <c r="J318" i="3"/>
  <c r="I318" i="3"/>
  <c r="BG318" i="3" s="1"/>
  <c r="N317" i="3"/>
  <c r="M317" i="3"/>
  <c r="L317" i="3"/>
  <c r="U317" i="3" s="1"/>
  <c r="K317" i="3"/>
  <c r="I317" i="3" s="1"/>
  <c r="BG317" i="3" s="1"/>
  <c r="J317" i="3"/>
  <c r="N316" i="3"/>
  <c r="M316" i="3"/>
  <c r="L316" i="3"/>
  <c r="K316" i="3"/>
  <c r="I316" i="3" s="1"/>
  <c r="BG316" i="3" s="1"/>
  <c r="J316" i="3"/>
  <c r="V315" i="3"/>
  <c r="N315" i="3"/>
  <c r="M315" i="3"/>
  <c r="L315" i="3"/>
  <c r="K315" i="3"/>
  <c r="J315" i="3"/>
  <c r="U315" i="3" s="1"/>
  <c r="AE314" i="3"/>
  <c r="BE314" i="3" s="1"/>
  <c r="Z314" i="3"/>
  <c r="W314" i="3"/>
  <c r="N314" i="3"/>
  <c r="M314" i="3"/>
  <c r="L314" i="3"/>
  <c r="K314" i="3"/>
  <c r="T314" i="3" s="1"/>
  <c r="J314" i="3"/>
  <c r="I314" i="3"/>
  <c r="BG314" i="3" s="1"/>
  <c r="N313" i="3"/>
  <c r="M313" i="3"/>
  <c r="L313" i="3"/>
  <c r="U313" i="3" s="1"/>
  <c r="K313" i="3"/>
  <c r="J313" i="3"/>
  <c r="N312" i="3"/>
  <c r="M312" i="3"/>
  <c r="L312" i="3"/>
  <c r="K312" i="3"/>
  <c r="I312" i="3" s="1"/>
  <c r="BG312" i="3" s="1"/>
  <c r="J312" i="3"/>
  <c r="BG311" i="3"/>
  <c r="W311" i="3"/>
  <c r="V311" i="3"/>
  <c r="U311" i="3"/>
  <c r="Y311" i="3" s="1"/>
  <c r="T311" i="3"/>
  <c r="X311" i="3" s="1"/>
  <c r="P311" i="3"/>
  <c r="Z310" i="3"/>
  <c r="Y310" i="3"/>
  <c r="X310" i="3"/>
  <c r="W310" i="3"/>
  <c r="AA310" i="3" s="1"/>
  <c r="V310" i="3"/>
  <c r="N310" i="3"/>
  <c r="M310" i="3"/>
  <c r="L310" i="3"/>
  <c r="K310" i="3"/>
  <c r="I310" i="3" s="1"/>
  <c r="BG310" i="3" s="1"/>
  <c r="J310" i="3"/>
  <c r="AE310" i="3" s="1"/>
  <c r="BE310" i="3" s="1"/>
  <c r="N309" i="3"/>
  <c r="M309" i="3"/>
  <c r="L309" i="3"/>
  <c r="K309" i="3"/>
  <c r="J309" i="3"/>
  <c r="U309" i="3" s="1"/>
  <c r="AE308" i="3"/>
  <c r="BE308" i="3" s="1"/>
  <c r="V308" i="3"/>
  <c r="N308" i="3"/>
  <c r="M308" i="3"/>
  <c r="L308" i="3"/>
  <c r="K308" i="3"/>
  <c r="T308" i="3" s="1"/>
  <c r="J308" i="3"/>
  <c r="I308" i="3"/>
  <c r="BG308" i="3" s="1"/>
  <c r="N307" i="3"/>
  <c r="M307" i="3"/>
  <c r="L307" i="3"/>
  <c r="U307" i="3" s="1"/>
  <c r="K307" i="3"/>
  <c r="J307" i="3"/>
  <c r="N306" i="3"/>
  <c r="M306" i="3"/>
  <c r="L306" i="3"/>
  <c r="K306" i="3"/>
  <c r="I306" i="3" s="1"/>
  <c r="BG306" i="3" s="1"/>
  <c r="J306" i="3"/>
  <c r="Z305" i="3"/>
  <c r="Y305" i="3"/>
  <c r="W305" i="3"/>
  <c r="N305" i="3"/>
  <c r="M305" i="3"/>
  <c r="L305" i="3"/>
  <c r="K305" i="3"/>
  <c r="J305" i="3"/>
  <c r="U305" i="3" s="1"/>
  <c r="N304" i="3"/>
  <c r="M304" i="3"/>
  <c r="L304" i="3"/>
  <c r="K304" i="3"/>
  <c r="T304" i="3" s="1"/>
  <c r="J304" i="3"/>
  <c r="I304" i="3"/>
  <c r="BG304" i="3" s="1"/>
  <c r="N303" i="3"/>
  <c r="M303" i="3"/>
  <c r="L303" i="3"/>
  <c r="U303" i="3" s="1"/>
  <c r="K303" i="3"/>
  <c r="J303" i="3"/>
  <c r="Z302" i="3"/>
  <c r="Y302" i="3"/>
  <c r="X302" i="3"/>
  <c r="W302" i="3"/>
  <c r="AA302" i="3" s="1"/>
  <c r="V302" i="3"/>
  <c r="N302" i="3"/>
  <c r="M302" i="3"/>
  <c r="L302" i="3"/>
  <c r="K302" i="3"/>
  <c r="I302" i="3" s="1"/>
  <c r="BG302" i="3" s="1"/>
  <c r="J302" i="3"/>
  <c r="AE302" i="3" s="1"/>
  <c r="BE302" i="3" s="1"/>
  <c r="N301" i="3"/>
  <c r="M301" i="3"/>
  <c r="L301" i="3"/>
  <c r="K301" i="3"/>
  <c r="J301" i="3"/>
  <c r="U301" i="3" s="1"/>
  <c r="N300" i="3"/>
  <c r="M300" i="3"/>
  <c r="L300" i="3"/>
  <c r="K300" i="3"/>
  <c r="T300" i="3" s="1"/>
  <c r="J300" i="3"/>
  <c r="I300" i="3"/>
  <c r="BG300" i="3" s="1"/>
  <c r="Z299" i="3"/>
  <c r="Y299" i="3"/>
  <c r="X299" i="3"/>
  <c r="W299" i="3"/>
  <c r="AA299" i="3" s="1"/>
  <c r="V299" i="3"/>
  <c r="N299" i="3"/>
  <c r="M299" i="3"/>
  <c r="L299" i="3"/>
  <c r="U299" i="3" s="1"/>
  <c r="K299" i="3"/>
  <c r="I299" i="3" s="1"/>
  <c r="BG299" i="3" s="1"/>
  <c r="J299" i="3"/>
  <c r="AE299" i="3" s="1"/>
  <c r="BE299" i="3" s="1"/>
  <c r="N298" i="3"/>
  <c r="M298" i="3"/>
  <c r="L298" i="3"/>
  <c r="K298" i="3"/>
  <c r="I298" i="3" s="1"/>
  <c r="BG298" i="3" s="1"/>
  <c r="J298" i="3"/>
  <c r="N297" i="3"/>
  <c r="M297" i="3"/>
  <c r="L297" i="3"/>
  <c r="K297" i="3"/>
  <c r="J297" i="3"/>
  <c r="U297" i="3" s="1"/>
  <c r="N296" i="3"/>
  <c r="M296" i="3"/>
  <c r="L296" i="3"/>
  <c r="K296" i="3"/>
  <c r="T296" i="3" s="1"/>
  <c r="J296" i="3"/>
  <c r="I296" i="3"/>
  <c r="BG296" i="3" s="1"/>
  <c r="N295" i="3"/>
  <c r="M295" i="3"/>
  <c r="L295" i="3"/>
  <c r="U295" i="3" s="1"/>
  <c r="K295" i="3"/>
  <c r="J295" i="3"/>
  <c r="N294" i="3"/>
  <c r="M294" i="3"/>
  <c r="L294" i="3"/>
  <c r="K294" i="3"/>
  <c r="I294" i="3" s="1"/>
  <c r="BG294" i="3" s="1"/>
  <c r="J294" i="3"/>
  <c r="V293" i="3"/>
  <c r="N293" i="3"/>
  <c r="M293" i="3"/>
  <c r="L293" i="3"/>
  <c r="K293" i="3"/>
  <c r="J293" i="3"/>
  <c r="U293" i="3" s="1"/>
  <c r="N292" i="3"/>
  <c r="M292" i="3"/>
  <c r="L292" i="3"/>
  <c r="K292" i="3"/>
  <c r="T292" i="3" s="1"/>
  <c r="J292" i="3"/>
  <c r="I292" i="3"/>
  <c r="BG292" i="3" s="1"/>
  <c r="N291" i="3"/>
  <c r="M291" i="3"/>
  <c r="L291" i="3"/>
  <c r="U291" i="3" s="1"/>
  <c r="K291" i="3"/>
  <c r="J291" i="3"/>
  <c r="Z290" i="3"/>
  <c r="Y290" i="3"/>
  <c r="X290" i="3"/>
  <c r="W290" i="3"/>
  <c r="AA290" i="3" s="1"/>
  <c r="V290" i="3"/>
  <c r="N290" i="3"/>
  <c r="M290" i="3"/>
  <c r="L290" i="3"/>
  <c r="K290" i="3"/>
  <c r="I290" i="3" s="1"/>
  <c r="BG290" i="3" s="1"/>
  <c r="J290" i="3"/>
  <c r="AE290" i="3" s="1"/>
  <c r="BE290" i="3" s="1"/>
  <c r="N289" i="3"/>
  <c r="M289" i="3"/>
  <c r="L289" i="3"/>
  <c r="K289" i="3"/>
  <c r="J289" i="3"/>
  <c r="U289" i="3" s="1"/>
  <c r="N288" i="3"/>
  <c r="M288" i="3"/>
  <c r="L288" i="3"/>
  <c r="K288" i="3"/>
  <c r="T288" i="3" s="1"/>
  <c r="J288" i="3"/>
  <c r="I288" i="3"/>
  <c r="BG288" i="3" s="1"/>
  <c r="Z287" i="3"/>
  <c r="Y287" i="3"/>
  <c r="X287" i="3"/>
  <c r="W287" i="3"/>
  <c r="AA287" i="3" s="1"/>
  <c r="V287" i="3"/>
  <c r="N287" i="3"/>
  <c r="M287" i="3"/>
  <c r="L287" i="3"/>
  <c r="U287" i="3" s="1"/>
  <c r="K287" i="3"/>
  <c r="I287" i="3" s="1"/>
  <c r="BG287" i="3" s="1"/>
  <c r="J287" i="3"/>
  <c r="AE287" i="3" s="1"/>
  <c r="BE287" i="3" s="1"/>
  <c r="N286" i="3"/>
  <c r="M286" i="3"/>
  <c r="L286" i="3"/>
  <c r="K286" i="3"/>
  <c r="I286" i="3" s="1"/>
  <c r="BG286" i="3" s="1"/>
  <c r="J286" i="3"/>
  <c r="N285" i="3"/>
  <c r="M285" i="3"/>
  <c r="L285" i="3"/>
  <c r="K285" i="3"/>
  <c r="J285" i="3"/>
  <c r="U285" i="3" s="1"/>
  <c r="N284" i="3"/>
  <c r="M284" i="3"/>
  <c r="L284" i="3"/>
  <c r="K284" i="3"/>
  <c r="T284" i="3" s="1"/>
  <c r="J284" i="3"/>
  <c r="I284" i="3"/>
  <c r="BG284" i="3" s="1"/>
  <c r="N283" i="3"/>
  <c r="M283" i="3"/>
  <c r="L283" i="3"/>
  <c r="U283" i="3" s="1"/>
  <c r="K283" i="3"/>
  <c r="J283" i="3"/>
  <c r="Z282" i="3"/>
  <c r="Y282" i="3"/>
  <c r="X282" i="3"/>
  <c r="W282" i="3"/>
  <c r="AA282" i="3" s="1"/>
  <c r="V282" i="3"/>
  <c r="N282" i="3"/>
  <c r="M282" i="3"/>
  <c r="L282" i="3"/>
  <c r="K282" i="3"/>
  <c r="I282" i="3" s="1"/>
  <c r="BG282" i="3" s="1"/>
  <c r="J282" i="3"/>
  <c r="AE282" i="3" s="1"/>
  <c r="BE282" i="3" s="1"/>
  <c r="Y281" i="3"/>
  <c r="W281" i="3"/>
  <c r="V281" i="3"/>
  <c r="N281" i="3"/>
  <c r="M281" i="3"/>
  <c r="L281" i="3"/>
  <c r="K281" i="3"/>
  <c r="J281" i="3"/>
  <c r="U281" i="3" s="1"/>
  <c r="N280" i="3"/>
  <c r="M280" i="3"/>
  <c r="L280" i="3"/>
  <c r="K280" i="3"/>
  <c r="T280" i="3" s="1"/>
  <c r="J280" i="3"/>
  <c r="I280" i="3"/>
  <c r="BG280" i="3" s="1"/>
  <c r="Z279" i="3"/>
  <c r="Y279" i="3"/>
  <c r="X279" i="3"/>
  <c r="W279" i="3"/>
  <c r="AA279" i="3" s="1"/>
  <c r="V279" i="3"/>
  <c r="N279" i="3"/>
  <c r="M279" i="3"/>
  <c r="L279" i="3"/>
  <c r="U279" i="3" s="1"/>
  <c r="K279" i="3"/>
  <c r="I279" i="3" s="1"/>
  <c r="BG279" i="3" s="1"/>
  <c r="J279" i="3"/>
  <c r="AE279" i="3" s="1"/>
  <c r="BE279" i="3" s="1"/>
  <c r="N278" i="3"/>
  <c r="M278" i="3"/>
  <c r="L278" i="3"/>
  <c r="K278" i="3"/>
  <c r="I278" i="3" s="1"/>
  <c r="BG278" i="3" s="1"/>
  <c r="J278" i="3"/>
  <c r="N277" i="3"/>
  <c r="M277" i="3"/>
  <c r="L277" i="3"/>
  <c r="K277" i="3"/>
  <c r="J277" i="3"/>
  <c r="U277" i="3" s="1"/>
  <c r="N276" i="3"/>
  <c r="M276" i="3"/>
  <c r="L276" i="3"/>
  <c r="K276" i="3"/>
  <c r="T276" i="3" s="1"/>
  <c r="J276" i="3"/>
  <c r="I276" i="3"/>
  <c r="BG276" i="3" s="1"/>
  <c r="Z275" i="3"/>
  <c r="Y275" i="3"/>
  <c r="X275" i="3"/>
  <c r="W275" i="3"/>
  <c r="AA275" i="3" s="1"/>
  <c r="V275" i="3"/>
  <c r="N275" i="3"/>
  <c r="M275" i="3"/>
  <c r="L275" i="3"/>
  <c r="U275" i="3" s="1"/>
  <c r="K275" i="3"/>
  <c r="I275" i="3" s="1"/>
  <c r="BG275" i="3" s="1"/>
  <c r="J275" i="3"/>
  <c r="AE275" i="3" s="1"/>
  <c r="BE275" i="3" s="1"/>
  <c r="Z274" i="3"/>
  <c r="Y274" i="3"/>
  <c r="X274" i="3"/>
  <c r="W274" i="3"/>
  <c r="AA274" i="3" s="1"/>
  <c r="V274" i="3"/>
  <c r="N274" i="3"/>
  <c r="M274" i="3"/>
  <c r="L274" i="3"/>
  <c r="K274" i="3"/>
  <c r="I274" i="3" s="1"/>
  <c r="BG274" i="3" s="1"/>
  <c r="J274" i="3"/>
  <c r="AE274" i="3" s="1"/>
  <c r="BE274" i="3" s="1"/>
  <c r="Z273" i="3"/>
  <c r="Y273" i="3"/>
  <c r="X273" i="3"/>
  <c r="W273" i="3"/>
  <c r="AA273" i="3" s="1"/>
  <c r="V273" i="3"/>
  <c r="N273" i="3"/>
  <c r="M273" i="3"/>
  <c r="L273" i="3"/>
  <c r="K273" i="3"/>
  <c r="J273" i="3"/>
  <c r="U273" i="3" s="1"/>
  <c r="N272" i="3"/>
  <c r="M272" i="3"/>
  <c r="L272" i="3"/>
  <c r="K272" i="3"/>
  <c r="T272" i="3" s="1"/>
  <c r="J272" i="3"/>
  <c r="I272" i="3"/>
  <c r="BG272" i="3" s="1"/>
  <c r="BG271" i="3"/>
  <c r="Z271" i="3"/>
  <c r="Y271" i="3"/>
  <c r="X271" i="3"/>
  <c r="W271" i="3"/>
  <c r="AA271" i="3" s="1"/>
  <c r="V271" i="3"/>
  <c r="U271" i="3"/>
  <c r="T271" i="3"/>
  <c r="P271" i="3"/>
  <c r="N270" i="3"/>
  <c r="M270" i="3"/>
  <c r="L270" i="3"/>
  <c r="K270" i="3"/>
  <c r="T270" i="3" s="1"/>
  <c r="J270" i="3"/>
  <c r="I270" i="3"/>
  <c r="BG270" i="3" s="1"/>
  <c r="Z269" i="3"/>
  <c r="Y269" i="3"/>
  <c r="X269" i="3"/>
  <c r="W269" i="3"/>
  <c r="AA269" i="3" s="1"/>
  <c r="V269" i="3"/>
  <c r="N269" i="3"/>
  <c r="M269" i="3"/>
  <c r="L269" i="3"/>
  <c r="U269" i="3" s="1"/>
  <c r="K269" i="3"/>
  <c r="I269" i="3" s="1"/>
  <c r="BG269" i="3" s="1"/>
  <c r="J269" i="3"/>
  <c r="AE269" i="3" s="1"/>
  <c r="BE269" i="3" s="1"/>
  <c r="N268" i="3"/>
  <c r="M268" i="3"/>
  <c r="L268" i="3"/>
  <c r="K268" i="3"/>
  <c r="I268" i="3" s="1"/>
  <c r="BG268" i="3" s="1"/>
  <c r="J268" i="3"/>
  <c r="N267" i="3"/>
  <c r="M267" i="3"/>
  <c r="L267" i="3"/>
  <c r="K267" i="3"/>
  <c r="J267" i="3"/>
  <c r="U267" i="3" s="1"/>
  <c r="AE266" i="3"/>
  <c r="BE266" i="3" s="1"/>
  <c r="Z266" i="3"/>
  <c r="Y266" i="3"/>
  <c r="X266" i="3"/>
  <c r="W266" i="3"/>
  <c r="V266" i="3"/>
  <c r="AA266" i="3" s="1"/>
  <c r="N266" i="3"/>
  <c r="M266" i="3"/>
  <c r="L266" i="3"/>
  <c r="U266" i="3" s="1"/>
  <c r="K266" i="3"/>
  <c r="T266" i="3" s="1"/>
  <c r="J266" i="3"/>
  <c r="I266" i="3"/>
  <c r="BG266" i="3" s="1"/>
  <c r="N265" i="3"/>
  <c r="M265" i="3"/>
  <c r="L265" i="3"/>
  <c r="U265" i="3" s="1"/>
  <c r="K265" i="3"/>
  <c r="J265" i="3"/>
  <c r="N264" i="3"/>
  <c r="M264" i="3"/>
  <c r="L264" i="3"/>
  <c r="K264" i="3"/>
  <c r="I264" i="3" s="1"/>
  <c r="BG264" i="3" s="1"/>
  <c r="J264" i="3"/>
  <c r="N263" i="3"/>
  <c r="M263" i="3"/>
  <c r="L263" i="3"/>
  <c r="K263" i="3"/>
  <c r="J263" i="3"/>
  <c r="U263" i="3" s="1"/>
  <c r="AE262" i="3"/>
  <c r="BE262" i="3" s="1"/>
  <c r="Z262" i="3"/>
  <c r="Y262" i="3"/>
  <c r="V262" i="3"/>
  <c r="N262" i="3"/>
  <c r="M262" i="3"/>
  <c r="L262" i="3"/>
  <c r="K262" i="3"/>
  <c r="T262" i="3" s="1"/>
  <c r="J262" i="3"/>
  <c r="I262" i="3"/>
  <c r="BG262" i="3" s="1"/>
  <c r="Z261" i="3"/>
  <c r="Y261" i="3"/>
  <c r="X261" i="3"/>
  <c r="W261" i="3"/>
  <c r="AA261" i="3" s="1"/>
  <c r="V261" i="3"/>
  <c r="N261" i="3"/>
  <c r="M261" i="3"/>
  <c r="L261" i="3"/>
  <c r="U261" i="3" s="1"/>
  <c r="K261" i="3"/>
  <c r="I261" i="3" s="1"/>
  <c r="BG261" i="3" s="1"/>
  <c r="J261" i="3"/>
  <c r="AE261" i="3" s="1"/>
  <c r="BE261" i="3" s="1"/>
  <c r="N260" i="3"/>
  <c r="M260" i="3"/>
  <c r="L260" i="3"/>
  <c r="K260" i="3"/>
  <c r="I260" i="3" s="1"/>
  <c r="BG260" i="3" s="1"/>
  <c r="J260" i="3"/>
  <c r="N259" i="3"/>
  <c r="M259" i="3"/>
  <c r="L259" i="3"/>
  <c r="K259" i="3"/>
  <c r="J259" i="3"/>
  <c r="U259" i="3" s="1"/>
  <c r="N258" i="3"/>
  <c r="M258" i="3"/>
  <c r="L258" i="3"/>
  <c r="K258" i="3"/>
  <c r="T258" i="3" s="1"/>
  <c r="J258" i="3"/>
  <c r="I258" i="3"/>
  <c r="BG258" i="3" s="1"/>
  <c r="N257" i="3"/>
  <c r="M257" i="3"/>
  <c r="L257" i="3"/>
  <c r="U257" i="3" s="1"/>
  <c r="K257" i="3"/>
  <c r="J257" i="3"/>
  <c r="N256" i="3"/>
  <c r="M256" i="3"/>
  <c r="L256" i="3"/>
  <c r="K256" i="3"/>
  <c r="I256" i="3" s="1"/>
  <c r="BG256" i="3" s="1"/>
  <c r="J256" i="3"/>
  <c r="N255" i="3"/>
  <c r="M255" i="3"/>
  <c r="L255" i="3"/>
  <c r="K255" i="3"/>
  <c r="J255" i="3"/>
  <c r="U255" i="3" s="1"/>
  <c r="AE254" i="3"/>
  <c r="BE254" i="3" s="1"/>
  <c r="Z254" i="3"/>
  <c r="Y254" i="3"/>
  <c r="X254" i="3"/>
  <c r="W254" i="3"/>
  <c r="V254" i="3"/>
  <c r="AA254" i="3" s="1"/>
  <c r="N254" i="3"/>
  <c r="M254" i="3"/>
  <c r="L254" i="3"/>
  <c r="U254" i="3" s="1"/>
  <c r="K254" i="3"/>
  <c r="T254" i="3" s="1"/>
  <c r="J254" i="3"/>
  <c r="I254" i="3"/>
  <c r="BG254" i="3" s="1"/>
  <c r="N253" i="3"/>
  <c r="M253" i="3"/>
  <c r="L253" i="3"/>
  <c r="U253" i="3" s="1"/>
  <c r="K253" i="3"/>
  <c r="J253" i="3"/>
  <c r="Z252" i="3"/>
  <c r="N252" i="3"/>
  <c r="M252" i="3"/>
  <c r="L252" i="3"/>
  <c r="K252" i="3"/>
  <c r="I252" i="3" s="1"/>
  <c r="BG252" i="3" s="1"/>
  <c r="J252" i="3"/>
  <c r="AE252" i="3" s="1"/>
  <c r="BE252" i="3" s="1"/>
  <c r="V251" i="3"/>
  <c r="N251" i="3"/>
  <c r="M251" i="3"/>
  <c r="L251" i="3"/>
  <c r="K251" i="3"/>
  <c r="J251" i="3"/>
  <c r="U251" i="3" s="1"/>
  <c r="N250" i="3"/>
  <c r="M250" i="3"/>
  <c r="L250" i="3"/>
  <c r="K250" i="3"/>
  <c r="T250" i="3" s="1"/>
  <c r="J250" i="3"/>
  <c r="I250" i="3"/>
  <c r="BG250" i="3" s="1"/>
  <c r="N249" i="3"/>
  <c r="M249" i="3"/>
  <c r="L249" i="3"/>
  <c r="K249" i="3"/>
  <c r="J249" i="3"/>
  <c r="AE248" i="3"/>
  <c r="BE248" i="3" s="1"/>
  <c r="Z248" i="3"/>
  <c r="Y248" i="3"/>
  <c r="N248" i="3"/>
  <c r="M248" i="3"/>
  <c r="L248" i="3"/>
  <c r="K248" i="3"/>
  <c r="T248" i="3" s="1"/>
  <c r="X248" i="3" s="1"/>
  <c r="J248" i="3"/>
  <c r="U248" i="3" s="1"/>
  <c r="I248" i="3"/>
  <c r="BG248" i="3" s="1"/>
  <c r="N247" i="3"/>
  <c r="M247" i="3"/>
  <c r="L247" i="3"/>
  <c r="K247" i="3"/>
  <c r="J247" i="3"/>
  <c r="BG246" i="3"/>
  <c r="X246" i="3"/>
  <c r="U246" i="3"/>
  <c r="T246" i="3"/>
  <c r="P246" i="3"/>
  <c r="Z245" i="3"/>
  <c r="Y245" i="3"/>
  <c r="X245" i="3"/>
  <c r="W245" i="3"/>
  <c r="V245" i="3"/>
  <c r="N245" i="3"/>
  <c r="M245" i="3"/>
  <c r="L245" i="3"/>
  <c r="U245" i="3" s="1"/>
  <c r="K245" i="3"/>
  <c r="J245" i="3"/>
  <c r="AE244" i="3"/>
  <c r="BE244" i="3" s="1"/>
  <c r="V244" i="3"/>
  <c r="T244" i="3"/>
  <c r="N244" i="3"/>
  <c r="M244" i="3"/>
  <c r="L244" i="3"/>
  <c r="K244" i="3"/>
  <c r="J244" i="3"/>
  <c r="BG243" i="3"/>
  <c r="N243" i="3"/>
  <c r="M243" i="3"/>
  <c r="L243" i="3"/>
  <c r="K243" i="3"/>
  <c r="I243" i="3" s="1"/>
  <c r="J243" i="3"/>
  <c r="N242" i="3"/>
  <c r="M242" i="3"/>
  <c r="L242" i="3"/>
  <c r="K242" i="3"/>
  <c r="T242" i="3" s="1"/>
  <c r="X242" i="3" s="1"/>
  <c r="J242" i="3"/>
  <c r="U242" i="3" s="1"/>
  <c r="I242" i="3"/>
  <c r="BG242" i="3" s="1"/>
  <c r="N241" i="3"/>
  <c r="M241" i="3"/>
  <c r="L241" i="3"/>
  <c r="K241" i="3"/>
  <c r="J241" i="3"/>
  <c r="N240" i="3"/>
  <c r="M240" i="3"/>
  <c r="L240" i="3"/>
  <c r="K240" i="3"/>
  <c r="T240" i="3" s="1"/>
  <c r="J240" i="3"/>
  <c r="N239" i="3"/>
  <c r="M239" i="3"/>
  <c r="L239" i="3"/>
  <c r="K239" i="3"/>
  <c r="J239" i="3"/>
  <c r="N238" i="3"/>
  <c r="M238" i="3"/>
  <c r="AE238" i="3" s="1"/>
  <c r="BE238" i="3" s="1"/>
  <c r="L238" i="3"/>
  <c r="K238" i="3"/>
  <c r="J238" i="3"/>
  <c r="I238" i="3"/>
  <c r="BG238" i="3" s="1"/>
  <c r="Z237" i="3"/>
  <c r="Y237" i="3"/>
  <c r="X237" i="3"/>
  <c r="W237" i="3"/>
  <c r="AA237" i="3" s="1"/>
  <c r="V237" i="3"/>
  <c r="N237" i="3"/>
  <c r="M237" i="3"/>
  <c r="L237" i="3"/>
  <c r="U237" i="3" s="1"/>
  <c r="K237" i="3"/>
  <c r="J237" i="3"/>
  <c r="T237" i="3" s="1"/>
  <c r="AE236" i="3"/>
  <c r="BE236" i="3" s="1"/>
  <c r="Z236" i="3"/>
  <c r="Y236" i="3"/>
  <c r="W236" i="3"/>
  <c r="V236" i="3"/>
  <c r="N236" i="3"/>
  <c r="M236" i="3"/>
  <c r="L236" i="3"/>
  <c r="K236" i="3"/>
  <c r="J236" i="3"/>
  <c r="Z235" i="3"/>
  <c r="Y235" i="3"/>
  <c r="W235" i="3"/>
  <c r="V235" i="3"/>
  <c r="N235" i="3"/>
  <c r="M235" i="3"/>
  <c r="L235" i="3"/>
  <c r="K235" i="3"/>
  <c r="I235" i="3" s="1"/>
  <c r="BG235" i="3" s="1"/>
  <c r="J235" i="3"/>
  <c r="N234" i="3"/>
  <c r="M234" i="3"/>
  <c r="L234" i="3"/>
  <c r="K234" i="3"/>
  <c r="T234" i="3" s="1"/>
  <c r="X234" i="3" s="1"/>
  <c r="J234" i="3"/>
  <c r="U234" i="3" s="1"/>
  <c r="I234" i="3"/>
  <c r="BG234" i="3" s="1"/>
  <c r="N233" i="3"/>
  <c r="M233" i="3"/>
  <c r="L233" i="3"/>
  <c r="K233" i="3"/>
  <c r="J233" i="3"/>
  <c r="N232" i="3"/>
  <c r="M232" i="3"/>
  <c r="L232" i="3"/>
  <c r="K232" i="3"/>
  <c r="T232" i="3" s="1"/>
  <c r="J232" i="3"/>
  <c r="N231" i="3"/>
  <c r="M231" i="3"/>
  <c r="L231" i="3"/>
  <c r="K231" i="3"/>
  <c r="J231" i="3"/>
  <c r="AE230" i="3"/>
  <c r="BE230" i="3" s="1"/>
  <c r="Z230" i="3"/>
  <c r="Y230" i="3"/>
  <c r="X230" i="3"/>
  <c r="W230" i="3"/>
  <c r="V230" i="3"/>
  <c r="AA230" i="3" s="1"/>
  <c r="N230" i="3"/>
  <c r="M230" i="3"/>
  <c r="L230" i="3"/>
  <c r="K230" i="3"/>
  <c r="J230" i="3"/>
  <c r="I230" i="3"/>
  <c r="BG230" i="3" s="1"/>
  <c r="N229" i="3"/>
  <c r="M229" i="3"/>
  <c r="L229" i="3"/>
  <c r="K229" i="3"/>
  <c r="J229" i="3"/>
  <c r="T228" i="3"/>
  <c r="N228" i="3"/>
  <c r="M228" i="3"/>
  <c r="L228" i="3"/>
  <c r="K228" i="3"/>
  <c r="J228" i="3"/>
  <c r="BG227" i="3"/>
  <c r="W227" i="3"/>
  <c r="U227" i="3"/>
  <c r="Y227" i="3" s="1"/>
  <c r="T227" i="3"/>
  <c r="Z227" i="3" s="1"/>
  <c r="P227" i="3"/>
  <c r="AE226" i="3"/>
  <c r="BE226" i="3" s="1"/>
  <c r="Z226" i="3"/>
  <c r="Y226" i="3"/>
  <c r="X226" i="3"/>
  <c r="W226" i="3"/>
  <c r="V226" i="3"/>
  <c r="N226" i="3"/>
  <c r="M226" i="3"/>
  <c r="L226" i="3"/>
  <c r="K226" i="3"/>
  <c r="J226" i="3"/>
  <c r="N225" i="3"/>
  <c r="M225" i="3"/>
  <c r="L225" i="3"/>
  <c r="K225" i="3"/>
  <c r="J225" i="3"/>
  <c r="N224" i="3"/>
  <c r="M224" i="3"/>
  <c r="L224" i="3"/>
  <c r="K224" i="3"/>
  <c r="J224" i="3"/>
  <c r="I224" i="3"/>
  <c r="BG224" i="3" s="1"/>
  <c r="N223" i="3"/>
  <c r="M223" i="3"/>
  <c r="L223" i="3"/>
  <c r="K223" i="3"/>
  <c r="J223" i="3"/>
  <c r="AE222" i="3"/>
  <c r="BE222" i="3" s="1"/>
  <c r="Z222" i="3"/>
  <c r="Y222" i="3"/>
  <c r="X222" i="3"/>
  <c r="W222" i="3"/>
  <c r="V222" i="3"/>
  <c r="AA222" i="3" s="1"/>
  <c r="T222" i="3"/>
  <c r="N222" i="3"/>
  <c r="M222" i="3"/>
  <c r="L222" i="3"/>
  <c r="K222" i="3"/>
  <c r="I222" i="3" s="1"/>
  <c r="BG222" i="3" s="1"/>
  <c r="J222" i="3"/>
  <c r="U222" i="3" s="1"/>
  <c r="Z221" i="3"/>
  <c r="Y221" i="3"/>
  <c r="X221" i="3"/>
  <c r="W221" i="3"/>
  <c r="AA221" i="3" s="1"/>
  <c r="V221" i="3"/>
  <c r="N221" i="3"/>
  <c r="M221" i="3"/>
  <c r="L221" i="3"/>
  <c r="K221" i="3"/>
  <c r="J221" i="3"/>
  <c r="AE220" i="3"/>
  <c r="BE220" i="3" s="1"/>
  <c r="Z220" i="3"/>
  <c r="Y220" i="3"/>
  <c r="X220" i="3"/>
  <c r="W220" i="3"/>
  <c r="V220" i="3"/>
  <c r="AA220" i="3" s="1"/>
  <c r="N220" i="3"/>
  <c r="M220" i="3"/>
  <c r="L220" i="3"/>
  <c r="K220" i="3"/>
  <c r="U220" i="3" s="1"/>
  <c r="J220" i="3"/>
  <c r="I220" i="3"/>
  <c r="BG220" i="3" s="1"/>
  <c r="Z219" i="3"/>
  <c r="Y219" i="3"/>
  <c r="X219" i="3"/>
  <c r="W219" i="3"/>
  <c r="AA219" i="3" s="1"/>
  <c r="V219" i="3"/>
  <c r="N219" i="3"/>
  <c r="M219" i="3"/>
  <c r="L219" i="3"/>
  <c r="U219" i="3" s="1"/>
  <c r="K219" i="3"/>
  <c r="I219" i="3" s="1"/>
  <c r="BG219" i="3" s="1"/>
  <c r="J219" i="3"/>
  <c r="T219" i="3" s="1"/>
  <c r="AE218" i="3"/>
  <c r="BE218" i="3" s="1"/>
  <c r="Z218" i="3"/>
  <c r="Y218" i="3"/>
  <c r="X218" i="3"/>
  <c r="W218" i="3"/>
  <c r="V218" i="3"/>
  <c r="N218" i="3"/>
  <c r="M218" i="3"/>
  <c r="L218" i="3"/>
  <c r="K218" i="3"/>
  <c r="I218" i="3" s="1"/>
  <c r="BG218" i="3" s="1"/>
  <c r="J218" i="3"/>
  <c r="N217" i="3"/>
  <c r="M217" i="3"/>
  <c r="L217" i="3"/>
  <c r="K217" i="3"/>
  <c r="J217" i="3"/>
  <c r="AE216" i="3"/>
  <c r="BE216" i="3" s="1"/>
  <c r="V216" i="3"/>
  <c r="N216" i="3"/>
  <c r="M216" i="3"/>
  <c r="L216" i="3"/>
  <c r="K216" i="3"/>
  <c r="J216" i="3"/>
  <c r="I216" i="3"/>
  <c r="BG216" i="3" s="1"/>
  <c r="N215" i="3"/>
  <c r="M215" i="3"/>
  <c r="L215" i="3"/>
  <c r="K215" i="3"/>
  <c r="J215" i="3"/>
  <c r="T215" i="3" s="1"/>
  <c r="X214" i="3"/>
  <c r="T214" i="3"/>
  <c r="N214" i="3"/>
  <c r="M214" i="3"/>
  <c r="Y214" i="3" s="1"/>
  <c r="L214" i="3"/>
  <c r="K214" i="3"/>
  <c r="J214" i="3"/>
  <c r="U214" i="3" s="1"/>
  <c r="N213" i="3"/>
  <c r="M213" i="3"/>
  <c r="L213" i="3"/>
  <c r="K213" i="3"/>
  <c r="J213" i="3"/>
  <c r="N212" i="3"/>
  <c r="M212" i="3"/>
  <c r="L212" i="3"/>
  <c r="K212" i="3"/>
  <c r="U212" i="3" s="1"/>
  <c r="J212" i="3"/>
  <c r="I212" i="3"/>
  <c r="BG212" i="3" s="1"/>
  <c r="N211" i="3"/>
  <c r="M211" i="3"/>
  <c r="L211" i="3"/>
  <c r="K211" i="3"/>
  <c r="I211" i="3" s="1"/>
  <c r="BG211" i="3" s="1"/>
  <c r="J211" i="3"/>
  <c r="N210" i="3"/>
  <c r="M210" i="3"/>
  <c r="L210" i="3"/>
  <c r="K210" i="3"/>
  <c r="T210" i="3" s="1"/>
  <c r="J210" i="3"/>
  <c r="V209" i="3"/>
  <c r="N209" i="3"/>
  <c r="M209" i="3"/>
  <c r="L209" i="3"/>
  <c r="K209" i="3"/>
  <c r="J209" i="3"/>
  <c r="N208" i="3"/>
  <c r="M208" i="3"/>
  <c r="L208" i="3"/>
  <c r="K208" i="3"/>
  <c r="U208" i="3" s="1"/>
  <c r="J208" i="3"/>
  <c r="I208" i="3"/>
  <c r="BG208" i="3" s="1"/>
  <c r="N207" i="3"/>
  <c r="M207" i="3"/>
  <c r="L207" i="3"/>
  <c r="K207" i="3"/>
  <c r="I207" i="3" s="1"/>
  <c r="BG207" i="3" s="1"/>
  <c r="J207" i="3"/>
  <c r="T207" i="3" s="1"/>
  <c r="N206" i="3"/>
  <c r="M206" i="3"/>
  <c r="L206" i="3"/>
  <c r="K206" i="3"/>
  <c r="J206" i="3"/>
  <c r="U206" i="3" s="1"/>
  <c r="BG205" i="3"/>
  <c r="W205" i="3"/>
  <c r="U205" i="3"/>
  <c r="Z205" i="3" s="1"/>
  <c r="T205" i="3"/>
  <c r="X205" i="3" s="1"/>
  <c r="P205" i="3"/>
  <c r="AE204" i="3"/>
  <c r="BE204" i="3" s="1"/>
  <c r="Z204" i="3"/>
  <c r="Y204" i="3"/>
  <c r="X204" i="3"/>
  <c r="W204" i="3"/>
  <c r="V204" i="3"/>
  <c r="AA204" i="3" s="1"/>
  <c r="T204" i="3"/>
  <c r="N204" i="3"/>
  <c r="M204" i="3"/>
  <c r="L204" i="3"/>
  <c r="K204" i="3"/>
  <c r="I204" i="3" s="1"/>
  <c r="BG204" i="3" s="1"/>
  <c r="J204" i="3"/>
  <c r="Y203" i="3"/>
  <c r="X203" i="3"/>
  <c r="W203" i="3"/>
  <c r="V203" i="3"/>
  <c r="N203" i="3"/>
  <c r="M203" i="3"/>
  <c r="L203" i="3"/>
  <c r="K203" i="3"/>
  <c r="J203" i="3"/>
  <c r="AE202" i="3"/>
  <c r="BE202" i="3" s="1"/>
  <c r="V202" i="3"/>
  <c r="N202" i="3"/>
  <c r="M202" i="3"/>
  <c r="L202" i="3"/>
  <c r="K202" i="3"/>
  <c r="J202" i="3"/>
  <c r="I202" i="3"/>
  <c r="BG202" i="3" s="1"/>
  <c r="N201" i="3"/>
  <c r="M201" i="3"/>
  <c r="L201" i="3"/>
  <c r="K201" i="3"/>
  <c r="J201" i="3"/>
  <c r="T201" i="3" s="1"/>
  <c r="N200" i="3"/>
  <c r="M200" i="3"/>
  <c r="L200" i="3"/>
  <c r="K200" i="3"/>
  <c r="AE200" i="3" s="1"/>
  <c r="BE200" i="3" s="1"/>
  <c r="J200" i="3"/>
  <c r="V199" i="3"/>
  <c r="N199" i="3"/>
  <c r="M199" i="3"/>
  <c r="L199" i="3"/>
  <c r="K199" i="3"/>
  <c r="J199" i="3"/>
  <c r="U199" i="3" s="1"/>
  <c r="N198" i="3"/>
  <c r="M198" i="3"/>
  <c r="L198" i="3"/>
  <c r="K198" i="3"/>
  <c r="AE198" i="3" s="1"/>
  <c r="BE198" i="3" s="1"/>
  <c r="J198" i="3"/>
  <c r="I198" i="3"/>
  <c r="BG198" i="3" s="1"/>
  <c r="N197" i="3"/>
  <c r="M197" i="3"/>
  <c r="L197" i="3"/>
  <c r="K197" i="3"/>
  <c r="J197" i="3"/>
  <c r="U197" i="3" s="1"/>
  <c r="AE196" i="3"/>
  <c r="BE196" i="3" s="1"/>
  <c r="V196" i="3"/>
  <c r="N196" i="3"/>
  <c r="M196" i="3"/>
  <c r="L196" i="3"/>
  <c r="K196" i="3"/>
  <c r="J196" i="3"/>
  <c r="I196" i="3"/>
  <c r="BG196" i="3" s="1"/>
  <c r="N195" i="3"/>
  <c r="M195" i="3"/>
  <c r="L195" i="3"/>
  <c r="K195" i="3"/>
  <c r="J195" i="3"/>
  <c r="U195" i="3" s="1"/>
  <c r="N194" i="3"/>
  <c r="M194" i="3"/>
  <c r="L194" i="3"/>
  <c r="K194" i="3"/>
  <c r="AE194" i="3" s="1"/>
  <c r="BE194" i="3" s="1"/>
  <c r="J194" i="3"/>
  <c r="I194" i="3"/>
  <c r="BG194" i="3" s="1"/>
  <c r="Z193" i="3"/>
  <c r="Y193" i="3"/>
  <c r="X193" i="3"/>
  <c r="W193" i="3"/>
  <c r="AA193" i="3" s="1"/>
  <c r="V193" i="3"/>
  <c r="U193" i="3"/>
  <c r="N193" i="3"/>
  <c r="M193" i="3"/>
  <c r="L193" i="3"/>
  <c r="K193" i="3"/>
  <c r="J193" i="3"/>
  <c r="N192" i="3"/>
  <c r="M192" i="3"/>
  <c r="L192" i="3"/>
  <c r="K192" i="3"/>
  <c r="AE192" i="3" s="1"/>
  <c r="BE192" i="3" s="1"/>
  <c r="J192" i="3"/>
  <c r="Z191" i="3"/>
  <c r="Y191" i="3"/>
  <c r="X191" i="3"/>
  <c r="W191" i="3"/>
  <c r="AA191" i="3" s="1"/>
  <c r="V191" i="3"/>
  <c r="N191" i="3"/>
  <c r="M191" i="3"/>
  <c r="L191" i="3"/>
  <c r="U191" i="3" s="1"/>
  <c r="K191" i="3"/>
  <c r="J191" i="3"/>
  <c r="AE190" i="3"/>
  <c r="BE190" i="3" s="1"/>
  <c r="Z190" i="3"/>
  <c r="Y190" i="3"/>
  <c r="X190" i="3"/>
  <c r="W190" i="3"/>
  <c r="V190" i="3"/>
  <c r="N190" i="3"/>
  <c r="M190" i="3"/>
  <c r="T190" i="3" s="1"/>
  <c r="L190" i="3"/>
  <c r="K190" i="3"/>
  <c r="J190" i="3"/>
  <c r="I190" i="3"/>
  <c r="BG190" i="3" s="1"/>
  <c r="Z189" i="3"/>
  <c r="Y189" i="3"/>
  <c r="X189" i="3"/>
  <c r="W189" i="3"/>
  <c r="AA189" i="3" s="1"/>
  <c r="V189" i="3"/>
  <c r="U189" i="3"/>
  <c r="N189" i="3"/>
  <c r="M189" i="3"/>
  <c r="L189" i="3"/>
  <c r="K189" i="3"/>
  <c r="J189" i="3"/>
  <c r="AE188" i="3"/>
  <c r="BE188" i="3" s="1"/>
  <c r="Z188" i="3"/>
  <c r="Y188" i="3"/>
  <c r="X188" i="3"/>
  <c r="W188" i="3"/>
  <c r="V188" i="3"/>
  <c r="AA188" i="3" s="1"/>
  <c r="N188" i="3"/>
  <c r="M188" i="3"/>
  <c r="T188" i="3" s="1"/>
  <c r="L188" i="3"/>
  <c r="K188" i="3"/>
  <c r="P188" i="3" s="1"/>
  <c r="J188" i="3"/>
  <c r="I188" i="3"/>
  <c r="BG188" i="3" s="1"/>
  <c r="Y187" i="3"/>
  <c r="X187" i="3"/>
  <c r="W187" i="3"/>
  <c r="V187" i="3"/>
  <c r="U187" i="3"/>
  <c r="N187" i="3"/>
  <c r="M187" i="3"/>
  <c r="L187" i="3"/>
  <c r="K187" i="3"/>
  <c r="J187" i="3"/>
  <c r="AE186" i="3"/>
  <c r="BE186" i="3" s="1"/>
  <c r="V186" i="3"/>
  <c r="N186" i="3"/>
  <c r="M186" i="3"/>
  <c r="L186" i="3"/>
  <c r="K186" i="3"/>
  <c r="T186" i="3" s="1"/>
  <c r="J186" i="3"/>
  <c r="U185" i="3"/>
  <c r="N185" i="3"/>
  <c r="M185" i="3"/>
  <c r="L185" i="3"/>
  <c r="K185" i="3"/>
  <c r="J185" i="3"/>
  <c r="AE184" i="3"/>
  <c r="BE184" i="3" s="1"/>
  <c r="Z184" i="3"/>
  <c r="Y184" i="3"/>
  <c r="X184" i="3"/>
  <c r="W184" i="3"/>
  <c r="V184" i="3"/>
  <c r="AA184" i="3" s="1"/>
  <c r="N184" i="3"/>
  <c r="M184" i="3"/>
  <c r="T184" i="3" s="1"/>
  <c r="L184" i="3"/>
  <c r="K184" i="3"/>
  <c r="P184" i="3" s="1"/>
  <c r="J184" i="3"/>
  <c r="I184" i="3"/>
  <c r="BG184" i="3" s="1"/>
  <c r="N183" i="3"/>
  <c r="M183" i="3"/>
  <c r="L183" i="3"/>
  <c r="K183" i="3"/>
  <c r="J183" i="3"/>
  <c r="U183" i="3" s="1"/>
  <c r="AE182" i="3"/>
  <c r="BE182" i="3" s="1"/>
  <c r="V182" i="3"/>
  <c r="N182" i="3"/>
  <c r="M182" i="3"/>
  <c r="L182" i="3"/>
  <c r="K182" i="3"/>
  <c r="J182" i="3"/>
  <c r="I182" i="3"/>
  <c r="BG182" i="3" s="1"/>
  <c r="Z181" i="3"/>
  <c r="Y181" i="3"/>
  <c r="X181" i="3"/>
  <c r="W181" i="3"/>
  <c r="AA181" i="3" s="1"/>
  <c r="V181" i="3"/>
  <c r="N181" i="3"/>
  <c r="M181" i="3"/>
  <c r="L181" i="3"/>
  <c r="K181" i="3"/>
  <c r="J181" i="3"/>
  <c r="U181" i="3" s="1"/>
  <c r="AE180" i="3"/>
  <c r="BE180" i="3" s="1"/>
  <c r="Z180" i="3"/>
  <c r="Y180" i="3"/>
  <c r="X180" i="3"/>
  <c r="W180" i="3"/>
  <c r="V180" i="3"/>
  <c r="AA180" i="3" s="1"/>
  <c r="N180" i="3"/>
  <c r="M180" i="3"/>
  <c r="L180" i="3"/>
  <c r="K180" i="3"/>
  <c r="T180" i="3" s="1"/>
  <c r="J180" i="3"/>
  <c r="U180" i="3" s="1"/>
  <c r="N179" i="3"/>
  <c r="M179" i="3"/>
  <c r="L179" i="3"/>
  <c r="U179" i="3" s="1"/>
  <c r="K179" i="3"/>
  <c r="J179" i="3"/>
  <c r="N178" i="3"/>
  <c r="M178" i="3"/>
  <c r="L178" i="3"/>
  <c r="K178" i="3"/>
  <c r="J178" i="3"/>
  <c r="N177" i="3"/>
  <c r="M177" i="3"/>
  <c r="L177" i="3"/>
  <c r="U177" i="3" s="1"/>
  <c r="K177" i="3"/>
  <c r="J177" i="3"/>
  <c r="N176" i="3"/>
  <c r="M176" i="3"/>
  <c r="L176" i="3"/>
  <c r="K176" i="3"/>
  <c r="J176" i="3"/>
  <c r="U176" i="3" s="1"/>
  <c r="N175" i="3"/>
  <c r="M175" i="3"/>
  <c r="L175" i="3"/>
  <c r="K175" i="3"/>
  <c r="J175" i="3"/>
  <c r="I175" i="3" s="1"/>
  <c r="BG175" i="3" s="1"/>
  <c r="BE174" i="3"/>
  <c r="AE174" i="3"/>
  <c r="Y174" i="3"/>
  <c r="X174" i="3"/>
  <c r="W174" i="3"/>
  <c r="V174" i="3"/>
  <c r="N174" i="3"/>
  <c r="M174" i="3"/>
  <c r="L174" i="3"/>
  <c r="I174" i="3" s="1"/>
  <c r="K174" i="3"/>
  <c r="U174" i="3" s="1"/>
  <c r="J174" i="3"/>
  <c r="V173" i="3"/>
  <c r="N173" i="3"/>
  <c r="M173" i="3"/>
  <c r="L173" i="3"/>
  <c r="K173" i="3"/>
  <c r="J173" i="3"/>
  <c r="AE173" i="3" s="1"/>
  <c r="BE173" i="3" s="1"/>
  <c r="N172" i="3"/>
  <c r="M172" i="3"/>
  <c r="L172" i="3"/>
  <c r="K172" i="3"/>
  <c r="I172" i="3" s="1"/>
  <c r="J172" i="3"/>
  <c r="U172" i="3" s="1"/>
  <c r="N171" i="3"/>
  <c r="M171" i="3"/>
  <c r="L171" i="3"/>
  <c r="K171" i="3"/>
  <c r="J171" i="3"/>
  <c r="AE171" i="3" s="1"/>
  <c r="BE171" i="3" s="1"/>
  <c r="N170" i="3"/>
  <c r="M170" i="3"/>
  <c r="L170" i="3"/>
  <c r="K170" i="3"/>
  <c r="T170" i="3" s="1"/>
  <c r="J170" i="3"/>
  <c r="AE170" i="3" s="1"/>
  <c r="BE170" i="3" s="1"/>
  <c r="V169" i="3"/>
  <c r="N169" i="3"/>
  <c r="M169" i="3"/>
  <c r="L169" i="3"/>
  <c r="K169" i="3"/>
  <c r="I169" i="3" s="1"/>
  <c r="BG169" i="3" s="1"/>
  <c r="J169" i="3"/>
  <c r="AE169" i="3" s="1"/>
  <c r="BE169" i="3" s="1"/>
  <c r="N168" i="3"/>
  <c r="M168" i="3"/>
  <c r="AE168" i="3" s="1"/>
  <c r="BE168" i="3" s="1"/>
  <c r="L168" i="3"/>
  <c r="K168" i="3"/>
  <c r="J168" i="3"/>
  <c r="U168" i="3" s="1"/>
  <c r="I168" i="3"/>
  <c r="BG168" i="3" s="1"/>
  <c r="BE167" i="3"/>
  <c r="AE167" i="3"/>
  <c r="Z167" i="3"/>
  <c r="Y167" i="3"/>
  <c r="X167" i="3"/>
  <c r="W167" i="3"/>
  <c r="V167" i="3"/>
  <c r="AA167" i="3" s="1"/>
  <c r="N167" i="3"/>
  <c r="M167" i="3"/>
  <c r="L167" i="3"/>
  <c r="U167" i="3" s="1"/>
  <c r="K167" i="3"/>
  <c r="T167" i="3" s="1"/>
  <c r="J167" i="3"/>
  <c r="N166" i="3"/>
  <c r="M166" i="3"/>
  <c r="L166" i="3"/>
  <c r="K166" i="3"/>
  <c r="T166" i="3" s="1"/>
  <c r="J166" i="3"/>
  <c r="AE166" i="3" s="1"/>
  <c r="BE166" i="3" s="1"/>
  <c r="N165" i="3"/>
  <c r="M165" i="3"/>
  <c r="L165" i="3"/>
  <c r="K165" i="3"/>
  <c r="I165" i="3" s="1"/>
  <c r="BG165" i="3" s="1"/>
  <c r="J165" i="3"/>
  <c r="AE165" i="3" s="1"/>
  <c r="BE165" i="3" s="1"/>
  <c r="AE164" i="3"/>
  <c r="BE164" i="3" s="1"/>
  <c r="Y164" i="3"/>
  <c r="X164" i="3"/>
  <c r="W164" i="3"/>
  <c r="V164" i="3"/>
  <c r="N164" i="3"/>
  <c r="M164" i="3"/>
  <c r="L164" i="3"/>
  <c r="K164" i="3"/>
  <c r="J164" i="3"/>
  <c r="U164" i="3" s="1"/>
  <c r="I164" i="3"/>
  <c r="BG164" i="3" s="1"/>
  <c r="BE163" i="3"/>
  <c r="AE163" i="3"/>
  <c r="Y163" i="3"/>
  <c r="X163" i="3"/>
  <c r="W163" i="3"/>
  <c r="V163" i="3"/>
  <c r="N163" i="3"/>
  <c r="M163" i="3"/>
  <c r="L163" i="3"/>
  <c r="U163" i="3" s="1"/>
  <c r="K163" i="3"/>
  <c r="T163" i="3" s="1"/>
  <c r="Z163" i="3" s="1"/>
  <c r="J163" i="3"/>
  <c r="Z162" i="3"/>
  <c r="Y162" i="3"/>
  <c r="X162" i="3"/>
  <c r="W162" i="3"/>
  <c r="AA162" i="3" s="1"/>
  <c r="V162" i="3"/>
  <c r="N162" i="3"/>
  <c r="M162" i="3"/>
  <c r="L162" i="3"/>
  <c r="K162" i="3"/>
  <c r="T162" i="3" s="1"/>
  <c r="J162" i="3"/>
  <c r="AE162" i="3" s="1"/>
  <c r="BE162" i="3" s="1"/>
  <c r="Z161" i="3"/>
  <c r="Y161" i="3"/>
  <c r="X161" i="3"/>
  <c r="W161" i="3"/>
  <c r="AA161" i="3" s="1"/>
  <c r="V161" i="3"/>
  <c r="N161" i="3"/>
  <c r="M161" i="3"/>
  <c r="L161" i="3"/>
  <c r="K161" i="3"/>
  <c r="I161" i="3" s="1"/>
  <c r="J161" i="3"/>
  <c r="AE161" i="3" s="1"/>
  <c r="BE161" i="3" s="1"/>
  <c r="AE160" i="3"/>
  <c r="BE160" i="3" s="1"/>
  <c r="Z160" i="3"/>
  <c r="Y160" i="3"/>
  <c r="X160" i="3"/>
  <c r="W160" i="3"/>
  <c r="V160" i="3"/>
  <c r="AA160" i="3" s="1"/>
  <c r="N160" i="3"/>
  <c r="M160" i="3"/>
  <c r="L160" i="3"/>
  <c r="K160" i="3"/>
  <c r="J160" i="3"/>
  <c r="U160" i="3" s="1"/>
  <c r="I160" i="3"/>
  <c r="BG160" i="3" s="1"/>
  <c r="BE159" i="3"/>
  <c r="AE159" i="3"/>
  <c r="Z159" i="3"/>
  <c r="Y159" i="3"/>
  <c r="X159" i="3"/>
  <c r="W159" i="3"/>
  <c r="V159" i="3"/>
  <c r="AA159" i="3" s="1"/>
  <c r="N159" i="3"/>
  <c r="M159" i="3"/>
  <c r="L159" i="3"/>
  <c r="U159" i="3" s="1"/>
  <c r="K159" i="3"/>
  <c r="T159" i="3" s="1"/>
  <c r="J159" i="3"/>
  <c r="Z158" i="3"/>
  <c r="Y158" i="3"/>
  <c r="X158" i="3"/>
  <c r="W158" i="3"/>
  <c r="AA158" i="3" s="1"/>
  <c r="V158" i="3"/>
  <c r="N158" i="3"/>
  <c r="M158" i="3"/>
  <c r="L158" i="3"/>
  <c r="K158" i="3"/>
  <c r="T158" i="3" s="1"/>
  <c r="J158" i="3"/>
  <c r="AE158" i="3" s="1"/>
  <c r="BE158" i="3" s="1"/>
  <c r="BG157" i="3"/>
  <c r="W157" i="3"/>
  <c r="U157" i="3"/>
  <c r="T157" i="3"/>
  <c r="Z157" i="3" s="1"/>
  <c r="P157" i="3"/>
  <c r="Z156" i="3"/>
  <c r="Y156" i="3"/>
  <c r="X156" i="3"/>
  <c r="W156" i="3"/>
  <c r="AA156" i="3" s="1"/>
  <c r="V156" i="3"/>
  <c r="N156" i="3"/>
  <c r="M156" i="3"/>
  <c r="L156" i="3"/>
  <c r="K156" i="3"/>
  <c r="T156" i="3" s="1"/>
  <c r="J156" i="3"/>
  <c r="AE156" i="3" s="1"/>
  <c r="BE156" i="3" s="1"/>
  <c r="Y155" i="3"/>
  <c r="X155" i="3"/>
  <c r="W155" i="3"/>
  <c r="V155" i="3"/>
  <c r="N155" i="3"/>
  <c r="M155" i="3"/>
  <c r="L155" i="3"/>
  <c r="K155" i="3"/>
  <c r="J155" i="3"/>
  <c r="AF155" i="3" s="1"/>
  <c r="BH155" i="3" s="1"/>
  <c r="AE154" i="3"/>
  <c r="BE154" i="3" s="1"/>
  <c r="V154" i="3"/>
  <c r="N154" i="3"/>
  <c r="M154" i="3"/>
  <c r="L154" i="3"/>
  <c r="K154" i="3"/>
  <c r="J154" i="3"/>
  <c r="U154" i="3" s="1"/>
  <c r="I154" i="3"/>
  <c r="BG154" i="3" s="1"/>
  <c r="N153" i="3"/>
  <c r="M153" i="3"/>
  <c r="L153" i="3"/>
  <c r="U153" i="3" s="1"/>
  <c r="K153" i="3"/>
  <c r="T153" i="3" s="1"/>
  <c r="J153" i="3"/>
  <c r="V152" i="3"/>
  <c r="N152" i="3"/>
  <c r="M152" i="3"/>
  <c r="L152" i="3"/>
  <c r="K152" i="3"/>
  <c r="T152" i="3" s="1"/>
  <c r="J152" i="3"/>
  <c r="AE152" i="3" s="1"/>
  <c r="BE152" i="3" s="1"/>
  <c r="N151" i="3"/>
  <c r="M151" i="3"/>
  <c r="L151" i="3"/>
  <c r="K151" i="3"/>
  <c r="J151" i="3"/>
  <c r="AF151" i="3" s="1"/>
  <c r="BH151" i="3" s="1"/>
  <c r="N150" i="3"/>
  <c r="M150" i="3"/>
  <c r="AE150" i="3" s="1"/>
  <c r="BE150" i="3" s="1"/>
  <c r="L150" i="3"/>
  <c r="K150" i="3"/>
  <c r="J150" i="3"/>
  <c r="U150" i="3" s="1"/>
  <c r="I150" i="3"/>
  <c r="BG150" i="3" s="1"/>
  <c r="N149" i="3"/>
  <c r="M149" i="3"/>
  <c r="L149" i="3"/>
  <c r="U149" i="3" s="1"/>
  <c r="K149" i="3"/>
  <c r="T149" i="3" s="1"/>
  <c r="J149" i="3"/>
  <c r="N148" i="3"/>
  <c r="M148" i="3"/>
  <c r="L148" i="3"/>
  <c r="K148" i="3"/>
  <c r="T148" i="3" s="1"/>
  <c r="J148" i="3"/>
  <c r="AE148" i="3" s="1"/>
  <c r="BE148" i="3" s="1"/>
  <c r="N147" i="3"/>
  <c r="M147" i="3"/>
  <c r="L147" i="3"/>
  <c r="K147" i="3"/>
  <c r="J147" i="3"/>
  <c r="AF147" i="3" s="1"/>
  <c r="BH147" i="3" s="1"/>
  <c r="AE146" i="3"/>
  <c r="BE146" i="3" s="1"/>
  <c r="V146" i="3"/>
  <c r="N146" i="3"/>
  <c r="M146" i="3"/>
  <c r="L146" i="3"/>
  <c r="K146" i="3"/>
  <c r="J146" i="3"/>
  <c r="U146" i="3" s="1"/>
  <c r="I146" i="3"/>
  <c r="BG146" i="3" s="1"/>
  <c r="N145" i="3"/>
  <c r="M145" i="3"/>
  <c r="L145" i="3"/>
  <c r="U145" i="3" s="1"/>
  <c r="K145" i="3"/>
  <c r="T145" i="3" s="1"/>
  <c r="J145" i="3"/>
  <c r="BH144" i="3"/>
  <c r="BG144" i="3"/>
  <c r="BF144" i="3"/>
  <c r="BE144" i="3"/>
  <c r="BC144" i="3"/>
  <c r="BA144" i="3"/>
  <c r="AZ144" i="3"/>
  <c r="AF144" i="3"/>
  <c r="AE144" i="3"/>
  <c r="AC144" i="3"/>
  <c r="AB144" i="3"/>
  <c r="AA144" i="3"/>
  <c r="Z144" i="3"/>
  <c r="W144" i="3"/>
  <c r="V144" i="3"/>
  <c r="U144" i="3"/>
  <c r="T144" i="3"/>
  <c r="S144" i="3"/>
  <c r="R144" i="3"/>
  <c r="Q144" i="3"/>
  <c r="P144" i="3"/>
  <c r="N144" i="3"/>
  <c r="M144" i="3"/>
  <c r="AF157" i="3" s="1"/>
  <c r="BH157" i="3" s="1"/>
  <c r="L144" i="3"/>
  <c r="X144" i="3" s="1"/>
  <c r="K144" i="3"/>
  <c r="J144" i="3"/>
  <c r="I144" i="3"/>
  <c r="V143" i="3"/>
  <c r="N143" i="3"/>
  <c r="M143" i="3"/>
  <c r="L143" i="3"/>
  <c r="I143" i="3" s="1"/>
  <c r="K143" i="3"/>
  <c r="J143" i="3"/>
  <c r="N142" i="3"/>
  <c r="M142" i="3"/>
  <c r="L142" i="3"/>
  <c r="K142" i="3"/>
  <c r="I142" i="3" s="1"/>
  <c r="J142" i="3"/>
  <c r="N141" i="3"/>
  <c r="M141" i="3"/>
  <c r="L141" i="3"/>
  <c r="I141" i="3" s="1"/>
  <c r="K141" i="3"/>
  <c r="J141" i="3"/>
  <c r="N140" i="3"/>
  <c r="M140" i="3"/>
  <c r="L140" i="3"/>
  <c r="K140" i="3"/>
  <c r="I140" i="3" s="1"/>
  <c r="J140" i="3"/>
  <c r="N139" i="3"/>
  <c r="M139" i="3"/>
  <c r="L139" i="3"/>
  <c r="I139" i="3" s="1"/>
  <c r="K139" i="3"/>
  <c r="J139" i="3"/>
  <c r="N138" i="3"/>
  <c r="M138" i="3"/>
  <c r="L138" i="3"/>
  <c r="K138" i="3"/>
  <c r="J138" i="3"/>
  <c r="I138" i="3" s="1"/>
  <c r="N137" i="3"/>
  <c r="M137" i="3"/>
  <c r="L137" i="3"/>
  <c r="K137" i="3"/>
  <c r="I137" i="3" s="1"/>
  <c r="J137" i="3"/>
  <c r="N136" i="3"/>
  <c r="M136" i="3"/>
  <c r="L136" i="3"/>
  <c r="K136" i="3"/>
  <c r="J136" i="3"/>
  <c r="I136" i="3" s="1"/>
  <c r="N135" i="3"/>
  <c r="M135" i="3"/>
  <c r="L135" i="3"/>
  <c r="K135" i="3"/>
  <c r="I135" i="3" s="1"/>
  <c r="J135" i="3"/>
  <c r="N134" i="3"/>
  <c r="M134" i="3"/>
  <c r="L134" i="3"/>
  <c r="K134" i="3"/>
  <c r="J134" i="3"/>
  <c r="I134" i="3" s="1"/>
  <c r="N133" i="3"/>
  <c r="M133" i="3"/>
  <c r="L133" i="3"/>
  <c r="K133" i="3"/>
  <c r="I133" i="3" s="1"/>
  <c r="J133" i="3"/>
  <c r="N132" i="3"/>
  <c r="M132" i="3"/>
  <c r="L132" i="3"/>
  <c r="K132" i="3"/>
  <c r="J132" i="3"/>
  <c r="I132" i="3" s="1"/>
  <c r="N131" i="3"/>
  <c r="M131" i="3"/>
  <c r="L131" i="3"/>
  <c r="K131" i="3"/>
  <c r="I131" i="3" s="1"/>
  <c r="J131" i="3"/>
  <c r="N130" i="3"/>
  <c r="M130" i="3"/>
  <c r="L130" i="3"/>
  <c r="K130" i="3"/>
  <c r="J130" i="3"/>
  <c r="I130" i="3" s="1"/>
  <c r="N129" i="3"/>
  <c r="M129" i="3"/>
  <c r="L129" i="3"/>
  <c r="K129" i="3"/>
  <c r="I129" i="3" s="1"/>
  <c r="J129" i="3"/>
  <c r="N128" i="3"/>
  <c r="M128" i="3"/>
  <c r="L128" i="3"/>
  <c r="K128" i="3"/>
  <c r="J128" i="3"/>
  <c r="I128" i="3" s="1"/>
  <c r="N127" i="3"/>
  <c r="M127" i="3"/>
  <c r="L127" i="3"/>
  <c r="K127" i="3"/>
  <c r="I127" i="3" s="1"/>
  <c r="J127" i="3"/>
  <c r="N126" i="3"/>
  <c r="M126" i="3"/>
  <c r="L126" i="3"/>
  <c r="K126" i="3"/>
  <c r="J126" i="3"/>
  <c r="I126" i="3" s="1"/>
  <c r="N125" i="3"/>
  <c r="M125" i="3"/>
  <c r="L125" i="3"/>
  <c r="K125" i="3"/>
  <c r="I125" i="3" s="1"/>
  <c r="J125" i="3"/>
  <c r="N124" i="3"/>
  <c r="M124" i="3"/>
  <c r="L124" i="3"/>
  <c r="K124" i="3"/>
  <c r="J124" i="3"/>
  <c r="I124" i="3" s="1"/>
  <c r="N123" i="3"/>
  <c r="M123" i="3"/>
  <c r="L123" i="3"/>
  <c r="K123" i="3"/>
  <c r="I123" i="3" s="1"/>
  <c r="J123" i="3"/>
  <c r="N122" i="3"/>
  <c r="M122" i="3"/>
  <c r="L122" i="3"/>
  <c r="K122" i="3"/>
  <c r="J122" i="3"/>
  <c r="I122" i="3" s="1"/>
  <c r="N121" i="3"/>
  <c r="M121" i="3"/>
  <c r="L121" i="3"/>
  <c r="K121" i="3"/>
  <c r="I121" i="3" s="1"/>
  <c r="J121" i="3"/>
  <c r="N120" i="3"/>
  <c r="M120" i="3"/>
  <c r="L120" i="3"/>
  <c r="K120" i="3"/>
  <c r="J120" i="3"/>
  <c r="I120" i="3" s="1"/>
  <c r="N119" i="3"/>
  <c r="M119" i="3"/>
  <c r="L119" i="3"/>
  <c r="K119" i="3"/>
  <c r="I119" i="3" s="1"/>
  <c r="J119" i="3"/>
  <c r="N118" i="3"/>
  <c r="M118" i="3"/>
  <c r="L118" i="3"/>
  <c r="K118" i="3"/>
  <c r="J118" i="3"/>
  <c r="I118" i="3" s="1"/>
  <c r="N117" i="3"/>
  <c r="M117" i="3"/>
  <c r="L117" i="3"/>
  <c r="K117" i="3"/>
  <c r="I117" i="3" s="1"/>
  <c r="J117" i="3"/>
  <c r="N116" i="3"/>
  <c r="M116" i="3"/>
  <c r="L116" i="3"/>
  <c r="K116" i="3"/>
  <c r="J116" i="3"/>
  <c r="I116" i="3" s="1"/>
  <c r="N115" i="3"/>
  <c r="M115" i="3"/>
  <c r="L115" i="3"/>
  <c r="K115" i="3"/>
  <c r="I115" i="3" s="1"/>
  <c r="J115" i="3"/>
  <c r="N114" i="3"/>
  <c r="M114" i="3"/>
  <c r="L114" i="3"/>
  <c r="K114" i="3"/>
  <c r="J114" i="3"/>
  <c r="I114" i="3" s="1"/>
  <c r="N113" i="3"/>
  <c r="M113" i="3"/>
  <c r="L113" i="3"/>
  <c r="K113" i="3"/>
  <c r="I113" i="3" s="1"/>
  <c r="J113" i="3"/>
  <c r="N112" i="3"/>
  <c r="M112" i="3"/>
  <c r="L112" i="3"/>
  <c r="K112" i="3"/>
  <c r="J112" i="3"/>
  <c r="I112" i="3" s="1"/>
  <c r="N111" i="3"/>
  <c r="M111" i="3"/>
  <c r="L111" i="3"/>
  <c r="K111" i="3"/>
  <c r="I111" i="3" s="1"/>
  <c r="J111" i="3"/>
  <c r="N110" i="3"/>
  <c r="M110" i="3"/>
  <c r="L110" i="3"/>
  <c r="K110" i="3"/>
  <c r="J110" i="3"/>
  <c r="I110" i="3" s="1"/>
  <c r="N109" i="3"/>
  <c r="M109" i="3"/>
  <c r="L109" i="3"/>
  <c r="K109" i="3"/>
  <c r="I109" i="3" s="1"/>
  <c r="J109" i="3"/>
  <c r="N108" i="3"/>
  <c r="M108" i="3"/>
  <c r="L108" i="3"/>
  <c r="K108" i="3"/>
  <c r="J108" i="3"/>
  <c r="I108" i="3" s="1"/>
  <c r="N107" i="3"/>
  <c r="M107" i="3"/>
  <c r="L107" i="3"/>
  <c r="K107" i="3"/>
  <c r="I107" i="3" s="1"/>
  <c r="J107" i="3"/>
  <c r="N106" i="3"/>
  <c r="M106" i="3"/>
  <c r="L106" i="3"/>
  <c r="K106" i="3"/>
  <c r="J106" i="3"/>
  <c r="I106" i="3" s="1"/>
  <c r="N105" i="3"/>
  <c r="M105" i="3"/>
  <c r="L105" i="3"/>
  <c r="K105" i="3"/>
  <c r="I105" i="3" s="1"/>
  <c r="J105" i="3"/>
  <c r="N104" i="3"/>
  <c r="M104" i="3"/>
  <c r="L104" i="3"/>
  <c r="K104" i="3"/>
  <c r="J104" i="3"/>
  <c r="I104" i="3" s="1"/>
  <c r="N103" i="3"/>
  <c r="M103" i="3"/>
  <c r="L103" i="3"/>
  <c r="K103" i="3"/>
  <c r="I103" i="3" s="1"/>
  <c r="J103" i="3"/>
  <c r="N102" i="3"/>
  <c r="M102" i="3"/>
  <c r="L102" i="3"/>
  <c r="K102" i="3"/>
  <c r="J102" i="3"/>
  <c r="I102" i="3" s="1"/>
  <c r="N101" i="3"/>
  <c r="M101" i="3"/>
  <c r="L101" i="3"/>
  <c r="K101" i="3"/>
  <c r="I101" i="3" s="1"/>
  <c r="J101" i="3"/>
  <c r="N100" i="3"/>
  <c r="M100" i="3"/>
  <c r="L100" i="3"/>
  <c r="K100" i="3"/>
  <c r="J100" i="3"/>
  <c r="I100" i="3" s="1"/>
  <c r="N99" i="3"/>
  <c r="M99" i="3"/>
  <c r="L99" i="3"/>
  <c r="K99" i="3"/>
  <c r="I99" i="3" s="1"/>
  <c r="J99" i="3"/>
  <c r="N98" i="3"/>
  <c r="M98" i="3"/>
  <c r="L98" i="3"/>
  <c r="K98" i="3"/>
  <c r="J98" i="3"/>
  <c r="I98" i="3" s="1"/>
  <c r="N97" i="3"/>
  <c r="M97" i="3"/>
  <c r="L97" i="3"/>
  <c r="K97" i="3"/>
  <c r="I97" i="3" s="1"/>
  <c r="J97" i="3"/>
  <c r="N96" i="3"/>
  <c r="M96" i="3"/>
  <c r="L96" i="3"/>
  <c r="K96" i="3"/>
  <c r="J96" i="3"/>
  <c r="I96" i="3" s="1"/>
  <c r="N95" i="3"/>
  <c r="M95" i="3"/>
  <c r="L95" i="3"/>
  <c r="K95" i="3"/>
  <c r="I95" i="3" s="1"/>
  <c r="J95" i="3"/>
  <c r="N94" i="3"/>
  <c r="M94" i="3"/>
  <c r="L94" i="3"/>
  <c r="K94" i="3"/>
  <c r="J94" i="3"/>
  <c r="I94" i="3" s="1"/>
  <c r="N93" i="3"/>
  <c r="M93" i="3"/>
  <c r="L93" i="3"/>
  <c r="K93" i="3"/>
  <c r="I93" i="3" s="1"/>
  <c r="J93" i="3"/>
  <c r="N92" i="3"/>
  <c r="M92" i="3"/>
  <c r="L92" i="3"/>
  <c r="K92" i="3"/>
  <c r="J92" i="3"/>
  <c r="I92" i="3" s="1"/>
  <c r="N91" i="3"/>
  <c r="M91" i="3"/>
  <c r="L91" i="3"/>
  <c r="K91" i="3"/>
  <c r="I91" i="3" s="1"/>
  <c r="J91" i="3"/>
  <c r="N90" i="3"/>
  <c r="M90" i="3"/>
  <c r="L90" i="3"/>
  <c r="K90" i="3"/>
  <c r="J90" i="3"/>
  <c r="I90" i="3" s="1"/>
  <c r="N89" i="3"/>
  <c r="M89" i="3"/>
  <c r="L89" i="3"/>
  <c r="J89" i="3"/>
  <c r="L88" i="3"/>
  <c r="K88" i="3"/>
  <c r="J88" i="3"/>
  <c r="L87" i="3"/>
  <c r="K87" i="3"/>
  <c r="J87" i="3"/>
  <c r="L86" i="3"/>
  <c r="K86" i="3"/>
  <c r="J86" i="3"/>
  <c r="L85" i="3"/>
  <c r="K85" i="3"/>
  <c r="J85" i="3"/>
  <c r="L84" i="3"/>
  <c r="K84" i="3"/>
  <c r="J84" i="3"/>
  <c r="L83" i="3"/>
  <c r="K83" i="3"/>
  <c r="J83" i="3"/>
  <c r="L82" i="3"/>
  <c r="K82" i="3"/>
  <c r="J82" i="3"/>
  <c r="L81" i="3"/>
  <c r="K81" i="3"/>
  <c r="J81" i="3"/>
  <c r="N80" i="3"/>
  <c r="M80" i="3"/>
  <c r="L80" i="3"/>
  <c r="K80" i="3"/>
  <c r="I80" i="3" s="1"/>
  <c r="J80" i="3"/>
  <c r="N79" i="3"/>
  <c r="M79" i="3"/>
  <c r="L79" i="3"/>
  <c r="K79" i="3"/>
  <c r="J79" i="3"/>
  <c r="I79" i="3"/>
  <c r="N78" i="3"/>
  <c r="M78" i="3"/>
  <c r="L78" i="3"/>
  <c r="J78" i="3"/>
  <c r="L77" i="3"/>
  <c r="K77" i="3"/>
  <c r="J77" i="3"/>
  <c r="J76" i="3"/>
  <c r="J75" i="3"/>
  <c r="J74" i="3"/>
  <c r="J73" i="3"/>
  <c r="J72" i="3"/>
  <c r="J71" i="3"/>
  <c r="J70" i="3"/>
  <c r="N69" i="3"/>
  <c r="M69" i="3"/>
  <c r="J69" i="3"/>
  <c r="N68" i="3"/>
  <c r="M68" i="3"/>
  <c r="J68" i="3"/>
  <c r="N67" i="3"/>
  <c r="M67" i="3"/>
  <c r="K67" i="3"/>
  <c r="J67" i="3"/>
  <c r="E67" i="3"/>
  <c r="L67" i="3" s="1"/>
  <c r="N66" i="3"/>
  <c r="M66" i="3"/>
  <c r="L66" i="3"/>
  <c r="K66" i="3"/>
  <c r="I66" i="3" s="1"/>
  <c r="J66" i="3"/>
  <c r="N65" i="3"/>
  <c r="M65" i="3"/>
  <c r="L65" i="3"/>
  <c r="K65" i="3"/>
  <c r="J65" i="3"/>
  <c r="I65" i="3"/>
  <c r="N64" i="3"/>
  <c r="M64" i="3"/>
  <c r="L64" i="3"/>
  <c r="K64" i="3"/>
  <c r="I64" i="3" s="1"/>
  <c r="J64" i="3"/>
  <c r="N63" i="3"/>
  <c r="M63" i="3"/>
  <c r="L63" i="3"/>
  <c r="K63" i="3"/>
  <c r="J63" i="3"/>
  <c r="I63" i="3"/>
  <c r="N62" i="3"/>
  <c r="M62" i="3"/>
  <c r="L62" i="3"/>
  <c r="K62" i="3"/>
  <c r="I62" i="3" s="1"/>
  <c r="J62" i="3"/>
  <c r="N61" i="3"/>
  <c r="M61" i="3"/>
  <c r="L61" i="3"/>
  <c r="K61" i="3"/>
  <c r="J61" i="3"/>
  <c r="I61" i="3"/>
  <c r="N60" i="3"/>
  <c r="M60" i="3"/>
  <c r="L60" i="3"/>
  <c r="K60" i="3"/>
  <c r="I60" i="3" s="1"/>
  <c r="J60" i="3"/>
  <c r="K39" i="3"/>
  <c r="K38" i="3"/>
  <c r="J38" i="3" s="1"/>
  <c r="U37" i="3"/>
  <c r="T37" i="3" s="1"/>
  <c r="U36" i="3"/>
  <c r="T36" i="3" s="1"/>
  <c r="K36" i="3"/>
  <c r="J36" i="3" s="1"/>
  <c r="U35" i="3"/>
  <c r="T35" i="3" s="1"/>
  <c r="K34" i="3"/>
  <c r="J34" i="3" s="1"/>
  <c r="K25" i="3"/>
  <c r="J25" i="3" s="1"/>
  <c r="K23" i="3"/>
  <c r="J23" i="3" s="1"/>
  <c r="E12" i="3"/>
  <c r="K8" i="3" s="1"/>
  <c r="D12" i="3"/>
  <c r="K10" i="3"/>
  <c r="K9" i="3"/>
  <c r="K7" i="3"/>
  <c r="K6" i="3"/>
  <c r="L5" i="3"/>
  <c r="J5" i="3"/>
  <c r="L4" i="3"/>
  <c r="K4" i="3"/>
  <c r="J4" i="3"/>
  <c r="P3" i="3"/>
  <c r="O3" i="3"/>
  <c r="N3" i="3"/>
  <c r="M3" i="3"/>
  <c r="L3" i="3"/>
  <c r="K3" i="3"/>
  <c r="J3" i="3"/>
  <c r="K2" i="3"/>
  <c r="D1" i="3"/>
  <c r="K5" i="3" s="1"/>
  <c r="C538" i="2"/>
  <c r="C532" i="2"/>
  <c r="L524" i="2"/>
  <c r="I524" i="2"/>
  <c r="J533" i="2" s="1"/>
  <c r="C523" i="2"/>
  <c r="I522" i="2"/>
  <c r="I521" i="2"/>
  <c r="I520" i="2"/>
  <c r="AZ451" i="2" s="1"/>
  <c r="I519" i="2"/>
  <c r="C518" i="2"/>
  <c r="C516" i="2"/>
  <c r="C514" i="2"/>
  <c r="C512" i="2"/>
  <c r="C537" i="2" s="1"/>
  <c r="F533" i="2" s="1"/>
  <c r="C510" i="2"/>
  <c r="C527" i="2" s="1"/>
  <c r="D533" i="2" s="1"/>
  <c r="C508" i="2"/>
  <c r="C525" i="2" s="1"/>
  <c r="P507" i="2"/>
  <c r="J507" i="2"/>
  <c r="I507" i="2"/>
  <c r="AK503" i="2"/>
  <c r="AK504" i="2" s="1"/>
  <c r="AK501" i="2"/>
  <c r="AK502" i="2" s="1"/>
  <c r="AK498" i="2"/>
  <c r="AB498" i="2"/>
  <c r="AA498" i="2"/>
  <c r="X498" i="2"/>
  <c r="X497" i="2"/>
  <c r="X500" i="2" s="1"/>
  <c r="X501" i="2" s="1"/>
  <c r="S496" i="2"/>
  <c r="AK495" i="2"/>
  <c r="AK496" i="2" s="1"/>
  <c r="S495" i="2"/>
  <c r="S494" i="2"/>
  <c r="U493" i="2"/>
  <c r="S493" i="2"/>
  <c r="U492" i="2"/>
  <c r="S492" i="2"/>
  <c r="U491" i="2"/>
  <c r="S491" i="2"/>
  <c r="Q491" i="2"/>
  <c r="Q492" i="2" s="1"/>
  <c r="AK490" i="2"/>
  <c r="AK493" i="2" s="1"/>
  <c r="AK494" i="2" s="1"/>
  <c r="AE490" i="2"/>
  <c r="AE493" i="2" s="1"/>
  <c r="AE494" i="2" s="1"/>
  <c r="J490" i="2"/>
  <c r="J491" i="2" s="1"/>
  <c r="X489" i="2"/>
  <c r="X494" i="2" s="1"/>
  <c r="X495" i="2" s="1"/>
  <c r="T489" i="2"/>
  <c r="S489" i="2"/>
  <c r="J489" i="2"/>
  <c r="D489" i="2"/>
  <c r="Q488" i="2"/>
  <c r="Q493" i="2" s="1"/>
  <c r="Q494" i="2" s="1"/>
  <c r="J488" i="2"/>
  <c r="D488" i="2"/>
  <c r="D487" i="2"/>
  <c r="X486" i="2"/>
  <c r="X487" i="2" s="1"/>
  <c r="D486" i="2"/>
  <c r="J485" i="2"/>
  <c r="D485" i="2"/>
  <c r="Q484" i="2"/>
  <c r="Q485" i="2" s="1"/>
  <c r="D484" i="2"/>
  <c r="D483" i="2"/>
  <c r="AK482" i="2"/>
  <c r="AK485" i="2" s="1"/>
  <c r="AK486" i="2" s="1"/>
  <c r="D482" i="2"/>
  <c r="X481" i="2"/>
  <c r="X484" i="2" s="1"/>
  <c r="X485" i="2" s="1"/>
  <c r="F480" i="2"/>
  <c r="D480" i="2"/>
  <c r="D481" i="2" s="1"/>
  <c r="Q479" i="2"/>
  <c r="Q482" i="2" s="1"/>
  <c r="Q483" i="2" s="1"/>
  <c r="F478" i="2"/>
  <c r="AK477" i="2"/>
  <c r="AK478" i="2" s="1"/>
  <c r="H476" i="2"/>
  <c r="H507" i="2" s="1"/>
  <c r="O507" i="2" s="1"/>
  <c r="G476" i="2"/>
  <c r="G507" i="2" s="1"/>
  <c r="N507" i="2" s="1"/>
  <c r="F476" i="2"/>
  <c r="Z498" i="2" s="1"/>
  <c r="E476" i="2"/>
  <c r="E507" i="2" s="1"/>
  <c r="L507" i="2" s="1"/>
  <c r="D476" i="2"/>
  <c r="D507" i="2" s="1"/>
  <c r="K507" i="2" s="1"/>
  <c r="AK475" i="2"/>
  <c r="AK476" i="2" s="1"/>
  <c r="K475" i="2"/>
  <c r="K480" i="2" s="1"/>
  <c r="K481" i="2" s="1"/>
  <c r="D475" i="2"/>
  <c r="D478" i="2" s="1"/>
  <c r="D479" i="2" s="1"/>
  <c r="Q473" i="2"/>
  <c r="Q474" i="2" s="1"/>
  <c r="AK472" i="2"/>
  <c r="L471" i="2"/>
  <c r="AA470" i="2"/>
  <c r="Z470" i="2"/>
  <c r="Q470" i="2"/>
  <c r="Q475" i="2" s="1"/>
  <c r="Q476" i="2" s="1"/>
  <c r="L470" i="2"/>
  <c r="X469" i="2"/>
  <c r="X472" i="2" s="1"/>
  <c r="X473" i="2" s="1"/>
  <c r="N469" i="2"/>
  <c r="L469" i="2"/>
  <c r="S468" i="2"/>
  <c r="N468" i="2"/>
  <c r="L468" i="2"/>
  <c r="X467" i="2"/>
  <c r="S467" i="2"/>
  <c r="AE466" i="2"/>
  <c r="AE467" i="2" s="1"/>
  <c r="X466" i="2"/>
  <c r="S466" i="2"/>
  <c r="M466" i="2"/>
  <c r="L466" i="2"/>
  <c r="X465" i="2"/>
  <c r="U465" i="2"/>
  <c r="S465" i="2"/>
  <c r="J465" i="2"/>
  <c r="C509" i="2" s="1"/>
  <c r="AE464" i="2"/>
  <c r="AE465" i="2" s="1"/>
  <c r="X464" i="2"/>
  <c r="U464" i="2"/>
  <c r="S464" i="2"/>
  <c r="U463" i="2"/>
  <c r="S463" i="2"/>
  <c r="AA462" i="2"/>
  <c r="Z462" i="2"/>
  <c r="AK461" i="2"/>
  <c r="AK466" i="2" s="1"/>
  <c r="AK467" i="2" s="1"/>
  <c r="AE461" i="2"/>
  <c r="X461" i="2"/>
  <c r="G524" i="2" s="1"/>
  <c r="H533" i="2" s="1"/>
  <c r="U461" i="2"/>
  <c r="T461" i="2"/>
  <c r="Q461" i="2"/>
  <c r="Q460" i="2"/>
  <c r="C511" i="2" s="1"/>
  <c r="X458" i="2"/>
  <c r="X459" i="2" s="1"/>
  <c r="X456" i="2"/>
  <c r="X457" i="2" s="1"/>
  <c r="BA455" i="2"/>
  <c r="AZ455" i="2"/>
  <c r="AA454" i="2"/>
  <c r="Z454" i="2"/>
  <c r="AZ453" i="2"/>
  <c r="X453" i="2"/>
  <c r="C513" i="2" s="1"/>
  <c r="AZ452" i="2"/>
  <c r="AK452" i="2"/>
  <c r="AK457" i="2" s="1"/>
  <c r="AK458" i="2" s="1"/>
  <c r="AZ450" i="2"/>
  <c r="B450" i="2"/>
  <c r="AZ448" i="2"/>
  <c r="N399" i="2"/>
  <c r="M399" i="2"/>
  <c r="L399" i="2"/>
  <c r="K399" i="2"/>
  <c r="J399" i="2"/>
  <c r="I399" i="2"/>
  <c r="N398" i="2"/>
  <c r="M398" i="2"/>
  <c r="L398" i="2"/>
  <c r="K398" i="2"/>
  <c r="I398" i="2" s="1"/>
  <c r="J398" i="2"/>
  <c r="N397" i="2"/>
  <c r="M397" i="2"/>
  <c r="L397" i="2"/>
  <c r="K397" i="2"/>
  <c r="J397" i="2"/>
  <c r="I397" i="2"/>
  <c r="N396" i="2"/>
  <c r="M396" i="2"/>
  <c r="L396" i="2"/>
  <c r="K396" i="2"/>
  <c r="I396" i="2" s="1"/>
  <c r="J396" i="2"/>
  <c r="N395" i="2"/>
  <c r="M395" i="2"/>
  <c r="L395" i="2"/>
  <c r="K395" i="2"/>
  <c r="J395" i="2"/>
  <c r="I395" i="2"/>
  <c r="N394" i="2"/>
  <c r="M394" i="2"/>
  <c r="L394" i="2"/>
  <c r="K394" i="2"/>
  <c r="I394" i="2" s="1"/>
  <c r="J394" i="2"/>
  <c r="N393" i="2"/>
  <c r="M393" i="2"/>
  <c r="L393" i="2"/>
  <c r="K393" i="2"/>
  <c r="J393" i="2"/>
  <c r="I393" i="2"/>
  <c r="N392" i="2"/>
  <c r="M392" i="2"/>
  <c r="L392" i="2"/>
  <c r="K392" i="2"/>
  <c r="I392" i="2" s="1"/>
  <c r="J392" i="2"/>
  <c r="N391" i="2"/>
  <c r="M391" i="2"/>
  <c r="L391" i="2"/>
  <c r="K391" i="2"/>
  <c r="J391" i="2"/>
  <c r="I391" i="2"/>
  <c r="N390" i="2"/>
  <c r="M390" i="2"/>
  <c r="L390" i="2"/>
  <c r="K390" i="2"/>
  <c r="I390" i="2" s="1"/>
  <c r="J390" i="2"/>
  <c r="N389" i="2"/>
  <c r="M389" i="2"/>
  <c r="L389" i="2"/>
  <c r="K389" i="2"/>
  <c r="J389" i="2"/>
  <c r="I389" i="2"/>
  <c r="N388" i="2"/>
  <c r="M388" i="2"/>
  <c r="L388" i="2"/>
  <c r="K388" i="2"/>
  <c r="I388" i="2" s="1"/>
  <c r="J388" i="2"/>
  <c r="N387" i="2"/>
  <c r="M387" i="2"/>
  <c r="L387" i="2"/>
  <c r="K387" i="2"/>
  <c r="J387" i="2"/>
  <c r="I387" i="2"/>
  <c r="N386" i="2"/>
  <c r="M386" i="2"/>
  <c r="L386" i="2"/>
  <c r="K386" i="2"/>
  <c r="I386" i="2" s="1"/>
  <c r="J386" i="2"/>
  <c r="N385" i="2"/>
  <c r="M385" i="2"/>
  <c r="L385" i="2"/>
  <c r="K385" i="2"/>
  <c r="J385" i="2"/>
  <c r="I385" i="2"/>
  <c r="N384" i="2"/>
  <c r="M384" i="2"/>
  <c r="L384" i="2"/>
  <c r="K384" i="2"/>
  <c r="I384" i="2" s="1"/>
  <c r="J384" i="2"/>
  <c r="N383" i="2"/>
  <c r="M383" i="2"/>
  <c r="L383" i="2"/>
  <c r="K383" i="2"/>
  <c r="J383" i="2"/>
  <c r="I383" i="2"/>
  <c r="N382" i="2"/>
  <c r="M382" i="2"/>
  <c r="L382" i="2"/>
  <c r="K382" i="2"/>
  <c r="I382" i="2" s="1"/>
  <c r="J382" i="2"/>
  <c r="N381" i="2"/>
  <c r="M381" i="2"/>
  <c r="L381" i="2"/>
  <c r="K381" i="2"/>
  <c r="J381" i="2"/>
  <c r="I381" i="2"/>
  <c r="N380" i="2"/>
  <c r="M380" i="2"/>
  <c r="L380" i="2"/>
  <c r="K380" i="2"/>
  <c r="I380" i="2" s="1"/>
  <c r="J380" i="2"/>
  <c r="N379" i="2"/>
  <c r="M379" i="2"/>
  <c r="L379" i="2"/>
  <c r="K379" i="2"/>
  <c r="J379" i="2"/>
  <c r="I379" i="2"/>
  <c r="N378" i="2"/>
  <c r="M378" i="2"/>
  <c r="L378" i="2"/>
  <c r="K378" i="2"/>
  <c r="I378" i="2" s="1"/>
  <c r="J378" i="2"/>
  <c r="N377" i="2"/>
  <c r="M377" i="2"/>
  <c r="L377" i="2"/>
  <c r="K377" i="2"/>
  <c r="J377" i="2"/>
  <c r="I377" i="2"/>
  <c r="N376" i="2"/>
  <c r="M376" i="2"/>
  <c r="L376" i="2"/>
  <c r="K376" i="2"/>
  <c r="I376" i="2" s="1"/>
  <c r="J376" i="2"/>
  <c r="N375" i="2"/>
  <c r="M375" i="2"/>
  <c r="L375" i="2"/>
  <c r="K375" i="2"/>
  <c r="J375" i="2"/>
  <c r="I375" i="2"/>
  <c r="N374" i="2"/>
  <c r="M374" i="2"/>
  <c r="L374" i="2"/>
  <c r="K374" i="2"/>
  <c r="I374" i="2" s="1"/>
  <c r="J374" i="2"/>
  <c r="N373" i="2"/>
  <c r="M373" i="2"/>
  <c r="L373" i="2"/>
  <c r="K373" i="2"/>
  <c r="J373" i="2"/>
  <c r="I373" i="2"/>
  <c r="N372" i="2"/>
  <c r="M372" i="2"/>
  <c r="L372" i="2"/>
  <c r="K372" i="2"/>
  <c r="I372" i="2" s="1"/>
  <c r="J372" i="2"/>
  <c r="N371" i="2"/>
  <c r="M371" i="2"/>
  <c r="L371" i="2"/>
  <c r="K371" i="2"/>
  <c r="J371" i="2"/>
  <c r="I371" i="2"/>
  <c r="N370" i="2"/>
  <c r="M370" i="2"/>
  <c r="L370" i="2"/>
  <c r="K370" i="2"/>
  <c r="I370" i="2" s="1"/>
  <c r="J370" i="2"/>
  <c r="N369" i="2"/>
  <c r="M369" i="2"/>
  <c r="L369" i="2"/>
  <c r="K369" i="2"/>
  <c r="J369" i="2"/>
  <c r="I369" i="2"/>
  <c r="N368" i="2"/>
  <c r="M368" i="2"/>
  <c r="L368" i="2"/>
  <c r="K368" i="2"/>
  <c r="I368" i="2" s="1"/>
  <c r="J368" i="2"/>
  <c r="N367" i="2"/>
  <c r="M367" i="2"/>
  <c r="L367" i="2"/>
  <c r="K367" i="2"/>
  <c r="J367" i="2"/>
  <c r="I367" i="2"/>
  <c r="N366" i="2"/>
  <c r="M366" i="2"/>
  <c r="L366" i="2"/>
  <c r="K366" i="2"/>
  <c r="I366" i="2" s="1"/>
  <c r="J366" i="2"/>
  <c r="N365" i="2"/>
  <c r="M365" i="2"/>
  <c r="L365" i="2"/>
  <c r="K365" i="2"/>
  <c r="J365" i="2"/>
  <c r="I365" i="2"/>
  <c r="N364" i="2"/>
  <c r="M364" i="2"/>
  <c r="L364" i="2"/>
  <c r="K364" i="2"/>
  <c r="I364" i="2" s="1"/>
  <c r="J364" i="2"/>
  <c r="N363" i="2"/>
  <c r="M363" i="2"/>
  <c r="L363" i="2"/>
  <c r="K363" i="2"/>
  <c r="J363" i="2"/>
  <c r="I363" i="2"/>
  <c r="N362" i="2"/>
  <c r="M362" i="2"/>
  <c r="L362" i="2"/>
  <c r="K362" i="2"/>
  <c r="I362" i="2" s="1"/>
  <c r="J362" i="2"/>
  <c r="N361" i="2"/>
  <c r="M361" i="2"/>
  <c r="L361" i="2"/>
  <c r="K361" i="2"/>
  <c r="J361" i="2"/>
  <c r="I361" i="2"/>
  <c r="V360" i="2"/>
  <c r="N360" i="2"/>
  <c r="M360" i="2"/>
  <c r="L360" i="2"/>
  <c r="K360" i="2"/>
  <c r="J360" i="2"/>
  <c r="I360" i="2"/>
  <c r="N359" i="2"/>
  <c r="M359" i="2"/>
  <c r="L359" i="2"/>
  <c r="K359" i="2"/>
  <c r="I359" i="2" s="1"/>
  <c r="J359" i="2"/>
  <c r="N358" i="2"/>
  <c r="M358" i="2"/>
  <c r="L358" i="2"/>
  <c r="K358" i="2"/>
  <c r="J358" i="2"/>
  <c r="I358" i="2" s="1"/>
  <c r="N357" i="2"/>
  <c r="M357" i="2"/>
  <c r="L357" i="2"/>
  <c r="K357" i="2"/>
  <c r="J357" i="2"/>
  <c r="I357" i="2"/>
  <c r="N356" i="2"/>
  <c r="M356" i="2"/>
  <c r="L356" i="2"/>
  <c r="K356" i="2"/>
  <c r="I356" i="2" s="1"/>
  <c r="J356" i="2"/>
  <c r="N355" i="2"/>
  <c r="M355" i="2"/>
  <c r="L355" i="2"/>
  <c r="K355" i="2"/>
  <c r="I355" i="2" s="1"/>
  <c r="J355" i="2"/>
  <c r="N354" i="2"/>
  <c r="M354" i="2"/>
  <c r="L354" i="2"/>
  <c r="K354" i="2"/>
  <c r="J354" i="2"/>
  <c r="I354" i="2" s="1"/>
  <c r="Y353" i="2"/>
  <c r="X353" i="2"/>
  <c r="W353" i="2"/>
  <c r="V353" i="2"/>
  <c r="N353" i="2"/>
  <c r="M353" i="2"/>
  <c r="L353" i="2"/>
  <c r="K353" i="2"/>
  <c r="J353" i="2"/>
  <c r="U353" i="2" s="1"/>
  <c r="I353" i="2"/>
  <c r="BE352" i="2"/>
  <c r="AE352" i="2"/>
  <c r="V352" i="2"/>
  <c r="N352" i="2"/>
  <c r="M352" i="2"/>
  <c r="L352" i="2"/>
  <c r="U352" i="2" s="1"/>
  <c r="K352" i="2"/>
  <c r="T352" i="2" s="1"/>
  <c r="J352" i="2"/>
  <c r="N351" i="2"/>
  <c r="M351" i="2"/>
  <c r="L351" i="2"/>
  <c r="K351" i="2"/>
  <c r="T351" i="2" s="1"/>
  <c r="J351" i="2"/>
  <c r="AE351" i="2" s="1"/>
  <c r="BE351" i="2" s="1"/>
  <c r="N350" i="2"/>
  <c r="M350" i="2"/>
  <c r="L350" i="2"/>
  <c r="K350" i="2"/>
  <c r="J350" i="2"/>
  <c r="AE350" i="2" s="1"/>
  <c r="BE350" i="2" s="1"/>
  <c r="AE349" i="2"/>
  <c r="BE349" i="2" s="1"/>
  <c r="W349" i="2"/>
  <c r="N349" i="2"/>
  <c r="M349" i="2"/>
  <c r="L349" i="2"/>
  <c r="U349" i="2" s="1"/>
  <c r="K349" i="2"/>
  <c r="J349" i="2"/>
  <c r="T349" i="2" s="1"/>
  <c r="I349" i="2"/>
  <c r="BG349" i="2" s="1"/>
  <c r="BE348" i="2"/>
  <c r="AE348" i="2"/>
  <c r="Y348" i="2"/>
  <c r="X348" i="2"/>
  <c r="W348" i="2"/>
  <c r="V348" i="2"/>
  <c r="N348" i="2"/>
  <c r="M348" i="2"/>
  <c r="L348" i="2"/>
  <c r="U348" i="2" s="1"/>
  <c r="K348" i="2"/>
  <c r="T348" i="2" s="1"/>
  <c r="J348" i="2"/>
  <c r="N347" i="2"/>
  <c r="M347" i="2"/>
  <c r="L347" i="2"/>
  <c r="K347" i="2"/>
  <c r="T347" i="2" s="1"/>
  <c r="J347" i="2"/>
  <c r="AE347" i="2" s="1"/>
  <c r="BE347" i="2" s="1"/>
  <c r="V346" i="2"/>
  <c r="N346" i="2"/>
  <c r="M346" i="2"/>
  <c r="L346" i="2"/>
  <c r="K346" i="2"/>
  <c r="J346" i="2"/>
  <c r="AE346" i="2" s="1"/>
  <c r="BE346" i="2" s="1"/>
  <c r="N345" i="2"/>
  <c r="M345" i="2"/>
  <c r="AE345" i="2" s="1"/>
  <c r="BE345" i="2" s="1"/>
  <c r="L345" i="2"/>
  <c r="U345" i="2" s="1"/>
  <c r="K345" i="2"/>
  <c r="J345" i="2"/>
  <c r="T345" i="2" s="1"/>
  <c r="I345" i="2"/>
  <c r="BG345" i="2" s="1"/>
  <c r="Z344" i="2"/>
  <c r="N344" i="2"/>
  <c r="M344" i="2"/>
  <c r="L344" i="2"/>
  <c r="U344" i="2" s="1"/>
  <c r="K344" i="2"/>
  <c r="T344" i="2" s="1"/>
  <c r="J344" i="2"/>
  <c r="W343" i="2"/>
  <c r="V343" i="2"/>
  <c r="N343" i="2"/>
  <c r="M343" i="2"/>
  <c r="L343" i="2"/>
  <c r="K343" i="2"/>
  <c r="T343" i="2" s="1"/>
  <c r="J343" i="2"/>
  <c r="AE343" i="2" s="1"/>
  <c r="BE343" i="2" s="1"/>
  <c r="N342" i="2"/>
  <c r="M342" i="2"/>
  <c r="L342" i="2"/>
  <c r="K342" i="2"/>
  <c r="J342" i="2"/>
  <c r="AE342" i="2" s="1"/>
  <c r="BE342" i="2" s="1"/>
  <c r="N341" i="2"/>
  <c r="M341" i="2"/>
  <c r="AE341" i="2" s="1"/>
  <c r="BE341" i="2" s="1"/>
  <c r="L341" i="2"/>
  <c r="U341" i="2" s="1"/>
  <c r="K341" i="2"/>
  <c r="J341" i="2"/>
  <c r="T341" i="2" s="1"/>
  <c r="I341" i="2"/>
  <c r="BG341" i="2" s="1"/>
  <c r="N340" i="2"/>
  <c r="M340" i="2"/>
  <c r="L340" i="2"/>
  <c r="U340" i="2" s="1"/>
  <c r="K340" i="2"/>
  <c r="T340" i="2" s="1"/>
  <c r="J340" i="2"/>
  <c r="N339" i="2"/>
  <c r="M339" i="2"/>
  <c r="L339" i="2"/>
  <c r="K339" i="2"/>
  <c r="T339" i="2" s="1"/>
  <c r="J339" i="2"/>
  <c r="AE339" i="2" s="1"/>
  <c r="BE339" i="2" s="1"/>
  <c r="Z338" i="2"/>
  <c r="Y338" i="2"/>
  <c r="X338" i="2"/>
  <c r="W338" i="2"/>
  <c r="AA338" i="2" s="1"/>
  <c r="V338" i="2"/>
  <c r="N338" i="2"/>
  <c r="M338" i="2"/>
  <c r="L338" i="2"/>
  <c r="K338" i="2"/>
  <c r="J338" i="2"/>
  <c r="AE338" i="2" s="1"/>
  <c r="BE338" i="2" s="1"/>
  <c r="N337" i="2"/>
  <c r="M337" i="2"/>
  <c r="AE337" i="2" s="1"/>
  <c r="BE337" i="2" s="1"/>
  <c r="L337" i="2"/>
  <c r="U337" i="2" s="1"/>
  <c r="K337" i="2"/>
  <c r="J337" i="2"/>
  <c r="T337" i="2" s="1"/>
  <c r="I337" i="2"/>
  <c r="BG337" i="2" s="1"/>
  <c r="X336" i="2"/>
  <c r="N336" i="2"/>
  <c r="M336" i="2"/>
  <c r="L336" i="2"/>
  <c r="U336" i="2" s="1"/>
  <c r="K336" i="2"/>
  <c r="T336" i="2" s="1"/>
  <c r="J336" i="2"/>
  <c r="Z335" i="2"/>
  <c r="Y335" i="2"/>
  <c r="W335" i="2"/>
  <c r="V335" i="2"/>
  <c r="N335" i="2"/>
  <c r="M335" i="2"/>
  <c r="L335" i="2"/>
  <c r="K335" i="2"/>
  <c r="T335" i="2" s="1"/>
  <c r="J335" i="2"/>
  <c r="AE335" i="2" s="1"/>
  <c r="BE335" i="2" s="1"/>
  <c r="N334" i="2"/>
  <c r="M334" i="2"/>
  <c r="L334" i="2"/>
  <c r="K334" i="2"/>
  <c r="J334" i="2"/>
  <c r="AE334" i="2" s="1"/>
  <c r="BE334" i="2" s="1"/>
  <c r="AE333" i="2"/>
  <c r="BE333" i="2" s="1"/>
  <c r="Y333" i="2"/>
  <c r="X333" i="2"/>
  <c r="N333" i="2"/>
  <c r="M333" i="2"/>
  <c r="L333" i="2"/>
  <c r="U333" i="2" s="1"/>
  <c r="K333" i="2"/>
  <c r="J333" i="2"/>
  <c r="T333" i="2" s="1"/>
  <c r="I333" i="2"/>
  <c r="BG333" i="2" s="1"/>
  <c r="N332" i="2"/>
  <c r="M332" i="2"/>
  <c r="L332" i="2"/>
  <c r="U332" i="2" s="1"/>
  <c r="K332" i="2"/>
  <c r="T332" i="2" s="1"/>
  <c r="J332" i="2"/>
  <c r="Z331" i="2"/>
  <c r="Y331" i="2"/>
  <c r="X331" i="2"/>
  <c r="W331" i="2"/>
  <c r="AA331" i="2" s="1"/>
  <c r="V331" i="2"/>
  <c r="N331" i="2"/>
  <c r="M331" i="2"/>
  <c r="L331" i="2"/>
  <c r="K331" i="2"/>
  <c r="T331" i="2" s="1"/>
  <c r="J331" i="2"/>
  <c r="AE331" i="2" s="1"/>
  <c r="BE331" i="2" s="1"/>
  <c r="N330" i="2"/>
  <c r="M330" i="2"/>
  <c r="L330" i="2"/>
  <c r="K330" i="2"/>
  <c r="J330" i="2"/>
  <c r="AE330" i="2" s="1"/>
  <c r="BE330" i="2" s="1"/>
  <c r="N329" i="2"/>
  <c r="M329" i="2"/>
  <c r="AE329" i="2" s="1"/>
  <c r="BE329" i="2" s="1"/>
  <c r="L329" i="2"/>
  <c r="U329" i="2" s="1"/>
  <c r="K329" i="2"/>
  <c r="J329" i="2"/>
  <c r="T329" i="2" s="1"/>
  <c r="I329" i="2"/>
  <c r="BG329" i="2" s="1"/>
  <c r="BG328" i="2"/>
  <c r="U328" i="2"/>
  <c r="Y328" i="2" s="1"/>
  <c r="T328" i="2"/>
  <c r="X328" i="2" s="1"/>
  <c r="P328" i="2"/>
  <c r="AE327" i="2"/>
  <c r="BE327" i="2" s="1"/>
  <c r="Z327" i="2"/>
  <c r="Y327" i="2"/>
  <c r="X327" i="2"/>
  <c r="W327" i="2"/>
  <c r="V327" i="2"/>
  <c r="AA327" i="2" s="1"/>
  <c r="N327" i="2"/>
  <c r="M327" i="2"/>
  <c r="L327" i="2"/>
  <c r="U327" i="2" s="1"/>
  <c r="K327" i="2"/>
  <c r="J327" i="2"/>
  <c r="T327" i="2" s="1"/>
  <c r="I327" i="2"/>
  <c r="BG327" i="2" s="1"/>
  <c r="N326" i="2"/>
  <c r="M326" i="2"/>
  <c r="L326" i="2"/>
  <c r="U326" i="2" s="1"/>
  <c r="K326" i="2"/>
  <c r="T326" i="2" s="1"/>
  <c r="J326" i="2"/>
  <c r="V325" i="2"/>
  <c r="N325" i="2"/>
  <c r="M325" i="2"/>
  <c r="L325" i="2"/>
  <c r="K325" i="2"/>
  <c r="T325" i="2" s="1"/>
  <c r="J325" i="2"/>
  <c r="AE325" i="2" s="1"/>
  <c r="BE325" i="2" s="1"/>
  <c r="N324" i="2"/>
  <c r="M324" i="2"/>
  <c r="L324" i="2"/>
  <c r="K324" i="2"/>
  <c r="J324" i="2"/>
  <c r="AE324" i="2" s="1"/>
  <c r="BE324" i="2" s="1"/>
  <c r="AE323" i="2"/>
  <c r="BE323" i="2" s="1"/>
  <c r="X323" i="2"/>
  <c r="W323" i="2"/>
  <c r="V323" i="2"/>
  <c r="N323" i="2"/>
  <c r="M323" i="2"/>
  <c r="Y323" i="2" s="1"/>
  <c r="L323" i="2"/>
  <c r="U323" i="2" s="1"/>
  <c r="K323" i="2"/>
  <c r="J323" i="2"/>
  <c r="T323" i="2" s="1"/>
  <c r="I323" i="2"/>
  <c r="BG323" i="2" s="1"/>
  <c r="BE322" i="2"/>
  <c r="AE322" i="2"/>
  <c r="X322" i="2"/>
  <c r="W322" i="2"/>
  <c r="V322" i="2"/>
  <c r="N322" i="2"/>
  <c r="M322" i="2"/>
  <c r="L322" i="2"/>
  <c r="U322" i="2" s="1"/>
  <c r="K322" i="2"/>
  <c r="T322" i="2" s="1"/>
  <c r="J322" i="2"/>
  <c r="Z321" i="2"/>
  <c r="Y321" i="2"/>
  <c r="N321" i="2"/>
  <c r="M321" i="2"/>
  <c r="L321" i="2"/>
  <c r="K321" i="2"/>
  <c r="T321" i="2" s="1"/>
  <c r="J321" i="2"/>
  <c r="AE321" i="2" s="1"/>
  <c r="BE321" i="2" s="1"/>
  <c r="Z320" i="2"/>
  <c r="Y320" i="2"/>
  <c r="X320" i="2"/>
  <c r="N320" i="2"/>
  <c r="M320" i="2"/>
  <c r="L320" i="2"/>
  <c r="K320" i="2"/>
  <c r="J320" i="2"/>
  <c r="AE320" i="2" s="1"/>
  <c r="BE320" i="2" s="1"/>
  <c r="Z319" i="2"/>
  <c r="Y319" i="2"/>
  <c r="N319" i="2"/>
  <c r="M319" i="2"/>
  <c r="AE319" i="2" s="1"/>
  <c r="BE319" i="2" s="1"/>
  <c r="L319" i="2"/>
  <c r="U319" i="2" s="1"/>
  <c r="K319" i="2"/>
  <c r="J319" i="2"/>
  <c r="T319" i="2" s="1"/>
  <c r="I319" i="2"/>
  <c r="BG319" i="2" s="1"/>
  <c r="N318" i="2"/>
  <c r="M318" i="2"/>
  <c r="L318" i="2"/>
  <c r="U318" i="2" s="1"/>
  <c r="K318" i="2"/>
  <c r="T318" i="2" s="1"/>
  <c r="J318" i="2"/>
  <c r="N317" i="2"/>
  <c r="M317" i="2"/>
  <c r="L317" i="2"/>
  <c r="K317" i="2"/>
  <c r="T317" i="2" s="1"/>
  <c r="J317" i="2"/>
  <c r="AE317" i="2" s="1"/>
  <c r="BE317" i="2" s="1"/>
  <c r="N316" i="2"/>
  <c r="M316" i="2"/>
  <c r="L316" i="2"/>
  <c r="K316" i="2"/>
  <c r="J316" i="2"/>
  <c r="AE316" i="2" s="1"/>
  <c r="BE316" i="2" s="1"/>
  <c r="AE315" i="2"/>
  <c r="BE315" i="2" s="1"/>
  <c r="V315" i="2"/>
  <c r="N315" i="2"/>
  <c r="M315" i="2"/>
  <c r="Y315" i="2" s="1"/>
  <c r="L315" i="2"/>
  <c r="U315" i="2" s="1"/>
  <c r="K315" i="2"/>
  <c r="J315" i="2"/>
  <c r="T315" i="2" s="1"/>
  <c r="I315" i="2"/>
  <c r="BG315" i="2" s="1"/>
  <c r="BE314" i="2"/>
  <c r="AE314" i="2"/>
  <c r="Z314" i="2"/>
  <c r="Y314" i="2"/>
  <c r="X314" i="2"/>
  <c r="W314" i="2"/>
  <c r="V314" i="2"/>
  <c r="AA314" i="2" s="1"/>
  <c r="N314" i="2"/>
  <c r="M314" i="2"/>
  <c r="L314" i="2"/>
  <c r="U314" i="2" s="1"/>
  <c r="K314" i="2"/>
  <c r="T314" i="2" s="1"/>
  <c r="J314" i="2"/>
  <c r="N313" i="2"/>
  <c r="M313" i="2"/>
  <c r="L313" i="2"/>
  <c r="K313" i="2"/>
  <c r="T313" i="2" s="1"/>
  <c r="J313" i="2"/>
  <c r="AE313" i="2" s="1"/>
  <c r="BE313" i="2" s="1"/>
  <c r="N312" i="2"/>
  <c r="M312" i="2"/>
  <c r="L312" i="2"/>
  <c r="K312" i="2"/>
  <c r="J312" i="2"/>
  <c r="AE312" i="2" s="1"/>
  <c r="BE312" i="2" s="1"/>
  <c r="BG311" i="2"/>
  <c r="Z311" i="2"/>
  <c r="V311" i="2"/>
  <c r="U311" i="2"/>
  <c r="Y311" i="2" s="1"/>
  <c r="T311" i="2"/>
  <c r="X311" i="2" s="1"/>
  <c r="P311" i="2"/>
  <c r="Z310" i="2"/>
  <c r="Y310" i="2"/>
  <c r="X310" i="2"/>
  <c r="W310" i="2"/>
  <c r="AA310" i="2" s="1"/>
  <c r="V310" i="2"/>
  <c r="N310" i="2"/>
  <c r="M310" i="2"/>
  <c r="L310" i="2"/>
  <c r="K310" i="2"/>
  <c r="J310" i="2"/>
  <c r="AE310" i="2" s="1"/>
  <c r="BE310" i="2" s="1"/>
  <c r="N309" i="2"/>
  <c r="M309" i="2"/>
  <c r="AE309" i="2" s="1"/>
  <c r="BE309" i="2" s="1"/>
  <c r="L309" i="2"/>
  <c r="U309" i="2" s="1"/>
  <c r="K309" i="2"/>
  <c r="J309" i="2"/>
  <c r="T309" i="2" s="1"/>
  <c r="I309" i="2"/>
  <c r="BG309" i="2" s="1"/>
  <c r="BE308" i="2"/>
  <c r="AE308" i="2"/>
  <c r="V308" i="2"/>
  <c r="N308" i="2"/>
  <c r="M308" i="2"/>
  <c r="L308" i="2"/>
  <c r="U308" i="2" s="1"/>
  <c r="K308" i="2"/>
  <c r="T308" i="2" s="1"/>
  <c r="J308" i="2"/>
  <c r="N307" i="2"/>
  <c r="M307" i="2"/>
  <c r="L307" i="2"/>
  <c r="K307" i="2"/>
  <c r="T307" i="2" s="1"/>
  <c r="J307" i="2"/>
  <c r="AE307" i="2" s="1"/>
  <c r="BE307" i="2" s="1"/>
  <c r="N306" i="2"/>
  <c r="M306" i="2"/>
  <c r="L306" i="2"/>
  <c r="K306" i="2"/>
  <c r="J306" i="2"/>
  <c r="AE306" i="2" s="1"/>
  <c r="BE306" i="2" s="1"/>
  <c r="AE305" i="2"/>
  <c r="BE305" i="2" s="1"/>
  <c r="V305" i="2"/>
  <c r="N305" i="2"/>
  <c r="M305" i="2"/>
  <c r="Y305" i="2" s="1"/>
  <c r="L305" i="2"/>
  <c r="U305" i="2" s="1"/>
  <c r="K305" i="2"/>
  <c r="J305" i="2"/>
  <c r="T305" i="2" s="1"/>
  <c r="I305" i="2"/>
  <c r="BG305" i="2" s="1"/>
  <c r="N304" i="2"/>
  <c r="M304" i="2"/>
  <c r="L304" i="2"/>
  <c r="U304" i="2" s="1"/>
  <c r="K304" i="2"/>
  <c r="T304" i="2" s="1"/>
  <c r="J304" i="2"/>
  <c r="N303" i="2"/>
  <c r="M303" i="2"/>
  <c r="L303" i="2"/>
  <c r="K303" i="2"/>
  <c r="T303" i="2" s="1"/>
  <c r="J303" i="2"/>
  <c r="AE303" i="2" s="1"/>
  <c r="BE303" i="2" s="1"/>
  <c r="Z302" i="2"/>
  <c r="Y302" i="2"/>
  <c r="X302" i="2"/>
  <c r="W302" i="2"/>
  <c r="AA302" i="2" s="1"/>
  <c r="V302" i="2"/>
  <c r="N302" i="2"/>
  <c r="M302" i="2"/>
  <c r="L302" i="2"/>
  <c r="K302" i="2"/>
  <c r="J302" i="2"/>
  <c r="AE302" i="2" s="1"/>
  <c r="BE302" i="2" s="1"/>
  <c r="N301" i="2"/>
  <c r="M301" i="2"/>
  <c r="AE301" i="2" s="1"/>
  <c r="BE301" i="2" s="1"/>
  <c r="L301" i="2"/>
  <c r="U301" i="2" s="1"/>
  <c r="K301" i="2"/>
  <c r="J301" i="2"/>
  <c r="T301" i="2" s="1"/>
  <c r="I301" i="2"/>
  <c r="BG301" i="2" s="1"/>
  <c r="N300" i="2"/>
  <c r="M300" i="2"/>
  <c r="L300" i="2"/>
  <c r="U300" i="2" s="1"/>
  <c r="K300" i="2"/>
  <c r="T300" i="2" s="1"/>
  <c r="J300" i="2"/>
  <c r="Z299" i="2"/>
  <c r="Y299" i="2"/>
  <c r="X299" i="2"/>
  <c r="W299" i="2"/>
  <c r="AA299" i="2" s="1"/>
  <c r="V299" i="2"/>
  <c r="N299" i="2"/>
  <c r="M299" i="2"/>
  <c r="L299" i="2"/>
  <c r="K299" i="2"/>
  <c r="T299" i="2" s="1"/>
  <c r="J299" i="2"/>
  <c r="AE299" i="2" s="1"/>
  <c r="BE299" i="2" s="1"/>
  <c r="N298" i="2"/>
  <c r="M298" i="2"/>
  <c r="L298" i="2"/>
  <c r="K298" i="2"/>
  <c r="J298" i="2"/>
  <c r="AE298" i="2" s="1"/>
  <c r="BE298" i="2" s="1"/>
  <c r="N297" i="2"/>
  <c r="M297" i="2"/>
  <c r="AE297" i="2" s="1"/>
  <c r="BE297" i="2" s="1"/>
  <c r="L297" i="2"/>
  <c r="U297" i="2" s="1"/>
  <c r="K297" i="2"/>
  <c r="J297" i="2"/>
  <c r="T297" i="2" s="1"/>
  <c r="I297" i="2"/>
  <c r="BG297" i="2" s="1"/>
  <c r="N296" i="2"/>
  <c r="M296" i="2"/>
  <c r="L296" i="2"/>
  <c r="U296" i="2" s="1"/>
  <c r="K296" i="2"/>
  <c r="T296" i="2" s="1"/>
  <c r="J296" i="2"/>
  <c r="N295" i="2"/>
  <c r="M295" i="2"/>
  <c r="L295" i="2"/>
  <c r="K295" i="2"/>
  <c r="T295" i="2" s="1"/>
  <c r="J295" i="2"/>
  <c r="AE295" i="2" s="1"/>
  <c r="BE295" i="2" s="1"/>
  <c r="N294" i="2"/>
  <c r="M294" i="2"/>
  <c r="L294" i="2"/>
  <c r="K294" i="2"/>
  <c r="J294" i="2"/>
  <c r="AE294" i="2" s="1"/>
  <c r="BE294" i="2" s="1"/>
  <c r="AE293" i="2"/>
  <c r="BE293" i="2" s="1"/>
  <c r="V293" i="2"/>
  <c r="N293" i="2"/>
  <c r="M293" i="2"/>
  <c r="L293" i="2"/>
  <c r="U293" i="2" s="1"/>
  <c r="K293" i="2"/>
  <c r="J293" i="2"/>
  <c r="T293" i="2" s="1"/>
  <c r="I293" i="2"/>
  <c r="BG293" i="2" s="1"/>
  <c r="N292" i="2"/>
  <c r="M292" i="2"/>
  <c r="L292" i="2"/>
  <c r="U292" i="2" s="1"/>
  <c r="K292" i="2"/>
  <c r="T292" i="2" s="1"/>
  <c r="J292" i="2"/>
  <c r="N291" i="2"/>
  <c r="M291" i="2"/>
  <c r="L291" i="2"/>
  <c r="K291" i="2"/>
  <c r="T291" i="2" s="1"/>
  <c r="J291" i="2"/>
  <c r="AE291" i="2" s="1"/>
  <c r="BE291" i="2" s="1"/>
  <c r="Z290" i="2"/>
  <c r="Y290" i="2"/>
  <c r="X290" i="2"/>
  <c r="W290" i="2"/>
  <c r="AA290" i="2" s="1"/>
  <c r="V290" i="2"/>
  <c r="N290" i="2"/>
  <c r="M290" i="2"/>
  <c r="L290" i="2"/>
  <c r="K290" i="2"/>
  <c r="J290" i="2"/>
  <c r="AE290" i="2" s="1"/>
  <c r="BE290" i="2" s="1"/>
  <c r="N289" i="2"/>
  <c r="M289" i="2"/>
  <c r="AE289" i="2" s="1"/>
  <c r="BE289" i="2" s="1"/>
  <c r="L289" i="2"/>
  <c r="U289" i="2" s="1"/>
  <c r="K289" i="2"/>
  <c r="J289" i="2"/>
  <c r="T289" i="2" s="1"/>
  <c r="I289" i="2"/>
  <c r="BG289" i="2" s="1"/>
  <c r="N288" i="2"/>
  <c r="M288" i="2"/>
  <c r="L288" i="2"/>
  <c r="U288" i="2" s="1"/>
  <c r="K288" i="2"/>
  <c r="T288" i="2" s="1"/>
  <c r="J288" i="2"/>
  <c r="Z287" i="2"/>
  <c r="Y287" i="2"/>
  <c r="X287" i="2"/>
  <c r="W287" i="2"/>
  <c r="AA287" i="2" s="1"/>
  <c r="V287" i="2"/>
  <c r="N287" i="2"/>
  <c r="M287" i="2"/>
  <c r="L287" i="2"/>
  <c r="K287" i="2"/>
  <c r="T287" i="2" s="1"/>
  <c r="J287" i="2"/>
  <c r="AE287" i="2" s="1"/>
  <c r="BE287" i="2" s="1"/>
  <c r="N286" i="2"/>
  <c r="M286" i="2"/>
  <c r="L286" i="2"/>
  <c r="K286" i="2"/>
  <c r="J286" i="2"/>
  <c r="AE286" i="2" s="1"/>
  <c r="BE286" i="2" s="1"/>
  <c r="N285" i="2"/>
  <c r="M285" i="2"/>
  <c r="AE285" i="2" s="1"/>
  <c r="BE285" i="2" s="1"/>
  <c r="L285" i="2"/>
  <c r="U285" i="2" s="1"/>
  <c r="K285" i="2"/>
  <c r="J285" i="2"/>
  <c r="T285" i="2" s="1"/>
  <c r="I285" i="2"/>
  <c r="BG285" i="2" s="1"/>
  <c r="N284" i="2"/>
  <c r="M284" i="2"/>
  <c r="L284" i="2"/>
  <c r="U284" i="2" s="1"/>
  <c r="K284" i="2"/>
  <c r="T284" i="2" s="1"/>
  <c r="J284" i="2"/>
  <c r="N283" i="2"/>
  <c r="M283" i="2"/>
  <c r="L283" i="2"/>
  <c r="K283" i="2"/>
  <c r="T283" i="2" s="1"/>
  <c r="J283" i="2"/>
  <c r="AE283" i="2" s="1"/>
  <c r="BE283" i="2" s="1"/>
  <c r="Z282" i="2"/>
  <c r="Y282" i="2"/>
  <c r="X282" i="2"/>
  <c r="W282" i="2"/>
  <c r="AA282" i="2" s="1"/>
  <c r="V282" i="2"/>
  <c r="N282" i="2"/>
  <c r="M282" i="2"/>
  <c r="L282" i="2"/>
  <c r="K282" i="2"/>
  <c r="J282" i="2"/>
  <c r="AE282" i="2" s="1"/>
  <c r="BE282" i="2" s="1"/>
  <c r="AE281" i="2"/>
  <c r="BE281" i="2" s="1"/>
  <c r="Z281" i="2"/>
  <c r="Y281" i="2"/>
  <c r="X281" i="2"/>
  <c r="W281" i="2"/>
  <c r="V281" i="2"/>
  <c r="AA281" i="2" s="1"/>
  <c r="N281" i="2"/>
  <c r="M281" i="2"/>
  <c r="L281" i="2"/>
  <c r="U281" i="2" s="1"/>
  <c r="K281" i="2"/>
  <c r="J281" i="2"/>
  <c r="T281" i="2" s="1"/>
  <c r="I281" i="2"/>
  <c r="BG281" i="2" s="1"/>
  <c r="N280" i="2"/>
  <c r="M280" i="2"/>
  <c r="L280" i="2"/>
  <c r="U280" i="2" s="1"/>
  <c r="K280" i="2"/>
  <c r="T280" i="2" s="1"/>
  <c r="J280" i="2"/>
  <c r="Z279" i="2"/>
  <c r="Y279" i="2"/>
  <c r="X279" i="2"/>
  <c r="W279" i="2"/>
  <c r="AA279" i="2" s="1"/>
  <c r="V279" i="2"/>
  <c r="N279" i="2"/>
  <c r="M279" i="2"/>
  <c r="L279" i="2"/>
  <c r="K279" i="2"/>
  <c r="T279" i="2" s="1"/>
  <c r="J279" i="2"/>
  <c r="AE279" i="2" s="1"/>
  <c r="BE279" i="2" s="1"/>
  <c r="N278" i="2"/>
  <c r="M278" i="2"/>
  <c r="L278" i="2"/>
  <c r="K278" i="2"/>
  <c r="J278" i="2"/>
  <c r="AE278" i="2" s="1"/>
  <c r="BE278" i="2" s="1"/>
  <c r="N277" i="2"/>
  <c r="M277" i="2"/>
  <c r="AE277" i="2" s="1"/>
  <c r="BE277" i="2" s="1"/>
  <c r="L277" i="2"/>
  <c r="U277" i="2" s="1"/>
  <c r="K277" i="2"/>
  <c r="J277" i="2"/>
  <c r="T277" i="2" s="1"/>
  <c r="I277" i="2"/>
  <c r="BG277" i="2" s="1"/>
  <c r="N276" i="2"/>
  <c r="M276" i="2"/>
  <c r="L276" i="2"/>
  <c r="U276" i="2" s="1"/>
  <c r="K276" i="2"/>
  <c r="T276" i="2" s="1"/>
  <c r="J276" i="2"/>
  <c r="Z275" i="2"/>
  <c r="Y275" i="2"/>
  <c r="X275" i="2"/>
  <c r="W275" i="2"/>
  <c r="AA275" i="2" s="1"/>
  <c r="V275" i="2"/>
  <c r="N275" i="2"/>
  <c r="M275" i="2"/>
  <c r="L275" i="2"/>
  <c r="K275" i="2"/>
  <c r="T275" i="2" s="1"/>
  <c r="J275" i="2"/>
  <c r="AE275" i="2" s="1"/>
  <c r="BE275" i="2" s="1"/>
  <c r="Z274" i="2"/>
  <c r="Y274" i="2"/>
  <c r="X274" i="2"/>
  <c r="W274" i="2"/>
  <c r="AA274" i="2" s="1"/>
  <c r="V274" i="2"/>
  <c r="N274" i="2"/>
  <c r="M274" i="2"/>
  <c r="L274" i="2"/>
  <c r="K274" i="2"/>
  <c r="J274" i="2"/>
  <c r="AE274" i="2" s="1"/>
  <c r="BE274" i="2" s="1"/>
  <c r="AE273" i="2"/>
  <c r="BE273" i="2" s="1"/>
  <c r="Z273" i="2"/>
  <c r="Y273" i="2"/>
  <c r="X273" i="2"/>
  <c r="W273" i="2"/>
  <c r="V273" i="2"/>
  <c r="AA273" i="2" s="1"/>
  <c r="N273" i="2"/>
  <c r="M273" i="2"/>
  <c r="L273" i="2"/>
  <c r="U273" i="2" s="1"/>
  <c r="K273" i="2"/>
  <c r="J273" i="2"/>
  <c r="T273" i="2" s="1"/>
  <c r="I273" i="2"/>
  <c r="BG273" i="2" s="1"/>
  <c r="N272" i="2"/>
  <c r="M272" i="2"/>
  <c r="L272" i="2"/>
  <c r="U272" i="2" s="1"/>
  <c r="K272" i="2"/>
  <c r="T272" i="2" s="1"/>
  <c r="J272" i="2"/>
  <c r="BG271" i="2"/>
  <c r="Z271" i="2"/>
  <c r="Y271" i="2"/>
  <c r="X271" i="2"/>
  <c r="W271" i="2"/>
  <c r="AA271" i="2" s="1"/>
  <c r="V271" i="2"/>
  <c r="U271" i="2"/>
  <c r="T271" i="2"/>
  <c r="P271" i="2"/>
  <c r="N270" i="2"/>
  <c r="M270" i="2"/>
  <c r="L270" i="2"/>
  <c r="U270" i="2" s="1"/>
  <c r="K270" i="2"/>
  <c r="T270" i="2" s="1"/>
  <c r="J270" i="2"/>
  <c r="Z269" i="2"/>
  <c r="Y269" i="2"/>
  <c r="X269" i="2"/>
  <c r="W269" i="2"/>
  <c r="AA269" i="2" s="1"/>
  <c r="V269" i="2"/>
  <c r="N269" i="2"/>
  <c r="M269" i="2"/>
  <c r="L269" i="2"/>
  <c r="K269" i="2"/>
  <c r="T269" i="2" s="1"/>
  <c r="J269" i="2"/>
  <c r="AE269" i="2" s="1"/>
  <c r="BE269" i="2" s="1"/>
  <c r="W268" i="2"/>
  <c r="N268" i="2"/>
  <c r="M268" i="2"/>
  <c r="L268" i="2"/>
  <c r="K268" i="2"/>
  <c r="J268" i="2"/>
  <c r="AE268" i="2" s="1"/>
  <c r="BE268" i="2" s="1"/>
  <c r="AE267" i="2"/>
  <c r="BE267" i="2" s="1"/>
  <c r="X267" i="2"/>
  <c r="W267" i="2"/>
  <c r="V267" i="2"/>
  <c r="N267" i="2"/>
  <c r="M267" i="2"/>
  <c r="L267" i="2"/>
  <c r="U267" i="2" s="1"/>
  <c r="K267" i="2"/>
  <c r="J267" i="2"/>
  <c r="T267" i="2" s="1"/>
  <c r="Z267" i="2" s="1"/>
  <c r="I267" i="2"/>
  <c r="BG267" i="2" s="1"/>
  <c r="Y266" i="2"/>
  <c r="W266" i="2"/>
  <c r="N266" i="2"/>
  <c r="M266" i="2"/>
  <c r="L266" i="2"/>
  <c r="U266" i="2" s="1"/>
  <c r="K266" i="2"/>
  <c r="T266" i="2" s="1"/>
  <c r="J266" i="2"/>
  <c r="N265" i="2"/>
  <c r="M265" i="2"/>
  <c r="L265" i="2"/>
  <c r="K265" i="2"/>
  <c r="T265" i="2" s="1"/>
  <c r="J265" i="2"/>
  <c r="AE265" i="2" s="1"/>
  <c r="BE265" i="2" s="1"/>
  <c r="N264" i="2"/>
  <c r="M264" i="2"/>
  <c r="L264" i="2"/>
  <c r="K264" i="2"/>
  <c r="J264" i="2"/>
  <c r="AE264" i="2" s="1"/>
  <c r="BE264" i="2" s="1"/>
  <c r="AE263" i="2"/>
  <c r="BE263" i="2" s="1"/>
  <c r="Z263" i="2"/>
  <c r="Y263" i="2"/>
  <c r="X263" i="2"/>
  <c r="W263" i="2"/>
  <c r="V263" i="2"/>
  <c r="AA263" i="2" s="1"/>
  <c r="N263" i="2"/>
  <c r="M263" i="2"/>
  <c r="L263" i="2"/>
  <c r="U263" i="2" s="1"/>
  <c r="K263" i="2"/>
  <c r="J263" i="2"/>
  <c r="T263" i="2" s="1"/>
  <c r="I263" i="2"/>
  <c r="BG263" i="2" s="1"/>
  <c r="Y262" i="2"/>
  <c r="X262" i="2"/>
  <c r="N262" i="2"/>
  <c r="M262" i="2"/>
  <c r="L262" i="2"/>
  <c r="U262" i="2" s="1"/>
  <c r="K262" i="2"/>
  <c r="T262" i="2" s="1"/>
  <c r="J262" i="2"/>
  <c r="Z261" i="2"/>
  <c r="Y261" i="2"/>
  <c r="X261" i="2"/>
  <c r="W261" i="2"/>
  <c r="AA261" i="2" s="1"/>
  <c r="V261" i="2"/>
  <c r="N261" i="2"/>
  <c r="M261" i="2"/>
  <c r="L261" i="2"/>
  <c r="K261" i="2"/>
  <c r="T261" i="2" s="1"/>
  <c r="J261" i="2"/>
  <c r="AE261" i="2" s="1"/>
  <c r="BE261" i="2" s="1"/>
  <c r="X260" i="2"/>
  <c r="N260" i="2"/>
  <c r="M260" i="2"/>
  <c r="L260" i="2"/>
  <c r="K260" i="2"/>
  <c r="J260" i="2"/>
  <c r="AE260" i="2" s="1"/>
  <c r="BE260" i="2" s="1"/>
  <c r="N259" i="2"/>
  <c r="M259" i="2"/>
  <c r="AE259" i="2" s="1"/>
  <c r="BE259" i="2" s="1"/>
  <c r="L259" i="2"/>
  <c r="U259" i="2" s="1"/>
  <c r="K259" i="2"/>
  <c r="J259" i="2"/>
  <c r="T259" i="2" s="1"/>
  <c r="I259" i="2"/>
  <c r="BG259" i="2" s="1"/>
  <c r="N258" i="2"/>
  <c r="M258" i="2"/>
  <c r="L258" i="2"/>
  <c r="U258" i="2" s="1"/>
  <c r="K258" i="2"/>
  <c r="T258" i="2" s="1"/>
  <c r="J258" i="2"/>
  <c r="N257" i="2"/>
  <c r="M257" i="2"/>
  <c r="L257" i="2"/>
  <c r="K257" i="2"/>
  <c r="T257" i="2" s="1"/>
  <c r="J257" i="2"/>
  <c r="AE257" i="2" s="1"/>
  <c r="BE257" i="2" s="1"/>
  <c r="N256" i="2"/>
  <c r="M256" i="2"/>
  <c r="L256" i="2"/>
  <c r="K256" i="2"/>
  <c r="J256" i="2"/>
  <c r="AE256" i="2" s="1"/>
  <c r="BE256" i="2" s="1"/>
  <c r="AE255" i="2"/>
  <c r="BE255" i="2" s="1"/>
  <c r="X255" i="2"/>
  <c r="W255" i="2"/>
  <c r="V255" i="2"/>
  <c r="N255" i="2"/>
  <c r="M255" i="2"/>
  <c r="L255" i="2"/>
  <c r="U255" i="2" s="1"/>
  <c r="K255" i="2"/>
  <c r="J255" i="2"/>
  <c r="T255" i="2" s="1"/>
  <c r="Z255" i="2" s="1"/>
  <c r="I255" i="2"/>
  <c r="BG255" i="2" s="1"/>
  <c r="BE254" i="2"/>
  <c r="AE254" i="2"/>
  <c r="Z254" i="2"/>
  <c r="Y254" i="2"/>
  <c r="X254" i="2"/>
  <c r="W254" i="2"/>
  <c r="V254" i="2"/>
  <c r="AA254" i="2" s="1"/>
  <c r="N254" i="2"/>
  <c r="M254" i="2"/>
  <c r="L254" i="2"/>
  <c r="U254" i="2" s="1"/>
  <c r="K254" i="2"/>
  <c r="T254" i="2" s="1"/>
  <c r="J254" i="2"/>
  <c r="N253" i="2"/>
  <c r="M253" i="2"/>
  <c r="L253" i="2"/>
  <c r="K253" i="2"/>
  <c r="T253" i="2" s="1"/>
  <c r="J253" i="2"/>
  <c r="AE253" i="2" s="1"/>
  <c r="BE253" i="2" s="1"/>
  <c r="X252" i="2"/>
  <c r="W252" i="2"/>
  <c r="V252" i="2"/>
  <c r="N252" i="2"/>
  <c r="M252" i="2"/>
  <c r="L252" i="2"/>
  <c r="K252" i="2"/>
  <c r="J252" i="2"/>
  <c r="AE252" i="2" s="1"/>
  <c r="BE252" i="2" s="1"/>
  <c r="AE251" i="2"/>
  <c r="BE251" i="2" s="1"/>
  <c r="V251" i="2"/>
  <c r="N251" i="2"/>
  <c r="M251" i="2"/>
  <c r="Y251" i="2" s="1"/>
  <c r="L251" i="2"/>
  <c r="U251" i="2" s="1"/>
  <c r="K251" i="2"/>
  <c r="J251" i="2"/>
  <c r="T251" i="2" s="1"/>
  <c r="I251" i="2"/>
  <c r="BG251" i="2" s="1"/>
  <c r="N250" i="2"/>
  <c r="M250" i="2"/>
  <c r="L250" i="2"/>
  <c r="U250" i="2" s="1"/>
  <c r="K250" i="2"/>
  <c r="T250" i="2" s="1"/>
  <c r="J250" i="2"/>
  <c r="X249" i="2"/>
  <c r="N249" i="2"/>
  <c r="M249" i="2"/>
  <c r="L249" i="2"/>
  <c r="K249" i="2"/>
  <c r="T249" i="2" s="1"/>
  <c r="J249" i="2"/>
  <c r="AE249" i="2" s="1"/>
  <c r="BE249" i="2" s="1"/>
  <c r="Z248" i="2"/>
  <c r="Y248" i="2"/>
  <c r="X248" i="2"/>
  <c r="W248" i="2"/>
  <c r="AA248" i="2" s="1"/>
  <c r="V248" i="2"/>
  <c r="N248" i="2"/>
  <c r="M248" i="2"/>
  <c r="L248" i="2"/>
  <c r="K248" i="2"/>
  <c r="J248" i="2"/>
  <c r="AE248" i="2" s="1"/>
  <c r="BE248" i="2" s="1"/>
  <c r="AE247" i="2"/>
  <c r="BE247" i="2" s="1"/>
  <c r="X247" i="2"/>
  <c r="N247" i="2"/>
  <c r="M247" i="2"/>
  <c r="L247" i="2"/>
  <c r="U247" i="2" s="1"/>
  <c r="K247" i="2"/>
  <c r="J247" i="2"/>
  <c r="T247" i="2" s="1"/>
  <c r="I247" i="2"/>
  <c r="BG247" i="2" s="1"/>
  <c r="BG246" i="2"/>
  <c r="U246" i="2"/>
  <c r="Y246" i="2" s="1"/>
  <c r="T246" i="2"/>
  <c r="X246" i="2" s="1"/>
  <c r="P246" i="2"/>
  <c r="AE245" i="2"/>
  <c r="BE245" i="2" s="1"/>
  <c r="Z245" i="2"/>
  <c r="Y245" i="2"/>
  <c r="X245" i="2"/>
  <c r="W245" i="2"/>
  <c r="V245" i="2"/>
  <c r="AA245" i="2" s="1"/>
  <c r="N245" i="2"/>
  <c r="M245" i="2"/>
  <c r="L245" i="2"/>
  <c r="U245" i="2" s="1"/>
  <c r="K245" i="2"/>
  <c r="J245" i="2"/>
  <c r="T245" i="2" s="1"/>
  <c r="I245" i="2"/>
  <c r="BG245" i="2" s="1"/>
  <c r="BE244" i="2"/>
  <c r="AE244" i="2"/>
  <c r="V244" i="2"/>
  <c r="N244" i="2"/>
  <c r="M244" i="2"/>
  <c r="L244" i="2"/>
  <c r="U244" i="2" s="1"/>
  <c r="K244" i="2"/>
  <c r="T244" i="2" s="1"/>
  <c r="J244" i="2"/>
  <c r="N243" i="2"/>
  <c r="M243" i="2"/>
  <c r="L243" i="2"/>
  <c r="K243" i="2"/>
  <c r="T243" i="2" s="1"/>
  <c r="J243" i="2"/>
  <c r="AE243" i="2" s="1"/>
  <c r="BE243" i="2" s="1"/>
  <c r="N242" i="2"/>
  <c r="M242" i="2"/>
  <c r="L242" i="2"/>
  <c r="K242" i="2"/>
  <c r="J242" i="2"/>
  <c r="AE242" i="2" s="1"/>
  <c r="BE242" i="2" s="1"/>
  <c r="N241" i="2"/>
  <c r="M241" i="2"/>
  <c r="AE241" i="2" s="1"/>
  <c r="BE241" i="2" s="1"/>
  <c r="L241" i="2"/>
  <c r="U241" i="2" s="1"/>
  <c r="K241" i="2"/>
  <c r="J241" i="2"/>
  <c r="T241" i="2" s="1"/>
  <c r="I241" i="2"/>
  <c r="BG241" i="2" s="1"/>
  <c r="N240" i="2"/>
  <c r="M240" i="2"/>
  <c r="L240" i="2"/>
  <c r="U240" i="2" s="1"/>
  <c r="K240" i="2"/>
  <c r="T240" i="2" s="1"/>
  <c r="J240" i="2"/>
  <c r="N239" i="2"/>
  <c r="M239" i="2"/>
  <c r="L239" i="2"/>
  <c r="K239" i="2"/>
  <c r="T239" i="2" s="1"/>
  <c r="J239" i="2"/>
  <c r="AE239" i="2" s="1"/>
  <c r="BE239" i="2" s="1"/>
  <c r="N238" i="2"/>
  <c r="M238" i="2"/>
  <c r="L238" i="2"/>
  <c r="K238" i="2"/>
  <c r="J238" i="2"/>
  <c r="AE238" i="2" s="1"/>
  <c r="BE238" i="2" s="1"/>
  <c r="AE237" i="2"/>
  <c r="BE237" i="2" s="1"/>
  <c r="X237" i="2"/>
  <c r="W237" i="2"/>
  <c r="V237" i="2"/>
  <c r="N237" i="2"/>
  <c r="M237" i="2"/>
  <c r="L237" i="2"/>
  <c r="U237" i="2" s="1"/>
  <c r="K237" i="2"/>
  <c r="J237" i="2"/>
  <c r="T237" i="2" s="1"/>
  <c r="Z237" i="2" s="1"/>
  <c r="I237" i="2"/>
  <c r="BG237" i="2" s="1"/>
  <c r="BE236" i="2"/>
  <c r="AE236" i="2"/>
  <c r="Z236" i="2"/>
  <c r="Y236" i="2"/>
  <c r="X236" i="2"/>
  <c r="W236" i="2"/>
  <c r="V236" i="2"/>
  <c r="AA236" i="2" s="1"/>
  <c r="N236" i="2"/>
  <c r="M236" i="2"/>
  <c r="L236" i="2"/>
  <c r="U236" i="2" s="1"/>
  <c r="K236" i="2"/>
  <c r="T236" i="2" s="1"/>
  <c r="J236" i="2"/>
  <c r="Z235" i="2"/>
  <c r="Y235" i="2"/>
  <c r="X235" i="2"/>
  <c r="W235" i="2"/>
  <c r="AA235" i="2" s="1"/>
  <c r="V235" i="2"/>
  <c r="N235" i="2"/>
  <c r="M235" i="2"/>
  <c r="L235" i="2"/>
  <c r="K235" i="2"/>
  <c r="T235" i="2" s="1"/>
  <c r="J235" i="2"/>
  <c r="AE235" i="2" s="1"/>
  <c r="BE235" i="2" s="1"/>
  <c r="N234" i="2"/>
  <c r="M234" i="2"/>
  <c r="L234" i="2"/>
  <c r="K234" i="2"/>
  <c r="J234" i="2"/>
  <c r="AE234" i="2" s="1"/>
  <c r="BE234" i="2" s="1"/>
  <c r="N233" i="2"/>
  <c r="M233" i="2"/>
  <c r="AE233" i="2" s="1"/>
  <c r="BE233" i="2" s="1"/>
  <c r="L233" i="2"/>
  <c r="U233" i="2" s="1"/>
  <c r="K233" i="2"/>
  <c r="J233" i="2"/>
  <c r="T233" i="2" s="1"/>
  <c r="I233" i="2"/>
  <c r="BG233" i="2" s="1"/>
  <c r="BE232" i="2"/>
  <c r="AE232" i="2"/>
  <c r="Z232" i="2"/>
  <c r="Y232" i="2"/>
  <c r="X232" i="2"/>
  <c r="W232" i="2"/>
  <c r="V232" i="2"/>
  <c r="AA232" i="2" s="1"/>
  <c r="N232" i="2"/>
  <c r="M232" i="2"/>
  <c r="L232" i="2"/>
  <c r="U232" i="2" s="1"/>
  <c r="K232" i="2"/>
  <c r="T232" i="2" s="1"/>
  <c r="J232" i="2"/>
  <c r="N231" i="2"/>
  <c r="M231" i="2"/>
  <c r="L231" i="2"/>
  <c r="K231" i="2"/>
  <c r="T231" i="2" s="1"/>
  <c r="J231" i="2"/>
  <c r="AE231" i="2" s="1"/>
  <c r="BE231" i="2" s="1"/>
  <c r="N230" i="2"/>
  <c r="M230" i="2"/>
  <c r="L230" i="2"/>
  <c r="K230" i="2"/>
  <c r="J230" i="2"/>
  <c r="AE230" i="2" s="1"/>
  <c r="BE230" i="2" s="1"/>
  <c r="N229" i="2"/>
  <c r="M229" i="2"/>
  <c r="AE229" i="2" s="1"/>
  <c r="BE229" i="2" s="1"/>
  <c r="L229" i="2"/>
  <c r="U229" i="2" s="1"/>
  <c r="K229" i="2"/>
  <c r="J229" i="2"/>
  <c r="T229" i="2" s="1"/>
  <c r="I229" i="2"/>
  <c r="BG229" i="2" s="1"/>
  <c r="N228" i="2"/>
  <c r="M228" i="2"/>
  <c r="L228" i="2"/>
  <c r="U228" i="2" s="1"/>
  <c r="K228" i="2"/>
  <c r="T228" i="2" s="1"/>
  <c r="J228" i="2"/>
  <c r="BG227" i="2"/>
  <c r="U227" i="2"/>
  <c r="T227" i="2"/>
  <c r="X227" i="2" s="1"/>
  <c r="P227" i="2"/>
  <c r="BE226" i="2"/>
  <c r="AE226" i="2"/>
  <c r="Z226" i="2"/>
  <c r="Y226" i="2"/>
  <c r="X226" i="2"/>
  <c r="W226" i="2"/>
  <c r="V226" i="2"/>
  <c r="AA226" i="2" s="1"/>
  <c r="N226" i="2"/>
  <c r="M226" i="2"/>
  <c r="L226" i="2"/>
  <c r="U226" i="2" s="1"/>
  <c r="K226" i="2"/>
  <c r="T226" i="2" s="1"/>
  <c r="J226" i="2"/>
  <c r="N225" i="2"/>
  <c r="M225" i="2"/>
  <c r="L225" i="2"/>
  <c r="K225" i="2"/>
  <c r="T225" i="2" s="1"/>
  <c r="J225" i="2"/>
  <c r="AE225" i="2" s="1"/>
  <c r="BE225" i="2" s="1"/>
  <c r="Z224" i="2"/>
  <c r="Y224" i="2"/>
  <c r="X224" i="2"/>
  <c r="W224" i="2"/>
  <c r="AA224" i="2" s="1"/>
  <c r="V224" i="2"/>
  <c r="N224" i="2"/>
  <c r="M224" i="2"/>
  <c r="L224" i="2"/>
  <c r="K224" i="2"/>
  <c r="J224" i="2"/>
  <c r="AE224" i="2" s="1"/>
  <c r="BE224" i="2" s="1"/>
  <c r="AE223" i="2"/>
  <c r="BE223" i="2" s="1"/>
  <c r="Z223" i="2"/>
  <c r="Y223" i="2"/>
  <c r="X223" i="2"/>
  <c r="W223" i="2"/>
  <c r="V223" i="2"/>
  <c r="AA223" i="2" s="1"/>
  <c r="N223" i="2"/>
  <c r="M223" i="2"/>
  <c r="L223" i="2"/>
  <c r="U223" i="2" s="1"/>
  <c r="K223" i="2"/>
  <c r="J223" i="2"/>
  <c r="T223" i="2" s="1"/>
  <c r="I223" i="2"/>
  <c r="BG223" i="2" s="1"/>
  <c r="N222" i="2"/>
  <c r="M222" i="2"/>
  <c r="L222" i="2"/>
  <c r="U222" i="2" s="1"/>
  <c r="K222" i="2"/>
  <c r="T222" i="2" s="1"/>
  <c r="J222" i="2"/>
  <c r="Z221" i="2"/>
  <c r="Y221" i="2"/>
  <c r="X221" i="2"/>
  <c r="W221" i="2"/>
  <c r="AA221" i="2" s="1"/>
  <c r="V221" i="2"/>
  <c r="N221" i="2"/>
  <c r="M221" i="2"/>
  <c r="L221" i="2"/>
  <c r="K221" i="2"/>
  <c r="T221" i="2" s="1"/>
  <c r="J221" i="2"/>
  <c r="AE221" i="2" s="1"/>
  <c r="BE221" i="2" s="1"/>
  <c r="Z220" i="2"/>
  <c r="Y220" i="2"/>
  <c r="X220" i="2"/>
  <c r="W220" i="2"/>
  <c r="AA220" i="2" s="1"/>
  <c r="V220" i="2"/>
  <c r="N220" i="2"/>
  <c r="M220" i="2"/>
  <c r="L220" i="2"/>
  <c r="K220" i="2"/>
  <c r="J220" i="2"/>
  <c r="AE220" i="2" s="1"/>
  <c r="BE220" i="2" s="1"/>
  <c r="AE219" i="2"/>
  <c r="BE219" i="2" s="1"/>
  <c r="Z219" i="2"/>
  <c r="Y219" i="2"/>
  <c r="X219" i="2"/>
  <c r="W219" i="2"/>
  <c r="V219" i="2"/>
  <c r="AA219" i="2" s="1"/>
  <c r="N219" i="2"/>
  <c r="M219" i="2"/>
  <c r="L219" i="2"/>
  <c r="U219" i="2" s="1"/>
  <c r="K219" i="2"/>
  <c r="J219" i="2"/>
  <c r="T219" i="2" s="1"/>
  <c r="I219" i="2"/>
  <c r="BG219" i="2" s="1"/>
  <c r="N218" i="2"/>
  <c r="M218" i="2"/>
  <c r="L218" i="2"/>
  <c r="U218" i="2" s="1"/>
  <c r="K218" i="2"/>
  <c r="T218" i="2" s="1"/>
  <c r="J218" i="2"/>
  <c r="N217" i="2"/>
  <c r="M217" i="2"/>
  <c r="L217" i="2"/>
  <c r="K217" i="2"/>
  <c r="T217" i="2" s="1"/>
  <c r="J217" i="2"/>
  <c r="AE217" i="2" s="1"/>
  <c r="BE217" i="2" s="1"/>
  <c r="V216" i="2"/>
  <c r="N216" i="2"/>
  <c r="M216" i="2"/>
  <c r="L216" i="2"/>
  <c r="K216" i="2"/>
  <c r="J216" i="2"/>
  <c r="AE216" i="2" s="1"/>
  <c r="BE216" i="2" s="1"/>
  <c r="AE215" i="2"/>
  <c r="BE215" i="2" s="1"/>
  <c r="X215" i="2"/>
  <c r="W215" i="2"/>
  <c r="V215" i="2"/>
  <c r="N215" i="2"/>
  <c r="M215" i="2"/>
  <c r="L215" i="2"/>
  <c r="U215" i="2" s="1"/>
  <c r="K215" i="2"/>
  <c r="J215" i="2"/>
  <c r="T215" i="2" s="1"/>
  <c r="Z215" i="2" s="1"/>
  <c r="I215" i="2"/>
  <c r="BG215" i="2" s="1"/>
  <c r="N214" i="2"/>
  <c r="M214" i="2"/>
  <c r="L214" i="2"/>
  <c r="U214" i="2" s="1"/>
  <c r="K214" i="2"/>
  <c r="T214" i="2" s="1"/>
  <c r="J214" i="2"/>
  <c r="N213" i="2"/>
  <c r="M213" i="2"/>
  <c r="L213" i="2"/>
  <c r="K213" i="2"/>
  <c r="T213" i="2" s="1"/>
  <c r="J213" i="2"/>
  <c r="AE213" i="2" s="1"/>
  <c r="BE213" i="2" s="1"/>
  <c r="N212" i="2"/>
  <c r="M212" i="2"/>
  <c r="L212" i="2"/>
  <c r="K212" i="2"/>
  <c r="J212" i="2"/>
  <c r="AE212" i="2" s="1"/>
  <c r="BE212" i="2" s="1"/>
  <c r="N211" i="2"/>
  <c r="M211" i="2"/>
  <c r="AE211" i="2" s="1"/>
  <c r="BE211" i="2" s="1"/>
  <c r="L211" i="2"/>
  <c r="U211" i="2" s="1"/>
  <c r="K211" i="2"/>
  <c r="J211" i="2"/>
  <c r="T211" i="2" s="1"/>
  <c r="I211" i="2"/>
  <c r="BG211" i="2" s="1"/>
  <c r="N210" i="2"/>
  <c r="M210" i="2"/>
  <c r="L210" i="2"/>
  <c r="U210" i="2" s="1"/>
  <c r="K210" i="2"/>
  <c r="T210" i="2" s="1"/>
  <c r="J210" i="2"/>
  <c r="V209" i="2"/>
  <c r="N209" i="2"/>
  <c r="M209" i="2"/>
  <c r="L209" i="2"/>
  <c r="K209" i="2"/>
  <c r="T209" i="2" s="1"/>
  <c r="J209" i="2"/>
  <c r="AE209" i="2" s="1"/>
  <c r="BE209" i="2" s="1"/>
  <c r="N208" i="2"/>
  <c r="M208" i="2"/>
  <c r="L208" i="2"/>
  <c r="K208" i="2"/>
  <c r="J208" i="2"/>
  <c r="AE208" i="2" s="1"/>
  <c r="BE208" i="2" s="1"/>
  <c r="N207" i="2"/>
  <c r="M207" i="2"/>
  <c r="AE207" i="2" s="1"/>
  <c r="BE207" i="2" s="1"/>
  <c r="L207" i="2"/>
  <c r="U207" i="2" s="1"/>
  <c r="K207" i="2"/>
  <c r="J207" i="2"/>
  <c r="T207" i="2" s="1"/>
  <c r="I207" i="2"/>
  <c r="BG207" i="2" s="1"/>
  <c r="N206" i="2"/>
  <c r="M206" i="2"/>
  <c r="L206" i="2"/>
  <c r="U206" i="2" s="1"/>
  <c r="K206" i="2"/>
  <c r="T206" i="2" s="1"/>
  <c r="J206" i="2"/>
  <c r="BG205" i="2"/>
  <c r="U205" i="2"/>
  <c r="T205" i="2"/>
  <c r="X205" i="2" s="1"/>
  <c r="P205" i="2"/>
  <c r="BE204" i="2"/>
  <c r="AE204" i="2"/>
  <c r="Z204" i="2"/>
  <c r="Y204" i="2"/>
  <c r="X204" i="2"/>
  <c r="W204" i="2"/>
  <c r="V204" i="2"/>
  <c r="AA204" i="2" s="1"/>
  <c r="N204" i="2"/>
  <c r="M204" i="2"/>
  <c r="L204" i="2"/>
  <c r="U204" i="2" s="1"/>
  <c r="K204" i="2"/>
  <c r="T204" i="2" s="1"/>
  <c r="J204" i="2"/>
  <c r="Y203" i="2"/>
  <c r="X203" i="2"/>
  <c r="W203" i="2"/>
  <c r="V203" i="2"/>
  <c r="N203" i="2"/>
  <c r="M203" i="2"/>
  <c r="L203" i="2"/>
  <c r="K203" i="2"/>
  <c r="T203" i="2" s="1"/>
  <c r="J203" i="2"/>
  <c r="AE203" i="2" s="1"/>
  <c r="BE203" i="2" s="1"/>
  <c r="V202" i="2"/>
  <c r="N202" i="2"/>
  <c r="M202" i="2"/>
  <c r="L202" i="2"/>
  <c r="K202" i="2"/>
  <c r="J202" i="2"/>
  <c r="AE202" i="2" s="1"/>
  <c r="BE202" i="2" s="1"/>
  <c r="N201" i="2"/>
  <c r="M201" i="2"/>
  <c r="AE201" i="2" s="1"/>
  <c r="BE201" i="2" s="1"/>
  <c r="L201" i="2"/>
  <c r="U201" i="2" s="1"/>
  <c r="K201" i="2"/>
  <c r="J201" i="2"/>
  <c r="T201" i="2" s="1"/>
  <c r="I201" i="2"/>
  <c r="BG201" i="2" s="1"/>
  <c r="N200" i="2"/>
  <c r="M200" i="2"/>
  <c r="L200" i="2"/>
  <c r="U200" i="2" s="1"/>
  <c r="K200" i="2"/>
  <c r="T200" i="2" s="1"/>
  <c r="J200" i="2"/>
  <c r="V199" i="2"/>
  <c r="N199" i="2"/>
  <c r="M199" i="2"/>
  <c r="L199" i="2"/>
  <c r="K199" i="2"/>
  <c r="T199" i="2" s="1"/>
  <c r="J199" i="2"/>
  <c r="AE199" i="2" s="1"/>
  <c r="BE199" i="2" s="1"/>
  <c r="N198" i="2"/>
  <c r="M198" i="2"/>
  <c r="L198" i="2"/>
  <c r="K198" i="2"/>
  <c r="J198" i="2"/>
  <c r="AE198" i="2" s="1"/>
  <c r="BE198" i="2" s="1"/>
  <c r="N197" i="2"/>
  <c r="M197" i="2"/>
  <c r="AE197" i="2" s="1"/>
  <c r="BE197" i="2" s="1"/>
  <c r="L197" i="2"/>
  <c r="U197" i="2" s="1"/>
  <c r="K197" i="2"/>
  <c r="J197" i="2"/>
  <c r="T197" i="2" s="1"/>
  <c r="I197" i="2"/>
  <c r="BG197" i="2" s="1"/>
  <c r="BE196" i="2"/>
  <c r="AE196" i="2"/>
  <c r="V196" i="2"/>
  <c r="N196" i="2"/>
  <c r="M196" i="2"/>
  <c r="L196" i="2"/>
  <c r="U196" i="2" s="1"/>
  <c r="K196" i="2"/>
  <c r="T196" i="2" s="1"/>
  <c r="J196" i="2"/>
  <c r="N195" i="2"/>
  <c r="M195" i="2"/>
  <c r="L195" i="2"/>
  <c r="K195" i="2"/>
  <c r="T195" i="2" s="1"/>
  <c r="J195" i="2"/>
  <c r="AE195" i="2" s="1"/>
  <c r="BE195" i="2" s="1"/>
  <c r="N194" i="2"/>
  <c r="M194" i="2"/>
  <c r="L194" i="2"/>
  <c r="K194" i="2"/>
  <c r="J194" i="2"/>
  <c r="AE194" i="2" s="1"/>
  <c r="BE194" i="2" s="1"/>
  <c r="AE193" i="2"/>
  <c r="BE193" i="2" s="1"/>
  <c r="Z193" i="2"/>
  <c r="Y193" i="2"/>
  <c r="X193" i="2"/>
  <c r="W193" i="2"/>
  <c r="V193" i="2"/>
  <c r="AA193" i="2" s="1"/>
  <c r="N193" i="2"/>
  <c r="M193" i="2"/>
  <c r="L193" i="2"/>
  <c r="U193" i="2" s="1"/>
  <c r="K193" i="2"/>
  <c r="J193" i="2"/>
  <c r="T193" i="2" s="1"/>
  <c r="I193" i="2"/>
  <c r="BG193" i="2" s="1"/>
  <c r="N192" i="2"/>
  <c r="M192" i="2"/>
  <c r="L192" i="2"/>
  <c r="U192" i="2" s="1"/>
  <c r="K192" i="2"/>
  <c r="T192" i="2" s="1"/>
  <c r="J192" i="2"/>
  <c r="Z191" i="2"/>
  <c r="Y191" i="2"/>
  <c r="X191" i="2"/>
  <c r="W191" i="2"/>
  <c r="AA191" i="2" s="1"/>
  <c r="V191" i="2"/>
  <c r="N191" i="2"/>
  <c r="M191" i="2"/>
  <c r="L191" i="2"/>
  <c r="K191" i="2"/>
  <c r="T191" i="2" s="1"/>
  <c r="J191" i="2"/>
  <c r="AE191" i="2" s="1"/>
  <c r="BE191" i="2" s="1"/>
  <c r="Z190" i="2"/>
  <c r="Y190" i="2"/>
  <c r="X190" i="2"/>
  <c r="W190" i="2"/>
  <c r="AA190" i="2" s="1"/>
  <c r="V190" i="2"/>
  <c r="N190" i="2"/>
  <c r="M190" i="2"/>
  <c r="L190" i="2"/>
  <c r="K190" i="2"/>
  <c r="J190" i="2"/>
  <c r="AF190" i="2" s="1"/>
  <c r="BH190" i="2" s="1"/>
  <c r="AE189" i="2"/>
  <c r="BE189" i="2" s="1"/>
  <c r="Z189" i="2"/>
  <c r="Y189" i="2"/>
  <c r="X189" i="2"/>
  <c r="W189" i="2"/>
  <c r="V189" i="2"/>
  <c r="AA189" i="2" s="1"/>
  <c r="N189" i="2"/>
  <c r="M189" i="2"/>
  <c r="L189" i="2"/>
  <c r="U189" i="2" s="1"/>
  <c r="K189" i="2"/>
  <c r="J189" i="2"/>
  <c r="T189" i="2" s="1"/>
  <c r="I189" i="2"/>
  <c r="BG189" i="2" s="1"/>
  <c r="BE188" i="2"/>
  <c r="AE188" i="2"/>
  <c r="Z188" i="2"/>
  <c r="Y188" i="2"/>
  <c r="X188" i="2"/>
  <c r="W188" i="2"/>
  <c r="V188" i="2"/>
  <c r="AA188" i="2" s="1"/>
  <c r="N188" i="2"/>
  <c r="M188" i="2"/>
  <c r="L188" i="2"/>
  <c r="U188" i="2" s="1"/>
  <c r="K188" i="2"/>
  <c r="T188" i="2" s="1"/>
  <c r="J188" i="2"/>
  <c r="Y187" i="2"/>
  <c r="X187" i="2"/>
  <c r="W187" i="2"/>
  <c r="V187" i="2"/>
  <c r="N187" i="2"/>
  <c r="M187" i="2"/>
  <c r="L187" i="2"/>
  <c r="K187" i="2"/>
  <c r="T187" i="2" s="1"/>
  <c r="J187" i="2"/>
  <c r="AE187" i="2" s="1"/>
  <c r="BE187" i="2" s="1"/>
  <c r="V186" i="2"/>
  <c r="N186" i="2"/>
  <c r="M186" i="2"/>
  <c r="L186" i="2"/>
  <c r="K186" i="2"/>
  <c r="J186" i="2"/>
  <c r="AF186" i="2" s="1"/>
  <c r="BH186" i="2" s="1"/>
  <c r="N185" i="2"/>
  <c r="M185" i="2"/>
  <c r="AE185" i="2" s="1"/>
  <c r="BE185" i="2" s="1"/>
  <c r="L185" i="2"/>
  <c r="U185" i="2" s="1"/>
  <c r="K185" i="2"/>
  <c r="J185" i="2"/>
  <c r="T185" i="2" s="1"/>
  <c r="I185" i="2"/>
  <c r="BG185" i="2" s="1"/>
  <c r="BE184" i="2"/>
  <c r="AE184" i="2"/>
  <c r="Z184" i="2"/>
  <c r="Y184" i="2"/>
  <c r="X184" i="2"/>
  <c r="W184" i="2"/>
  <c r="V184" i="2"/>
  <c r="AA184" i="2" s="1"/>
  <c r="N184" i="2"/>
  <c r="M184" i="2"/>
  <c r="L184" i="2"/>
  <c r="U184" i="2" s="1"/>
  <c r="K184" i="2"/>
  <c r="T184" i="2" s="1"/>
  <c r="J184" i="2"/>
  <c r="N183" i="2"/>
  <c r="M183" i="2"/>
  <c r="L183" i="2"/>
  <c r="K183" i="2"/>
  <c r="T183" i="2" s="1"/>
  <c r="J183" i="2"/>
  <c r="AE183" i="2" s="1"/>
  <c r="BE183" i="2" s="1"/>
  <c r="Z182" i="2"/>
  <c r="Y182" i="2"/>
  <c r="X182" i="2"/>
  <c r="W182" i="2"/>
  <c r="AA182" i="2" s="1"/>
  <c r="V182" i="2"/>
  <c r="N182" i="2"/>
  <c r="M182" i="2"/>
  <c r="L182" i="2"/>
  <c r="K182" i="2"/>
  <c r="J182" i="2"/>
  <c r="AF182" i="2" s="1"/>
  <c r="BH182" i="2" s="1"/>
  <c r="AE181" i="2"/>
  <c r="BE181" i="2" s="1"/>
  <c r="Z181" i="2"/>
  <c r="Y181" i="2"/>
  <c r="X181" i="2"/>
  <c r="W181" i="2"/>
  <c r="V181" i="2"/>
  <c r="AA181" i="2" s="1"/>
  <c r="N181" i="2"/>
  <c r="M181" i="2"/>
  <c r="L181" i="2"/>
  <c r="U181" i="2" s="1"/>
  <c r="K181" i="2"/>
  <c r="J181" i="2"/>
  <c r="T181" i="2" s="1"/>
  <c r="I181" i="2"/>
  <c r="BG181" i="2" s="1"/>
  <c r="BE180" i="2"/>
  <c r="AE180" i="2"/>
  <c r="Z180" i="2"/>
  <c r="Y180" i="2"/>
  <c r="X180" i="2"/>
  <c r="W180" i="2"/>
  <c r="V180" i="2"/>
  <c r="AA180" i="2" s="1"/>
  <c r="N180" i="2"/>
  <c r="M180" i="2"/>
  <c r="L180" i="2"/>
  <c r="U180" i="2" s="1"/>
  <c r="K180" i="2"/>
  <c r="T180" i="2" s="1"/>
  <c r="J180" i="2"/>
  <c r="Z179" i="2"/>
  <c r="Y179" i="2"/>
  <c r="X179" i="2"/>
  <c r="W179" i="2"/>
  <c r="AA179" i="2" s="1"/>
  <c r="V179" i="2"/>
  <c r="N179" i="2"/>
  <c r="M179" i="2"/>
  <c r="L179" i="2"/>
  <c r="K179" i="2"/>
  <c r="T179" i="2" s="1"/>
  <c r="J179" i="2"/>
  <c r="AE179" i="2" s="1"/>
  <c r="BE179" i="2" s="1"/>
  <c r="W178" i="2"/>
  <c r="N178" i="2"/>
  <c r="M178" i="2"/>
  <c r="L178" i="2"/>
  <c r="K178" i="2"/>
  <c r="J178" i="2"/>
  <c r="AF178" i="2" s="1"/>
  <c r="BH178" i="2" s="1"/>
  <c r="AE177" i="2"/>
  <c r="BE177" i="2" s="1"/>
  <c r="Z177" i="2"/>
  <c r="Y177" i="2"/>
  <c r="X177" i="2"/>
  <c r="W177" i="2"/>
  <c r="V177" i="2"/>
  <c r="AA177" i="2" s="1"/>
  <c r="N177" i="2"/>
  <c r="M177" i="2"/>
  <c r="L177" i="2"/>
  <c r="U177" i="2" s="1"/>
  <c r="K177" i="2"/>
  <c r="J177" i="2"/>
  <c r="T177" i="2" s="1"/>
  <c r="I177" i="2"/>
  <c r="BG177" i="2" s="1"/>
  <c r="W176" i="2"/>
  <c r="N176" i="2"/>
  <c r="M176" i="2"/>
  <c r="L176" i="2"/>
  <c r="U176" i="2" s="1"/>
  <c r="K176" i="2"/>
  <c r="T176" i="2" s="1"/>
  <c r="J176" i="2"/>
  <c r="N175" i="2"/>
  <c r="M175" i="2"/>
  <c r="L175" i="2"/>
  <c r="K175" i="2"/>
  <c r="T175" i="2" s="1"/>
  <c r="J175" i="2"/>
  <c r="AE175" i="2" s="1"/>
  <c r="BE175" i="2" s="1"/>
  <c r="Y174" i="2"/>
  <c r="X174" i="2"/>
  <c r="W174" i="2"/>
  <c r="V174" i="2"/>
  <c r="N174" i="2"/>
  <c r="M174" i="2"/>
  <c r="L174" i="2"/>
  <c r="K174" i="2"/>
  <c r="J174" i="2"/>
  <c r="AF174" i="2" s="1"/>
  <c r="BH174" i="2" s="1"/>
  <c r="AE173" i="2"/>
  <c r="BE173" i="2" s="1"/>
  <c r="V173" i="2"/>
  <c r="N173" i="2"/>
  <c r="M173" i="2"/>
  <c r="L173" i="2"/>
  <c r="U173" i="2" s="1"/>
  <c r="K173" i="2"/>
  <c r="J173" i="2"/>
  <c r="T173" i="2" s="1"/>
  <c r="I173" i="2"/>
  <c r="BG173" i="2" s="1"/>
  <c r="N172" i="2"/>
  <c r="M172" i="2"/>
  <c r="L172" i="2"/>
  <c r="U172" i="2" s="1"/>
  <c r="K172" i="2"/>
  <c r="T172" i="2" s="1"/>
  <c r="J172" i="2"/>
  <c r="Z171" i="2"/>
  <c r="Y171" i="2"/>
  <c r="X171" i="2"/>
  <c r="W171" i="2"/>
  <c r="AA171" i="2" s="1"/>
  <c r="V171" i="2"/>
  <c r="N171" i="2"/>
  <c r="M171" i="2"/>
  <c r="L171" i="2"/>
  <c r="K171" i="2"/>
  <c r="T171" i="2" s="1"/>
  <c r="J171" i="2"/>
  <c r="AE171" i="2" s="1"/>
  <c r="BE171" i="2" s="1"/>
  <c r="N170" i="2"/>
  <c r="M170" i="2"/>
  <c r="L170" i="2"/>
  <c r="K170" i="2"/>
  <c r="J170" i="2"/>
  <c r="AF170" i="2" s="1"/>
  <c r="BH170" i="2" s="1"/>
  <c r="AE169" i="2"/>
  <c r="BE169" i="2" s="1"/>
  <c r="V169" i="2"/>
  <c r="N169" i="2"/>
  <c r="M169" i="2"/>
  <c r="L169" i="2"/>
  <c r="U169" i="2" s="1"/>
  <c r="K169" i="2"/>
  <c r="J169" i="2"/>
  <c r="T169" i="2" s="1"/>
  <c r="I169" i="2"/>
  <c r="BG169" i="2" s="1"/>
  <c r="N168" i="2"/>
  <c r="M168" i="2"/>
  <c r="L168" i="2"/>
  <c r="U168" i="2" s="1"/>
  <c r="K168" i="2"/>
  <c r="T168" i="2" s="1"/>
  <c r="J168" i="2"/>
  <c r="Z167" i="2"/>
  <c r="Y167" i="2"/>
  <c r="X167" i="2"/>
  <c r="W167" i="2"/>
  <c r="AA167" i="2" s="1"/>
  <c r="V167" i="2"/>
  <c r="N167" i="2"/>
  <c r="M167" i="2"/>
  <c r="L167" i="2"/>
  <c r="K167" i="2"/>
  <c r="T167" i="2" s="1"/>
  <c r="J167" i="2"/>
  <c r="AE167" i="2" s="1"/>
  <c r="BE167" i="2" s="1"/>
  <c r="N166" i="2"/>
  <c r="M166" i="2"/>
  <c r="L166" i="2"/>
  <c r="K166" i="2"/>
  <c r="J166" i="2"/>
  <c r="AF166" i="2" s="1"/>
  <c r="BH166" i="2" s="1"/>
  <c r="N165" i="2"/>
  <c r="M165" i="2"/>
  <c r="AE165" i="2" s="1"/>
  <c r="BE165" i="2" s="1"/>
  <c r="L165" i="2"/>
  <c r="U165" i="2" s="1"/>
  <c r="K165" i="2"/>
  <c r="J165" i="2"/>
  <c r="T165" i="2" s="1"/>
  <c r="I165" i="2"/>
  <c r="BG165" i="2" s="1"/>
  <c r="Y164" i="2"/>
  <c r="N164" i="2"/>
  <c r="M164" i="2"/>
  <c r="L164" i="2"/>
  <c r="U164" i="2" s="1"/>
  <c r="K164" i="2"/>
  <c r="T164" i="2" s="1"/>
  <c r="J164" i="2"/>
  <c r="Y163" i="2"/>
  <c r="N163" i="2"/>
  <c r="M163" i="2"/>
  <c r="L163" i="2"/>
  <c r="K163" i="2"/>
  <c r="T163" i="2" s="1"/>
  <c r="J163" i="2"/>
  <c r="AE163" i="2" s="1"/>
  <c r="BE163" i="2" s="1"/>
  <c r="X162" i="2"/>
  <c r="W162" i="2"/>
  <c r="V162" i="2"/>
  <c r="N162" i="2"/>
  <c r="M162" i="2"/>
  <c r="L162" i="2"/>
  <c r="K162" i="2"/>
  <c r="J162" i="2"/>
  <c r="AF162" i="2" s="1"/>
  <c r="BH162" i="2" s="1"/>
  <c r="AE161" i="2"/>
  <c r="BE161" i="2" s="1"/>
  <c r="V161" i="2"/>
  <c r="N161" i="2"/>
  <c r="M161" i="2"/>
  <c r="L161" i="2"/>
  <c r="U161" i="2" s="1"/>
  <c r="K161" i="2"/>
  <c r="J161" i="2"/>
  <c r="T161" i="2" s="1"/>
  <c r="I161" i="2"/>
  <c r="BG161" i="2" s="1"/>
  <c r="N160" i="2"/>
  <c r="M160" i="2"/>
  <c r="L160" i="2"/>
  <c r="U160" i="2" s="1"/>
  <c r="K160" i="2"/>
  <c r="T160" i="2" s="1"/>
  <c r="J160" i="2"/>
  <c r="AE160" i="2" s="1"/>
  <c r="BE160" i="2" s="1"/>
  <c r="Z159" i="2"/>
  <c r="Y159" i="2"/>
  <c r="X159" i="2"/>
  <c r="W159" i="2"/>
  <c r="AA159" i="2" s="1"/>
  <c r="V159" i="2"/>
  <c r="N159" i="2"/>
  <c r="M159" i="2"/>
  <c r="L159" i="2"/>
  <c r="K159" i="2"/>
  <c r="T159" i="2" s="1"/>
  <c r="J159" i="2"/>
  <c r="AF159" i="2" s="1"/>
  <c r="BH159" i="2" s="1"/>
  <c r="N158" i="2"/>
  <c r="M158" i="2"/>
  <c r="L158" i="2"/>
  <c r="K158" i="2"/>
  <c r="J158" i="2"/>
  <c r="AF158" i="2" s="1"/>
  <c r="BH158" i="2" s="1"/>
  <c r="BG157" i="2"/>
  <c r="Z157" i="2"/>
  <c r="V157" i="2"/>
  <c r="U157" i="2"/>
  <c r="Y157" i="2" s="1"/>
  <c r="T157" i="2"/>
  <c r="X157" i="2" s="1"/>
  <c r="R157" i="2"/>
  <c r="Q157" i="2"/>
  <c r="P157" i="2"/>
  <c r="Z156" i="2"/>
  <c r="Y156" i="2"/>
  <c r="X156" i="2"/>
  <c r="W156" i="2"/>
  <c r="AA156" i="2" s="1"/>
  <c r="V156" i="2"/>
  <c r="N156" i="2"/>
  <c r="M156" i="2"/>
  <c r="L156" i="2"/>
  <c r="K156" i="2"/>
  <c r="J156" i="2"/>
  <c r="AF156" i="2" s="1"/>
  <c r="BH156" i="2" s="1"/>
  <c r="AE155" i="2"/>
  <c r="BE155" i="2" s="1"/>
  <c r="Y155" i="2"/>
  <c r="X155" i="2"/>
  <c r="W155" i="2"/>
  <c r="V155" i="2"/>
  <c r="N155" i="2"/>
  <c r="M155" i="2"/>
  <c r="L155" i="2"/>
  <c r="U155" i="2" s="1"/>
  <c r="K155" i="2"/>
  <c r="J155" i="2"/>
  <c r="T155" i="2" s="1"/>
  <c r="Z155" i="2" s="1"/>
  <c r="I155" i="2"/>
  <c r="BG155" i="2" s="1"/>
  <c r="BE154" i="2"/>
  <c r="AE154" i="2"/>
  <c r="V154" i="2"/>
  <c r="N154" i="2"/>
  <c r="M154" i="2"/>
  <c r="L154" i="2"/>
  <c r="U154" i="2" s="1"/>
  <c r="K154" i="2"/>
  <c r="T154" i="2" s="1"/>
  <c r="J154" i="2"/>
  <c r="N153" i="2"/>
  <c r="M153" i="2"/>
  <c r="L153" i="2"/>
  <c r="K153" i="2"/>
  <c r="T153" i="2" s="1"/>
  <c r="J153" i="2"/>
  <c r="AF153" i="2" s="1"/>
  <c r="BH153" i="2" s="1"/>
  <c r="V152" i="2"/>
  <c r="N152" i="2"/>
  <c r="M152" i="2"/>
  <c r="L152" i="2"/>
  <c r="K152" i="2"/>
  <c r="J152" i="2"/>
  <c r="AF152" i="2" s="1"/>
  <c r="BH152" i="2" s="1"/>
  <c r="N151" i="2"/>
  <c r="M151" i="2"/>
  <c r="AE151" i="2" s="1"/>
  <c r="BE151" i="2" s="1"/>
  <c r="L151" i="2"/>
  <c r="U151" i="2" s="1"/>
  <c r="K151" i="2"/>
  <c r="J151" i="2"/>
  <c r="T151" i="2" s="1"/>
  <c r="I151" i="2"/>
  <c r="BG151" i="2" s="1"/>
  <c r="N150" i="2"/>
  <c r="M150" i="2"/>
  <c r="L150" i="2"/>
  <c r="U150" i="2" s="1"/>
  <c r="K150" i="2"/>
  <c r="T150" i="2" s="1"/>
  <c r="J150" i="2"/>
  <c r="N149" i="2"/>
  <c r="M149" i="2"/>
  <c r="L149" i="2"/>
  <c r="K149" i="2"/>
  <c r="T149" i="2" s="1"/>
  <c r="J149" i="2"/>
  <c r="AF149" i="2" s="1"/>
  <c r="BH149" i="2" s="1"/>
  <c r="N148" i="2"/>
  <c r="M148" i="2"/>
  <c r="L148" i="2"/>
  <c r="K148" i="2"/>
  <c r="J148" i="2"/>
  <c r="AF148" i="2" s="1"/>
  <c r="BH148" i="2" s="1"/>
  <c r="N147" i="2"/>
  <c r="M147" i="2"/>
  <c r="AE147" i="2" s="1"/>
  <c r="BE147" i="2" s="1"/>
  <c r="L147" i="2"/>
  <c r="U147" i="2" s="1"/>
  <c r="K147" i="2"/>
  <c r="J147" i="2"/>
  <c r="T147" i="2" s="1"/>
  <c r="I147" i="2"/>
  <c r="BG147" i="2" s="1"/>
  <c r="BE146" i="2"/>
  <c r="AE146" i="2"/>
  <c r="V146" i="2"/>
  <c r="N146" i="2"/>
  <c r="M146" i="2"/>
  <c r="L146" i="2"/>
  <c r="U146" i="2" s="1"/>
  <c r="K146" i="2"/>
  <c r="T146" i="2" s="1"/>
  <c r="J146" i="2"/>
  <c r="N145" i="2"/>
  <c r="M145" i="2"/>
  <c r="L145" i="2"/>
  <c r="K145" i="2"/>
  <c r="T145" i="2" s="1"/>
  <c r="J145" i="2"/>
  <c r="AF145" i="2" s="1"/>
  <c r="BH145" i="2" s="1"/>
  <c r="BH144" i="2"/>
  <c r="BG144" i="2"/>
  <c r="BF144" i="2"/>
  <c r="BE144" i="2"/>
  <c r="BC144" i="2"/>
  <c r="BA144" i="2"/>
  <c r="AZ144" i="2"/>
  <c r="AF144" i="2"/>
  <c r="AE144" i="2"/>
  <c r="AC144" i="2"/>
  <c r="AB144" i="2"/>
  <c r="AA144" i="2"/>
  <c r="Y144" i="2"/>
  <c r="U144" i="2"/>
  <c r="T144" i="2"/>
  <c r="S144" i="2"/>
  <c r="R144" i="2"/>
  <c r="Q144" i="2"/>
  <c r="P144" i="2"/>
  <c r="N144" i="2"/>
  <c r="Z144" i="2" s="1"/>
  <c r="M144" i="2"/>
  <c r="L144" i="2"/>
  <c r="AE157" i="2" s="1"/>
  <c r="BE157" i="2" s="1"/>
  <c r="K144" i="2"/>
  <c r="W144" i="2" s="1"/>
  <c r="J144" i="2"/>
  <c r="V143" i="2"/>
  <c r="N143" i="2"/>
  <c r="M143" i="2"/>
  <c r="L143" i="2"/>
  <c r="K143" i="2"/>
  <c r="I143" i="2" s="1"/>
  <c r="J143" i="2"/>
  <c r="N142" i="2"/>
  <c r="M142" i="2"/>
  <c r="L142" i="2"/>
  <c r="K142" i="2"/>
  <c r="J142" i="2"/>
  <c r="I142" i="2"/>
  <c r="N141" i="2"/>
  <c r="M141" i="2"/>
  <c r="L141" i="2"/>
  <c r="K141" i="2"/>
  <c r="I141" i="2" s="1"/>
  <c r="J141" i="2"/>
  <c r="N140" i="2"/>
  <c r="M140" i="2"/>
  <c r="L140" i="2"/>
  <c r="K140" i="2"/>
  <c r="J140" i="2"/>
  <c r="I140" i="2"/>
  <c r="N139" i="2"/>
  <c r="M139" i="2"/>
  <c r="L139" i="2"/>
  <c r="K139" i="2"/>
  <c r="I139" i="2" s="1"/>
  <c r="J139" i="2"/>
  <c r="N138" i="2"/>
  <c r="M138" i="2"/>
  <c r="L138" i="2"/>
  <c r="K138" i="2"/>
  <c r="J138" i="2"/>
  <c r="I138" i="2"/>
  <c r="N137" i="2"/>
  <c r="M137" i="2"/>
  <c r="L137" i="2"/>
  <c r="K137" i="2"/>
  <c r="I137" i="2" s="1"/>
  <c r="J137" i="2"/>
  <c r="N136" i="2"/>
  <c r="M136" i="2"/>
  <c r="L136" i="2"/>
  <c r="K136" i="2"/>
  <c r="J136" i="2"/>
  <c r="I136" i="2"/>
  <c r="N135" i="2"/>
  <c r="M135" i="2"/>
  <c r="L135" i="2"/>
  <c r="K135" i="2"/>
  <c r="I135" i="2" s="1"/>
  <c r="J135" i="2"/>
  <c r="N134" i="2"/>
  <c r="M134" i="2"/>
  <c r="L134" i="2"/>
  <c r="K134" i="2"/>
  <c r="J134" i="2"/>
  <c r="I134" i="2"/>
  <c r="N133" i="2"/>
  <c r="M133" i="2"/>
  <c r="L133" i="2"/>
  <c r="K133" i="2"/>
  <c r="I133" i="2" s="1"/>
  <c r="J133" i="2"/>
  <c r="N132" i="2"/>
  <c r="M132" i="2"/>
  <c r="L132" i="2"/>
  <c r="K132" i="2"/>
  <c r="J132" i="2"/>
  <c r="I132" i="2"/>
  <c r="N131" i="2"/>
  <c r="M131" i="2"/>
  <c r="L131" i="2"/>
  <c r="K131" i="2"/>
  <c r="I131" i="2" s="1"/>
  <c r="J131" i="2"/>
  <c r="N130" i="2"/>
  <c r="M130" i="2"/>
  <c r="L130" i="2"/>
  <c r="K130" i="2"/>
  <c r="J130" i="2"/>
  <c r="I130" i="2"/>
  <c r="N129" i="2"/>
  <c r="M129" i="2"/>
  <c r="L129" i="2"/>
  <c r="K129" i="2"/>
  <c r="I129" i="2" s="1"/>
  <c r="J129" i="2"/>
  <c r="N128" i="2"/>
  <c r="M128" i="2"/>
  <c r="L128" i="2"/>
  <c r="K128" i="2"/>
  <c r="J128" i="2"/>
  <c r="I128" i="2"/>
  <c r="N127" i="2"/>
  <c r="M127" i="2"/>
  <c r="L127" i="2"/>
  <c r="K127" i="2"/>
  <c r="I127" i="2" s="1"/>
  <c r="J127" i="2"/>
  <c r="N126" i="2"/>
  <c r="M126" i="2"/>
  <c r="L126" i="2"/>
  <c r="K126" i="2"/>
  <c r="J126" i="2"/>
  <c r="I126" i="2"/>
  <c r="N125" i="2"/>
  <c r="M125" i="2"/>
  <c r="L125" i="2"/>
  <c r="K125" i="2"/>
  <c r="I125" i="2" s="1"/>
  <c r="J125" i="2"/>
  <c r="N124" i="2"/>
  <c r="M124" i="2"/>
  <c r="L124" i="2"/>
  <c r="K124" i="2"/>
  <c r="J124" i="2"/>
  <c r="I124" i="2"/>
  <c r="N123" i="2"/>
  <c r="M123" i="2"/>
  <c r="L123" i="2"/>
  <c r="K123" i="2"/>
  <c r="I123" i="2" s="1"/>
  <c r="J123" i="2"/>
  <c r="N122" i="2"/>
  <c r="M122" i="2"/>
  <c r="L122" i="2"/>
  <c r="K122" i="2"/>
  <c r="J122" i="2"/>
  <c r="I122" i="2"/>
  <c r="N121" i="2"/>
  <c r="M121" i="2"/>
  <c r="L121" i="2"/>
  <c r="K121" i="2"/>
  <c r="I121" i="2" s="1"/>
  <c r="J121" i="2"/>
  <c r="N120" i="2"/>
  <c r="M120" i="2"/>
  <c r="L120" i="2"/>
  <c r="K120" i="2"/>
  <c r="J120" i="2"/>
  <c r="I120" i="2"/>
  <c r="N119" i="2"/>
  <c r="M119" i="2"/>
  <c r="L119" i="2"/>
  <c r="K119" i="2"/>
  <c r="I119" i="2" s="1"/>
  <c r="J119" i="2"/>
  <c r="N118" i="2"/>
  <c r="M118" i="2"/>
  <c r="L118" i="2"/>
  <c r="K118" i="2"/>
  <c r="J118" i="2"/>
  <c r="I118" i="2"/>
  <c r="N117" i="2"/>
  <c r="M117" i="2"/>
  <c r="L117" i="2"/>
  <c r="K117" i="2"/>
  <c r="I117" i="2" s="1"/>
  <c r="J117" i="2"/>
  <c r="N116" i="2"/>
  <c r="M116" i="2"/>
  <c r="L116" i="2"/>
  <c r="K116" i="2"/>
  <c r="J116" i="2"/>
  <c r="I116" i="2"/>
  <c r="N115" i="2"/>
  <c r="M115" i="2"/>
  <c r="L115" i="2"/>
  <c r="K115" i="2"/>
  <c r="I115" i="2" s="1"/>
  <c r="J115" i="2"/>
  <c r="N114" i="2"/>
  <c r="M114" i="2"/>
  <c r="L114" i="2"/>
  <c r="K114" i="2"/>
  <c r="J114" i="2"/>
  <c r="I114" i="2"/>
  <c r="N113" i="2"/>
  <c r="M113" i="2"/>
  <c r="L113" i="2"/>
  <c r="K113" i="2"/>
  <c r="I113" i="2" s="1"/>
  <c r="J113" i="2"/>
  <c r="N112" i="2"/>
  <c r="M112" i="2"/>
  <c r="I112" i="2" s="1"/>
  <c r="L112" i="2"/>
  <c r="K112" i="2"/>
  <c r="J112" i="2"/>
  <c r="N111" i="2"/>
  <c r="M111" i="2"/>
  <c r="L111" i="2"/>
  <c r="K111" i="2"/>
  <c r="I111" i="2" s="1"/>
  <c r="J111" i="2"/>
  <c r="N110" i="2"/>
  <c r="M110" i="2"/>
  <c r="I110" i="2" s="1"/>
  <c r="L110" i="2"/>
  <c r="K110" i="2"/>
  <c r="J110" i="2"/>
  <c r="N109" i="2"/>
  <c r="M109" i="2"/>
  <c r="L109" i="2"/>
  <c r="K109" i="2"/>
  <c r="I109" i="2" s="1"/>
  <c r="J109" i="2"/>
  <c r="N108" i="2"/>
  <c r="M108" i="2"/>
  <c r="I108" i="2" s="1"/>
  <c r="L108" i="2"/>
  <c r="K108" i="2"/>
  <c r="J108" i="2"/>
  <c r="N107" i="2"/>
  <c r="M107" i="2"/>
  <c r="L107" i="2"/>
  <c r="K107" i="2"/>
  <c r="I107" i="2" s="1"/>
  <c r="J107" i="2"/>
  <c r="N106" i="2"/>
  <c r="M106" i="2"/>
  <c r="I106" i="2" s="1"/>
  <c r="L106" i="2"/>
  <c r="K106" i="2"/>
  <c r="J106" i="2"/>
  <c r="N105" i="2"/>
  <c r="M105" i="2"/>
  <c r="L105" i="2"/>
  <c r="K105" i="2"/>
  <c r="I105" i="2" s="1"/>
  <c r="J105" i="2"/>
  <c r="N104" i="2"/>
  <c r="M104" i="2"/>
  <c r="I104" i="2" s="1"/>
  <c r="L104" i="2"/>
  <c r="K104" i="2"/>
  <c r="J104" i="2"/>
  <c r="N103" i="2"/>
  <c r="M103" i="2"/>
  <c r="L103" i="2"/>
  <c r="K103" i="2"/>
  <c r="I103" i="2" s="1"/>
  <c r="J103" i="2"/>
  <c r="N102" i="2"/>
  <c r="M102" i="2"/>
  <c r="I102" i="2" s="1"/>
  <c r="L102" i="2"/>
  <c r="K102" i="2"/>
  <c r="J102" i="2"/>
  <c r="N101" i="2"/>
  <c r="M101" i="2"/>
  <c r="L101" i="2"/>
  <c r="K101" i="2"/>
  <c r="I101" i="2" s="1"/>
  <c r="J101" i="2"/>
  <c r="N100" i="2"/>
  <c r="M100" i="2"/>
  <c r="I100" i="2" s="1"/>
  <c r="L100" i="2"/>
  <c r="K100" i="2"/>
  <c r="J100" i="2"/>
  <c r="N99" i="2"/>
  <c r="M99" i="2"/>
  <c r="L99" i="2"/>
  <c r="K99" i="2"/>
  <c r="I99" i="2" s="1"/>
  <c r="J99" i="2"/>
  <c r="N98" i="2"/>
  <c r="M98" i="2"/>
  <c r="I98" i="2" s="1"/>
  <c r="L98" i="2"/>
  <c r="K98" i="2"/>
  <c r="J98" i="2"/>
  <c r="N97" i="2"/>
  <c r="M97" i="2"/>
  <c r="L97" i="2"/>
  <c r="K97" i="2"/>
  <c r="I97" i="2" s="1"/>
  <c r="J97" i="2"/>
  <c r="N96" i="2"/>
  <c r="M96" i="2"/>
  <c r="I96" i="2" s="1"/>
  <c r="L96" i="2"/>
  <c r="K96" i="2"/>
  <c r="J96" i="2"/>
  <c r="N95" i="2"/>
  <c r="M95" i="2"/>
  <c r="L95" i="2"/>
  <c r="K95" i="2"/>
  <c r="I95" i="2" s="1"/>
  <c r="J95" i="2"/>
  <c r="N94" i="2"/>
  <c r="M94" i="2"/>
  <c r="I94" i="2" s="1"/>
  <c r="L94" i="2"/>
  <c r="K94" i="2"/>
  <c r="J94" i="2"/>
  <c r="N93" i="2"/>
  <c r="M93" i="2"/>
  <c r="L93" i="2"/>
  <c r="K93" i="2"/>
  <c r="I93" i="2" s="1"/>
  <c r="J93" i="2"/>
  <c r="N92" i="2"/>
  <c r="M92" i="2"/>
  <c r="I92" i="2" s="1"/>
  <c r="L92" i="2"/>
  <c r="K92" i="2"/>
  <c r="J92" i="2"/>
  <c r="N91" i="2"/>
  <c r="M91" i="2"/>
  <c r="L91" i="2"/>
  <c r="K91" i="2"/>
  <c r="I91" i="2" s="1"/>
  <c r="J91" i="2"/>
  <c r="N90" i="2"/>
  <c r="M90" i="2"/>
  <c r="I90" i="2" s="1"/>
  <c r="L90" i="2"/>
  <c r="K90" i="2"/>
  <c r="J90" i="2"/>
  <c r="N89" i="2"/>
  <c r="M89" i="2"/>
  <c r="L89" i="2"/>
  <c r="J89" i="2"/>
  <c r="L88" i="2"/>
  <c r="K88" i="2"/>
  <c r="J88" i="2"/>
  <c r="L87" i="2"/>
  <c r="K87" i="2"/>
  <c r="J87" i="2"/>
  <c r="L86" i="2"/>
  <c r="K86" i="2"/>
  <c r="J86" i="2"/>
  <c r="L85" i="2"/>
  <c r="K85" i="2"/>
  <c r="J85" i="2"/>
  <c r="L84" i="2"/>
  <c r="K84" i="2"/>
  <c r="J84" i="2"/>
  <c r="L83" i="2"/>
  <c r="K83" i="2"/>
  <c r="J83" i="2"/>
  <c r="L82" i="2"/>
  <c r="K82" i="2"/>
  <c r="J82" i="2"/>
  <c r="L81" i="2"/>
  <c r="K81" i="2"/>
  <c r="J81" i="2"/>
  <c r="N80" i="2"/>
  <c r="M80" i="2"/>
  <c r="L80" i="2"/>
  <c r="K80" i="2"/>
  <c r="J80" i="2"/>
  <c r="I80" i="2" s="1"/>
  <c r="N79" i="2"/>
  <c r="M79" i="2"/>
  <c r="L79" i="2"/>
  <c r="K79" i="2"/>
  <c r="I79" i="2" s="1"/>
  <c r="J79" i="2"/>
  <c r="N78" i="2"/>
  <c r="M78" i="2"/>
  <c r="L78" i="2"/>
  <c r="J78" i="2"/>
  <c r="L77" i="2"/>
  <c r="K77" i="2"/>
  <c r="J77" i="2"/>
  <c r="J76" i="2"/>
  <c r="J75" i="2"/>
  <c r="J74" i="2"/>
  <c r="J73" i="2"/>
  <c r="J72" i="2"/>
  <c r="J71" i="2"/>
  <c r="J70" i="2"/>
  <c r="N69" i="2"/>
  <c r="M69" i="2"/>
  <c r="J69" i="2"/>
  <c r="N68" i="2"/>
  <c r="M68" i="2"/>
  <c r="J68" i="2"/>
  <c r="N67" i="2"/>
  <c r="M67" i="2"/>
  <c r="K67" i="2"/>
  <c r="J67" i="2"/>
  <c r="E67" i="2"/>
  <c r="L67" i="2" s="1"/>
  <c r="N66" i="2"/>
  <c r="M66" i="2"/>
  <c r="L66" i="2"/>
  <c r="K66" i="2"/>
  <c r="J66" i="2"/>
  <c r="I66" i="2" s="1"/>
  <c r="N65" i="2"/>
  <c r="M65" i="2"/>
  <c r="L65" i="2"/>
  <c r="K65" i="2"/>
  <c r="I65" i="2" s="1"/>
  <c r="J65" i="2"/>
  <c r="N64" i="2"/>
  <c r="M64" i="2"/>
  <c r="L64" i="2"/>
  <c r="K64" i="2"/>
  <c r="J64" i="2"/>
  <c r="I64" i="2" s="1"/>
  <c r="N63" i="2"/>
  <c r="M63" i="2"/>
  <c r="L63" i="2"/>
  <c r="K63" i="2"/>
  <c r="I63" i="2" s="1"/>
  <c r="J63" i="2"/>
  <c r="N62" i="2"/>
  <c r="M62" i="2"/>
  <c r="L62" i="2"/>
  <c r="K62" i="2"/>
  <c r="J62" i="2"/>
  <c r="I62" i="2"/>
  <c r="N61" i="2"/>
  <c r="M61" i="2"/>
  <c r="L61" i="2"/>
  <c r="K61" i="2"/>
  <c r="I61" i="2" s="1"/>
  <c r="J61" i="2"/>
  <c r="N60" i="2"/>
  <c r="M60" i="2"/>
  <c r="L60" i="2"/>
  <c r="K60" i="2"/>
  <c r="J60" i="2"/>
  <c r="I60" i="2"/>
  <c r="K35" i="2"/>
  <c r="L35" i="2" s="1"/>
  <c r="J35" i="2"/>
  <c r="U34" i="2"/>
  <c r="V34" i="2" s="1"/>
  <c r="T34" i="2"/>
  <c r="K30" i="2"/>
  <c r="L30" i="2" s="1"/>
  <c r="J30" i="2"/>
  <c r="K28" i="2"/>
  <c r="L28" i="2" s="1"/>
  <c r="J28" i="2"/>
  <c r="K26" i="2"/>
  <c r="L26" i="2" s="1"/>
  <c r="J26" i="2"/>
  <c r="U24" i="2"/>
  <c r="V24" i="2" s="1"/>
  <c r="T24" i="2"/>
  <c r="U23" i="2"/>
  <c r="V23" i="2" s="1"/>
  <c r="T23" i="2"/>
  <c r="E12" i="2"/>
  <c r="D12" i="2"/>
  <c r="K10" i="2"/>
  <c r="K9" i="2"/>
  <c r="K8" i="2"/>
  <c r="K7" i="2"/>
  <c r="K6" i="2"/>
  <c r="L5" i="2"/>
  <c r="K5" i="2"/>
  <c r="J5" i="2"/>
  <c r="L4" i="2"/>
  <c r="K4" i="2"/>
  <c r="J4" i="2"/>
  <c r="P3" i="2"/>
  <c r="O3" i="2"/>
  <c r="N3" i="2"/>
  <c r="M3" i="2"/>
  <c r="L3" i="2"/>
  <c r="K3" i="2"/>
  <c r="J3" i="2"/>
  <c r="K2" i="2"/>
  <c r="D1" i="2"/>
  <c r="Y499" i="11"/>
  <c r="Y491" i="11"/>
  <c r="AA499" i="11"/>
  <c r="AA491" i="11"/>
  <c r="C540" i="11"/>
  <c r="X499" i="11"/>
  <c r="Z491" i="11"/>
  <c r="L487" i="11"/>
  <c r="AA483" i="11"/>
  <c r="Y471" i="11"/>
  <c r="X491" i="11"/>
  <c r="K487" i="11"/>
  <c r="Z483" i="11"/>
  <c r="AB471" i="11"/>
  <c r="X471" i="11"/>
  <c r="AA463" i="11"/>
  <c r="AB499" i="11"/>
  <c r="N487" i="11"/>
  <c r="J487" i="11"/>
  <c r="Y483" i="11"/>
  <c r="AA471" i="11"/>
  <c r="AB483" i="11"/>
  <c r="Z471" i="11"/>
  <c r="Z463" i="11"/>
  <c r="AA455" i="11"/>
  <c r="Z499" i="11"/>
  <c r="X483" i="11"/>
  <c r="Y463" i="11"/>
  <c r="Z455" i="11"/>
  <c r="AB491" i="11"/>
  <c r="M487" i="11"/>
  <c r="X463" i="11"/>
  <c r="Y455" i="11"/>
  <c r="AB463" i="11"/>
  <c r="AB455" i="11"/>
  <c r="X455" i="11"/>
  <c r="D75" i="11"/>
  <c r="D73" i="11"/>
  <c r="D71" i="11"/>
  <c r="D74" i="11"/>
  <c r="D68" i="11"/>
  <c r="AA499" i="10"/>
  <c r="AA491" i="10"/>
  <c r="M487" i="10"/>
  <c r="AB483" i="10"/>
  <c r="X483" i="10"/>
  <c r="Z471" i="10"/>
  <c r="Y463" i="10"/>
  <c r="Z455" i="10"/>
  <c r="D76" i="11"/>
  <c r="C540" i="10"/>
  <c r="Z499" i="10"/>
  <c r="Z491" i="10"/>
  <c r="L487" i="10"/>
  <c r="AA483" i="10"/>
  <c r="Y471" i="10"/>
  <c r="AB463" i="10"/>
  <c r="X463" i="10"/>
  <c r="Y455" i="10"/>
  <c r="D70" i="11"/>
  <c r="Y499" i="10"/>
  <c r="Y491" i="10"/>
  <c r="K487" i="10"/>
  <c r="Z483" i="10"/>
  <c r="AB471" i="10"/>
  <c r="X471" i="10"/>
  <c r="AA463" i="10"/>
  <c r="AB455" i="10"/>
  <c r="X455" i="10"/>
  <c r="X491" i="10"/>
  <c r="AA471" i="10"/>
  <c r="Y483" i="10"/>
  <c r="AA455" i="10"/>
  <c r="D69" i="11"/>
  <c r="AB499" i="10"/>
  <c r="N487" i="10"/>
  <c r="D72" i="11"/>
  <c r="X499" i="10"/>
  <c r="AB491" i="10"/>
  <c r="J487" i="10"/>
  <c r="Z463" i="10"/>
  <c r="D76" i="10"/>
  <c r="D74" i="10"/>
  <c r="D72" i="10"/>
  <c r="D70" i="10"/>
  <c r="D69" i="10"/>
  <c r="D68" i="10"/>
  <c r="Y499" i="9"/>
  <c r="Y491" i="9"/>
  <c r="K487" i="9"/>
  <c r="Z483" i="9"/>
  <c r="AB471" i="9"/>
  <c r="X471" i="9"/>
  <c r="AA463" i="9"/>
  <c r="AB455" i="9"/>
  <c r="X455" i="9"/>
  <c r="AB499" i="9"/>
  <c r="X499" i="9"/>
  <c r="AB491" i="9"/>
  <c r="X491" i="9"/>
  <c r="N487" i="9"/>
  <c r="J487" i="9"/>
  <c r="Y483" i="9"/>
  <c r="AA471" i="9"/>
  <c r="Z463" i="9"/>
  <c r="AA455" i="9"/>
  <c r="D75" i="10"/>
  <c r="D73" i="10"/>
  <c r="D71" i="10"/>
  <c r="AA491" i="9"/>
  <c r="L487" i="9"/>
  <c r="Z471" i="9"/>
  <c r="AB463" i="9"/>
  <c r="AA499" i="9"/>
  <c r="Z491" i="9"/>
  <c r="AB483" i="9"/>
  <c r="Y471" i="9"/>
  <c r="Y463" i="9"/>
  <c r="Z499" i="9"/>
  <c r="AA483" i="9"/>
  <c r="X463" i="9"/>
  <c r="Z455" i="9"/>
  <c r="C540" i="9"/>
  <c r="M487" i="9"/>
  <c r="X483" i="9"/>
  <c r="Y455" i="9"/>
  <c r="C540" i="8"/>
  <c r="Z499" i="8"/>
  <c r="Z491" i="8"/>
  <c r="L487" i="8"/>
  <c r="AA483" i="8"/>
  <c r="Y471" i="8"/>
  <c r="AB463" i="8"/>
  <c r="X463" i="8"/>
  <c r="Y455" i="8"/>
  <c r="D76" i="9"/>
  <c r="D74" i="9"/>
  <c r="D72" i="9"/>
  <c r="D70" i="9"/>
  <c r="D69" i="9"/>
  <c r="D68" i="9"/>
  <c r="Y499" i="8"/>
  <c r="Y491" i="8"/>
  <c r="K487" i="8"/>
  <c r="Z483" i="8"/>
  <c r="AB471" i="8"/>
  <c r="X471" i="8"/>
  <c r="AA463" i="8"/>
  <c r="AB455" i="8"/>
  <c r="X455" i="8"/>
  <c r="AB499" i="8"/>
  <c r="X499" i="8"/>
  <c r="AB491" i="8"/>
  <c r="X491" i="8"/>
  <c r="N487" i="8"/>
  <c r="J487" i="8"/>
  <c r="Y483" i="8"/>
  <c r="AA471" i="8"/>
  <c r="Z463" i="8"/>
  <c r="AA455" i="8"/>
  <c r="D75" i="9"/>
  <c r="D73" i="9"/>
  <c r="D71" i="9"/>
  <c r="AA499" i="8"/>
  <c r="AA491" i="8"/>
  <c r="M487" i="8"/>
  <c r="AB483" i="8"/>
  <c r="X483" i="8"/>
  <c r="Z471" i="8"/>
  <c r="Y463" i="8"/>
  <c r="Z455" i="8"/>
  <c r="C540" i="7"/>
  <c r="Z499" i="7"/>
  <c r="Z491" i="7"/>
  <c r="L487" i="7"/>
  <c r="AA483" i="7"/>
  <c r="Y471" i="7"/>
  <c r="AB463" i="7"/>
  <c r="X463" i="7"/>
  <c r="Y455" i="7"/>
  <c r="D76" i="8"/>
  <c r="D74" i="8"/>
  <c r="D72" i="8"/>
  <c r="D70" i="8"/>
  <c r="D69" i="8"/>
  <c r="D68" i="8"/>
  <c r="Y499" i="7"/>
  <c r="Y491" i="7"/>
  <c r="K487" i="7"/>
  <c r="Z483" i="7"/>
  <c r="AB471" i="7"/>
  <c r="X471" i="7"/>
  <c r="AA463" i="7"/>
  <c r="AB455" i="7"/>
  <c r="X455" i="7"/>
  <c r="AB499" i="7"/>
  <c r="X499" i="7"/>
  <c r="AB491" i="7"/>
  <c r="X491" i="7"/>
  <c r="N487" i="7"/>
  <c r="J487" i="7"/>
  <c r="Y483" i="7"/>
  <c r="AA471" i="7"/>
  <c r="Z463" i="7"/>
  <c r="AA455" i="7"/>
  <c r="D75" i="8"/>
  <c r="D73" i="8"/>
  <c r="D71" i="8"/>
  <c r="AA499" i="7"/>
  <c r="AA491" i="7"/>
  <c r="M487" i="7"/>
  <c r="AB483" i="7"/>
  <c r="X483" i="7"/>
  <c r="Z471" i="7"/>
  <c r="Y463" i="7"/>
  <c r="Z455" i="7"/>
  <c r="D75" i="7"/>
  <c r="D73" i="7"/>
  <c r="D71" i="7"/>
  <c r="AA499" i="6"/>
  <c r="AA491" i="6"/>
  <c r="M487" i="6"/>
  <c r="AB483" i="6"/>
  <c r="X483" i="6"/>
  <c r="Z471" i="6"/>
  <c r="Y463" i="6"/>
  <c r="Z455" i="6"/>
  <c r="D76" i="7"/>
  <c r="D74" i="7"/>
  <c r="D72" i="7"/>
  <c r="D70" i="7"/>
  <c r="D69" i="7"/>
  <c r="D68" i="7"/>
  <c r="Y499" i="6"/>
  <c r="Y491" i="6"/>
  <c r="K487" i="6"/>
  <c r="Z483" i="6"/>
  <c r="AB471" i="6"/>
  <c r="X471" i="6"/>
  <c r="AA463" i="6"/>
  <c r="AB455" i="6"/>
  <c r="X455" i="6"/>
  <c r="C540" i="6"/>
  <c r="X491" i="6"/>
  <c r="J487" i="6"/>
  <c r="AA483" i="6"/>
  <c r="Y455" i="6"/>
  <c r="C540" i="5"/>
  <c r="Z499" i="5"/>
  <c r="Z491" i="5"/>
  <c r="L487" i="5"/>
  <c r="AA483" i="5"/>
  <c r="Y471" i="5"/>
  <c r="AB463" i="5"/>
  <c r="X463" i="5"/>
  <c r="Y455" i="5"/>
  <c r="AB499" i="6"/>
  <c r="Y483" i="6"/>
  <c r="AA471" i="6"/>
  <c r="AB463" i="6"/>
  <c r="D76" i="6"/>
  <c r="D74" i="6"/>
  <c r="D72" i="6"/>
  <c r="D70" i="6"/>
  <c r="D69" i="6"/>
  <c r="D68" i="6"/>
  <c r="Z499" i="6"/>
  <c r="AB491" i="6"/>
  <c r="N487" i="6"/>
  <c r="Y471" i="6"/>
  <c r="Z463" i="6"/>
  <c r="X499" i="6"/>
  <c r="Z491" i="6"/>
  <c r="L487" i="6"/>
  <c r="X463" i="6"/>
  <c r="AA455" i="6"/>
  <c r="D71" i="6"/>
  <c r="X499" i="5"/>
  <c r="AA491" i="5"/>
  <c r="J487" i="5"/>
  <c r="Y483" i="5"/>
  <c r="AB471" i="5"/>
  <c r="AA463" i="5"/>
  <c r="Z455" i="5"/>
  <c r="C540" i="4"/>
  <c r="Z499" i="4"/>
  <c r="Z491" i="4"/>
  <c r="L487" i="4"/>
  <c r="AA483" i="4"/>
  <c r="Y471" i="4"/>
  <c r="AB463" i="4"/>
  <c r="X463" i="4"/>
  <c r="Y455" i="4"/>
  <c r="D73" i="6"/>
  <c r="AB499" i="5"/>
  <c r="Y491" i="5"/>
  <c r="N487" i="5"/>
  <c r="X483" i="5"/>
  <c r="AA471" i="5"/>
  <c r="Z463" i="5"/>
  <c r="X455" i="5"/>
  <c r="D76" i="5"/>
  <c r="D74" i="5"/>
  <c r="D72" i="5"/>
  <c r="D70" i="5"/>
  <c r="D69" i="5"/>
  <c r="D68" i="5"/>
  <c r="Y499" i="4"/>
  <c r="Y491" i="4"/>
  <c r="K487" i="4"/>
  <c r="Z483" i="4"/>
  <c r="AB471" i="4"/>
  <c r="X471" i="4"/>
  <c r="AA463" i="4"/>
  <c r="AB455" i="4"/>
  <c r="X455" i="4"/>
  <c r="D75" i="6"/>
  <c r="AA499" i="5"/>
  <c r="X491" i="5"/>
  <c r="M487" i="5"/>
  <c r="AB483" i="5"/>
  <c r="Z471" i="5"/>
  <c r="Y463" i="5"/>
  <c r="AB455" i="5"/>
  <c r="AB499" i="4"/>
  <c r="X499" i="4"/>
  <c r="AB491" i="4"/>
  <c r="X491" i="4"/>
  <c r="N487" i="4"/>
  <c r="J487" i="4"/>
  <c r="Y483" i="4"/>
  <c r="AA471" i="4"/>
  <c r="Z463" i="4"/>
  <c r="AA455" i="4"/>
  <c r="Y499" i="5"/>
  <c r="AB491" i="5"/>
  <c r="K487" i="5"/>
  <c r="Z483" i="5"/>
  <c r="X471" i="5"/>
  <c r="AA455" i="5"/>
  <c r="D75" i="5"/>
  <c r="D73" i="5"/>
  <c r="D71" i="5"/>
  <c r="M487" i="4"/>
  <c r="AB483" i="4"/>
  <c r="Z471" i="4"/>
  <c r="D76" i="4"/>
  <c r="D74" i="4"/>
  <c r="D72" i="4"/>
  <c r="D70" i="4"/>
  <c r="D69" i="4"/>
  <c r="D68" i="4"/>
  <c r="Y499" i="3"/>
  <c r="Y491" i="3"/>
  <c r="K487" i="3"/>
  <c r="Z483" i="3"/>
  <c r="AB471" i="3"/>
  <c r="X471" i="3"/>
  <c r="AA463" i="3"/>
  <c r="AB455" i="3"/>
  <c r="X455" i="3"/>
  <c r="AA491" i="4"/>
  <c r="X483" i="4"/>
  <c r="Y463" i="4"/>
  <c r="Z455" i="4"/>
  <c r="AB499" i="3"/>
  <c r="X499" i="3"/>
  <c r="AB491" i="3"/>
  <c r="X491" i="3"/>
  <c r="N487" i="3"/>
  <c r="J487" i="3"/>
  <c r="Y483" i="3"/>
  <c r="AA471" i="3"/>
  <c r="Z463" i="3"/>
  <c r="AA455" i="3"/>
  <c r="AA499" i="4"/>
  <c r="D75" i="4"/>
  <c r="D73" i="4"/>
  <c r="D71" i="4"/>
  <c r="AA499" i="3"/>
  <c r="AA491" i="3"/>
  <c r="M487" i="3"/>
  <c r="AB483" i="3"/>
  <c r="X483" i="3"/>
  <c r="Z471" i="3"/>
  <c r="Y463" i="3"/>
  <c r="Z455" i="3"/>
  <c r="Z499" i="3"/>
  <c r="Z491" i="3"/>
  <c r="L487" i="3"/>
  <c r="AA483" i="3"/>
  <c r="Y471" i="3"/>
  <c r="AB463" i="3"/>
  <c r="X463" i="3"/>
  <c r="Y455" i="3"/>
  <c r="Z499" i="2"/>
  <c r="Z491" i="2"/>
  <c r="L487" i="2"/>
  <c r="AA483" i="2"/>
  <c r="Y471" i="2"/>
  <c r="AB463" i="2"/>
  <c r="X463" i="2"/>
  <c r="Y455" i="2"/>
  <c r="D72" i="2"/>
  <c r="D68" i="2"/>
  <c r="D76" i="3"/>
  <c r="D74" i="3"/>
  <c r="D72" i="3"/>
  <c r="D70" i="3"/>
  <c r="D69" i="3"/>
  <c r="D68" i="3"/>
  <c r="Y499" i="2"/>
  <c r="Y491" i="2"/>
  <c r="K487" i="2"/>
  <c r="Z483" i="2"/>
  <c r="AB471" i="2"/>
  <c r="X471" i="2"/>
  <c r="AA463" i="2"/>
  <c r="AB455" i="2"/>
  <c r="X455" i="2"/>
  <c r="AB499" i="2"/>
  <c r="X499" i="2"/>
  <c r="AB491" i="2"/>
  <c r="X491" i="2"/>
  <c r="N487" i="2"/>
  <c r="J487" i="2"/>
  <c r="Y483" i="2"/>
  <c r="AA471" i="2"/>
  <c r="Z463" i="2"/>
  <c r="AA455" i="2"/>
  <c r="D75" i="2"/>
  <c r="D73" i="2"/>
  <c r="D71" i="2"/>
  <c r="D76" i="2"/>
  <c r="D70" i="2"/>
  <c r="D75" i="3"/>
  <c r="D73" i="3"/>
  <c r="D71" i="3"/>
  <c r="AA499" i="2"/>
  <c r="AA491" i="2"/>
  <c r="M487" i="2"/>
  <c r="AB483" i="2"/>
  <c r="X483" i="2"/>
  <c r="Z471" i="2"/>
  <c r="Y463" i="2"/>
  <c r="Z455" i="2"/>
  <c r="D74" i="2"/>
  <c r="D69" i="2"/>
  <c r="K17" i="7" l="1"/>
  <c r="B6" i="1" s="1"/>
  <c r="K17" i="6"/>
  <c r="B5" i="1" s="1"/>
  <c r="K17" i="8"/>
  <c r="B7" i="1" s="1"/>
  <c r="K17" i="11"/>
  <c r="B10" i="1" s="1"/>
  <c r="K17" i="2"/>
  <c r="B1" i="1" s="1"/>
  <c r="E69" i="2"/>
  <c r="L69" i="2" s="1"/>
  <c r="K69" i="2"/>
  <c r="K74" i="2"/>
  <c r="E74" i="2" s="1"/>
  <c r="AL454" i="2"/>
  <c r="S462" i="2"/>
  <c r="F513" i="2"/>
  <c r="E514" i="2"/>
  <c r="AK463" i="2"/>
  <c r="AL474" i="2"/>
  <c r="F515" i="2"/>
  <c r="Y484" i="2"/>
  <c r="Q490" i="2"/>
  <c r="D516" i="2"/>
  <c r="Y486" i="2"/>
  <c r="AN484" i="2"/>
  <c r="U490" i="2"/>
  <c r="H516" i="2"/>
  <c r="G510" i="2"/>
  <c r="S481" i="2"/>
  <c r="G517" i="2"/>
  <c r="AM492" i="2"/>
  <c r="G518" i="2"/>
  <c r="AM500" i="2"/>
  <c r="K71" i="3"/>
  <c r="E71" i="3" s="1"/>
  <c r="K73" i="3"/>
  <c r="E73" i="3" s="1"/>
  <c r="K75" i="3"/>
  <c r="E75" i="3"/>
  <c r="K70" i="2"/>
  <c r="E70" i="2" s="1"/>
  <c r="K76" i="2"/>
  <c r="E76" i="2"/>
  <c r="K71" i="2"/>
  <c r="K73" i="2"/>
  <c r="E73" i="2" s="1"/>
  <c r="E75" i="2"/>
  <c r="K75" i="2"/>
  <c r="T462" i="2"/>
  <c r="G513" i="2"/>
  <c r="AM454" i="2"/>
  <c r="F514" i="2"/>
  <c r="AL463" i="2"/>
  <c r="G515" i="2"/>
  <c r="AM474" i="2"/>
  <c r="AK484" i="2"/>
  <c r="R490" i="2"/>
  <c r="E516" i="2"/>
  <c r="K488" i="2"/>
  <c r="D510" i="2"/>
  <c r="K490" i="2"/>
  <c r="H510" i="2"/>
  <c r="T481" i="2"/>
  <c r="Y494" i="2"/>
  <c r="D517" i="2"/>
  <c r="Y492" i="2"/>
  <c r="H517" i="2"/>
  <c r="AN492" i="2"/>
  <c r="Y500" i="2"/>
  <c r="Y502" i="2"/>
  <c r="D518" i="2"/>
  <c r="AN500" i="2"/>
  <c r="H518" i="2"/>
  <c r="Q462" i="2"/>
  <c r="D513" i="2"/>
  <c r="Y458" i="2"/>
  <c r="Y456" i="2"/>
  <c r="U462" i="2"/>
  <c r="H513" i="2"/>
  <c r="AN454" i="2"/>
  <c r="G514" i="2"/>
  <c r="AM463" i="2"/>
  <c r="D515" i="2"/>
  <c r="Y474" i="2"/>
  <c r="Y472" i="2"/>
  <c r="H515" i="2"/>
  <c r="AN474" i="2"/>
  <c r="S490" i="2"/>
  <c r="F516" i="2"/>
  <c r="AL484" i="2"/>
  <c r="E510" i="2"/>
  <c r="Q481" i="2"/>
  <c r="E517" i="2"/>
  <c r="AK492" i="2"/>
  <c r="E518" i="2"/>
  <c r="AK500" i="2"/>
  <c r="K68" i="3"/>
  <c r="E68" i="3" s="1"/>
  <c r="L68" i="3" s="1"/>
  <c r="E69" i="3"/>
  <c r="L69" i="3" s="1"/>
  <c r="K69" i="3"/>
  <c r="K70" i="3"/>
  <c r="E70" i="3" s="1"/>
  <c r="K72" i="3"/>
  <c r="E74" i="3"/>
  <c r="K74" i="3"/>
  <c r="E76" i="3"/>
  <c r="K76" i="3"/>
  <c r="K68" i="2"/>
  <c r="E68" i="2" s="1"/>
  <c r="L68" i="2" s="1"/>
  <c r="K72" i="2"/>
  <c r="E72" i="2" s="1"/>
  <c r="E513" i="2"/>
  <c r="AK454" i="2"/>
  <c r="R462" i="2"/>
  <c r="Y466" i="2"/>
  <c r="Y464" i="2"/>
  <c r="D514" i="2"/>
  <c r="AN463" i="2"/>
  <c r="H514" i="2"/>
  <c r="E515" i="2"/>
  <c r="AK474" i="2"/>
  <c r="G516" i="2"/>
  <c r="AM484" i="2"/>
  <c r="T490" i="2"/>
  <c r="F510" i="2"/>
  <c r="R481" i="2"/>
  <c r="AL492" i="2"/>
  <c r="F517" i="2"/>
  <c r="F518" i="2"/>
  <c r="AL500" i="2"/>
  <c r="AK454" i="3"/>
  <c r="R462" i="3"/>
  <c r="E513" i="3"/>
  <c r="D514" i="3"/>
  <c r="Y466" i="3"/>
  <c r="Y467" i="3" s="1"/>
  <c r="Y464" i="3"/>
  <c r="Y465" i="3" s="1"/>
  <c r="H514" i="3"/>
  <c r="AN463" i="3"/>
  <c r="AK474" i="3"/>
  <c r="E515" i="3"/>
  <c r="AM484" i="3"/>
  <c r="T490" i="3"/>
  <c r="G516" i="3"/>
  <c r="F510" i="3"/>
  <c r="R481" i="3"/>
  <c r="F517" i="3"/>
  <c r="AL492" i="3"/>
  <c r="F518" i="3"/>
  <c r="AL500" i="3"/>
  <c r="S462" i="3"/>
  <c r="F513" i="3"/>
  <c r="AL454" i="3"/>
  <c r="E514" i="3"/>
  <c r="AK463" i="3"/>
  <c r="F515" i="3"/>
  <c r="AL474" i="3"/>
  <c r="Y484" i="3"/>
  <c r="Q490" i="3"/>
  <c r="D516" i="3"/>
  <c r="Y486" i="3"/>
  <c r="AN484" i="3"/>
  <c r="U490" i="3"/>
  <c r="H516" i="3"/>
  <c r="G510" i="3"/>
  <c r="S481" i="3"/>
  <c r="G517" i="3"/>
  <c r="AM492" i="3"/>
  <c r="AM500" i="3"/>
  <c r="G518" i="3"/>
  <c r="K71" i="4"/>
  <c r="E71" i="4" s="1"/>
  <c r="K73" i="4"/>
  <c r="E73" i="4" s="1"/>
  <c r="K75" i="4"/>
  <c r="E75" i="4"/>
  <c r="G518" i="4"/>
  <c r="AM500" i="4"/>
  <c r="T462" i="3"/>
  <c r="G513" i="3"/>
  <c r="AM454" i="3"/>
  <c r="F514" i="3"/>
  <c r="AL463" i="3"/>
  <c r="G515" i="3"/>
  <c r="AM474" i="3"/>
  <c r="R490" i="3"/>
  <c r="E516" i="3"/>
  <c r="AK484" i="3"/>
  <c r="K488" i="3"/>
  <c r="D510" i="3"/>
  <c r="K490" i="3"/>
  <c r="H510" i="3"/>
  <c r="T481" i="3"/>
  <c r="D517" i="3"/>
  <c r="Y492" i="3"/>
  <c r="Y494" i="3"/>
  <c r="H517" i="3"/>
  <c r="AN492" i="3"/>
  <c r="Y502" i="3"/>
  <c r="Y503" i="3" s="1"/>
  <c r="D518" i="3"/>
  <c r="Y500" i="3"/>
  <c r="H518" i="3"/>
  <c r="AN500" i="3"/>
  <c r="AL454" i="4"/>
  <c r="S462" i="4"/>
  <c r="F513" i="4"/>
  <c r="E514" i="4"/>
  <c r="AK463" i="4"/>
  <c r="Y484" i="4"/>
  <c r="Q490" i="4"/>
  <c r="D516" i="4"/>
  <c r="Y486" i="4"/>
  <c r="G517" i="4"/>
  <c r="AM492" i="4"/>
  <c r="D513" i="3"/>
  <c r="Y458" i="3"/>
  <c r="Y459" i="3" s="1"/>
  <c r="Y456" i="3"/>
  <c r="Q462" i="3"/>
  <c r="H513" i="3"/>
  <c r="AN454" i="3"/>
  <c r="U462" i="3"/>
  <c r="AM463" i="3"/>
  <c r="G514" i="3"/>
  <c r="D515" i="3"/>
  <c r="Y474" i="3"/>
  <c r="Y475" i="3" s="1"/>
  <c r="Y472" i="3"/>
  <c r="H515" i="3"/>
  <c r="AN474" i="3"/>
  <c r="F516" i="3"/>
  <c r="AL484" i="3"/>
  <c r="S490" i="3"/>
  <c r="E510" i="3"/>
  <c r="Q481" i="3"/>
  <c r="AK492" i="3"/>
  <c r="E517" i="3"/>
  <c r="E518" i="3"/>
  <c r="AK500" i="3"/>
  <c r="K68" i="4"/>
  <c r="K69" i="4"/>
  <c r="E69" i="4"/>
  <c r="L69" i="4" s="1"/>
  <c r="K70" i="4"/>
  <c r="K72" i="4"/>
  <c r="E72" i="4" s="1"/>
  <c r="K74" i="4"/>
  <c r="K76" i="4"/>
  <c r="E76" i="4"/>
  <c r="AL474" i="4"/>
  <c r="F515" i="4"/>
  <c r="AN484" i="4"/>
  <c r="U490" i="4"/>
  <c r="H516" i="4"/>
  <c r="G510" i="4"/>
  <c r="S481" i="4"/>
  <c r="K71" i="5"/>
  <c r="E71" i="5" s="1"/>
  <c r="K73" i="5"/>
  <c r="E73" i="5" s="1"/>
  <c r="K75" i="5"/>
  <c r="E75" i="5"/>
  <c r="G513" i="5"/>
  <c r="T462" i="5"/>
  <c r="AM454" i="5"/>
  <c r="Y472" i="5"/>
  <c r="D515" i="5"/>
  <c r="Y474" i="5"/>
  <c r="S490" i="5"/>
  <c r="F516" i="5"/>
  <c r="AL484" i="5"/>
  <c r="Q481" i="5"/>
  <c r="E510" i="5"/>
  <c r="H517" i="5"/>
  <c r="AN492" i="5"/>
  <c r="AK500" i="5"/>
  <c r="E518" i="5"/>
  <c r="T462" i="4"/>
  <c r="G513" i="4"/>
  <c r="AM454" i="4"/>
  <c r="F514" i="4"/>
  <c r="AL463" i="4"/>
  <c r="G515" i="4"/>
  <c r="AM474" i="4"/>
  <c r="AK484" i="4"/>
  <c r="R490" i="4"/>
  <c r="E516" i="4"/>
  <c r="K488" i="4"/>
  <c r="D510" i="4"/>
  <c r="K490" i="4"/>
  <c r="H510" i="4"/>
  <c r="T481" i="4"/>
  <c r="Y494" i="4"/>
  <c r="D517" i="4"/>
  <c r="Y492" i="4"/>
  <c r="H517" i="4"/>
  <c r="AN492" i="4"/>
  <c r="Y500" i="4"/>
  <c r="Y502" i="4"/>
  <c r="D518" i="4"/>
  <c r="AN500" i="4"/>
  <c r="H518" i="4"/>
  <c r="U462" i="5"/>
  <c r="AN454" i="5"/>
  <c r="H513" i="5"/>
  <c r="AK463" i="5"/>
  <c r="E514" i="5"/>
  <c r="AL474" i="5"/>
  <c r="F515" i="5"/>
  <c r="H516" i="5"/>
  <c r="U490" i="5"/>
  <c r="AN484" i="5"/>
  <c r="G510" i="5"/>
  <c r="S481" i="5"/>
  <c r="Y494" i="5"/>
  <c r="D517" i="5"/>
  <c r="Y492" i="5"/>
  <c r="G518" i="5"/>
  <c r="AM500" i="5"/>
  <c r="K75" i="6"/>
  <c r="E75" i="6"/>
  <c r="Q462" i="4"/>
  <c r="D513" i="4"/>
  <c r="Y458" i="4"/>
  <c r="Y459" i="4" s="1"/>
  <c r="Y456" i="4"/>
  <c r="Y457" i="4" s="1"/>
  <c r="U462" i="4"/>
  <c r="H513" i="4"/>
  <c r="AN454" i="4"/>
  <c r="G514" i="4"/>
  <c r="AM463" i="4"/>
  <c r="D515" i="4"/>
  <c r="Y474" i="4"/>
  <c r="Y475" i="4" s="1"/>
  <c r="Y472" i="4"/>
  <c r="Y473" i="4" s="1"/>
  <c r="H515" i="4"/>
  <c r="AN474" i="4"/>
  <c r="S490" i="4"/>
  <c r="F516" i="4"/>
  <c r="AL484" i="4"/>
  <c r="E510" i="4"/>
  <c r="Q481" i="4"/>
  <c r="E517" i="4"/>
  <c r="AK492" i="4"/>
  <c r="E518" i="4"/>
  <c r="AK500" i="4"/>
  <c r="K68" i="5"/>
  <c r="E69" i="5"/>
  <c r="L69" i="5" s="1"/>
  <c r="K69" i="5"/>
  <c r="K70" i="5"/>
  <c r="K72" i="5"/>
  <c r="E72" i="5" s="1"/>
  <c r="K74" i="5"/>
  <c r="E76" i="5"/>
  <c r="K76" i="5"/>
  <c r="Q462" i="5"/>
  <c r="Y458" i="5"/>
  <c r="D513" i="5"/>
  <c r="Y456" i="5"/>
  <c r="F514" i="5"/>
  <c r="AL463" i="5"/>
  <c r="AM474" i="5"/>
  <c r="G515" i="5"/>
  <c r="Y486" i="5"/>
  <c r="Y484" i="5"/>
  <c r="D516" i="5"/>
  <c r="Q490" i="5"/>
  <c r="T481" i="5"/>
  <c r="H510" i="5"/>
  <c r="E517" i="5"/>
  <c r="AK492" i="5"/>
  <c r="AN500" i="5"/>
  <c r="H518" i="5"/>
  <c r="K73" i="6"/>
  <c r="E73" i="6" s="1"/>
  <c r="E513" i="4"/>
  <c r="AK454" i="4"/>
  <c r="R462" i="4"/>
  <c r="Y466" i="4"/>
  <c r="Y467" i="4" s="1"/>
  <c r="Y464" i="4"/>
  <c r="D514" i="4"/>
  <c r="AN463" i="4"/>
  <c r="H514" i="4"/>
  <c r="E515" i="4"/>
  <c r="AK474" i="4"/>
  <c r="G516" i="4"/>
  <c r="AM484" i="4"/>
  <c r="T490" i="4"/>
  <c r="F510" i="4"/>
  <c r="R481" i="4"/>
  <c r="AL492" i="4"/>
  <c r="F517" i="4"/>
  <c r="F518" i="4"/>
  <c r="AL500" i="4"/>
  <c r="AZ459" i="4"/>
  <c r="AL454" i="5"/>
  <c r="S462" i="5"/>
  <c r="F513" i="5"/>
  <c r="G514" i="5"/>
  <c r="AM463" i="5"/>
  <c r="H515" i="5"/>
  <c r="AN474" i="5"/>
  <c r="AK484" i="5"/>
  <c r="E516" i="5"/>
  <c r="R490" i="5"/>
  <c r="K490" i="5"/>
  <c r="D510" i="5"/>
  <c r="K488" i="5"/>
  <c r="G517" i="5"/>
  <c r="AM492" i="5"/>
  <c r="Y500" i="5"/>
  <c r="Y502" i="5"/>
  <c r="D518" i="5"/>
  <c r="K71" i="6"/>
  <c r="E71" i="6" s="1"/>
  <c r="AM454" i="6"/>
  <c r="T462" i="6"/>
  <c r="G513" i="6"/>
  <c r="D514" i="6"/>
  <c r="Y466" i="6"/>
  <c r="Y467" i="6" s="1"/>
  <c r="Y464" i="6"/>
  <c r="F510" i="6"/>
  <c r="R481" i="6"/>
  <c r="F517" i="6"/>
  <c r="AL492" i="6"/>
  <c r="D518" i="6"/>
  <c r="Y502" i="6"/>
  <c r="Y500" i="6"/>
  <c r="Y501" i="6" s="1"/>
  <c r="F514" i="6"/>
  <c r="AL463" i="6"/>
  <c r="AK474" i="6"/>
  <c r="E515" i="6"/>
  <c r="H510" i="6"/>
  <c r="T481" i="6"/>
  <c r="H517" i="6"/>
  <c r="AN492" i="6"/>
  <c r="F518" i="6"/>
  <c r="AL500" i="6"/>
  <c r="K68" i="6"/>
  <c r="E69" i="6"/>
  <c r="L69" i="6" s="1"/>
  <c r="K69" i="6"/>
  <c r="K70" i="6"/>
  <c r="K72" i="6"/>
  <c r="E72" i="6" s="1"/>
  <c r="K74" i="6"/>
  <c r="E76" i="6"/>
  <c r="K76" i="6"/>
  <c r="H514" i="6"/>
  <c r="AN463" i="6"/>
  <c r="AM474" i="6"/>
  <c r="G515" i="6"/>
  <c r="R490" i="6"/>
  <c r="AK484" i="6"/>
  <c r="E516" i="6"/>
  <c r="H518" i="6"/>
  <c r="AN500" i="6"/>
  <c r="E513" i="5"/>
  <c r="AK454" i="5"/>
  <c r="R462" i="5"/>
  <c r="Y466" i="5"/>
  <c r="Y464" i="5"/>
  <c r="D514" i="5"/>
  <c r="AN463" i="5"/>
  <c r="H514" i="5"/>
  <c r="E515" i="5"/>
  <c r="AK474" i="5"/>
  <c r="G516" i="5"/>
  <c r="AM484" i="5"/>
  <c r="T490" i="5"/>
  <c r="F510" i="5"/>
  <c r="R481" i="5"/>
  <c r="AL492" i="5"/>
  <c r="F517" i="5"/>
  <c r="F518" i="5"/>
  <c r="AL500" i="5"/>
  <c r="AZ459" i="5"/>
  <c r="R462" i="6"/>
  <c r="AK454" i="6"/>
  <c r="E513" i="6"/>
  <c r="T490" i="6"/>
  <c r="AM484" i="6"/>
  <c r="G516" i="6"/>
  <c r="D510" i="6"/>
  <c r="K490" i="6"/>
  <c r="K488" i="6"/>
  <c r="D517" i="6"/>
  <c r="Y494" i="6"/>
  <c r="Y492" i="6"/>
  <c r="AZ459" i="6"/>
  <c r="Y458" i="6"/>
  <c r="Y456" i="6"/>
  <c r="Y457" i="6" s="1"/>
  <c r="D513" i="6"/>
  <c r="Q462" i="6"/>
  <c r="H513" i="6"/>
  <c r="U462" i="6"/>
  <c r="AN454" i="6"/>
  <c r="AM463" i="6"/>
  <c r="G514" i="6"/>
  <c r="Y472" i="6"/>
  <c r="Y473" i="6" s="1"/>
  <c r="D515" i="6"/>
  <c r="Y474" i="6"/>
  <c r="H515" i="6"/>
  <c r="AN474" i="6"/>
  <c r="AL484" i="6"/>
  <c r="F516" i="6"/>
  <c r="S490" i="6"/>
  <c r="E510" i="6"/>
  <c r="Q481" i="6"/>
  <c r="AK492" i="6"/>
  <c r="E517" i="6"/>
  <c r="AK500" i="6"/>
  <c r="E518" i="6"/>
  <c r="K68" i="7"/>
  <c r="E69" i="7"/>
  <c r="L69" i="7" s="1"/>
  <c r="K69" i="7"/>
  <c r="K70" i="7"/>
  <c r="E70" i="7"/>
  <c r="K72" i="7"/>
  <c r="E72" i="7"/>
  <c r="K74" i="7"/>
  <c r="E74" i="7"/>
  <c r="K76" i="7"/>
  <c r="E76" i="7"/>
  <c r="F513" i="6"/>
  <c r="S462" i="6"/>
  <c r="AL454" i="6"/>
  <c r="AK463" i="6"/>
  <c r="E514" i="6"/>
  <c r="F515" i="6"/>
  <c r="AL474" i="6"/>
  <c r="D516" i="6"/>
  <c r="Y486" i="6"/>
  <c r="Y484" i="6"/>
  <c r="Q490" i="6"/>
  <c r="H516" i="6"/>
  <c r="AN484" i="6"/>
  <c r="U490" i="6"/>
  <c r="G510" i="6"/>
  <c r="S481" i="6"/>
  <c r="AM492" i="6"/>
  <c r="G517" i="6"/>
  <c r="AM500" i="6"/>
  <c r="G518" i="6"/>
  <c r="K71" i="7"/>
  <c r="E71" i="7"/>
  <c r="K73" i="7"/>
  <c r="E73" i="7"/>
  <c r="K75" i="7"/>
  <c r="E75" i="7"/>
  <c r="AL454" i="7"/>
  <c r="S462" i="7"/>
  <c r="F513" i="7"/>
  <c r="E514" i="7"/>
  <c r="AK463" i="7"/>
  <c r="AL474" i="7"/>
  <c r="F515" i="7"/>
  <c r="Y484" i="7"/>
  <c r="Q490" i="7"/>
  <c r="D516" i="7"/>
  <c r="Y486" i="7"/>
  <c r="AN484" i="7"/>
  <c r="U490" i="7"/>
  <c r="H516" i="7"/>
  <c r="G510" i="7"/>
  <c r="S481" i="7"/>
  <c r="G517" i="7"/>
  <c r="AM492" i="7"/>
  <c r="G518" i="7"/>
  <c r="AM500" i="7"/>
  <c r="K71" i="8"/>
  <c r="E71" i="8" s="1"/>
  <c r="K73" i="8"/>
  <c r="E73" i="8" s="1"/>
  <c r="K75" i="8"/>
  <c r="E75" i="8"/>
  <c r="T462" i="7"/>
  <c r="G513" i="7"/>
  <c r="AM454" i="7"/>
  <c r="F514" i="7"/>
  <c r="AL463" i="7"/>
  <c r="G515" i="7"/>
  <c r="AM474" i="7"/>
  <c r="AK484" i="7"/>
  <c r="R490" i="7"/>
  <c r="E516" i="7"/>
  <c r="K488" i="7"/>
  <c r="D510" i="7"/>
  <c r="K490" i="7"/>
  <c r="H510" i="7"/>
  <c r="T481" i="7"/>
  <c r="Y494" i="7"/>
  <c r="D517" i="7"/>
  <c r="Y492" i="7"/>
  <c r="H517" i="7"/>
  <c r="AN492" i="7"/>
  <c r="Y500" i="7"/>
  <c r="Y502" i="7"/>
  <c r="Y503" i="7" s="1"/>
  <c r="D518" i="7"/>
  <c r="AN500" i="7"/>
  <c r="H518" i="7"/>
  <c r="Q462" i="7"/>
  <c r="D513" i="7"/>
  <c r="Y458" i="7"/>
  <c r="Y456" i="7"/>
  <c r="U462" i="7"/>
  <c r="H513" i="7"/>
  <c r="AN454" i="7"/>
  <c r="G514" i="7"/>
  <c r="AM463" i="7"/>
  <c r="D515" i="7"/>
  <c r="Y474" i="7"/>
  <c r="Y475" i="7" s="1"/>
  <c r="Y472" i="7"/>
  <c r="H515" i="7"/>
  <c r="AN474" i="7"/>
  <c r="S490" i="7"/>
  <c r="F516" i="7"/>
  <c r="AL484" i="7"/>
  <c r="E510" i="7"/>
  <c r="Q481" i="7"/>
  <c r="E517" i="7"/>
  <c r="AK492" i="7"/>
  <c r="E518" i="7"/>
  <c r="AK500" i="7"/>
  <c r="K68" i="8"/>
  <c r="E69" i="8"/>
  <c r="L69" i="8" s="1"/>
  <c r="K69" i="8"/>
  <c r="K70" i="8"/>
  <c r="K72" i="8"/>
  <c r="E72" i="8" s="1"/>
  <c r="K74" i="8"/>
  <c r="E76" i="8"/>
  <c r="K76" i="8"/>
  <c r="E513" i="7"/>
  <c r="AK454" i="7"/>
  <c r="R462" i="7"/>
  <c r="Y466" i="7"/>
  <c r="Y464" i="7"/>
  <c r="Y465" i="7" s="1"/>
  <c r="D514" i="7"/>
  <c r="AN463" i="7"/>
  <c r="H514" i="7"/>
  <c r="E515" i="7"/>
  <c r="AK474" i="7"/>
  <c r="G516" i="7"/>
  <c r="AM484" i="7"/>
  <c r="T490" i="7"/>
  <c r="F510" i="7"/>
  <c r="R481" i="7"/>
  <c r="AL492" i="7"/>
  <c r="F517" i="7"/>
  <c r="F518" i="7"/>
  <c r="AL500" i="7"/>
  <c r="AZ459" i="7"/>
  <c r="AL454" i="8"/>
  <c r="S462" i="8"/>
  <c r="F513" i="8"/>
  <c r="E514" i="8"/>
  <c r="AK463" i="8"/>
  <c r="AL474" i="8"/>
  <c r="F515" i="8"/>
  <c r="Y484" i="8"/>
  <c r="Q490" i="8"/>
  <c r="D516" i="8"/>
  <c r="Y486" i="8"/>
  <c r="AN484" i="8"/>
  <c r="U490" i="8"/>
  <c r="H516" i="8"/>
  <c r="G510" i="8"/>
  <c r="S481" i="8"/>
  <c r="G517" i="8"/>
  <c r="AM492" i="8"/>
  <c r="G518" i="8"/>
  <c r="AM500" i="8"/>
  <c r="K71" i="9"/>
  <c r="E71" i="9" s="1"/>
  <c r="K73" i="9"/>
  <c r="E73" i="9" s="1"/>
  <c r="K75" i="9"/>
  <c r="E75" i="9"/>
  <c r="T462" i="8"/>
  <c r="G513" i="8"/>
  <c r="AM454" i="8"/>
  <c r="F514" i="8"/>
  <c r="AL463" i="8"/>
  <c r="G515" i="8"/>
  <c r="AM474" i="8"/>
  <c r="AK484" i="8"/>
  <c r="R490" i="8"/>
  <c r="E516" i="8"/>
  <c r="K488" i="8"/>
  <c r="D510" i="8"/>
  <c r="K490" i="8"/>
  <c r="H510" i="8"/>
  <c r="T481" i="8"/>
  <c r="Y494" i="8"/>
  <c r="D517" i="8"/>
  <c r="Y492" i="8"/>
  <c r="H517" i="8"/>
  <c r="AN492" i="8"/>
  <c r="Y500" i="8"/>
  <c r="Y502" i="8"/>
  <c r="Y503" i="8" s="1"/>
  <c r="D518" i="8"/>
  <c r="AN500" i="8"/>
  <c r="H518" i="8"/>
  <c r="Q462" i="8"/>
  <c r="D513" i="8"/>
  <c r="Y458" i="8"/>
  <c r="Y459" i="8" s="1"/>
  <c r="Y456" i="8"/>
  <c r="Y457" i="8" s="1"/>
  <c r="U462" i="8"/>
  <c r="H513" i="8"/>
  <c r="AN454" i="8"/>
  <c r="G514" i="8"/>
  <c r="AM463" i="8"/>
  <c r="D515" i="8"/>
  <c r="Y474" i="8"/>
  <c r="Y472" i="8"/>
  <c r="H515" i="8"/>
  <c r="AN474" i="8"/>
  <c r="S490" i="8"/>
  <c r="F516" i="8"/>
  <c r="AL484" i="8"/>
  <c r="E510" i="8"/>
  <c r="Q481" i="8"/>
  <c r="E517" i="8"/>
  <c r="AK492" i="8"/>
  <c r="E518" i="8"/>
  <c r="AK500" i="8"/>
  <c r="K68" i="9"/>
  <c r="E68" i="9" s="1"/>
  <c r="L68" i="9" s="1"/>
  <c r="E69" i="9"/>
  <c r="L69" i="9" s="1"/>
  <c r="K69" i="9"/>
  <c r="K70" i="9"/>
  <c r="E70" i="9" s="1"/>
  <c r="K72" i="9"/>
  <c r="K74" i="9"/>
  <c r="E74" i="9" s="1"/>
  <c r="E76" i="9"/>
  <c r="K76" i="9"/>
  <c r="E513" i="8"/>
  <c r="AK454" i="8"/>
  <c r="R462" i="8"/>
  <c r="Y466" i="8"/>
  <c r="Y464" i="8"/>
  <c r="Y465" i="8" s="1"/>
  <c r="D514" i="8"/>
  <c r="AN463" i="8"/>
  <c r="H514" i="8"/>
  <c r="E515" i="8"/>
  <c r="AK474" i="8"/>
  <c r="G516" i="8"/>
  <c r="AM484" i="8"/>
  <c r="T490" i="8"/>
  <c r="F510" i="8"/>
  <c r="R481" i="8"/>
  <c r="AL492" i="8"/>
  <c r="F517" i="8"/>
  <c r="F518" i="8"/>
  <c r="AL500" i="8"/>
  <c r="AZ459" i="8"/>
  <c r="AK454" i="9"/>
  <c r="E513" i="9"/>
  <c r="R462" i="9"/>
  <c r="Y484" i="9"/>
  <c r="Q490" i="9"/>
  <c r="D516" i="9"/>
  <c r="Y486" i="9"/>
  <c r="G510" i="9"/>
  <c r="S481" i="9"/>
  <c r="AZ459" i="9"/>
  <c r="S462" i="9"/>
  <c r="F513" i="9"/>
  <c r="AL454" i="9"/>
  <c r="Y466" i="9"/>
  <c r="Y467" i="9" s="1"/>
  <c r="D514" i="9"/>
  <c r="Y464" i="9"/>
  <c r="Y465" i="9" s="1"/>
  <c r="AM484" i="9"/>
  <c r="G516" i="9"/>
  <c r="T490" i="9"/>
  <c r="F518" i="9"/>
  <c r="AL500" i="9"/>
  <c r="E514" i="9"/>
  <c r="AK463" i="9"/>
  <c r="AK474" i="9"/>
  <c r="E515" i="9"/>
  <c r="AN484" i="9"/>
  <c r="U490" i="9"/>
  <c r="H516" i="9"/>
  <c r="AL492" i="9"/>
  <c r="F517" i="9"/>
  <c r="AM500" i="9"/>
  <c r="G518" i="9"/>
  <c r="H514" i="9"/>
  <c r="AN463" i="9"/>
  <c r="AL474" i="9"/>
  <c r="F515" i="9"/>
  <c r="F510" i="9"/>
  <c r="R481" i="9"/>
  <c r="G517" i="9"/>
  <c r="AM492" i="9"/>
  <c r="K71" i="10"/>
  <c r="E71" i="10" s="1"/>
  <c r="K73" i="10"/>
  <c r="E73" i="10" s="1"/>
  <c r="K75" i="10"/>
  <c r="E75" i="10"/>
  <c r="T462" i="9"/>
  <c r="G513" i="9"/>
  <c r="AM454" i="9"/>
  <c r="F514" i="9"/>
  <c r="AL463" i="9"/>
  <c r="G515" i="9"/>
  <c r="AM474" i="9"/>
  <c r="R490" i="9"/>
  <c r="E516" i="9"/>
  <c r="AK484" i="9"/>
  <c r="K488" i="9"/>
  <c r="K490" i="9"/>
  <c r="D510" i="9"/>
  <c r="H510" i="9"/>
  <c r="T481" i="9"/>
  <c r="D517" i="9"/>
  <c r="Y492" i="9"/>
  <c r="Y494" i="9"/>
  <c r="H517" i="9"/>
  <c r="AN492" i="9"/>
  <c r="Y502" i="9"/>
  <c r="D518" i="9"/>
  <c r="Y500" i="9"/>
  <c r="AN500" i="9"/>
  <c r="H518" i="9"/>
  <c r="D513" i="9"/>
  <c r="Q462" i="9"/>
  <c r="Y456" i="9"/>
  <c r="Y457" i="9" s="1"/>
  <c r="Y458" i="9"/>
  <c r="Y459" i="9" s="1"/>
  <c r="H513" i="9"/>
  <c r="AN454" i="9"/>
  <c r="U462" i="9"/>
  <c r="AM463" i="9"/>
  <c r="G514" i="9"/>
  <c r="D515" i="9"/>
  <c r="Y474" i="9"/>
  <c r="Y475" i="9" s="1"/>
  <c r="Y472" i="9"/>
  <c r="H515" i="9"/>
  <c r="AN474" i="9"/>
  <c r="F516" i="9"/>
  <c r="S490" i="9"/>
  <c r="AL484" i="9"/>
  <c r="E510" i="9"/>
  <c r="Q481" i="9"/>
  <c r="AK492" i="9"/>
  <c r="E517" i="9"/>
  <c r="E518" i="9"/>
  <c r="AK500" i="9"/>
  <c r="K68" i="10"/>
  <c r="E68" i="10" s="1"/>
  <c r="L68" i="10" s="1"/>
  <c r="K69" i="10"/>
  <c r="E69" i="10"/>
  <c r="L69" i="10" s="1"/>
  <c r="K70" i="10"/>
  <c r="E70" i="10" s="1"/>
  <c r="K72" i="10"/>
  <c r="E72" i="10"/>
  <c r="K74" i="10"/>
  <c r="E74" i="10" s="1"/>
  <c r="K76" i="10"/>
  <c r="E76" i="10"/>
  <c r="F514" i="10"/>
  <c r="AL463" i="10"/>
  <c r="D510" i="10"/>
  <c r="K490" i="10"/>
  <c r="K488" i="10"/>
  <c r="H517" i="10"/>
  <c r="AN492" i="10"/>
  <c r="D518" i="10"/>
  <c r="Y500" i="10"/>
  <c r="Y502" i="10"/>
  <c r="K72" i="11"/>
  <c r="E72" i="11" s="1"/>
  <c r="H510" i="10"/>
  <c r="T481" i="10"/>
  <c r="H518" i="10"/>
  <c r="AN500" i="10"/>
  <c r="E69" i="11"/>
  <c r="L69" i="11" s="1"/>
  <c r="K69" i="11"/>
  <c r="AM454" i="10"/>
  <c r="T462" i="10"/>
  <c r="G513" i="10"/>
  <c r="AK484" i="10"/>
  <c r="R490" i="10"/>
  <c r="E516" i="10"/>
  <c r="AM474" i="10"/>
  <c r="G515" i="10"/>
  <c r="Y494" i="10"/>
  <c r="D517" i="10"/>
  <c r="Y492" i="10"/>
  <c r="Y458" i="10"/>
  <c r="Y459" i="10" s="1"/>
  <c r="Y456" i="10"/>
  <c r="Q462" i="10"/>
  <c r="D513" i="10"/>
  <c r="U462" i="10"/>
  <c r="H513" i="10"/>
  <c r="AN454" i="10"/>
  <c r="G514" i="10"/>
  <c r="AM463" i="10"/>
  <c r="Y472" i="10"/>
  <c r="D515" i="10"/>
  <c r="Y474" i="10"/>
  <c r="Y475" i="10" s="1"/>
  <c r="H515" i="10"/>
  <c r="AN474" i="10"/>
  <c r="AL484" i="10"/>
  <c r="S490" i="10"/>
  <c r="F516" i="10"/>
  <c r="E510" i="10"/>
  <c r="Q481" i="10"/>
  <c r="E517" i="10"/>
  <c r="AK492" i="10"/>
  <c r="AK500" i="10"/>
  <c r="E518" i="10"/>
  <c r="K70" i="11"/>
  <c r="E70" i="11" s="1"/>
  <c r="R462" i="10"/>
  <c r="E513" i="10"/>
  <c r="AK454" i="10"/>
  <c r="D514" i="10"/>
  <c r="Y466" i="10"/>
  <c r="Y464" i="10"/>
  <c r="H514" i="10"/>
  <c r="AN463" i="10"/>
  <c r="E515" i="10"/>
  <c r="AK474" i="10"/>
  <c r="T490" i="10"/>
  <c r="G516" i="10"/>
  <c r="AM484" i="10"/>
  <c r="F510" i="10"/>
  <c r="R481" i="10"/>
  <c r="F517" i="10"/>
  <c r="AL492" i="10"/>
  <c r="F518" i="10"/>
  <c r="AL500" i="10"/>
  <c r="AZ459" i="10"/>
  <c r="K76" i="11"/>
  <c r="E76" i="11"/>
  <c r="F513" i="10"/>
  <c r="AL454" i="10"/>
  <c r="S462" i="10"/>
  <c r="AK463" i="10"/>
  <c r="E514" i="10"/>
  <c r="F515" i="10"/>
  <c r="AL474" i="10"/>
  <c r="D516" i="10"/>
  <c r="Y486" i="10"/>
  <c r="Y484" i="10"/>
  <c r="Q490" i="10"/>
  <c r="H516" i="10"/>
  <c r="AN484" i="10"/>
  <c r="U490" i="10"/>
  <c r="G510" i="10"/>
  <c r="S481" i="10"/>
  <c r="AM492" i="10"/>
  <c r="G517" i="10"/>
  <c r="G518" i="10"/>
  <c r="AM500" i="10"/>
  <c r="K68" i="11"/>
  <c r="K74" i="11"/>
  <c r="E74" i="11" s="1"/>
  <c r="K71" i="11"/>
  <c r="K73" i="11"/>
  <c r="E73" i="11" s="1"/>
  <c r="E75" i="11"/>
  <c r="K75" i="11"/>
  <c r="D513" i="11"/>
  <c r="Y458" i="11"/>
  <c r="Y459" i="11" s="1"/>
  <c r="Y456" i="11"/>
  <c r="Y457" i="11" s="1"/>
  <c r="Q462" i="11"/>
  <c r="H513" i="11"/>
  <c r="AN454" i="11"/>
  <c r="U462" i="11"/>
  <c r="H514" i="11"/>
  <c r="AN463" i="11"/>
  <c r="E513" i="11"/>
  <c r="R462" i="11"/>
  <c r="AK454" i="11"/>
  <c r="D514" i="11"/>
  <c r="Y466" i="11"/>
  <c r="Y467" i="11" s="1"/>
  <c r="Y464" i="11"/>
  <c r="S481" i="11"/>
  <c r="G510" i="11"/>
  <c r="H517" i="11"/>
  <c r="AN492" i="11"/>
  <c r="F513" i="11"/>
  <c r="S462" i="11"/>
  <c r="AL454" i="11"/>
  <c r="E514" i="11"/>
  <c r="AK463" i="11"/>
  <c r="D516" i="11"/>
  <c r="Y484" i="11"/>
  <c r="Q490" i="11"/>
  <c r="Y486" i="11"/>
  <c r="F518" i="11"/>
  <c r="AL500" i="11"/>
  <c r="G513" i="11"/>
  <c r="AM454" i="11"/>
  <c r="T462" i="11"/>
  <c r="F514" i="11"/>
  <c r="AL463" i="11"/>
  <c r="F515" i="11"/>
  <c r="AL474" i="11"/>
  <c r="H516" i="11"/>
  <c r="U490" i="11"/>
  <c r="AN484" i="11"/>
  <c r="G515" i="11"/>
  <c r="AM474" i="11"/>
  <c r="R490" i="11"/>
  <c r="E516" i="11"/>
  <c r="AK484" i="11"/>
  <c r="D510" i="11"/>
  <c r="K490" i="11"/>
  <c r="K488" i="11"/>
  <c r="H510" i="11"/>
  <c r="T481" i="11"/>
  <c r="H518" i="11"/>
  <c r="AN500" i="11"/>
  <c r="G514" i="11"/>
  <c r="AM463" i="11"/>
  <c r="D515" i="11"/>
  <c r="Y474" i="11"/>
  <c r="Y472" i="11"/>
  <c r="Y473" i="11" s="1"/>
  <c r="H515" i="11"/>
  <c r="AN474" i="11"/>
  <c r="F516" i="11"/>
  <c r="S490" i="11"/>
  <c r="AL484" i="11"/>
  <c r="E510" i="11"/>
  <c r="Q481" i="11"/>
  <c r="D517" i="11"/>
  <c r="Y494" i="11"/>
  <c r="Y492" i="11"/>
  <c r="AK474" i="11"/>
  <c r="E515" i="11"/>
  <c r="T490" i="11"/>
  <c r="AM484" i="11"/>
  <c r="G516" i="11"/>
  <c r="F510" i="11"/>
  <c r="R481" i="11"/>
  <c r="F517" i="11"/>
  <c r="AL492" i="11"/>
  <c r="D518" i="11"/>
  <c r="Y502" i="11"/>
  <c r="Y500" i="11"/>
  <c r="AZ459" i="11"/>
  <c r="G517" i="11"/>
  <c r="AM492" i="11"/>
  <c r="AM500" i="11"/>
  <c r="G518" i="11"/>
  <c r="AK492" i="11"/>
  <c r="E517" i="11"/>
  <c r="E518" i="11"/>
  <c r="AK500" i="11"/>
  <c r="Y146" i="2"/>
  <c r="Z146" i="2"/>
  <c r="Z147" i="2"/>
  <c r="V147" i="2"/>
  <c r="Y150" i="2"/>
  <c r="Z150" i="2"/>
  <c r="V150" i="2"/>
  <c r="Y168" i="2"/>
  <c r="Z168" i="2"/>
  <c r="V168" i="2"/>
  <c r="Y169" i="2"/>
  <c r="Y172" i="2"/>
  <c r="Z172" i="2"/>
  <c r="V172" i="2"/>
  <c r="Y173" i="2"/>
  <c r="Z185" i="2"/>
  <c r="V185" i="2"/>
  <c r="W185" i="2"/>
  <c r="Y196" i="2"/>
  <c r="Z196" i="2"/>
  <c r="Z197" i="2"/>
  <c r="V197" i="2"/>
  <c r="W197" i="2"/>
  <c r="Z207" i="2"/>
  <c r="V207" i="2"/>
  <c r="W207" i="2"/>
  <c r="Y218" i="2"/>
  <c r="Z218" i="2"/>
  <c r="V218" i="2"/>
  <c r="AA237" i="2"/>
  <c r="Z241" i="2"/>
  <c r="V241" i="2"/>
  <c r="W241" i="2"/>
  <c r="Y244" i="2"/>
  <c r="Z244" i="2"/>
  <c r="Z247" i="2"/>
  <c r="V247" i="2"/>
  <c r="W247" i="2"/>
  <c r="Y250" i="2"/>
  <c r="Z250" i="2"/>
  <c r="V250" i="2"/>
  <c r="Y267" i="2"/>
  <c r="Y280" i="2"/>
  <c r="Z280" i="2"/>
  <c r="V280" i="2"/>
  <c r="Y284" i="2"/>
  <c r="Z284" i="2"/>
  <c r="V284" i="2"/>
  <c r="Y292" i="2"/>
  <c r="Z292" i="2"/>
  <c r="V292" i="2"/>
  <c r="Y293" i="2"/>
  <c r="Z297" i="2"/>
  <c r="V297" i="2"/>
  <c r="W297" i="2"/>
  <c r="Z305" i="2"/>
  <c r="W305" i="2"/>
  <c r="Y318" i="2"/>
  <c r="Z318" i="2"/>
  <c r="V318" i="2"/>
  <c r="Y322" i="2"/>
  <c r="AA322" i="2" s="1"/>
  <c r="Z322" i="2"/>
  <c r="Z329" i="2"/>
  <c r="V329" i="2"/>
  <c r="W329" i="2"/>
  <c r="Y340" i="2"/>
  <c r="Z340" i="2"/>
  <c r="V340" i="2"/>
  <c r="Y349" i="2"/>
  <c r="Y503" i="2"/>
  <c r="U29" i="3"/>
  <c r="K27" i="3"/>
  <c r="BG172" i="3"/>
  <c r="BG174" i="3"/>
  <c r="K29" i="3"/>
  <c r="W147" i="2"/>
  <c r="Z151" i="2"/>
  <c r="V151" i="2"/>
  <c r="W151" i="2"/>
  <c r="Z164" i="2"/>
  <c r="V164" i="2"/>
  <c r="Z169" i="2"/>
  <c r="W169" i="2"/>
  <c r="AA169" i="2" s="1"/>
  <c r="Z173" i="2"/>
  <c r="W173" i="2"/>
  <c r="Y192" i="2"/>
  <c r="Z192" i="2"/>
  <c r="V192" i="2"/>
  <c r="Y200" i="2"/>
  <c r="Z200" i="2"/>
  <c r="V200" i="2"/>
  <c r="Y210" i="2"/>
  <c r="Z210" i="2"/>
  <c r="V210" i="2"/>
  <c r="Y222" i="2"/>
  <c r="Z222" i="2"/>
  <c r="V222" i="2"/>
  <c r="Y228" i="2"/>
  <c r="Z228" i="2"/>
  <c r="V228" i="2"/>
  <c r="Z251" i="2"/>
  <c r="W251" i="2"/>
  <c r="Y255" i="2"/>
  <c r="Z262" i="2"/>
  <c r="V262" i="2"/>
  <c r="Y272" i="2"/>
  <c r="Z272" i="2"/>
  <c r="V272" i="2"/>
  <c r="Z285" i="2"/>
  <c r="V285" i="2"/>
  <c r="W285" i="2"/>
  <c r="Z293" i="2"/>
  <c r="W293" i="2"/>
  <c r="Y300" i="2"/>
  <c r="Z300" i="2"/>
  <c r="V300" i="2"/>
  <c r="V319" i="2"/>
  <c r="W319" i="2"/>
  <c r="Y332" i="2"/>
  <c r="Z332" i="2"/>
  <c r="V332" i="2"/>
  <c r="Y336" i="2"/>
  <c r="Z336" i="2"/>
  <c r="V336" i="2"/>
  <c r="Z341" i="2"/>
  <c r="V341" i="2"/>
  <c r="W341" i="2"/>
  <c r="Z345" i="2"/>
  <c r="V345" i="2"/>
  <c r="W345" i="2"/>
  <c r="Z349" i="2"/>
  <c r="V349" i="2"/>
  <c r="C535" i="2"/>
  <c r="C526" i="2"/>
  <c r="K17" i="3"/>
  <c r="B2" i="1" s="1"/>
  <c r="I67" i="3"/>
  <c r="Y149" i="3"/>
  <c r="Z149" i="3"/>
  <c r="V149" i="3"/>
  <c r="Y154" i="2"/>
  <c r="Z154" i="2"/>
  <c r="Y160" i="2"/>
  <c r="Z160" i="2"/>
  <c r="V160" i="2"/>
  <c r="Y161" i="2"/>
  <c r="Z183" i="2"/>
  <c r="Z201" i="2"/>
  <c r="V201" i="2"/>
  <c r="W201" i="2"/>
  <c r="Z211" i="2"/>
  <c r="V211" i="2"/>
  <c r="W211" i="2"/>
  <c r="Y214" i="2"/>
  <c r="Z214" i="2"/>
  <c r="V214" i="2"/>
  <c r="Y215" i="2"/>
  <c r="AA215" i="2" s="1"/>
  <c r="Z229" i="2"/>
  <c r="V229" i="2"/>
  <c r="W229" i="2"/>
  <c r="Z233" i="2"/>
  <c r="V233" i="2"/>
  <c r="W233" i="2"/>
  <c r="Y237" i="2"/>
  <c r="Y258" i="2"/>
  <c r="Z258" i="2"/>
  <c r="V258" i="2"/>
  <c r="Z266" i="2"/>
  <c r="V266" i="2"/>
  <c r="AA267" i="2"/>
  <c r="Y276" i="2"/>
  <c r="Z276" i="2"/>
  <c r="V276" i="2"/>
  <c r="Y288" i="2"/>
  <c r="Z288" i="2"/>
  <c r="V288" i="2"/>
  <c r="Z301" i="2"/>
  <c r="V301" i="2"/>
  <c r="W301" i="2"/>
  <c r="Y308" i="2"/>
  <c r="Z308" i="2"/>
  <c r="Z309" i="2"/>
  <c r="V309" i="2"/>
  <c r="W309" i="2"/>
  <c r="Z315" i="2"/>
  <c r="W315" i="2"/>
  <c r="Z323" i="2"/>
  <c r="AA323" i="2" s="1"/>
  <c r="Z333" i="2"/>
  <c r="V333" i="2"/>
  <c r="AA333" i="2" s="1"/>
  <c r="W333" i="2"/>
  <c r="Z348" i="2"/>
  <c r="AA348" i="2"/>
  <c r="C536" i="2"/>
  <c r="E533" i="2" s="1"/>
  <c r="C528" i="2"/>
  <c r="Y145" i="3"/>
  <c r="Z145" i="3"/>
  <c r="V145" i="3"/>
  <c r="BG161" i="3"/>
  <c r="U24" i="3"/>
  <c r="AA163" i="3"/>
  <c r="I67" i="2"/>
  <c r="Y149" i="2"/>
  <c r="AA155" i="2"/>
  <c r="AZ157" i="2"/>
  <c r="AA157" i="2"/>
  <c r="Z161" i="2"/>
  <c r="W161" i="2"/>
  <c r="AA161" i="2" s="1"/>
  <c r="Z165" i="2"/>
  <c r="V165" i="2"/>
  <c r="W165" i="2"/>
  <c r="Y176" i="2"/>
  <c r="Z176" i="2"/>
  <c r="V176" i="2"/>
  <c r="Y206" i="2"/>
  <c r="Z206" i="2"/>
  <c r="V206" i="2"/>
  <c r="Y217" i="2"/>
  <c r="Y240" i="2"/>
  <c r="Z240" i="2"/>
  <c r="V240" i="2"/>
  <c r="Y247" i="2"/>
  <c r="AA255" i="2"/>
  <c r="Z259" i="2"/>
  <c r="V259" i="2"/>
  <c r="W259" i="2"/>
  <c r="Y270" i="2"/>
  <c r="Z270" i="2"/>
  <c r="V270" i="2"/>
  <c r="Z277" i="2"/>
  <c r="V277" i="2"/>
  <c r="W277" i="2"/>
  <c r="Z289" i="2"/>
  <c r="V289" i="2"/>
  <c r="W289" i="2"/>
  <c r="Y296" i="2"/>
  <c r="Z296" i="2"/>
  <c r="V296" i="2"/>
  <c r="Y304" i="2"/>
  <c r="Z304" i="2"/>
  <c r="V304" i="2"/>
  <c r="Y326" i="2"/>
  <c r="Z326" i="2"/>
  <c r="V326" i="2"/>
  <c r="Z337" i="2"/>
  <c r="V337" i="2"/>
  <c r="W337" i="2"/>
  <c r="Y344" i="2"/>
  <c r="V344" i="2"/>
  <c r="Y352" i="2"/>
  <c r="Z352" i="2"/>
  <c r="Y153" i="3"/>
  <c r="Z153" i="3"/>
  <c r="V153" i="3"/>
  <c r="I144" i="2"/>
  <c r="V144" i="2"/>
  <c r="U145" i="2"/>
  <c r="X145" i="2" s="1"/>
  <c r="I146" i="2"/>
  <c r="AF147" i="2"/>
  <c r="BH147" i="2" s="1"/>
  <c r="P148" i="2"/>
  <c r="T148" i="2"/>
  <c r="Z148" i="2" s="1"/>
  <c r="U149" i="2"/>
  <c r="Z149" i="2" s="1"/>
  <c r="I150" i="2"/>
  <c r="BG150" i="2" s="1"/>
  <c r="AE150" i="2"/>
  <c r="BE150" i="2" s="1"/>
  <c r="AF151" i="2"/>
  <c r="BH151" i="2" s="1"/>
  <c r="P152" i="2"/>
  <c r="T152" i="2"/>
  <c r="Y152" i="2" s="1"/>
  <c r="U153" i="2"/>
  <c r="X153" i="2" s="1"/>
  <c r="I154" i="2"/>
  <c r="AF155" i="2"/>
  <c r="BH155" i="2" s="1"/>
  <c r="P156" i="2"/>
  <c r="T156" i="2"/>
  <c r="S157" i="2"/>
  <c r="W157" i="2"/>
  <c r="AF157" i="2"/>
  <c r="BH157" i="2" s="1"/>
  <c r="P158" i="2"/>
  <c r="T158" i="2"/>
  <c r="Y158" i="2" s="1"/>
  <c r="U159" i="2"/>
  <c r="I160" i="2"/>
  <c r="BG160" i="2" s="1"/>
  <c r="AF161" i="2"/>
  <c r="BH161" i="2" s="1"/>
  <c r="P162" i="2"/>
  <c r="T162" i="2"/>
  <c r="Y162" i="2" s="1"/>
  <c r="U163" i="2"/>
  <c r="Z163" i="2" s="1"/>
  <c r="I164" i="2"/>
  <c r="BG164" i="2" s="1"/>
  <c r="AE164" i="2"/>
  <c r="BE164" i="2" s="1"/>
  <c r="AF165" i="2"/>
  <c r="BH165" i="2" s="1"/>
  <c r="P166" i="2"/>
  <c r="T166" i="2"/>
  <c r="Z166" i="2" s="1"/>
  <c r="U167" i="2"/>
  <c r="I168" i="2"/>
  <c r="BG168" i="2" s="1"/>
  <c r="AE168" i="2"/>
  <c r="BE168" i="2" s="1"/>
  <c r="AF169" i="2"/>
  <c r="BH169" i="2" s="1"/>
  <c r="P170" i="2"/>
  <c r="T170" i="2"/>
  <c r="Y170" i="2" s="1"/>
  <c r="U171" i="2"/>
  <c r="I172" i="2"/>
  <c r="AE172" i="2"/>
  <c r="BE172" i="2" s="1"/>
  <c r="AF173" i="2"/>
  <c r="BH173" i="2" s="1"/>
  <c r="P174" i="2"/>
  <c r="T174" i="2"/>
  <c r="Z174" i="2" s="1"/>
  <c r="AA174" i="2" s="1"/>
  <c r="U175" i="2"/>
  <c r="X175" i="2" s="1"/>
  <c r="I176" i="2"/>
  <c r="BG176" i="2" s="1"/>
  <c r="AE176" i="2"/>
  <c r="BE176" i="2" s="1"/>
  <c r="AF177" i="2"/>
  <c r="BH177" i="2" s="1"/>
  <c r="P178" i="2"/>
  <c r="T178" i="2"/>
  <c r="Z178" i="2" s="1"/>
  <c r="U179" i="2"/>
  <c r="I180" i="2"/>
  <c r="BG180" i="2" s="1"/>
  <c r="AF181" i="2"/>
  <c r="BH181" i="2" s="1"/>
  <c r="P182" i="2"/>
  <c r="T182" i="2"/>
  <c r="U183" i="2"/>
  <c r="X183" i="2" s="1"/>
  <c r="I184" i="2"/>
  <c r="BG184" i="2" s="1"/>
  <c r="AF185" i="2"/>
  <c r="BH185" i="2" s="1"/>
  <c r="P186" i="2"/>
  <c r="T186" i="2"/>
  <c r="U187" i="2"/>
  <c r="Z187" i="2" s="1"/>
  <c r="AA187" i="2" s="1"/>
  <c r="I188" i="2"/>
  <c r="BG188" i="2" s="1"/>
  <c r="AF189" i="2"/>
  <c r="BH189" i="2" s="1"/>
  <c r="P190" i="2"/>
  <c r="T190" i="2"/>
  <c r="U191" i="2"/>
  <c r="I192" i="2"/>
  <c r="BG192" i="2" s="1"/>
  <c r="AE192" i="2"/>
  <c r="BE192" i="2" s="1"/>
  <c r="AF193" i="2"/>
  <c r="BH193" i="2" s="1"/>
  <c r="P194" i="2"/>
  <c r="T194" i="2"/>
  <c r="Z194" i="2" s="1"/>
  <c r="U195" i="2"/>
  <c r="Z195" i="2" s="1"/>
  <c r="I196" i="2"/>
  <c r="AF197" i="2"/>
  <c r="BH197" i="2" s="1"/>
  <c r="P198" i="2"/>
  <c r="T198" i="2"/>
  <c r="Y198" i="2" s="1"/>
  <c r="U199" i="2"/>
  <c r="X199" i="2" s="1"/>
  <c r="I200" i="2"/>
  <c r="BG200" i="2" s="1"/>
  <c r="AE200" i="2"/>
  <c r="BE200" i="2" s="1"/>
  <c r="AF201" i="2"/>
  <c r="BH201" i="2" s="1"/>
  <c r="P202" i="2"/>
  <c r="T202" i="2"/>
  <c r="Y202" i="2" s="1"/>
  <c r="U203" i="2"/>
  <c r="Z203" i="2" s="1"/>
  <c r="AA203" i="2" s="1"/>
  <c r="I204" i="2"/>
  <c r="BG204" i="2" s="1"/>
  <c r="Q205" i="2"/>
  <c r="Y205" i="2"/>
  <c r="I206" i="2"/>
  <c r="BG206" i="2" s="1"/>
  <c r="AE206" i="2"/>
  <c r="BE206" i="2" s="1"/>
  <c r="AF207" i="2"/>
  <c r="BH207" i="2" s="1"/>
  <c r="P208" i="2"/>
  <c r="T208" i="2"/>
  <c r="U209" i="2"/>
  <c r="Z209" i="2" s="1"/>
  <c r="I210" i="2"/>
  <c r="BG210" i="2" s="1"/>
  <c r="AE210" i="2"/>
  <c r="BE210" i="2" s="1"/>
  <c r="AF211" i="2"/>
  <c r="BH211" i="2" s="1"/>
  <c r="P212" i="2"/>
  <c r="T212" i="2"/>
  <c r="U213" i="2"/>
  <c r="Z213" i="2" s="1"/>
  <c r="I214" i="2"/>
  <c r="BG214" i="2" s="1"/>
  <c r="AE214" i="2"/>
  <c r="BE214" i="2" s="1"/>
  <c r="AF215" i="2"/>
  <c r="BH215" i="2" s="1"/>
  <c r="P216" i="2"/>
  <c r="T216" i="2"/>
  <c r="U217" i="2"/>
  <c r="Z217" i="2" s="1"/>
  <c r="I218" i="2"/>
  <c r="BG218" i="2" s="1"/>
  <c r="AE218" i="2"/>
  <c r="BE218" i="2" s="1"/>
  <c r="AF219" i="2"/>
  <c r="BH219" i="2" s="1"/>
  <c r="P220" i="2"/>
  <c r="T220" i="2"/>
  <c r="U221" i="2"/>
  <c r="I222" i="2"/>
  <c r="BG222" i="2" s="1"/>
  <c r="AE222" i="2"/>
  <c r="BE222" i="2" s="1"/>
  <c r="AF223" i="2"/>
  <c r="BH223" i="2" s="1"/>
  <c r="P224" i="2"/>
  <c r="T224" i="2"/>
  <c r="U225" i="2"/>
  <c r="X225" i="2" s="1"/>
  <c r="I226" i="2"/>
  <c r="BG226" i="2" s="1"/>
  <c r="Q227" i="2"/>
  <c r="Y227" i="2"/>
  <c r="I228" i="2"/>
  <c r="BG228" i="2" s="1"/>
  <c r="AE228" i="2"/>
  <c r="BE228" i="2" s="1"/>
  <c r="AF229" i="2"/>
  <c r="BH229" i="2" s="1"/>
  <c r="P230" i="2"/>
  <c r="T230" i="2"/>
  <c r="U231" i="2"/>
  <c r="X231" i="2" s="1"/>
  <c r="I232" i="2"/>
  <c r="BG232" i="2" s="1"/>
  <c r="AF233" i="2"/>
  <c r="BH233" i="2" s="1"/>
  <c r="P234" i="2"/>
  <c r="T234" i="2"/>
  <c r="U235" i="2"/>
  <c r="I236" i="2"/>
  <c r="AF237" i="2"/>
  <c r="BH237" i="2" s="1"/>
  <c r="P238" i="2"/>
  <c r="T238" i="2"/>
  <c r="Z238" i="2" s="1"/>
  <c r="U239" i="2"/>
  <c r="Z239" i="2" s="1"/>
  <c r="I240" i="2"/>
  <c r="BG240" i="2" s="1"/>
  <c r="AE240" i="2"/>
  <c r="BE240" i="2" s="1"/>
  <c r="AF241" i="2"/>
  <c r="BH241" i="2" s="1"/>
  <c r="P242" i="2"/>
  <c r="T242" i="2"/>
  <c r="Y242" i="2" s="1"/>
  <c r="U243" i="2"/>
  <c r="Y243" i="2" s="1"/>
  <c r="I244" i="2"/>
  <c r="BG244" i="2" s="1"/>
  <c r="AF245" i="2"/>
  <c r="BH245" i="2" s="1"/>
  <c r="V246" i="2"/>
  <c r="Z246" i="2"/>
  <c r="AE246" i="2"/>
  <c r="BE246" i="2" s="1"/>
  <c r="AF247" i="2"/>
  <c r="BH247" i="2" s="1"/>
  <c r="P248" i="2"/>
  <c r="T248" i="2"/>
  <c r="U249" i="2"/>
  <c r="Z249" i="2" s="1"/>
  <c r="I250" i="2"/>
  <c r="BG250" i="2" s="1"/>
  <c r="AE250" i="2"/>
  <c r="BE250" i="2" s="1"/>
  <c r="AF251" i="2"/>
  <c r="BH251" i="2" s="1"/>
  <c r="P252" i="2"/>
  <c r="T252" i="2"/>
  <c r="Y252" i="2" s="1"/>
  <c r="U253" i="2"/>
  <c r="X253" i="2" s="1"/>
  <c r="I254" i="2"/>
  <c r="BG254" i="2" s="1"/>
  <c r="AF255" i="2"/>
  <c r="BH255" i="2" s="1"/>
  <c r="P256" i="2"/>
  <c r="T256" i="2"/>
  <c r="U257" i="2"/>
  <c r="Y257" i="2" s="1"/>
  <c r="I258" i="2"/>
  <c r="BG258" i="2" s="1"/>
  <c r="AE258" i="2"/>
  <c r="BE258" i="2" s="1"/>
  <c r="AF259" i="2"/>
  <c r="BH259" i="2" s="1"/>
  <c r="P260" i="2"/>
  <c r="T260" i="2"/>
  <c r="U261" i="2"/>
  <c r="I262" i="2"/>
  <c r="BG262" i="2" s="1"/>
  <c r="AE262" i="2"/>
  <c r="BE262" i="2" s="1"/>
  <c r="AF263" i="2"/>
  <c r="BH263" i="2" s="1"/>
  <c r="P264" i="2"/>
  <c r="T264" i="2"/>
  <c r="U265" i="2"/>
  <c r="Y265" i="2" s="1"/>
  <c r="I266" i="2"/>
  <c r="BG266" i="2" s="1"/>
  <c r="AE266" i="2"/>
  <c r="BE266" i="2" s="1"/>
  <c r="AF267" i="2"/>
  <c r="BH267" i="2" s="1"/>
  <c r="P268" i="2"/>
  <c r="T268" i="2"/>
  <c r="U269" i="2"/>
  <c r="I270" i="2"/>
  <c r="BG270" i="2" s="1"/>
  <c r="AE270" i="2"/>
  <c r="BE270" i="2" s="1"/>
  <c r="Q271" i="2"/>
  <c r="I272" i="2"/>
  <c r="BG272" i="2" s="1"/>
  <c r="AE272" i="2"/>
  <c r="BE272" i="2" s="1"/>
  <c r="AF273" i="2"/>
  <c r="BH273" i="2" s="1"/>
  <c r="P274" i="2"/>
  <c r="T274" i="2"/>
  <c r="U275" i="2"/>
  <c r="I276" i="2"/>
  <c r="BG276" i="2" s="1"/>
  <c r="AE276" i="2"/>
  <c r="BE276" i="2" s="1"/>
  <c r="AF277" i="2"/>
  <c r="BH277" i="2" s="1"/>
  <c r="P278" i="2"/>
  <c r="T278" i="2"/>
  <c r="Z278" i="2" s="1"/>
  <c r="U279" i="2"/>
  <c r="I280" i="2"/>
  <c r="BG280" i="2" s="1"/>
  <c r="AE280" i="2"/>
  <c r="BE280" i="2" s="1"/>
  <c r="AF281" i="2"/>
  <c r="BH281" i="2" s="1"/>
  <c r="P282" i="2"/>
  <c r="T282" i="2"/>
  <c r="U283" i="2"/>
  <c r="Y283" i="2" s="1"/>
  <c r="I284" i="2"/>
  <c r="BG284" i="2" s="1"/>
  <c r="AE284" i="2"/>
  <c r="BE284" i="2" s="1"/>
  <c r="AF285" i="2"/>
  <c r="BH285" i="2" s="1"/>
  <c r="P286" i="2"/>
  <c r="T286" i="2"/>
  <c r="Y286" i="2" s="1"/>
  <c r="U287" i="2"/>
  <c r="I288" i="2"/>
  <c r="BG288" i="2" s="1"/>
  <c r="AE288" i="2"/>
  <c r="BE288" i="2" s="1"/>
  <c r="AF289" i="2"/>
  <c r="BH289" i="2" s="1"/>
  <c r="P290" i="2"/>
  <c r="T290" i="2"/>
  <c r="U291" i="2"/>
  <c r="X291" i="2" s="1"/>
  <c r="I292" i="2"/>
  <c r="BG292" i="2" s="1"/>
  <c r="AE292" i="2"/>
  <c r="BE292" i="2" s="1"/>
  <c r="AF293" i="2"/>
  <c r="BH293" i="2" s="1"/>
  <c r="P294" i="2"/>
  <c r="T294" i="2"/>
  <c r="U295" i="2"/>
  <c r="X295" i="2" s="1"/>
  <c r="I296" i="2"/>
  <c r="BG296" i="2" s="1"/>
  <c r="AE296" i="2"/>
  <c r="BE296" i="2" s="1"/>
  <c r="AF297" i="2"/>
  <c r="BH297" i="2" s="1"/>
  <c r="P298" i="2"/>
  <c r="T298" i="2"/>
  <c r="U299" i="2"/>
  <c r="I300" i="2"/>
  <c r="BG300" i="2" s="1"/>
  <c r="AE300" i="2"/>
  <c r="BE300" i="2" s="1"/>
  <c r="AF301" i="2"/>
  <c r="BH301" i="2" s="1"/>
  <c r="P302" i="2"/>
  <c r="T302" i="2"/>
  <c r="U303" i="2"/>
  <c r="Y303" i="2" s="1"/>
  <c r="I304" i="2"/>
  <c r="BG304" i="2" s="1"/>
  <c r="AE304" i="2"/>
  <c r="BE304" i="2" s="1"/>
  <c r="AF305" i="2"/>
  <c r="BH305" i="2" s="1"/>
  <c r="P306" i="2"/>
  <c r="T306" i="2"/>
  <c r="U307" i="2"/>
  <c r="X307" i="2" s="1"/>
  <c r="I308" i="2"/>
  <c r="BG308" i="2" s="1"/>
  <c r="AF309" i="2"/>
  <c r="BH309" i="2" s="1"/>
  <c r="P310" i="2"/>
  <c r="T310" i="2"/>
  <c r="W311" i="2"/>
  <c r="AA311" i="2" s="1"/>
  <c r="AF311" i="2"/>
  <c r="BH311" i="2" s="1"/>
  <c r="P312" i="2"/>
  <c r="T312" i="2"/>
  <c r="U313" i="2"/>
  <c r="X313" i="2" s="1"/>
  <c r="I314" i="2"/>
  <c r="BG314" i="2" s="1"/>
  <c r="AF315" i="2"/>
  <c r="BH315" i="2" s="1"/>
  <c r="P316" i="2"/>
  <c r="T316" i="2"/>
  <c r="Z316" i="2" s="1"/>
  <c r="U317" i="2"/>
  <c r="Y317" i="2" s="1"/>
  <c r="I318" i="2"/>
  <c r="BG318" i="2" s="1"/>
  <c r="AE318" i="2"/>
  <c r="BE318" i="2" s="1"/>
  <c r="AF319" i="2"/>
  <c r="BH319" i="2" s="1"/>
  <c r="P320" i="2"/>
  <c r="T320" i="2"/>
  <c r="U321" i="2"/>
  <c r="X321" i="2" s="1"/>
  <c r="I322" i="2"/>
  <c r="BG322" i="2" s="1"/>
  <c r="AF323" i="2"/>
  <c r="BH323" i="2" s="1"/>
  <c r="P324" i="2"/>
  <c r="T324" i="2"/>
  <c r="Z324" i="2" s="1"/>
  <c r="U325" i="2"/>
  <c r="Y325" i="2" s="1"/>
  <c r="I326" i="2"/>
  <c r="BG326" i="2" s="1"/>
  <c r="AE326" i="2"/>
  <c r="BE326" i="2" s="1"/>
  <c r="AF327" i="2"/>
  <c r="BH327" i="2" s="1"/>
  <c r="V328" i="2"/>
  <c r="Z328" i="2"/>
  <c r="AE328" i="2"/>
  <c r="BE328" i="2" s="1"/>
  <c r="AF329" i="2"/>
  <c r="BH329" i="2" s="1"/>
  <c r="P330" i="2"/>
  <c r="T330" i="2"/>
  <c r="Z330" i="2" s="1"/>
  <c r="U331" i="2"/>
  <c r="I332" i="2"/>
  <c r="BG332" i="2" s="1"/>
  <c r="AE332" i="2"/>
  <c r="BE332" i="2" s="1"/>
  <c r="AF333" i="2"/>
  <c r="BH333" i="2" s="1"/>
  <c r="P334" i="2"/>
  <c r="T334" i="2"/>
  <c r="Y334" i="2" s="1"/>
  <c r="U335" i="2"/>
  <c r="X335" i="2" s="1"/>
  <c r="AA335" i="2" s="1"/>
  <c r="I336" i="2"/>
  <c r="AE336" i="2"/>
  <c r="BE336" i="2" s="1"/>
  <c r="AF337" i="2"/>
  <c r="BH337" i="2" s="1"/>
  <c r="P338" i="2"/>
  <c r="T338" i="2"/>
  <c r="U339" i="2"/>
  <c r="X339" i="2" s="1"/>
  <c r="I340" i="2"/>
  <c r="BG340" i="2" s="1"/>
  <c r="AE340" i="2"/>
  <c r="BE340" i="2" s="1"/>
  <c r="AF341" i="2"/>
  <c r="BH341" i="2" s="1"/>
  <c r="P342" i="2"/>
  <c r="T342" i="2"/>
  <c r="Y342" i="2" s="1"/>
  <c r="U343" i="2"/>
  <c r="X343" i="2" s="1"/>
  <c r="I344" i="2"/>
  <c r="BG344" i="2" s="1"/>
  <c r="AE344" i="2"/>
  <c r="BE344" i="2" s="1"/>
  <c r="AF345" i="2"/>
  <c r="BH345" i="2" s="1"/>
  <c r="P346" i="2"/>
  <c r="T346" i="2"/>
  <c r="Z346" i="2" s="1"/>
  <c r="U347" i="2"/>
  <c r="Z347" i="2" s="1"/>
  <c r="I348" i="2"/>
  <c r="BG348" i="2" s="1"/>
  <c r="AF349" i="2"/>
  <c r="BH349" i="2" s="1"/>
  <c r="P350" i="2"/>
  <c r="T350" i="2"/>
  <c r="Z350" i="2" s="1"/>
  <c r="U351" i="2"/>
  <c r="X351" i="2" s="1"/>
  <c r="I352" i="2"/>
  <c r="T353" i="2"/>
  <c r="Z353" i="2" s="1"/>
  <c r="AA353" i="2" s="1"/>
  <c r="R461" i="2"/>
  <c r="X462" i="2"/>
  <c r="AB462" i="2"/>
  <c r="J470" i="2"/>
  <c r="J471" i="2" s="1"/>
  <c r="X474" i="2"/>
  <c r="X475" i="2" s="1"/>
  <c r="L476" i="2"/>
  <c r="Z482" i="2"/>
  <c r="L486" i="2"/>
  <c r="AK487" i="2"/>
  <c r="AK488" i="2" s="1"/>
  <c r="Z490" i="2"/>
  <c r="X492" i="2"/>
  <c r="X493" i="2" s="1"/>
  <c r="AE495" i="2"/>
  <c r="AE496" i="2" s="1"/>
  <c r="Y498" i="2"/>
  <c r="X502" i="2"/>
  <c r="X503" i="2" s="1"/>
  <c r="F507" i="2"/>
  <c r="M507" i="2" s="1"/>
  <c r="F524" i="2"/>
  <c r="G533" i="2" s="1"/>
  <c r="J524" i="2"/>
  <c r="K533" i="2" s="1"/>
  <c r="C534" i="2"/>
  <c r="L23" i="3"/>
  <c r="L25" i="3"/>
  <c r="L34" i="3"/>
  <c r="V35" i="3"/>
  <c r="L36" i="3"/>
  <c r="V36" i="3"/>
  <c r="V37" i="3"/>
  <c r="L38" i="3"/>
  <c r="AF351" i="3"/>
  <c r="BH351" i="3" s="1"/>
  <c r="AF347" i="3"/>
  <c r="BH347" i="3" s="1"/>
  <c r="AF343" i="3"/>
  <c r="BH343" i="3" s="1"/>
  <c r="AF339" i="3"/>
  <c r="BH339" i="3" s="1"/>
  <c r="AF335" i="3"/>
  <c r="BH335" i="3" s="1"/>
  <c r="AF331" i="3"/>
  <c r="BH331" i="3" s="1"/>
  <c r="AF325" i="3"/>
  <c r="BH325" i="3" s="1"/>
  <c r="AF321" i="3"/>
  <c r="BH321" i="3" s="1"/>
  <c r="AF317" i="3"/>
  <c r="BH317" i="3" s="1"/>
  <c r="AF313" i="3"/>
  <c r="BH313" i="3" s="1"/>
  <c r="Q311" i="3"/>
  <c r="AF307" i="3"/>
  <c r="BH307" i="3" s="1"/>
  <c r="AF303" i="3"/>
  <c r="BH303" i="3" s="1"/>
  <c r="AF299" i="3"/>
  <c r="BH299" i="3" s="1"/>
  <c r="AF295" i="3"/>
  <c r="BH295" i="3" s="1"/>
  <c r="AF291" i="3"/>
  <c r="BH291" i="3" s="1"/>
  <c r="AF287" i="3"/>
  <c r="BH287" i="3" s="1"/>
  <c r="AF283" i="3"/>
  <c r="BH283" i="3" s="1"/>
  <c r="AF279" i="3"/>
  <c r="BH279" i="3" s="1"/>
  <c r="AF275" i="3"/>
  <c r="BH275" i="3" s="1"/>
  <c r="AF271" i="3"/>
  <c r="BH271" i="3" s="1"/>
  <c r="AF269" i="3"/>
  <c r="BH269" i="3" s="1"/>
  <c r="AF265" i="3"/>
  <c r="BH265" i="3" s="1"/>
  <c r="AF261" i="3"/>
  <c r="BH261" i="3" s="1"/>
  <c r="AF257" i="3"/>
  <c r="BH257" i="3" s="1"/>
  <c r="AF253" i="3"/>
  <c r="BH253" i="3" s="1"/>
  <c r="AF249" i="3"/>
  <c r="BH249" i="3" s="1"/>
  <c r="AF352" i="3"/>
  <c r="BH352" i="3" s="1"/>
  <c r="AF348" i="3"/>
  <c r="BH348" i="3" s="1"/>
  <c r="AF344" i="3"/>
  <c r="BH344" i="3" s="1"/>
  <c r="AF340" i="3"/>
  <c r="BH340" i="3" s="1"/>
  <c r="AF336" i="3"/>
  <c r="BH336" i="3" s="1"/>
  <c r="AF332" i="3"/>
  <c r="BH332" i="3" s="1"/>
  <c r="AF328" i="3"/>
  <c r="BH328" i="3" s="1"/>
  <c r="AF326" i="3"/>
  <c r="BH326" i="3" s="1"/>
  <c r="AF322" i="3"/>
  <c r="BH322" i="3" s="1"/>
  <c r="AF318" i="3"/>
  <c r="BH318" i="3" s="1"/>
  <c r="AF314" i="3"/>
  <c r="BH314" i="3" s="1"/>
  <c r="AF308" i="3"/>
  <c r="BH308" i="3" s="1"/>
  <c r="AF304" i="3"/>
  <c r="BH304" i="3" s="1"/>
  <c r="AF300" i="3"/>
  <c r="BH300" i="3" s="1"/>
  <c r="AF296" i="3"/>
  <c r="BH296" i="3" s="1"/>
  <c r="AF292" i="3"/>
  <c r="BH292" i="3" s="1"/>
  <c r="AF288" i="3"/>
  <c r="BH288" i="3" s="1"/>
  <c r="AF284" i="3"/>
  <c r="BH284" i="3" s="1"/>
  <c r="AF280" i="3"/>
  <c r="BH280" i="3" s="1"/>
  <c r="AF276" i="3"/>
  <c r="BH276" i="3" s="1"/>
  <c r="AF272" i="3"/>
  <c r="BH272" i="3" s="1"/>
  <c r="AE271" i="3"/>
  <c r="BE271" i="3" s="1"/>
  <c r="AF270" i="3"/>
  <c r="BH270" i="3" s="1"/>
  <c r="AF266" i="3"/>
  <c r="BH266" i="3" s="1"/>
  <c r="AF262" i="3"/>
  <c r="BH262" i="3" s="1"/>
  <c r="AF258" i="3"/>
  <c r="BH258" i="3" s="1"/>
  <c r="AF254" i="3"/>
  <c r="BH254" i="3" s="1"/>
  <c r="AF250" i="3"/>
  <c r="BH250" i="3" s="1"/>
  <c r="AF246" i="3"/>
  <c r="BH246" i="3" s="1"/>
  <c r="AF244" i="3"/>
  <c r="BH244" i="3" s="1"/>
  <c r="AF240" i="3"/>
  <c r="BH240" i="3" s="1"/>
  <c r="AF236" i="3"/>
  <c r="BH236" i="3" s="1"/>
  <c r="AF232" i="3"/>
  <c r="BH232" i="3" s="1"/>
  <c r="AF228" i="3"/>
  <c r="BH228" i="3" s="1"/>
  <c r="AE227" i="3"/>
  <c r="BE227" i="3" s="1"/>
  <c r="AF226" i="3"/>
  <c r="BH226" i="3" s="1"/>
  <c r="AF222" i="3"/>
  <c r="BH222" i="3" s="1"/>
  <c r="AF218" i="3"/>
  <c r="BH218" i="3" s="1"/>
  <c r="AF214" i="3"/>
  <c r="BH214" i="3" s="1"/>
  <c r="AF210" i="3"/>
  <c r="BH210" i="3" s="1"/>
  <c r="AF206" i="3"/>
  <c r="BH206" i="3" s="1"/>
  <c r="AE205" i="3"/>
  <c r="BE205" i="3" s="1"/>
  <c r="AF204" i="3"/>
  <c r="BH204" i="3" s="1"/>
  <c r="AF200" i="3"/>
  <c r="BH200" i="3" s="1"/>
  <c r="AF196" i="3"/>
  <c r="BH196" i="3" s="1"/>
  <c r="AF192" i="3"/>
  <c r="BH192" i="3" s="1"/>
  <c r="AF188" i="3"/>
  <c r="BH188" i="3" s="1"/>
  <c r="AF184" i="3"/>
  <c r="BH184" i="3" s="1"/>
  <c r="AF180" i="3"/>
  <c r="BH180" i="3" s="1"/>
  <c r="AF176" i="3"/>
  <c r="BH176" i="3" s="1"/>
  <c r="AF349" i="3"/>
  <c r="BH349" i="3" s="1"/>
  <c r="AF345" i="3"/>
  <c r="BH345" i="3" s="1"/>
  <c r="AF341" i="3"/>
  <c r="BH341" i="3" s="1"/>
  <c r="AF337" i="3"/>
  <c r="BH337" i="3" s="1"/>
  <c r="AF333" i="3"/>
  <c r="BH333" i="3" s="1"/>
  <c r="AF329" i="3"/>
  <c r="BH329" i="3" s="1"/>
  <c r="AE328" i="3"/>
  <c r="BE328" i="3" s="1"/>
  <c r="AF327" i="3"/>
  <c r="BH327" i="3" s="1"/>
  <c r="AF323" i="3"/>
  <c r="BH323" i="3" s="1"/>
  <c r="AF319" i="3"/>
  <c r="BH319" i="3" s="1"/>
  <c r="AF315" i="3"/>
  <c r="BH315" i="3" s="1"/>
  <c r="AF311" i="3"/>
  <c r="BH311" i="3" s="1"/>
  <c r="AF309" i="3"/>
  <c r="BH309" i="3" s="1"/>
  <c r="AF305" i="3"/>
  <c r="BH305" i="3" s="1"/>
  <c r="AF301" i="3"/>
  <c r="BH301" i="3" s="1"/>
  <c r="AF297" i="3"/>
  <c r="BH297" i="3" s="1"/>
  <c r="AF293" i="3"/>
  <c r="BH293" i="3" s="1"/>
  <c r="AF289" i="3"/>
  <c r="BH289" i="3" s="1"/>
  <c r="AF285" i="3"/>
  <c r="BH285" i="3" s="1"/>
  <c r="AF281" i="3"/>
  <c r="BH281" i="3" s="1"/>
  <c r="AF277" i="3"/>
  <c r="BH277" i="3" s="1"/>
  <c r="AF273" i="3"/>
  <c r="BH273" i="3" s="1"/>
  <c r="Q271" i="3"/>
  <c r="AF267" i="3"/>
  <c r="BH267" i="3" s="1"/>
  <c r="AF263" i="3"/>
  <c r="BH263" i="3" s="1"/>
  <c r="AF259" i="3"/>
  <c r="BH259" i="3" s="1"/>
  <c r="AF255" i="3"/>
  <c r="BH255" i="3" s="1"/>
  <c r="AF251" i="3"/>
  <c r="BH251" i="3" s="1"/>
  <c r="AF247" i="3"/>
  <c r="BH247" i="3" s="1"/>
  <c r="AE246" i="3"/>
  <c r="BE246" i="3" s="1"/>
  <c r="AF245" i="3"/>
  <c r="BH245" i="3" s="1"/>
  <c r="AF241" i="3"/>
  <c r="BH241" i="3" s="1"/>
  <c r="AF237" i="3"/>
  <c r="BH237" i="3" s="1"/>
  <c r="AF233" i="3"/>
  <c r="BH233" i="3" s="1"/>
  <c r="AF229" i="3"/>
  <c r="BH229" i="3" s="1"/>
  <c r="Q227" i="3"/>
  <c r="AF223" i="3"/>
  <c r="BH223" i="3" s="1"/>
  <c r="AF219" i="3"/>
  <c r="BH219" i="3" s="1"/>
  <c r="AF215" i="3"/>
  <c r="BH215" i="3" s="1"/>
  <c r="AF211" i="3"/>
  <c r="BH211" i="3" s="1"/>
  <c r="AF207" i="3"/>
  <c r="BH207" i="3" s="1"/>
  <c r="Q205" i="3"/>
  <c r="AF201" i="3"/>
  <c r="BH201" i="3" s="1"/>
  <c r="AF350" i="3"/>
  <c r="BH350" i="3" s="1"/>
  <c r="AF346" i="3"/>
  <c r="BH346" i="3" s="1"/>
  <c r="AF342" i="3"/>
  <c r="BH342" i="3" s="1"/>
  <c r="AF338" i="3"/>
  <c r="BH338" i="3" s="1"/>
  <c r="AF334" i="3"/>
  <c r="BH334" i="3" s="1"/>
  <c r="AF330" i="3"/>
  <c r="BH330" i="3" s="1"/>
  <c r="Q328" i="3"/>
  <c r="AF324" i="3"/>
  <c r="BH324" i="3" s="1"/>
  <c r="AF320" i="3"/>
  <c r="BH320" i="3" s="1"/>
  <c r="AF316" i="3"/>
  <c r="BH316" i="3" s="1"/>
  <c r="AF312" i="3"/>
  <c r="BH312" i="3" s="1"/>
  <c r="AE311" i="3"/>
  <c r="BE311" i="3" s="1"/>
  <c r="AF310" i="3"/>
  <c r="BH310" i="3" s="1"/>
  <c r="AF306" i="3"/>
  <c r="BH306" i="3" s="1"/>
  <c r="AF302" i="3"/>
  <c r="BH302" i="3" s="1"/>
  <c r="AF298" i="3"/>
  <c r="BH298" i="3" s="1"/>
  <c r="AF294" i="3"/>
  <c r="BH294" i="3" s="1"/>
  <c r="AF290" i="3"/>
  <c r="BH290" i="3" s="1"/>
  <c r="AF286" i="3"/>
  <c r="BH286" i="3" s="1"/>
  <c r="AF282" i="3"/>
  <c r="BH282" i="3" s="1"/>
  <c r="AF278" i="3"/>
  <c r="BH278" i="3" s="1"/>
  <c r="AF274" i="3"/>
  <c r="BH274" i="3" s="1"/>
  <c r="AF268" i="3"/>
  <c r="BH268" i="3" s="1"/>
  <c r="AF264" i="3"/>
  <c r="BH264" i="3" s="1"/>
  <c r="AF260" i="3"/>
  <c r="BH260" i="3" s="1"/>
  <c r="AF256" i="3"/>
  <c r="BH256" i="3" s="1"/>
  <c r="AF252" i="3"/>
  <c r="BH252" i="3" s="1"/>
  <c r="AF248" i="3"/>
  <c r="BH248" i="3" s="1"/>
  <c r="Q246" i="3"/>
  <c r="AF242" i="3"/>
  <c r="BH242" i="3" s="1"/>
  <c r="AF238" i="3"/>
  <c r="BH238" i="3" s="1"/>
  <c r="AF234" i="3"/>
  <c r="BH234" i="3" s="1"/>
  <c r="AF230" i="3"/>
  <c r="BH230" i="3" s="1"/>
  <c r="AF224" i="3"/>
  <c r="BH224" i="3" s="1"/>
  <c r="AF220" i="3"/>
  <c r="BH220" i="3" s="1"/>
  <c r="AF216" i="3"/>
  <c r="BH216" i="3" s="1"/>
  <c r="AF212" i="3"/>
  <c r="BH212" i="3" s="1"/>
  <c r="AF208" i="3"/>
  <c r="BH208" i="3" s="1"/>
  <c r="AF202" i="3"/>
  <c r="BH202" i="3" s="1"/>
  <c r="AF198" i="3"/>
  <c r="BH198" i="3" s="1"/>
  <c r="AF194" i="3"/>
  <c r="BH194" i="3" s="1"/>
  <c r="AF190" i="3"/>
  <c r="BH190" i="3" s="1"/>
  <c r="Q188" i="3"/>
  <c r="AF186" i="3"/>
  <c r="BH186" i="3" s="1"/>
  <c r="Q184" i="3"/>
  <c r="AF182" i="3"/>
  <c r="BH182" i="3" s="1"/>
  <c r="AF178" i="3"/>
  <c r="BH178" i="3" s="1"/>
  <c r="Q176" i="3"/>
  <c r="AF174" i="3"/>
  <c r="BH174" i="3" s="1"/>
  <c r="I145" i="3"/>
  <c r="AE145" i="3"/>
  <c r="BE145" i="3" s="1"/>
  <c r="AF146" i="3"/>
  <c r="BH146" i="3" s="1"/>
  <c r="P147" i="3"/>
  <c r="T147" i="3"/>
  <c r="Y147" i="3" s="1"/>
  <c r="U148" i="3"/>
  <c r="Y148" i="3" s="1"/>
  <c r="I149" i="3"/>
  <c r="BG149" i="3" s="1"/>
  <c r="AE149" i="3"/>
  <c r="BE149" i="3" s="1"/>
  <c r="AF150" i="3"/>
  <c r="BH150" i="3" s="1"/>
  <c r="P151" i="3"/>
  <c r="T151" i="3"/>
  <c r="U152" i="3"/>
  <c r="Y152" i="3" s="1"/>
  <c r="I153" i="3"/>
  <c r="AE153" i="3"/>
  <c r="BE153" i="3" s="1"/>
  <c r="AF154" i="3"/>
  <c r="BH154" i="3" s="1"/>
  <c r="P155" i="3"/>
  <c r="T155" i="3"/>
  <c r="Z155" i="3" s="1"/>
  <c r="AA155" i="3" s="1"/>
  <c r="AB155" i="3" s="1"/>
  <c r="AC155" i="3" s="1"/>
  <c r="U156" i="3"/>
  <c r="X157" i="3"/>
  <c r="U158" i="3"/>
  <c r="I159" i="3"/>
  <c r="BG159" i="3" s="1"/>
  <c r="AF160" i="3"/>
  <c r="BH160" i="3" s="1"/>
  <c r="P161" i="3"/>
  <c r="T161" i="3"/>
  <c r="AB161" i="3"/>
  <c r="AC161" i="3" s="1"/>
  <c r="U162" i="3"/>
  <c r="I163" i="3"/>
  <c r="BG163" i="3" s="1"/>
  <c r="AF164" i="3"/>
  <c r="BH164" i="3" s="1"/>
  <c r="P165" i="3"/>
  <c r="T165" i="3"/>
  <c r="U166" i="3"/>
  <c r="Z166" i="3" s="1"/>
  <c r="I167" i="3"/>
  <c r="AF168" i="3"/>
  <c r="BH168" i="3" s="1"/>
  <c r="P169" i="3"/>
  <c r="T169" i="3"/>
  <c r="U170" i="3"/>
  <c r="Z170" i="3" s="1"/>
  <c r="P172" i="3"/>
  <c r="Q172" i="3" s="1"/>
  <c r="I173" i="3"/>
  <c r="P173" i="3"/>
  <c r="U173" i="3"/>
  <c r="AF173" i="3"/>
  <c r="BH173" i="3" s="1"/>
  <c r="P176" i="3"/>
  <c r="U178" i="3"/>
  <c r="P178" i="3"/>
  <c r="Q178" i="3" s="1"/>
  <c r="P180" i="3"/>
  <c r="Q180" i="3" s="1"/>
  <c r="AB180" i="3"/>
  <c r="AC180" i="3" s="1"/>
  <c r="I181" i="3"/>
  <c r="BG181" i="3" s="1"/>
  <c r="U184" i="3"/>
  <c r="T185" i="3"/>
  <c r="P185" i="3"/>
  <c r="AE185" i="3"/>
  <c r="BE185" i="3" s="1"/>
  <c r="Z185" i="3"/>
  <c r="AF185" i="3"/>
  <c r="BH185" i="3" s="1"/>
  <c r="AE187" i="3"/>
  <c r="BE187" i="3" s="1"/>
  <c r="I187" i="3"/>
  <c r="T187" i="3"/>
  <c r="P187" i="3"/>
  <c r="Z187" i="3"/>
  <c r="AA187" i="3" s="1"/>
  <c r="AB187" i="3" s="1"/>
  <c r="AC187" i="3" s="1"/>
  <c r="U188" i="3"/>
  <c r="T189" i="3"/>
  <c r="P189" i="3"/>
  <c r="AE189" i="3"/>
  <c r="BE189" i="3" s="1"/>
  <c r="AF191" i="3"/>
  <c r="BH191" i="3" s="1"/>
  <c r="T193" i="3"/>
  <c r="P193" i="3"/>
  <c r="AE193" i="3"/>
  <c r="BE193" i="3" s="1"/>
  <c r="T194" i="3"/>
  <c r="T196" i="3"/>
  <c r="I197" i="3"/>
  <c r="BG197" i="3" s="1"/>
  <c r="T198" i="3"/>
  <c r="Y198" i="3" s="1"/>
  <c r="AF199" i="3"/>
  <c r="BH199" i="3" s="1"/>
  <c r="AF205" i="3"/>
  <c r="BH205" i="3" s="1"/>
  <c r="AE206" i="3"/>
  <c r="BE206" i="3" s="1"/>
  <c r="I206" i="3"/>
  <c r="BG206" i="3" s="1"/>
  <c r="P206" i="3"/>
  <c r="Q206" i="3" s="1"/>
  <c r="U211" i="3"/>
  <c r="T218" i="3"/>
  <c r="AB222" i="3"/>
  <c r="AC222" i="3" s="1"/>
  <c r="AE225" i="3"/>
  <c r="BE225" i="3" s="1"/>
  <c r="V225" i="3"/>
  <c r="U225" i="3"/>
  <c r="T225" i="3"/>
  <c r="P225" i="3"/>
  <c r="Q225" i="3" s="1"/>
  <c r="Z225" i="3"/>
  <c r="AF225" i="3"/>
  <c r="BH225" i="3" s="1"/>
  <c r="I226" i="3"/>
  <c r="BG226" i="3" s="1"/>
  <c r="U226" i="3"/>
  <c r="P226" i="3"/>
  <c r="Q226" i="3" s="1"/>
  <c r="I231" i="3"/>
  <c r="U233" i="3"/>
  <c r="V234" i="3"/>
  <c r="AF235" i="3"/>
  <c r="BH235" i="3" s="1"/>
  <c r="I236" i="3"/>
  <c r="U236" i="3"/>
  <c r="P236" i="3"/>
  <c r="Q236" i="3" s="1"/>
  <c r="U238" i="3"/>
  <c r="I239" i="3"/>
  <c r="BG239" i="3" s="1"/>
  <c r="U241" i="3"/>
  <c r="V242" i="3"/>
  <c r="U247" i="3"/>
  <c r="V248" i="3"/>
  <c r="AE257" i="3"/>
  <c r="BE257" i="3" s="1"/>
  <c r="AE260" i="3"/>
  <c r="BE260" i="3" s="1"/>
  <c r="AE270" i="3"/>
  <c r="BE270" i="3" s="1"/>
  <c r="AE288" i="3"/>
  <c r="BE288" i="3" s="1"/>
  <c r="AE296" i="3"/>
  <c r="BE296" i="3" s="1"/>
  <c r="AE304" i="3"/>
  <c r="BE304" i="3" s="1"/>
  <c r="AE318" i="3"/>
  <c r="BE318" i="3" s="1"/>
  <c r="AE321" i="3"/>
  <c r="BE321" i="3" s="1"/>
  <c r="Y457" i="3"/>
  <c r="Y473" i="3"/>
  <c r="K17" i="4"/>
  <c r="B3" i="1" s="1"/>
  <c r="BG155" i="4"/>
  <c r="K26" i="4"/>
  <c r="BG173" i="4"/>
  <c r="K28" i="4"/>
  <c r="X249" i="4"/>
  <c r="Z249" i="4"/>
  <c r="V249" i="4"/>
  <c r="X253" i="4"/>
  <c r="Z253" i="4"/>
  <c r="V253" i="4"/>
  <c r="X283" i="4"/>
  <c r="Z283" i="4"/>
  <c r="V283" i="4"/>
  <c r="X295" i="4"/>
  <c r="Z295" i="4"/>
  <c r="V295" i="4"/>
  <c r="X335" i="4"/>
  <c r="Z335" i="4"/>
  <c r="V335" i="4"/>
  <c r="X343" i="4"/>
  <c r="Z343" i="4"/>
  <c r="V343" i="4"/>
  <c r="X351" i="4"/>
  <c r="Z351" i="4"/>
  <c r="V351" i="4"/>
  <c r="Y465" i="4"/>
  <c r="I145" i="2"/>
  <c r="V145" i="2"/>
  <c r="AE145" i="2"/>
  <c r="BE145" i="2" s="1"/>
  <c r="W146" i="2"/>
  <c r="AA146" i="2" s="1"/>
  <c r="AF146" i="2"/>
  <c r="BH146" i="2" s="1"/>
  <c r="P147" i="2"/>
  <c r="Q147" i="2" s="1"/>
  <c r="X147" i="2"/>
  <c r="Q148" i="2"/>
  <c r="U148" i="2"/>
  <c r="I149" i="2"/>
  <c r="BG149" i="2" s="1"/>
  <c r="V149" i="2"/>
  <c r="AE149" i="2"/>
  <c r="BE149" i="2" s="1"/>
  <c r="W150" i="2"/>
  <c r="AF150" i="2"/>
  <c r="BH150" i="2" s="1"/>
  <c r="P151" i="2"/>
  <c r="Q151" i="2" s="1"/>
  <c r="X151" i="2"/>
  <c r="Q152" i="2"/>
  <c r="U152" i="2"/>
  <c r="Z152" i="2" s="1"/>
  <c r="I153" i="2"/>
  <c r="V153" i="2"/>
  <c r="AE153" i="2"/>
  <c r="BE153" i="2" s="1"/>
  <c r="W154" i="2"/>
  <c r="AA154" i="2" s="1"/>
  <c r="AF154" i="2"/>
  <c r="BH154" i="2" s="1"/>
  <c r="P155" i="2"/>
  <c r="Q155" i="2" s="1"/>
  <c r="Q156" i="2"/>
  <c r="U156" i="2"/>
  <c r="Q158" i="2"/>
  <c r="U158" i="2"/>
  <c r="Z158" i="2" s="1"/>
  <c r="I159" i="2"/>
  <c r="BG159" i="2" s="1"/>
  <c r="AE159" i="2"/>
  <c r="BE159" i="2" s="1"/>
  <c r="W160" i="2"/>
  <c r="AF160" i="2"/>
  <c r="BH160" i="2" s="1"/>
  <c r="P161" i="2"/>
  <c r="Q161" i="2" s="1"/>
  <c r="X161" i="2"/>
  <c r="Q162" i="2"/>
  <c r="U162" i="2"/>
  <c r="I163" i="2"/>
  <c r="BG163" i="2" s="1"/>
  <c r="V163" i="2"/>
  <c r="W164" i="2"/>
  <c r="AF164" i="2"/>
  <c r="BH164" i="2" s="1"/>
  <c r="P165" i="2"/>
  <c r="X165" i="2"/>
  <c r="Q166" i="2"/>
  <c r="U166" i="2"/>
  <c r="I167" i="2"/>
  <c r="W168" i="2"/>
  <c r="AF168" i="2"/>
  <c r="BH168" i="2" s="1"/>
  <c r="P169" i="2"/>
  <c r="X169" i="2"/>
  <c r="Q170" i="2"/>
  <c r="U170" i="2"/>
  <c r="I171" i="2"/>
  <c r="W172" i="2"/>
  <c r="AF172" i="2"/>
  <c r="BH172" i="2" s="1"/>
  <c r="P173" i="2"/>
  <c r="X173" i="2"/>
  <c r="AA173" i="2" s="1"/>
  <c r="Q174" i="2"/>
  <c r="U174" i="2"/>
  <c r="I175" i="2"/>
  <c r="BG175" i="2" s="1"/>
  <c r="V175" i="2"/>
  <c r="AF176" i="2"/>
  <c r="BH176" i="2" s="1"/>
  <c r="P177" i="2"/>
  <c r="Q178" i="2"/>
  <c r="U178" i="2"/>
  <c r="I179" i="2"/>
  <c r="BG179" i="2" s="1"/>
  <c r="AF180" i="2"/>
  <c r="BH180" i="2" s="1"/>
  <c r="P181" i="2"/>
  <c r="Q182" i="2"/>
  <c r="U182" i="2"/>
  <c r="I183" i="2"/>
  <c r="BG183" i="2" s="1"/>
  <c r="V183" i="2"/>
  <c r="AF184" i="2"/>
  <c r="BH184" i="2" s="1"/>
  <c r="P185" i="2"/>
  <c r="X185" i="2"/>
  <c r="Q186" i="2"/>
  <c r="U186" i="2"/>
  <c r="I187" i="2"/>
  <c r="AF188" i="2"/>
  <c r="BH188" i="2" s="1"/>
  <c r="P189" i="2"/>
  <c r="Q190" i="2"/>
  <c r="U190" i="2"/>
  <c r="I191" i="2"/>
  <c r="BG191" i="2" s="1"/>
  <c r="W192" i="2"/>
  <c r="AF192" i="2"/>
  <c r="BH192" i="2" s="1"/>
  <c r="P193" i="2"/>
  <c r="Q194" i="2"/>
  <c r="U194" i="2"/>
  <c r="I195" i="2"/>
  <c r="V195" i="2"/>
  <c r="W196" i="2"/>
  <c r="AA196" i="2" s="1"/>
  <c r="AF196" i="2"/>
  <c r="BH196" i="2" s="1"/>
  <c r="P197" i="2"/>
  <c r="X197" i="2"/>
  <c r="Q198" i="2"/>
  <c r="U198" i="2"/>
  <c r="I199" i="2"/>
  <c r="W200" i="2"/>
  <c r="AF200" i="2"/>
  <c r="BH200" i="2" s="1"/>
  <c r="P201" i="2"/>
  <c r="X201" i="2"/>
  <c r="Q202" i="2"/>
  <c r="U202" i="2"/>
  <c r="I203" i="2"/>
  <c r="AF204" i="2"/>
  <c r="BH204" i="2" s="1"/>
  <c r="V205" i="2"/>
  <c r="Z205" i="2"/>
  <c r="AE205" i="2"/>
  <c r="BE205" i="2" s="1"/>
  <c r="W206" i="2"/>
  <c r="AF206" i="2"/>
  <c r="BH206" i="2" s="1"/>
  <c r="P207" i="2"/>
  <c r="X207" i="2"/>
  <c r="Q208" i="2"/>
  <c r="U208" i="2"/>
  <c r="I209" i="2"/>
  <c r="W210" i="2"/>
  <c r="AF210" i="2"/>
  <c r="BH210" i="2" s="1"/>
  <c r="P211" i="2"/>
  <c r="X211" i="2"/>
  <c r="Q212" i="2"/>
  <c r="U212" i="2"/>
  <c r="I213" i="2"/>
  <c r="BG213" i="2" s="1"/>
  <c r="V213" i="2"/>
  <c r="W214" i="2"/>
  <c r="AF214" i="2"/>
  <c r="BH214" i="2" s="1"/>
  <c r="P215" i="2"/>
  <c r="Q216" i="2"/>
  <c r="U216" i="2"/>
  <c r="I217" i="2"/>
  <c r="BG217" i="2" s="1"/>
  <c r="V217" i="2"/>
  <c r="W218" i="2"/>
  <c r="AF218" i="2"/>
  <c r="BH218" i="2" s="1"/>
  <c r="P219" i="2"/>
  <c r="Q220" i="2"/>
  <c r="U220" i="2"/>
  <c r="I221" i="2"/>
  <c r="BG221" i="2" s="1"/>
  <c r="W222" i="2"/>
  <c r="AF222" i="2"/>
  <c r="BH222" i="2" s="1"/>
  <c r="P223" i="2"/>
  <c r="Q224" i="2"/>
  <c r="U224" i="2"/>
  <c r="I225" i="2"/>
  <c r="BG225" i="2" s="1"/>
  <c r="V225" i="2"/>
  <c r="AF226" i="2"/>
  <c r="BH226" i="2" s="1"/>
  <c r="V227" i="2"/>
  <c r="Z227" i="2"/>
  <c r="AE227" i="2"/>
  <c r="BE227" i="2" s="1"/>
  <c r="W228" i="2"/>
  <c r="AF228" i="2"/>
  <c r="BH228" i="2" s="1"/>
  <c r="P229" i="2"/>
  <c r="X229" i="2"/>
  <c r="Q230" i="2"/>
  <c r="U230" i="2"/>
  <c r="I231" i="2"/>
  <c r="V231" i="2"/>
  <c r="AF232" i="2"/>
  <c r="BH232" i="2" s="1"/>
  <c r="P233" i="2"/>
  <c r="X233" i="2"/>
  <c r="Q234" i="2"/>
  <c r="U234" i="2"/>
  <c r="Z234" i="2" s="1"/>
  <c r="I235" i="2"/>
  <c r="AF236" i="2"/>
  <c r="BH236" i="2" s="1"/>
  <c r="P237" i="2"/>
  <c r="Q238" i="2"/>
  <c r="U238" i="2"/>
  <c r="I239" i="2"/>
  <c r="BG239" i="2" s="1"/>
  <c r="V239" i="2"/>
  <c r="W240" i="2"/>
  <c r="AF240" i="2"/>
  <c r="BH240" i="2" s="1"/>
  <c r="P241" i="2"/>
  <c r="X241" i="2"/>
  <c r="Q242" i="2"/>
  <c r="U242" i="2"/>
  <c r="I243" i="2"/>
  <c r="BG243" i="2" s="1"/>
  <c r="V243" i="2"/>
  <c r="W244" i="2"/>
  <c r="AA244" i="2" s="1"/>
  <c r="AF244" i="2"/>
  <c r="BH244" i="2" s="1"/>
  <c r="P245" i="2"/>
  <c r="W246" i="2"/>
  <c r="AF246" i="2"/>
  <c r="BH246" i="2" s="1"/>
  <c r="P247" i="2"/>
  <c r="Q248" i="2"/>
  <c r="U248" i="2"/>
  <c r="I249" i="2"/>
  <c r="BG249" i="2" s="1"/>
  <c r="V249" i="2"/>
  <c r="W250" i="2"/>
  <c r="AF250" i="2"/>
  <c r="BH250" i="2" s="1"/>
  <c r="P251" i="2"/>
  <c r="X251" i="2"/>
  <c r="AA251" i="2" s="1"/>
  <c r="Q252" i="2"/>
  <c r="U252" i="2"/>
  <c r="I253" i="2"/>
  <c r="BG253" i="2" s="1"/>
  <c r="V253" i="2"/>
  <c r="AF254" i="2"/>
  <c r="BH254" i="2" s="1"/>
  <c r="P255" i="2"/>
  <c r="Q256" i="2"/>
  <c r="U256" i="2"/>
  <c r="I257" i="2"/>
  <c r="BG257" i="2" s="1"/>
  <c r="V257" i="2"/>
  <c r="W258" i="2"/>
  <c r="AF258" i="2"/>
  <c r="BH258" i="2" s="1"/>
  <c r="P259" i="2"/>
  <c r="X259" i="2"/>
  <c r="Q260" i="2"/>
  <c r="U260" i="2"/>
  <c r="I261" i="2"/>
  <c r="BG261" i="2" s="1"/>
  <c r="W262" i="2"/>
  <c r="AF262" i="2"/>
  <c r="BH262" i="2" s="1"/>
  <c r="P263" i="2"/>
  <c r="Q264" i="2"/>
  <c r="U264" i="2"/>
  <c r="I265" i="2"/>
  <c r="BG265" i="2" s="1"/>
  <c r="V265" i="2"/>
  <c r="AF266" i="2"/>
  <c r="BH266" i="2" s="1"/>
  <c r="P267" i="2"/>
  <c r="Q268" i="2"/>
  <c r="U268" i="2"/>
  <c r="I269" i="2"/>
  <c r="BG269" i="2" s="1"/>
  <c r="W270" i="2"/>
  <c r="AF270" i="2"/>
  <c r="BH270" i="2" s="1"/>
  <c r="AE271" i="2"/>
  <c r="BE271" i="2" s="1"/>
  <c r="W272" i="2"/>
  <c r="AF272" i="2"/>
  <c r="BH272" i="2" s="1"/>
  <c r="P273" i="2"/>
  <c r="Q274" i="2"/>
  <c r="U274" i="2"/>
  <c r="I275" i="2"/>
  <c r="BG275" i="2" s="1"/>
  <c r="W276" i="2"/>
  <c r="AF276" i="2"/>
  <c r="BH276" i="2" s="1"/>
  <c r="P277" i="2"/>
  <c r="X277" i="2"/>
  <c r="Q278" i="2"/>
  <c r="U278" i="2"/>
  <c r="I279" i="2"/>
  <c r="W280" i="2"/>
  <c r="AF280" i="2"/>
  <c r="BH280" i="2" s="1"/>
  <c r="P281" i="2"/>
  <c r="Q282" i="2"/>
  <c r="U282" i="2"/>
  <c r="I283" i="2"/>
  <c r="BG283" i="2" s="1"/>
  <c r="V283" i="2"/>
  <c r="W284" i="2"/>
  <c r="AF284" i="2"/>
  <c r="BH284" i="2" s="1"/>
  <c r="P285" i="2"/>
  <c r="X285" i="2"/>
  <c r="Q286" i="2"/>
  <c r="U286" i="2"/>
  <c r="I287" i="2"/>
  <c r="BG287" i="2" s="1"/>
  <c r="W288" i="2"/>
  <c r="AF288" i="2"/>
  <c r="BH288" i="2" s="1"/>
  <c r="P289" i="2"/>
  <c r="X289" i="2"/>
  <c r="Q290" i="2"/>
  <c r="U290" i="2"/>
  <c r="I291" i="2"/>
  <c r="BG291" i="2" s="1"/>
  <c r="V291" i="2"/>
  <c r="W292" i="2"/>
  <c r="AF292" i="2"/>
  <c r="BH292" i="2" s="1"/>
  <c r="P293" i="2"/>
  <c r="X293" i="2"/>
  <c r="AA293" i="2" s="1"/>
  <c r="Q294" i="2"/>
  <c r="U294" i="2"/>
  <c r="I295" i="2"/>
  <c r="BG295" i="2" s="1"/>
  <c r="V295" i="2"/>
  <c r="W296" i="2"/>
  <c r="AF296" i="2"/>
  <c r="BH296" i="2" s="1"/>
  <c r="P297" i="2"/>
  <c r="X297" i="2"/>
  <c r="Q298" i="2"/>
  <c r="U298" i="2"/>
  <c r="I299" i="2"/>
  <c r="BG299" i="2" s="1"/>
  <c r="W300" i="2"/>
  <c r="AF300" i="2"/>
  <c r="BH300" i="2" s="1"/>
  <c r="P301" i="2"/>
  <c r="X301" i="2"/>
  <c r="Q302" i="2"/>
  <c r="U302" i="2"/>
  <c r="I303" i="2"/>
  <c r="BG303" i="2" s="1"/>
  <c r="V303" i="2"/>
  <c r="W304" i="2"/>
  <c r="AF304" i="2"/>
  <c r="BH304" i="2" s="1"/>
  <c r="P305" i="2"/>
  <c r="X305" i="2"/>
  <c r="AA305" i="2" s="1"/>
  <c r="Q306" i="2"/>
  <c r="U306" i="2"/>
  <c r="I307" i="2"/>
  <c r="BG307" i="2" s="1"/>
  <c r="V307" i="2"/>
  <c r="W308" i="2"/>
  <c r="AA308" i="2" s="1"/>
  <c r="AF308" i="2"/>
  <c r="BH308" i="2" s="1"/>
  <c r="P309" i="2"/>
  <c r="X309" i="2"/>
  <c r="Q310" i="2"/>
  <c r="U310" i="2"/>
  <c r="Q312" i="2"/>
  <c r="U312" i="2"/>
  <c r="I313" i="2"/>
  <c r="BG313" i="2" s="1"/>
  <c r="V313" i="2"/>
  <c r="AF314" i="2"/>
  <c r="BH314" i="2" s="1"/>
  <c r="P315" i="2"/>
  <c r="X315" i="2"/>
  <c r="AA315" i="2" s="1"/>
  <c r="Q316" i="2"/>
  <c r="U316" i="2"/>
  <c r="I317" i="2"/>
  <c r="BG317" i="2" s="1"/>
  <c r="V317" i="2"/>
  <c r="W318" i="2"/>
  <c r="AF318" i="2"/>
  <c r="BH318" i="2" s="1"/>
  <c r="P319" i="2"/>
  <c r="X319" i="2"/>
  <c r="Q320" i="2"/>
  <c r="U320" i="2"/>
  <c r="I321" i="2"/>
  <c r="BG321" i="2" s="1"/>
  <c r="V321" i="2"/>
  <c r="AF322" i="2"/>
  <c r="BH322" i="2" s="1"/>
  <c r="P323" i="2"/>
  <c r="Q324" i="2"/>
  <c r="U324" i="2"/>
  <c r="I325" i="2"/>
  <c r="BG325" i="2" s="1"/>
  <c r="W326" i="2"/>
  <c r="AF326" i="2"/>
  <c r="BH326" i="2" s="1"/>
  <c r="P327" i="2"/>
  <c r="W328" i="2"/>
  <c r="AF328" i="2"/>
  <c r="BH328" i="2" s="1"/>
  <c r="P329" i="2"/>
  <c r="X329" i="2"/>
  <c r="Q330" i="2"/>
  <c r="U330" i="2"/>
  <c r="I331" i="2"/>
  <c r="BG331" i="2" s="1"/>
  <c r="W332" i="2"/>
  <c r="AF332" i="2"/>
  <c r="BH332" i="2" s="1"/>
  <c r="P333" i="2"/>
  <c r="Q334" i="2"/>
  <c r="U334" i="2"/>
  <c r="I335" i="2"/>
  <c r="BG335" i="2" s="1"/>
  <c r="W336" i="2"/>
  <c r="AF336" i="2"/>
  <c r="BH336" i="2" s="1"/>
  <c r="P337" i="2"/>
  <c r="X337" i="2"/>
  <c r="Q338" i="2"/>
  <c r="U338" i="2"/>
  <c r="I339" i="2"/>
  <c r="BG339" i="2" s="1"/>
  <c r="V339" i="2"/>
  <c r="W340" i="2"/>
  <c r="AF340" i="2"/>
  <c r="BH340" i="2" s="1"/>
  <c r="P341" i="2"/>
  <c r="X341" i="2"/>
  <c r="Q342" i="2"/>
  <c r="U342" i="2"/>
  <c r="I343" i="2"/>
  <c r="BG343" i="2" s="1"/>
  <c r="W344" i="2"/>
  <c r="AF344" i="2"/>
  <c r="BH344" i="2" s="1"/>
  <c r="P345" i="2"/>
  <c r="X345" i="2"/>
  <c r="Q346" i="2"/>
  <c r="U346" i="2"/>
  <c r="I347" i="2"/>
  <c r="BG347" i="2" s="1"/>
  <c r="V347" i="2"/>
  <c r="AF348" i="2"/>
  <c r="BH348" i="2" s="1"/>
  <c r="P349" i="2"/>
  <c r="X349" i="2"/>
  <c r="Q350" i="2"/>
  <c r="U350" i="2"/>
  <c r="I351" i="2"/>
  <c r="V351" i="2"/>
  <c r="W352" i="2"/>
  <c r="AA352" i="2" s="1"/>
  <c r="AF352" i="2"/>
  <c r="BH352" i="2" s="1"/>
  <c r="P353" i="2"/>
  <c r="X454" i="2"/>
  <c r="AB454" i="2"/>
  <c r="S461" i="2"/>
  <c r="Y462" i="2"/>
  <c r="Q463" i="2"/>
  <c r="Q464" i="2" s="1"/>
  <c r="Q465" i="2"/>
  <c r="Q466" i="2" s="1"/>
  <c r="J466" i="2"/>
  <c r="N466" i="2"/>
  <c r="J468" i="2"/>
  <c r="J469" i="2" s="1"/>
  <c r="X470" i="2"/>
  <c r="AB470" i="2"/>
  <c r="M476" i="2"/>
  <c r="AA482" i="2"/>
  <c r="M486" i="2"/>
  <c r="Q489" i="2"/>
  <c r="U489" i="2"/>
  <c r="AA490" i="2"/>
  <c r="Y501" i="2"/>
  <c r="C515" i="2"/>
  <c r="C517" i="2"/>
  <c r="K524" i="2"/>
  <c r="L533" i="2" s="1"/>
  <c r="C529" i="2"/>
  <c r="W145" i="3"/>
  <c r="AF145" i="3"/>
  <c r="BH145" i="3" s="1"/>
  <c r="P146" i="3"/>
  <c r="T146" i="3"/>
  <c r="Y146" i="3" s="1"/>
  <c r="Q147" i="3"/>
  <c r="U147" i="3"/>
  <c r="I148" i="3"/>
  <c r="BG148" i="3" s="1"/>
  <c r="V148" i="3"/>
  <c r="W149" i="3"/>
  <c r="AF149" i="3"/>
  <c r="BH149" i="3" s="1"/>
  <c r="P150" i="3"/>
  <c r="T150" i="3"/>
  <c r="X150" i="3" s="1"/>
  <c r="Q151" i="3"/>
  <c r="U151" i="3"/>
  <c r="I152" i="3"/>
  <c r="BG152" i="3" s="1"/>
  <c r="W153" i="3"/>
  <c r="AF153" i="3"/>
  <c r="BH153" i="3" s="1"/>
  <c r="P154" i="3"/>
  <c r="T154" i="3"/>
  <c r="X154" i="3" s="1"/>
  <c r="Q155" i="3"/>
  <c r="U155" i="3"/>
  <c r="I156" i="3"/>
  <c r="BG156" i="3" s="1"/>
  <c r="Q157" i="3"/>
  <c r="Y157" i="3"/>
  <c r="I158" i="3"/>
  <c r="BG158" i="3" s="1"/>
  <c r="AF159" i="3"/>
  <c r="BH159" i="3" s="1"/>
  <c r="P160" i="3"/>
  <c r="T160" i="3"/>
  <c r="AB160" i="3"/>
  <c r="AC160" i="3" s="1"/>
  <c r="Q161" i="3"/>
  <c r="U161" i="3"/>
  <c r="I162" i="3"/>
  <c r="AF163" i="3"/>
  <c r="BH163" i="3" s="1"/>
  <c r="P164" i="3"/>
  <c r="T164" i="3"/>
  <c r="Z164" i="3" s="1"/>
  <c r="AA164" i="3" s="1"/>
  <c r="AB164" i="3" s="1"/>
  <c r="AC164" i="3" s="1"/>
  <c r="Q165" i="3"/>
  <c r="U165" i="3"/>
  <c r="I166" i="3"/>
  <c r="BG166" i="3" s="1"/>
  <c r="V166" i="3"/>
  <c r="AF167" i="3"/>
  <c r="BH167" i="3" s="1"/>
  <c r="P168" i="3"/>
  <c r="T168" i="3"/>
  <c r="X168" i="3" s="1"/>
  <c r="Q169" i="3"/>
  <c r="U169" i="3"/>
  <c r="I170" i="3"/>
  <c r="V170" i="3"/>
  <c r="Q173" i="3"/>
  <c r="T174" i="3"/>
  <c r="Z174" i="3" s="1"/>
  <c r="AF175" i="3"/>
  <c r="BH175" i="3" s="1"/>
  <c r="T177" i="3"/>
  <c r="P177" i="3"/>
  <c r="AE177" i="3"/>
  <c r="BE177" i="3" s="1"/>
  <c r="V177" i="3"/>
  <c r="Z177" i="3"/>
  <c r="AF177" i="3"/>
  <c r="BH177" i="3" s="1"/>
  <c r="AE179" i="3"/>
  <c r="BE179" i="3" s="1"/>
  <c r="I179" i="3"/>
  <c r="BG179" i="3" s="1"/>
  <c r="T179" i="3"/>
  <c r="P179" i="3"/>
  <c r="AF179" i="3"/>
  <c r="BH179" i="3" s="1"/>
  <c r="U182" i="3"/>
  <c r="P182" i="3"/>
  <c r="Q182" i="3" s="1"/>
  <c r="AB184" i="3"/>
  <c r="AC184" i="3" s="1"/>
  <c r="I185" i="3"/>
  <c r="Q185" i="3"/>
  <c r="I186" i="3"/>
  <c r="Q187" i="3"/>
  <c r="AB188" i="3"/>
  <c r="AC188" i="3" s="1"/>
  <c r="I189" i="3"/>
  <c r="BG189" i="3" s="1"/>
  <c r="Q189" i="3"/>
  <c r="AA190" i="3"/>
  <c r="AE191" i="3"/>
  <c r="BE191" i="3" s="1"/>
  <c r="I191" i="3"/>
  <c r="BG191" i="3" s="1"/>
  <c r="T191" i="3"/>
  <c r="P191" i="3"/>
  <c r="I192" i="3"/>
  <c r="BG192" i="3" s="1"/>
  <c r="T192" i="3"/>
  <c r="Y192" i="3" s="1"/>
  <c r="I193" i="3"/>
  <c r="BG193" i="3" s="1"/>
  <c r="Q193" i="3"/>
  <c r="U196" i="3"/>
  <c r="Y196" i="3" s="1"/>
  <c r="I200" i="3"/>
  <c r="BG200" i="3" s="1"/>
  <c r="T200" i="3"/>
  <c r="I201" i="3"/>
  <c r="U202" i="3"/>
  <c r="U204" i="3"/>
  <c r="AB204" i="3"/>
  <c r="AC204" i="3" s="1"/>
  <c r="T206" i="3"/>
  <c r="U207" i="3"/>
  <c r="Y207" i="3" s="1"/>
  <c r="AE213" i="3"/>
  <c r="BE213" i="3" s="1"/>
  <c r="V213" i="3"/>
  <c r="I213" i="3"/>
  <c r="BG213" i="3" s="1"/>
  <c r="U213" i="3"/>
  <c r="T213" i="3"/>
  <c r="P213" i="3"/>
  <c r="Q213" i="3" s="1"/>
  <c r="Z213" i="3"/>
  <c r="AF213" i="3"/>
  <c r="BH213" i="3" s="1"/>
  <c r="W214" i="3"/>
  <c r="AE214" i="3"/>
  <c r="BE214" i="3" s="1"/>
  <c r="I214" i="3"/>
  <c r="BG214" i="3" s="1"/>
  <c r="P214" i="3"/>
  <c r="Q214" i="3" s="1"/>
  <c r="I215" i="3"/>
  <c r="BG215" i="3" s="1"/>
  <c r="U216" i="3"/>
  <c r="AA218" i="3"/>
  <c r="AE221" i="3"/>
  <c r="BE221" i="3" s="1"/>
  <c r="I221" i="3"/>
  <c r="BG221" i="3" s="1"/>
  <c r="U221" i="3"/>
  <c r="T221" i="3"/>
  <c r="P221" i="3"/>
  <c r="Q221" i="3" s="1"/>
  <c r="AF221" i="3"/>
  <c r="BH221" i="3" s="1"/>
  <c r="P222" i="3"/>
  <c r="Q222" i="3" s="1"/>
  <c r="T223" i="3"/>
  <c r="U224" i="3"/>
  <c r="AE224" i="3"/>
  <c r="BE224" i="3" s="1"/>
  <c r="I225" i="3"/>
  <c r="BG225" i="3" s="1"/>
  <c r="T226" i="3"/>
  <c r="T229" i="3"/>
  <c r="Z229" i="3" s="1"/>
  <c r="U230" i="3"/>
  <c r="Y234" i="3"/>
  <c r="Z234" i="3"/>
  <c r="AE235" i="3"/>
  <c r="BE235" i="3" s="1"/>
  <c r="U235" i="3"/>
  <c r="T235" i="3"/>
  <c r="P235" i="3"/>
  <c r="Q235" i="3" s="1"/>
  <c r="T236" i="3"/>
  <c r="X236" i="3" s="1"/>
  <c r="T238" i="3"/>
  <c r="Y242" i="3"/>
  <c r="Z242" i="3"/>
  <c r="AE243" i="3"/>
  <c r="BE243" i="3" s="1"/>
  <c r="U243" i="3"/>
  <c r="V243" i="3" s="1"/>
  <c r="T243" i="3"/>
  <c r="P243" i="3"/>
  <c r="Q243" i="3" s="1"/>
  <c r="AF243" i="3"/>
  <c r="BH243" i="3" s="1"/>
  <c r="I244" i="3"/>
  <c r="BG244" i="3" s="1"/>
  <c r="U244" i="3"/>
  <c r="X244" i="3" s="1"/>
  <c r="P244" i="3"/>
  <c r="Q244" i="3" s="1"/>
  <c r="AE253" i="3"/>
  <c r="BE253" i="3" s="1"/>
  <c r="AE258" i="3"/>
  <c r="BE258" i="3" s="1"/>
  <c r="AE268" i="3"/>
  <c r="BE268" i="3" s="1"/>
  <c r="AE280" i="3"/>
  <c r="BE280" i="3" s="1"/>
  <c r="AE283" i="3"/>
  <c r="BE283" i="3" s="1"/>
  <c r="AE286" i="3"/>
  <c r="BE286" i="3" s="1"/>
  <c r="AE291" i="3"/>
  <c r="BE291" i="3" s="1"/>
  <c r="AE312" i="3"/>
  <c r="BE312" i="3" s="1"/>
  <c r="AE339" i="3"/>
  <c r="BE339" i="3" s="1"/>
  <c r="BG151" i="4"/>
  <c r="U23" i="4"/>
  <c r="BG162" i="4"/>
  <c r="U25" i="4"/>
  <c r="Z187" i="4"/>
  <c r="X231" i="4"/>
  <c r="Z231" i="4"/>
  <c r="V231" i="4"/>
  <c r="X239" i="4"/>
  <c r="Z239" i="4"/>
  <c r="V239" i="4"/>
  <c r="X265" i="4"/>
  <c r="Z265" i="4"/>
  <c r="V265" i="4"/>
  <c r="X291" i="4"/>
  <c r="Z291" i="4"/>
  <c r="V291" i="4"/>
  <c r="X303" i="4"/>
  <c r="Z303" i="4"/>
  <c r="V303" i="4"/>
  <c r="BG352" i="4"/>
  <c r="K39" i="4"/>
  <c r="X144" i="2"/>
  <c r="W145" i="2"/>
  <c r="P146" i="2"/>
  <c r="Q146" i="2" s="1"/>
  <c r="X146" i="2"/>
  <c r="Y147" i="2"/>
  <c r="I148" i="2"/>
  <c r="BG148" i="2" s="1"/>
  <c r="V148" i="2"/>
  <c r="AE148" i="2"/>
  <c r="BE148" i="2" s="1"/>
  <c r="W149" i="2"/>
  <c r="P150" i="2"/>
  <c r="Q150" i="2" s="1"/>
  <c r="X150" i="2"/>
  <c r="Y151" i="2"/>
  <c r="I152" i="2"/>
  <c r="BG152" i="2" s="1"/>
  <c r="AE152" i="2"/>
  <c r="BE152" i="2" s="1"/>
  <c r="W153" i="2"/>
  <c r="P154" i="2"/>
  <c r="Q154" i="2" s="1"/>
  <c r="X154" i="2"/>
  <c r="I156" i="2"/>
  <c r="BG156" i="2" s="1"/>
  <c r="AE156" i="2"/>
  <c r="BE156" i="2" s="1"/>
  <c r="I158" i="2"/>
  <c r="BG158" i="2" s="1"/>
  <c r="V158" i="2"/>
  <c r="AE158" i="2"/>
  <c r="BE158" i="2" s="1"/>
  <c r="P160" i="2"/>
  <c r="Q160" i="2" s="1"/>
  <c r="X160" i="2"/>
  <c r="I162" i="2"/>
  <c r="AE162" i="2"/>
  <c r="BE162" i="2" s="1"/>
  <c r="W163" i="2"/>
  <c r="AF163" i="2"/>
  <c r="BH163" i="2" s="1"/>
  <c r="P164" i="2"/>
  <c r="Q164" i="2" s="1"/>
  <c r="X164" i="2"/>
  <c r="Q165" i="2"/>
  <c r="Y165" i="2"/>
  <c r="I166" i="2"/>
  <c r="BG166" i="2" s="1"/>
  <c r="V166" i="2"/>
  <c r="AE166" i="2"/>
  <c r="BE166" i="2" s="1"/>
  <c r="AF167" i="2"/>
  <c r="BH167" i="2" s="1"/>
  <c r="P168" i="2"/>
  <c r="Q168" i="2" s="1"/>
  <c r="X168" i="2"/>
  <c r="Q169" i="2"/>
  <c r="I170" i="2"/>
  <c r="V170" i="2"/>
  <c r="AE170" i="2"/>
  <c r="BE170" i="2" s="1"/>
  <c r="AF171" i="2"/>
  <c r="BH171" i="2" s="1"/>
  <c r="P172" i="2"/>
  <c r="Q172" i="2" s="1"/>
  <c r="X172" i="2"/>
  <c r="Q173" i="2"/>
  <c r="I174" i="2"/>
  <c r="AE174" i="2"/>
  <c r="BE174" i="2" s="1"/>
  <c r="W175" i="2"/>
  <c r="AF175" i="2"/>
  <c r="BH175" i="2" s="1"/>
  <c r="P176" i="2"/>
  <c r="Q176" i="2" s="1"/>
  <c r="X176" i="2"/>
  <c r="Q177" i="2"/>
  <c r="I178" i="2"/>
  <c r="V178" i="2"/>
  <c r="AE178" i="2"/>
  <c r="BE178" i="2" s="1"/>
  <c r="AF179" i="2"/>
  <c r="BH179" i="2" s="1"/>
  <c r="P180" i="2"/>
  <c r="Q180" i="2" s="1"/>
  <c r="Q181" i="2"/>
  <c r="I182" i="2"/>
  <c r="BG182" i="2" s="1"/>
  <c r="AE182" i="2"/>
  <c r="BE182" i="2" s="1"/>
  <c r="W183" i="2"/>
  <c r="AF183" i="2"/>
  <c r="BH183" i="2" s="1"/>
  <c r="P184" i="2"/>
  <c r="Q184" i="2" s="1"/>
  <c r="Q185" i="2"/>
  <c r="Y185" i="2"/>
  <c r="I186" i="2"/>
  <c r="AE186" i="2"/>
  <c r="BE186" i="2" s="1"/>
  <c r="AF187" i="2"/>
  <c r="BH187" i="2" s="1"/>
  <c r="P188" i="2"/>
  <c r="Q188" i="2" s="1"/>
  <c r="Q189" i="2"/>
  <c r="I190" i="2"/>
  <c r="BG190" i="2" s="1"/>
  <c r="AE190" i="2"/>
  <c r="BE190" i="2" s="1"/>
  <c r="AF191" i="2"/>
  <c r="BH191" i="2" s="1"/>
  <c r="P192" i="2"/>
  <c r="Q192" i="2" s="1"/>
  <c r="X192" i="2"/>
  <c r="Q193" i="2"/>
  <c r="I194" i="2"/>
  <c r="BG194" i="2" s="1"/>
  <c r="V194" i="2"/>
  <c r="W195" i="2"/>
  <c r="AF195" i="2"/>
  <c r="BH195" i="2" s="1"/>
  <c r="P196" i="2"/>
  <c r="X196" i="2"/>
  <c r="Q197" i="2"/>
  <c r="Y197" i="2"/>
  <c r="I198" i="2"/>
  <c r="BG198" i="2" s="1"/>
  <c r="V198" i="2"/>
  <c r="W199" i="2"/>
  <c r="AF199" i="2"/>
  <c r="BH199" i="2" s="1"/>
  <c r="P200" i="2"/>
  <c r="X200" i="2"/>
  <c r="Q201" i="2"/>
  <c r="Y201" i="2"/>
  <c r="I202" i="2"/>
  <c r="AF203" i="2"/>
  <c r="BH203" i="2" s="1"/>
  <c r="P204" i="2"/>
  <c r="W205" i="2"/>
  <c r="AF205" i="2"/>
  <c r="BH205" i="2" s="1"/>
  <c r="P206" i="2"/>
  <c r="X206" i="2"/>
  <c r="Q207" i="2"/>
  <c r="Y207" i="2"/>
  <c r="I208" i="2"/>
  <c r="BG208" i="2" s="1"/>
  <c r="V208" i="2"/>
  <c r="W209" i="2"/>
  <c r="AF209" i="2"/>
  <c r="BH209" i="2" s="1"/>
  <c r="P210" i="2"/>
  <c r="X210" i="2"/>
  <c r="Q211" i="2"/>
  <c r="Y211" i="2"/>
  <c r="I212" i="2"/>
  <c r="BG212" i="2" s="1"/>
  <c r="V212" i="2"/>
  <c r="W213" i="2"/>
  <c r="AF213" i="2"/>
  <c r="BH213" i="2" s="1"/>
  <c r="P214" i="2"/>
  <c r="X214" i="2"/>
  <c r="Q215" i="2"/>
  <c r="I216" i="2"/>
  <c r="BG216" i="2" s="1"/>
  <c r="W217" i="2"/>
  <c r="AF217" i="2"/>
  <c r="BH217" i="2" s="1"/>
  <c r="P218" i="2"/>
  <c r="X218" i="2"/>
  <c r="Q219" i="2"/>
  <c r="I220" i="2"/>
  <c r="BG220" i="2" s="1"/>
  <c r="AF221" i="2"/>
  <c r="BH221" i="2" s="1"/>
  <c r="P222" i="2"/>
  <c r="X222" i="2"/>
  <c r="Q223" i="2"/>
  <c r="I224" i="2"/>
  <c r="BG224" i="2" s="1"/>
  <c r="W225" i="2"/>
  <c r="AF225" i="2"/>
  <c r="BH225" i="2" s="1"/>
  <c r="P226" i="2"/>
  <c r="W227" i="2"/>
  <c r="AF227" i="2"/>
  <c r="BH227" i="2" s="1"/>
  <c r="P228" i="2"/>
  <c r="X228" i="2"/>
  <c r="Q229" i="2"/>
  <c r="Y229" i="2"/>
  <c r="I230" i="2"/>
  <c r="BG230" i="2" s="1"/>
  <c r="V230" i="2"/>
  <c r="W231" i="2"/>
  <c r="AF231" i="2"/>
  <c r="BH231" i="2" s="1"/>
  <c r="P232" i="2"/>
  <c r="Q233" i="2"/>
  <c r="Y233" i="2"/>
  <c r="I234" i="2"/>
  <c r="BG234" i="2" s="1"/>
  <c r="V234" i="2"/>
  <c r="AF235" i="2"/>
  <c r="BH235" i="2" s="1"/>
  <c r="P236" i="2"/>
  <c r="Q237" i="2"/>
  <c r="I238" i="2"/>
  <c r="BG238" i="2" s="1"/>
  <c r="V238" i="2"/>
  <c r="W239" i="2"/>
  <c r="AF239" i="2"/>
  <c r="BH239" i="2" s="1"/>
  <c r="P240" i="2"/>
  <c r="X240" i="2"/>
  <c r="Q241" i="2"/>
  <c r="Y241" i="2"/>
  <c r="I242" i="2"/>
  <c r="BG242" i="2" s="1"/>
  <c r="V242" i="2"/>
  <c r="W243" i="2"/>
  <c r="AF243" i="2"/>
  <c r="BH243" i="2" s="1"/>
  <c r="P244" i="2"/>
  <c r="X244" i="2"/>
  <c r="Q245" i="2"/>
  <c r="Q247" i="2"/>
  <c r="I248" i="2"/>
  <c r="BG248" i="2" s="1"/>
  <c r="W249" i="2"/>
  <c r="AF249" i="2"/>
  <c r="BH249" i="2" s="1"/>
  <c r="P250" i="2"/>
  <c r="X250" i="2"/>
  <c r="Q251" i="2"/>
  <c r="I252" i="2"/>
  <c r="BG252" i="2" s="1"/>
  <c r="W253" i="2"/>
  <c r="AF253" i="2"/>
  <c r="BH253" i="2" s="1"/>
  <c r="P254" i="2"/>
  <c r="Q255" i="2"/>
  <c r="I256" i="2"/>
  <c r="BG256" i="2" s="1"/>
  <c r="V256" i="2"/>
  <c r="W257" i="2"/>
  <c r="AF257" i="2"/>
  <c r="BH257" i="2" s="1"/>
  <c r="P258" i="2"/>
  <c r="X258" i="2"/>
  <c r="Q259" i="2"/>
  <c r="Y259" i="2"/>
  <c r="I260" i="2"/>
  <c r="BG260" i="2" s="1"/>
  <c r="V260" i="2"/>
  <c r="AF261" i="2"/>
  <c r="BH261" i="2" s="1"/>
  <c r="P262" i="2"/>
  <c r="Q263" i="2"/>
  <c r="I264" i="2"/>
  <c r="BG264" i="2" s="1"/>
  <c r="V264" i="2"/>
  <c r="W265" i="2"/>
  <c r="AF265" i="2"/>
  <c r="BH265" i="2" s="1"/>
  <c r="P266" i="2"/>
  <c r="X266" i="2"/>
  <c r="Q267" i="2"/>
  <c r="I268" i="2"/>
  <c r="BG268" i="2" s="1"/>
  <c r="V268" i="2"/>
  <c r="AF269" i="2"/>
  <c r="BH269" i="2" s="1"/>
  <c r="P270" i="2"/>
  <c r="X270" i="2"/>
  <c r="AF271" i="2"/>
  <c r="BH271" i="2" s="1"/>
  <c r="P272" i="2"/>
  <c r="X272" i="2"/>
  <c r="Q273" i="2"/>
  <c r="I274" i="2"/>
  <c r="BG274" i="2" s="1"/>
  <c r="AF275" i="2"/>
  <c r="BH275" i="2" s="1"/>
  <c r="P276" i="2"/>
  <c r="X276" i="2"/>
  <c r="Q277" i="2"/>
  <c r="Y277" i="2"/>
  <c r="I278" i="2"/>
  <c r="BG278" i="2" s="1"/>
  <c r="V278" i="2"/>
  <c r="AF279" i="2"/>
  <c r="BH279" i="2" s="1"/>
  <c r="P280" i="2"/>
  <c r="X280" i="2"/>
  <c r="Q281" i="2"/>
  <c r="I282" i="2"/>
  <c r="BG282" i="2" s="1"/>
  <c r="W283" i="2"/>
  <c r="AF283" i="2"/>
  <c r="BH283" i="2" s="1"/>
  <c r="P284" i="2"/>
  <c r="X284" i="2"/>
  <c r="Q285" i="2"/>
  <c r="Y285" i="2"/>
  <c r="I286" i="2"/>
  <c r="BG286" i="2" s="1"/>
  <c r="V286" i="2"/>
  <c r="AF287" i="2"/>
  <c r="BH287" i="2" s="1"/>
  <c r="P288" i="2"/>
  <c r="X288" i="2"/>
  <c r="Q289" i="2"/>
  <c r="Y289" i="2"/>
  <c r="I290" i="2"/>
  <c r="BG290" i="2" s="1"/>
  <c r="W291" i="2"/>
  <c r="AF291" i="2"/>
  <c r="BH291" i="2" s="1"/>
  <c r="P292" i="2"/>
  <c r="X292" i="2"/>
  <c r="Q293" i="2"/>
  <c r="I294" i="2"/>
  <c r="BG294" i="2" s="1"/>
  <c r="V294" i="2"/>
  <c r="W295" i="2"/>
  <c r="AF295" i="2"/>
  <c r="BH295" i="2" s="1"/>
  <c r="P296" i="2"/>
  <c r="X296" i="2"/>
  <c r="Q297" i="2"/>
  <c r="Y297" i="2"/>
  <c r="I298" i="2"/>
  <c r="BG298" i="2" s="1"/>
  <c r="V298" i="2"/>
  <c r="AF299" i="2"/>
  <c r="BH299" i="2" s="1"/>
  <c r="P300" i="2"/>
  <c r="X300" i="2"/>
  <c r="Q301" i="2"/>
  <c r="Y301" i="2"/>
  <c r="I302" i="2"/>
  <c r="BG302" i="2" s="1"/>
  <c r="W303" i="2"/>
  <c r="AF303" i="2"/>
  <c r="BH303" i="2" s="1"/>
  <c r="P304" i="2"/>
  <c r="X304" i="2"/>
  <c r="Q305" i="2"/>
  <c r="I306" i="2"/>
  <c r="BG306" i="2" s="1"/>
  <c r="V306" i="2"/>
  <c r="W307" i="2"/>
  <c r="AF307" i="2"/>
  <c r="BH307" i="2" s="1"/>
  <c r="P308" i="2"/>
  <c r="X308" i="2"/>
  <c r="Q309" i="2"/>
  <c r="Y309" i="2"/>
  <c r="I310" i="2"/>
  <c r="BG310" i="2" s="1"/>
  <c r="Q311" i="2"/>
  <c r="I312" i="2"/>
  <c r="BG312" i="2" s="1"/>
  <c r="V312" i="2"/>
  <c r="W313" i="2"/>
  <c r="AF313" i="2"/>
  <c r="BH313" i="2" s="1"/>
  <c r="P314" i="2"/>
  <c r="Q315" i="2"/>
  <c r="I316" i="2"/>
  <c r="BG316" i="2" s="1"/>
  <c r="V316" i="2"/>
  <c r="W317" i="2"/>
  <c r="AF317" i="2"/>
  <c r="BH317" i="2" s="1"/>
  <c r="P318" i="2"/>
  <c r="X318" i="2"/>
  <c r="Q319" i="2"/>
  <c r="I320" i="2"/>
  <c r="BG320" i="2" s="1"/>
  <c r="V320" i="2"/>
  <c r="W321" i="2"/>
  <c r="AF321" i="2"/>
  <c r="BH321" i="2" s="1"/>
  <c r="P322" i="2"/>
  <c r="Q323" i="2"/>
  <c r="I324" i="2"/>
  <c r="BG324" i="2" s="1"/>
  <c r="V324" i="2"/>
  <c r="W325" i="2"/>
  <c r="AF325" i="2"/>
  <c r="BH325" i="2" s="1"/>
  <c r="P326" i="2"/>
  <c r="X326" i="2"/>
  <c r="Q327" i="2"/>
  <c r="Q329" i="2"/>
  <c r="Y329" i="2"/>
  <c r="I330" i="2"/>
  <c r="BG330" i="2" s="1"/>
  <c r="V330" i="2"/>
  <c r="AF331" i="2"/>
  <c r="BH331" i="2" s="1"/>
  <c r="P332" i="2"/>
  <c r="X332" i="2"/>
  <c r="Q333" i="2"/>
  <c r="I334" i="2"/>
  <c r="BG334" i="2" s="1"/>
  <c r="V334" i="2"/>
  <c r="AF335" i="2"/>
  <c r="BH335" i="2" s="1"/>
  <c r="P336" i="2"/>
  <c r="Q337" i="2"/>
  <c r="Y337" i="2"/>
  <c r="I338" i="2"/>
  <c r="BG338" i="2" s="1"/>
  <c r="W339" i="2"/>
  <c r="AF339" i="2"/>
  <c r="BH339" i="2" s="1"/>
  <c r="P340" i="2"/>
  <c r="X340" i="2"/>
  <c r="Q341" i="2"/>
  <c r="Y341" i="2"/>
  <c r="I342" i="2"/>
  <c r="BG342" i="2" s="1"/>
  <c r="V342" i="2"/>
  <c r="AF343" i="2"/>
  <c r="BH343" i="2" s="1"/>
  <c r="P344" i="2"/>
  <c r="X344" i="2"/>
  <c r="Q345" i="2"/>
  <c r="Y345" i="2"/>
  <c r="I346" i="2"/>
  <c r="BG346" i="2" s="1"/>
  <c r="W347" i="2"/>
  <c r="AF347" i="2"/>
  <c r="BH347" i="2" s="1"/>
  <c r="P348" i="2"/>
  <c r="Q349" i="2"/>
  <c r="I350" i="2"/>
  <c r="BG350" i="2" s="1"/>
  <c r="V350" i="2"/>
  <c r="W351" i="2"/>
  <c r="AF351" i="2"/>
  <c r="BH351" i="2" s="1"/>
  <c r="P352" i="2"/>
  <c r="Q352" i="2" s="1"/>
  <c r="X352" i="2"/>
  <c r="Q353" i="2"/>
  <c r="R353" i="2" s="1"/>
  <c r="Y454" i="2"/>
  <c r="AK464" i="2"/>
  <c r="AK465" i="2" s="1"/>
  <c r="K466" i="2"/>
  <c r="Y470" i="2"/>
  <c r="N476" i="2"/>
  <c r="K478" i="2"/>
  <c r="K479" i="2" s="1"/>
  <c r="X482" i="2"/>
  <c r="AB482" i="2"/>
  <c r="J486" i="2"/>
  <c r="N486" i="2"/>
  <c r="R489" i="2"/>
  <c r="X490" i="2"/>
  <c r="AB490" i="2"/>
  <c r="H524" i="2"/>
  <c r="I533" i="2" s="1"/>
  <c r="Y144" i="3"/>
  <c r="P145" i="3"/>
  <c r="Q145" i="3" s="1"/>
  <c r="X145" i="3"/>
  <c r="Q146" i="3"/>
  <c r="I147" i="3"/>
  <c r="BG147" i="3" s="1"/>
  <c r="V147" i="3"/>
  <c r="AE147" i="3"/>
  <c r="BE147" i="3" s="1"/>
  <c r="W148" i="3"/>
  <c r="AF148" i="3"/>
  <c r="BH148" i="3" s="1"/>
  <c r="P149" i="3"/>
  <c r="Q149" i="3" s="1"/>
  <c r="X149" i="3"/>
  <c r="Q150" i="3"/>
  <c r="Y150" i="3"/>
  <c r="I151" i="3"/>
  <c r="V151" i="3"/>
  <c r="AE151" i="3"/>
  <c r="BE151" i="3" s="1"/>
  <c r="W152" i="3"/>
  <c r="AF152" i="3"/>
  <c r="BH152" i="3" s="1"/>
  <c r="P153" i="3"/>
  <c r="Q153" i="3" s="1"/>
  <c r="X153" i="3"/>
  <c r="Q154" i="3"/>
  <c r="I155" i="3"/>
  <c r="AE155" i="3"/>
  <c r="BE155" i="3" s="1"/>
  <c r="AF156" i="3"/>
  <c r="BH156" i="3" s="1"/>
  <c r="V157" i="3"/>
  <c r="AA157" i="3" s="1"/>
  <c r="AB157" i="3" s="1"/>
  <c r="AC157" i="3" s="1"/>
  <c r="AE157" i="3"/>
  <c r="BE157" i="3" s="1"/>
  <c r="AF158" i="3"/>
  <c r="BH158" i="3" s="1"/>
  <c r="P159" i="3"/>
  <c r="Q159" i="3" s="1"/>
  <c r="AB159" i="3"/>
  <c r="AC159" i="3" s="1"/>
  <c r="Q160" i="3"/>
  <c r="AF162" i="3"/>
  <c r="BH162" i="3" s="1"/>
  <c r="P163" i="3"/>
  <c r="AB163" i="3"/>
  <c r="AC163" i="3" s="1"/>
  <c r="Q164" i="3"/>
  <c r="V165" i="3"/>
  <c r="W166" i="3"/>
  <c r="AF166" i="3"/>
  <c r="BH166" i="3" s="1"/>
  <c r="P167" i="3"/>
  <c r="AB167" i="3"/>
  <c r="AC167" i="3" s="1"/>
  <c r="Q168" i="3"/>
  <c r="Y168" i="3"/>
  <c r="W170" i="3"/>
  <c r="AF170" i="3"/>
  <c r="BH170" i="3" s="1"/>
  <c r="I171" i="3"/>
  <c r="AE172" i="3"/>
  <c r="BE172" i="3" s="1"/>
  <c r="P174" i="3"/>
  <c r="I176" i="3"/>
  <c r="BG176" i="3" s="1"/>
  <c r="T176" i="3"/>
  <c r="W176" i="3" s="1"/>
  <c r="I177" i="3"/>
  <c r="BG177" i="3" s="1"/>
  <c r="Q177" i="3"/>
  <c r="I178" i="3"/>
  <c r="T178" i="3"/>
  <c r="Q179" i="3"/>
  <c r="I180" i="3"/>
  <c r="BG180" i="3" s="1"/>
  <c r="AF181" i="3"/>
  <c r="BH181" i="3" s="1"/>
  <c r="AE183" i="3"/>
  <c r="BE183" i="3" s="1"/>
  <c r="I183" i="3"/>
  <c r="BG183" i="3" s="1"/>
  <c r="T183" i="3"/>
  <c r="P183" i="3"/>
  <c r="AF183" i="3"/>
  <c r="BH183" i="3" s="1"/>
  <c r="X185" i="3"/>
  <c r="AF187" i="3"/>
  <c r="BH187" i="3" s="1"/>
  <c r="U190" i="3"/>
  <c r="P190" i="3"/>
  <c r="Q190" i="3" s="1"/>
  <c r="AB190" i="3"/>
  <c r="AC190" i="3" s="1"/>
  <c r="Q191" i="3"/>
  <c r="U192" i="3"/>
  <c r="U194" i="3"/>
  <c r="W194" i="3" s="1"/>
  <c r="P194" i="3"/>
  <c r="Q194" i="3" s="1"/>
  <c r="W196" i="3"/>
  <c r="P196" i="3"/>
  <c r="Q196" i="3" s="1"/>
  <c r="U198" i="3"/>
  <c r="W198" i="3"/>
  <c r="P198" i="3"/>
  <c r="Q198" i="3" s="1"/>
  <c r="U200" i="3"/>
  <c r="Y200" i="3" s="1"/>
  <c r="U201" i="3"/>
  <c r="Y201" i="3" s="1"/>
  <c r="AF203" i="3"/>
  <c r="BH203" i="3" s="1"/>
  <c r="P204" i="3"/>
  <c r="Q204" i="3" s="1"/>
  <c r="Y206" i="3"/>
  <c r="AE209" i="3"/>
  <c r="BE209" i="3" s="1"/>
  <c r="I209" i="3"/>
  <c r="U209" i="3"/>
  <c r="T209" i="3"/>
  <c r="P209" i="3"/>
  <c r="Q209" i="3" s="1"/>
  <c r="U210" i="3"/>
  <c r="X210" i="3" s="1"/>
  <c r="T211" i="3"/>
  <c r="X211" i="3" s="1"/>
  <c r="Z211" i="3"/>
  <c r="AE212" i="3"/>
  <c r="BE212" i="3" s="1"/>
  <c r="Z214" i="3"/>
  <c r="V214" i="3"/>
  <c r="AA214" i="3" s="1"/>
  <c r="AB214" i="3" s="1"/>
  <c r="U215" i="3"/>
  <c r="Y215" i="3" s="1"/>
  <c r="U218" i="3"/>
  <c r="AB218" i="3"/>
  <c r="AC218" i="3" s="1"/>
  <c r="I223" i="3"/>
  <c r="BG223" i="3" s="1"/>
  <c r="T224" i="3"/>
  <c r="Y224" i="3" s="1"/>
  <c r="X225" i="3"/>
  <c r="AA226" i="3"/>
  <c r="AF227" i="3"/>
  <c r="BH227" i="3" s="1"/>
  <c r="W228" i="3"/>
  <c r="AE228" i="3"/>
  <c r="BE228" i="3" s="1"/>
  <c r="I228" i="3"/>
  <c r="BG228" i="3" s="1"/>
  <c r="U228" i="3"/>
  <c r="X228" i="3" s="1"/>
  <c r="P228" i="3"/>
  <c r="Q228" i="3" s="1"/>
  <c r="T230" i="3"/>
  <c r="T233" i="3"/>
  <c r="Z233" i="3"/>
  <c r="AE234" i="3"/>
  <c r="BE234" i="3" s="1"/>
  <c r="AA236" i="3"/>
  <c r="T241" i="3"/>
  <c r="AE242" i="3"/>
  <c r="BE242" i="3" s="1"/>
  <c r="Z244" i="3"/>
  <c r="T245" i="3"/>
  <c r="AA245" i="3"/>
  <c r="W246" i="3"/>
  <c r="Z246" i="3"/>
  <c r="V246" i="3"/>
  <c r="Y246" i="3"/>
  <c r="T247" i="3"/>
  <c r="AE249" i="3"/>
  <c r="BE249" i="3" s="1"/>
  <c r="AE264" i="3"/>
  <c r="BE264" i="3" s="1"/>
  <c r="AE278" i="3"/>
  <c r="BE278" i="3" s="1"/>
  <c r="AE284" i="3"/>
  <c r="BE284" i="3" s="1"/>
  <c r="AE292" i="3"/>
  <c r="BE292" i="3" s="1"/>
  <c r="AE294" i="3"/>
  <c r="BE294" i="3" s="1"/>
  <c r="AE300" i="3"/>
  <c r="BE300" i="3" s="1"/>
  <c r="AE306" i="3"/>
  <c r="BE306" i="3" s="1"/>
  <c r="AE313" i="3"/>
  <c r="BE313" i="3" s="1"/>
  <c r="AE316" i="3"/>
  <c r="BE316" i="3" s="1"/>
  <c r="AE326" i="3"/>
  <c r="BE326" i="3" s="1"/>
  <c r="AE330" i="3"/>
  <c r="BE330" i="3" s="1"/>
  <c r="AE350" i="3"/>
  <c r="BE350" i="3" s="1"/>
  <c r="AE351" i="3"/>
  <c r="BE351" i="3" s="1"/>
  <c r="BG174" i="4"/>
  <c r="K29" i="4"/>
  <c r="BG185" i="4"/>
  <c r="K30" i="4"/>
  <c r="AA187" i="4"/>
  <c r="X243" i="4"/>
  <c r="Z243" i="4"/>
  <c r="V243" i="4"/>
  <c r="BG251" i="4"/>
  <c r="U34" i="4"/>
  <c r="X257" i="4"/>
  <c r="Z257" i="4"/>
  <c r="V257" i="4"/>
  <c r="X307" i="4"/>
  <c r="Z307" i="4"/>
  <c r="V307" i="4"/>
  <c r="X313" i="4"/>
  <c r="Z313" i="4"/>
  <c r="V313" i="4"/>
  <c r="X317" i="4"/>
  <c r="Z317" i="4"/>
  <c r="V317" i="4"/>
  <c r="P145" i="2"/>
  <c r="Q145" i="2" s="1"/>
  <c r="P149" i="2"/>
  <c r="Q149" i="2" s="1"/>
  <c r="P153" i="2"/>
  <c r="Q153" i="2" s="1"/>
  <c r="P159" i="2"/>
  <c r="Q159" i="2" s="1"/>
  <c r="P163" i="2"/>
  <c r="Q163" i="2" s="1"/>
  <c r="P167" i="2"/>
  <c r="Q167" i="2" s="1"/>
  <c r="P171" i="2"/>
  <c r="Q171" i="2" s="1"/>
  <c r="P175" i="2"/>
  <c r="Q175" i="2" s="1"/>
  <c r="P179" i="2"/>
  <c r="Q179" i="2" s="1"/>
  <c r="P183" i="2"/>
  <c r="Q183" i="2" s="1"/>
  <c r="P187" i="2"/>
  <c r="Q187" i="2" s="1"/>
  <c r="P191" i="2"/>
  <c r="Q191" i="2" s="1"/>
  <c r="AF194" i="2"/>
  <c r="BH194" i="2" s="1"/>
  <c r="P195" i="2"/>
  <c r="Q195" i="2" s="1"/>
  <c r="Q196" i="2"/>
  <c r="AF198" i="2"/>
  <c r="BH198" i="2" s="1"/>
  <c r="P199" i="2"/>
  <c r="Q199" i="2" s="1"/>
  <c r="Q200" i="2"/>
  <c r="AF202" i="2"/>
  <c r="BH202" i="2" s="1"/>
  <c r="P203" i="2"/>
  <c r="Q203" i="2" s="1"/>
  <c r="Q204" i="2"/>
  <c r="Q206" i="2"/>
  <c r="AF208" i="2"/>
  <c r="BH208" i="2" s="1"/>
  <c r="P209" i="2"/>
  <c r="Q209" i="2" s="1"/>
  <c r="Q210" i="2"/>
  <c r="AF212" i="2"/>
  <c r="BH212" i="2" s="1"/>
  <c r="P213" i="2"/>
  <c r="Q213" i="2" s="1"/>
  <c r="Q214" i="2"/>
  <c r="AF216" i="2"/>
  <c r="BH216" i="2" s="1"/>
  <c r="P217" i="2"/>
  <c r="Q217" i="2" s="1"/>
  <c r="Q218" i="2"/>
  <c r="AF220" i="2"/>
  <c r="BH220" i="2" s="1"/>
  <c r="P221" i="2"/>
  <c r="Q221" i="2" s="1"/>
  <c r="Q222" i="2"/>
  <c r="AF224" i="2"/>
  <c r="BH224" i="2" s="1"/>
  <c r="P225" i="2"/>
  <c r="Q225" i="2" s="1"/>
  <c r="Q226" i="2"/>
  <c r="Q228" i="2"/>
  <c r="AF230" i="2"/>
  <c r="BH230" i="2" s="1"/>
  <c r="P231" i="2"/>
  <c r="Q231" i="2" s="1"/>
  <c r="Q232" i="2"/>
  <c r="AF234" i="2"/>
  <c r="BH234" i="2" s="1"/>
  <c r="P235" i="2"/>
  <c r="Q235" i="2" s="1"/>
  <c r="Q236" i="2"/>
  <c r="AF238" i="2"/>
  <c r="BH238" i="2" s="1"/>
  <c r="P239" i="2"/>
  <c r="Q239" i="2" s="1"/>
  <c r="Q240" i="2"/>
  <c r="AF242" i="2"/>
  <c r="BH242" i="2" s="1"/>
  <c r="P243" i="2"/>
  <c r="Q243" i="2" s="1"/>
  <c r="Q244" i="2"/>
  <c r="Q246" i="2"/>
  <c r="AF248" i="2"/>
  <c r="BH248" i="2" s="1"/>
  <c r="P249" i="2"/>
  <c r="Q249" i="2" s="1"/>
  <c r="Q250" i="2"/>
  <c r="AF252" i="2"/>
  <c r="BH252" i="2" s="1"/>
  <c r="P253" i="2"/>
  <c r="Q253" i="2" s="1"/>
  <c r="Q254" i="2"/>
  <c r="AF256" i="2"/>
  <c r="BH256" i="2" s="1"/>
  <c r="P257" i="2"/>
  <c r="Q257" i="2" s="1"/>
  <c r="Q258" i="2"/>
  <c r="AF260" i="2"/>
  <c r="BH260" i="2" s="1"/>
  <c r="P261" i="2"/>
  <c r="Q261" i="2" s="1"/>
  <c r="Q262" i="2"/>
  <c r="AF264" i="2"/>
  <c r="BH264" i="2" s="1"/>
  <c r="P265" i="2"/>
  <c r="Q265" i="2" s="1"/>
  <c r="Q266" i="2"/>
  <c r="AF268" i="2"/>
  <c r="BH268" i="2" s="1"/>
  <c r="P269" i="2"/>
  <c r="Q269" i="2" s="1"/>
  <c r="Q270" i="2"/>
  <c r="Q272" i="2"/>
  <c r="AF274" i="2"/>
  <c r="BH274" i="2" s="1"/>
  <c r="P275" i="2"/>
  <c r="Q275" i="2" s="1"/>
  <c r="Q276" i="2"/>
  <c r="AF278" i="2"/>
  <c r="BH278" i="2" s="1"/>
  <c r="P279" i="2"/>
  <c r="Q279" i="2" s="1"/>
  <c r="Q280" i="2"/>
  <c r="AF282" i="2"/>
  <c r="BH282" i="2" s="1"/>
  <c r="P283" i="2"/>
  <c r="Q283" i="2" s="1"/>
  <c r="Q284" i="2"/>
  <c r="AF286" i="2"/>
  <c r="BH286" i="2" s="1"/>
  <c r="P287" i="2"/>
  <c r="Q287" i="2" s="1"/>
  <c r="Q288" i="2"/>
  <c r="AF290" i="2"/>
  <c r="BH290" i="2" s="1"/>
  <c r="P291" i="2"/>
  <c r="Q291" i="2" s="1"/>
  <c r="Q292" i="2"/>
  <c r="AF294" i="2"/>
  <c r="BH294" i="2" s="1"/>
  <c r="P295" i="2"/>
  <c r="Q295" i="2" s="1"/>
  <c r="Q296" i="2"/>
  <c r="AF298" i="2"/>
  <c r="BH298" i="2" s="1"/>
  <c r="P299" i="2"/>
  <c r="Q299" i="2" s="1"/>
  <c r="Q300" i="2"/>
  <c r="AF302" i="2"/>
  <c r="BH302" i="2" s="1"/>
  <c r="P303" i="2"/>
  <c r="Q303" i="2" s="1"/>
  <c r="Q304" i="2"/>
  <c r="AF306" i="2"/>
  <c r="BH306" i="2" s="1"/>
  <c r="P307" i="2"/>
  <c r="Q307" i="2" s="1"/>
  <c r="Q308" i="2"/>
  <c r="AF310" i="2"/>
  <c r="BH310" i="2" s="1"/>
  <c r="AE311" i="2"/>
  <c r="BE311" i="2" s="1"/>
  <c r="AF312" i="2"/>
  <c r="BH312" i="2" s="1"/>
  <c r="P313" i="2"/>
  <c r="Q313" i="2" s="1"/>
  <c r="Q314" i="2"/>
  <c r="AF316" i="2"/>
  <c r="BH316" i="2" s="1"/>
  <c r="P317" i="2"/>
  <c r="Q317" i="2" s="1"/>
  <c r="Q318" i="2"/>
  <c r="AF320" i="2"/>
  <c r="BH320" i="2" s="1"/>
  <c r="P321" i="2"/>
  <c r="Q321" i="2" s="1"/>
  <c r="Q322" i="2"/>
  <c r="AF324" i="2"/>
  <c r="BH324" i="2" s="1"/>
  <c r="P325" i="2"/>
  <c r="Q325" i="2" s="1"/>
  <c r="Q326" i="2"/>
  <c r="Q328" i="2"/>
  <c r="AF330" i="2"/>
  <c r="BH330" i="2" s="1"/>
  <c r="P331" i="2"/>
  <c r="Q331" i="2" s="1"/>
  <c r="Q332" i="2"/>
  <c r="AF334" i="2"/>
  <c r="BH334" i="2" s="1"/>
  <c r="P335" i="2"/>
  <c r="Q335" i="2" s="1"/>
  <c r="Q336" i="2"/>
  <c r="AF338" i="2"/>
  <c r="BH338" i="2" s="1"/>
  <c r="P339" i="2"/>
  <c r="Q339" i="2" s="1"/>
  <c r="Q340" i="2"/>
  <c r="AF342" i="2"/>
  <c r="BH342" i="2" s="1"/>
  <c r="P343" i="2"/>
  <c r="Q343" i="2" s="1"/>
  <c r="Q344" i="2"/>
  <c r="AF346" i="2"/>
  <c r="BH346" i="2" s="1"/>
  <c r="P347" i="2"/>
  <c r="Q347" i="2" s="1"/>
  <c r="Q348" i="2"/>
  <c r="AF350" i="2"/>
  <c r="BH350" i="2" s="1"/>
  <c r="P351" i="2"/>
  <c r="Q351" i="2" s="1"/>
  <c r="AK455" i="2"/>
  <c r="AK456" i="2" s="1"/>
  <c r="K476" i="2"/>
  <c r="Y482" i="2"/>
  <c r="K486" i="2"/>
  <c r="Y490" i="2"/>
  <c r="AB348" i="3"/>
  <c r="AC348" i="3" s="1"/>
  <c r="AB322" i="3"/>
  <c r="AC322" i="3" s="1"/>
  <c r="AB266" i="3"/>
  <c r="AC266" i="3" s="1"/>
  <c r="AB254" i="3"/>
  <c r="AC254" i="3" s="1"/>
  <c r="AB327" i="3"/>
  <c r="AC327" i="3" s="1"/>
  <c r="AB323" i="3"/>
  <c r="AC323" i="3" s="1"/>
  <c r="AB273" i="3"/>
  <c r="AC273" i="3" s="1"/>
  <c r="AB245" i="3"/>
  <c r="AC245" i="3" s="1"/>
  <c r="AB237" i="3"/>
  <c r="AC237" i="3" s="1"/>
  <c r="AB219" i="3"/>
  <c r="AC219" i="3" s="1"/>
  <c r="AB193" i="3"/>
  <c r="AC193" i="3" s="1"/>
  <c r="AB189" i="3"/>
  <c r="AC189" i="3" s="1"/>
  <c r="AB181" i="3"/>
  <c r="AC181" i="3" s="1"/>
  <c r="AB310" i="3"/>
  <c r="AC310" i="3" s="1"/>
  <c r="AB302" i="3"/>
  <c r="AC302" i="3" s="1"/>
  <c r="AB290" i="3"/>
  <c r="AC290" i="3" s="1"/>
  <c r="AB282" i="3"/>
  <c r="AC282" i="3" s="1"/>
  <c r="AB274" i="3"/>
  <c r="AC274" i="3" s="1"/>
  <c r="AB230" i="3"/>
  <c r="AC230" i="3" s="1"/>
  <c r="AB220" i="3"/>
  <c r="AC220" i="3" s="1"/>
  <c r="AB335" i="3"/>
  <c r="AC335" i="3" s="1"/>
  <c r="AB331" i="3"/>
  <c r="AC331" i="3" s="1"/>
  <c r="AB299" i="3"/>
  <c r="AC299" i="3" s="1"/>
  <c r="AB287" i="3"/>
  <c r="AC287" i="3" s="1"/>
  <c r="AB279" i="3"/>
  <c r="AC279" i="3" s="1"/>
  <c r="AB275" i="3"/>
  <c r="AC275" i="3" s="1"/>
  <c r="AB271" i="3"/>
  <c r="AC271" i="3" s="1"/>
  <c r="AB269" i="3"/>
  <c r="AC269" i="3" s="1"/>
  <c r="AB261" i="3"/>
  <c r="AC261" i="3" s="1"/>
  <c r="AB221" i="3"/>
  <c r="AC221" i="3" s="1"/>
  <c r="AB191" i="3"/>
  <c r="AC191" i="3" s="1"/>
  <c r="P148" i="3"/>
  <c r="Q148" i="3" s="1"/>
  <c r="P152" i="3"/>
  <c r="Q152" i="3" s="1"/>
  <c r="P156" i="3"/>
  <c r="Q156" i="3" s="1"/>
  <c r="AB156" i="3"/>
  <c r="AC156" i="3" s="1"/>
  <c r="P158" i="3"/>
  <c r="Q158" i="3" s="1"/>
  <c r="AB158" i="3"/>
  <c r="AC158" i="3" s="1"/>
  <c r="AF161" i="3"/>
  <c r="BH161" i="3" s="1"/>
  <c r="P162" i="3"/>
  <c r="Q162" i="3" s="1"/>
  <c r="AB162" i="3"/>
  <c r="AC162" i="3" s="1"/>
  <c r="Q163" i="3"/>
  <c r="AF165" i="3"/>
  <c r="BH165" i="3" s="1"/>
  <c r="P166" i="3"/>
  <c r="Q166" i="3" s="1"/>
  <c r="Q167" i="3"/>
  <c r="AF169" i="3"/>
  <c r="BH169" i="3" s="1"/>
  <c r="P170" i="3"/>
  <c r="Q170" i="3" s="1"/>
  <c r="T171" i="3"/>
  <c r="W171" i="3" s="1"/>
  <c r="P171" i="3"/>
  <c r="Q171" i="3" s="1"/>
  <c r="U171" i="3"/>
  <c r="AF171" i="3"/>
  <c r="BH171" i="3" s="1"/>
  <c r="T172" i="3"/>
  <c r="X172" i="3" s="1"/>
  <c r="AF172" i="3"/>
  <c r="BH172" i="3" s="1"/>
  <c r="T173" i="3"/>
  <c r="W173" i="3" s="1"/>
  <c r="Q174" i="3"/>
  <c r="AA174" i="3"/>
  <c r="AB174" i="3" s="1"/>
  <c r="AC174" i="3" s="1"/>
  <c r="AE175" i="3"/>
  <c r="BE175" i="3" s="1"/>
  <c r="T175" i="3"/>
  <c r="W175" i="3" s="1"/>
  <c r="P175" i="3"/>
  <c r="Q175" i="3" s="1"/>
  <c r="Z175" i="3"/>
  <c r="U175" i="3"/>
  <c r="AE176" i="3"/>
  <c r="BE176" i="3" s="1"/>
  <c r="X177" i="3"/>
  <c r="AE178" i="3"/>
  <c r="BE178" i="3" s="1"/>
  <c r="X179" i="3"/>
  <c r="T181" i="3"/>
  <c r="P181" i="3"/>
  <c r="Q181" i="3" s="1"/>
  <c r="AE181" i="3"/>
  <c r="BE181" i="3" s="1"/>
  <c r="Y182" i="3"/>
  <c r="T182" i="3"/>
  <c r="Q183" i="3"/>
  <c r="U186" i="3"/>
  <c r="X186" i="3" s="1"/>
  <c r="P186" i="3"/>
  <c r="Q186" i="3" s="1"/>
  <c r="AF189" i="3"/>
  <c r="BH189" i="3" s="1"/>
  <c r="W192" i="3"/>
  <c r="P192" i="3"/>
  <c r="Q192" i="3" s="1"/>
  <c r="AF193" i="3"/>
  <c r="BH193" i="3" s="1"/>
  <c r="AE195" i="3"/>
  <c r="BE195" i="3" s="1"/>
  <c r="I195" i="3"/>
  <c r="T195" i="3"/>
  <c r="V195" i="3" s="1"/>
  <c r="P195" i="3"/>
  <c r="Q195" i="3" s="1"/>
  <c r="AF195" i="3"/>
  <c r="BH195" i="3" s="1"/>
  <c r="T197" i="3"/>
  <c r="V197" i="3" s="1"/>
  <c r="P197" i="3"/>
  <c r="Q197" i="3" s="1"/>
  <c r="AE197" i="3"/>
  <c r="BE197" i="3" s="1"/>
  <c r="Z197" i="3"/>
  <c r="AF197" i="3"/>
  <c r="BH197" i="3" s="1"/>
  <c r="AE199" i="3"/>
  <c r="BE199" i="3" s="1"/>
  <c r="I199" i="3"/>
  <c r="T199" i="3"/>
  <c r="X199" i="3" s="1"/>
  <c r="P199" i="3"/>
  <c r="Q199" i="3" s="1"/>
  <c r="W200" i="3"/>
  <c r="P200" i="3"/>
  <c r="Q200" i="3" s="1"/>
  <c r="AE203" i="3"/>
  <c r="BE203" i="3" s="1"/>
  <c r="I203" i="3"/>
  <c r="U203" i="3"/>
  <c r="T203" i="3"/>
  <c r="Z203" i="3" s="1"/>
  <c r="AA203" i="3" s="1"/>
  <c r="AB203" i="3" s="1"/>
  <c r="AC203" i="3" s="1"/>
  <c r="P203" i="3"/>
  <c r="Q203" i="3" s="1"/>
  <c r="W207" i="3"/>
  <c r="Z207" i="3"/>
  <c r="AE208" i="3"/>
  <c r="BE208" i="3" s="1"/>
  <c r="AF209" i="3"/>
  <c r="BH209" i="3" s="1"/>
  <c r="W210" i="3"/>
  <c r="AE210" i="3"/>
  <c r="BE210" i="3" s="1"/>
  <c r="I210" i="3"/>
  <c r="BG210" i="3" s="1"/>
  <c r="P210" i="3"/>
  <c r="Q210" i="3" s="1"/>
  <c r="X213" i="3"/>
  <c r="AE217" i="3"/>
  <c r="BE217" i="3" s="1"/>
  <c r="I217" i="3"/>
  <c r="BG217" i="3" s="1"/>
  <c r="U217" i="3"/>
  <c r="Z217" i="3" s="1"/>
  <c r="T217" i="3"/>
  <c r="V217" i="3" s="1"/>
  <c r="P217" i="3"/>
  <c r="Q217" i="3" s="1"/>
  <c r="AF217" i="3"/>
  <c r="BH217" i="3" s="1"/>
  <c r="P218" i="3"/>
  <c r="Q218" i="3" s="1"/>
  <c r="U223" i="3"/>
  <c r="Z223" i="3" s="1"/>
  <c r="AB226" i="3"/>
  <c r="AC226" i="3" s="1"/>
  <c r="Z228" i="3"/>
  <c r="V228" i="3"/>
  <c r="X229" i="3"/>
  <c r="U229" i="3"/>
  <c r="AE231" i="3"/>
  <c r="BE231" i="3" s="1"/>
  <c r="U231" i="3"/>
  <c r="V231" i="3" s="1"/>
  <c r="T231" i="3"/>
  <c r="X231" i="3" s="1"/>
  <c r="P231" i="3"/>
  <c r="Q231" i="3" s="1"/>
  <c r="AF231" i="3"/>
  <c r="BH231" i="3" s="1"/>
  <c r="AE232" i="3"/>
  <c r="BE232" i="3" s="1"/>
  <c r="I232" i="3"/>
  <c r="BG232" i="3" s="1"/>
  <c r="U232" i="3"/>
  <c r="V232" i="3" s="1"/>
  <c r="P232" i="3"/>
  <c r="Q232" i="3" s="1"/>
  <c r="X235" i="3"/>
  <c r="AA235" i="3" s="1"/>
  <c r="AB235" i="3" s="1"/>
  <c r="AC235" i="3" s="1"/>
  <c r="AB236" i="3"/>
  <c r="AC236" i="3" s="1"/>
  <c r="Y238" i="3"/>
  <c r="AE239" i="3"/>
  <c r="BE239" i="3" s="1"/>
  <c r="U239" i="3"/>
  <c r="V239" i="3" s="1"/>
  <c r="T239" i="3"/>
  <c r="P239" i="3"/>
  <c r="Q239" i="3" s="1"/>
  <c r="AF239" i="3"/>
  <c r="BH239" i="3" s="1"/>
  <c r="AE240" i="3"/>
  <c r="BE240" i="3" s="1"/>
  <c r="I240" i="3"/>
  <c r="BG240" i="3" s="1"/>
  <c r="U240" i="3"/>
  <c r="V240" i="3" s="1"/>
  <c r="P240" i="3"/>
  <c r="Q240" i="3" s="1"/>
  <c r="X243" i="3"/>
  <c r="Y244" i="3"/>
  <c r="AE250" i="3"/>
  <c r="BE250" i="3" s="1"/>
  <c r="AE256" i="3"/>
  <c r="BE256" i="3" s="1"/>
  <c r="AE265" i="3"/>
  <c r="BE265" i="3" s="1"/>
  <c r="AE272" i="3"/>
  <c r="BE272" i="3" s="1"/>
  <c r="AE276" i="3"/>
  <c r="BE276" i="3" s="1"/>
  <c r="AE295" i="3"/>
  <c r="BE295" i="3" s="1"/>
  <c r="AE298" i="3"/>
  <c r="BE298" i="3" s="1"/>
  <c r="AE303" i="3"/>
  <c r="BE303" i="3" s="1"/>
  <c r="AE307" i="3"/>
  <c r="BE307" i="3" s="1"/>
  <c r="AE317" i="3"/>
  <c r="BE317" i="3" s="1"/>
  <c r="AE320" i="3"/>
  <c r="BE320" i="3" s="1"/>
  <c r="AE324" i="3"/>
  <c r="BE324" i="3" s="1"/>
  <c r="AE342" i="3"/>
  <c r="BE342" i="3" s="1"/>
  <c r="AE347" i="3"/>
  <c r="BE347" i="3" s="1"/>
  <c r="C536" i="3"/>
  <c r="E533" i="3" s="1"/>
  <c r="C528" i="3"/>
  <c r="C535" i="3"/>
  <c r="C526" i="3"/>
  <c r="BG161" i="4"/>
  <c r="U24" i="4"/>
  <c r="BG201" i="4"/>
  <c r="K35" i="4"/>
  <c r="AA203" i="4"/>
  <c r="X339" i="4"/>
  <c r="Z339" i="4"/>
  <c r="V339" i="4"/>
  <c r="X347" i="4"/>
  <c r="Z347" i="4"/>
  <c r="V347" i="4"/>
  <c r="V201" i="3"/>
  <c r="AE201" i="3"/>
  <c r="BE201" i="3" s="1"/>
  <c r="V207" i="3"/>
  <c r="AE207" i="3"/>
  <c r="BE207" i="3" s="1"/>
  <c r="V211" i="3"/>
  <c r="AE211" i="3"/>
  <c r="BE211" i="3" s="1"/>
  <c r="V215" i="3"/>
  <c r="AE215" i="3"/>
  <c r="BE215" i="3" s="1"/>
  <c r="AE219" i="3"/>
  <c r="BE219" i="3" s="1"/>
  <c r="V223" i="3"/>
  <c r="AE223" i="3"/>
  <c r="BE223" i="3" s="1"/>
  <c r="W224" i="3"/>
  <c r="X227" i="3"/>
  <c r="I229" i="3"/>
  <c r="BG229" i="3" s="1"/>
  <c r="V229" i="3"/>
  <c r="AE229" i="3"/>
  <c r="BE229" i="3" s="1"/>
  <c r="I233" i="3"/>
  <c r="BG233" i="3" s="1"/>
  <c r="V233" i="3"/>
  <c r="AE233" i="3"/>
  <c r="BE233" i="3" s="1"/>
  <c r="W234" i="3"/>
  <c r="I237" i="3"/>
  <c r="BG237" i="3" s="1"/>
  <c r="AE237" i="3"/>
  <c r="BE237" i="3" s="1"/>
  <c r="W238" i="3"/>
  <c r="I241" i="3"/>
  <c r="BG241" i="3" s="1"/>
  <c r="V241" i="3"/>
  <c r="AE241" i="3"/>
  <c r="BE241" i="3" s="1"/>
  <c r="W242" i="3"/>
  <c r="I245" i="3"/>
  <c r="BG245" i="3" s="1"/>
  <c r="AE245" i="3"/>
  <c r="BE245" i="3" s="1"/>
  <c r="I247" i="3"/>
  <c r="BG247" i="3" s="1"/>
  <c r="V247" i="3"/>
  <c r="AE247" i="3"/>
  <c r="BE247" i="3" s="1"/>
  <c r="W248" i="3"/>
  <c r="P249" i="3"/>
  <c r="Q249" i="3" s="1"/>
  <c r="T249" i="3"/>
  <c r="W249" i="3" s="1"/>
  <c r="U250" i="3"/>
  <c r="V250" i="3" s="1"/>
  <c r="I251" i="3"/>
  <c r="AE251" i="3"/>
  <c r="BE251" i="3" s="1"/>
  <c r="P253" i="3"/>
  <c r="Q253" i="3" s="1"/>
  <c r="T253" i="3"/>
  <c r="Y253" i="3" s="1"/>
  <c r="I255" i="3"/>
  <c r="BG255" i="3" s="1"/>
  <c r="AE255" i="3"/>
  <c r="BE255" i="3" s="1"/>
  <c r="P257" i="3"/>
  <c r="Q257" i="3" s="1"/>
  <c r="T257" i="3"/>
  <c r="Y257" i="3" s="1"/>
  <c r="X257" i="3"/>
  <c r="U258" i="3"/>
  <c r="X258" i="3" s="1"/>
  <c r="Y258" i="3"/>
  <c r="I259" i="3"/>
  <c r="BG259" i="3" s="1"/>
  <c r="AE259" i="3"/>
  <c r="BE259" i="3" s="1"/>
  <c r="P261" i="3"/>
  <c r="Q261" i="3" s="1"/>
  <c r="T261" i="3"/>
  <c r="U262" i="3"/>
  <c r="X262" i="3" s="1"/>
  <c r="I263" i="3"/>
  <c r="BG263" i="3" s="1"/>
  <c r="AE263" i="3"/>
  <c r="BE263" i="3" s="1"/>
  <c r="P265" i="3"/>
  <c r="Q265" i="3" s="1"/>
  <c r="T265" i="3"/>
  <c r="Y265" i="3" s="1"/>
  <c r="X265" i="3"/>
  <c r="I267" i="3"/>
  <c r="BG267" i="3" s="1"/>
  <c r="AE267" i="3"/>
  <c r="BE267" i="3" s="1"/>
  <c r="P269" i="3"/>
  <c r="Q269" i="3" s="1"/>
  <c r="T269" i="3"/>
  <c r="U270" i="3"/>
  <c r="X270" i="3" s="1"/>
  <c r="Y270" i="3"/>
  <c r="U272" i="3"/>
  <c r="V272" i="3" s="1"/>
  <c r="Y272" i="3"/>
  <c r="I273" i="3"/>
  <c r="BG273" i="3" s="1"/>
  <c r="AE273" i="3"/>
  <c r="BE273" i="3" s="1"/>
  <c r="P275" i="3"/>
  <c r="Q275" i="3" s="1"/>
  <c r="T275" i="3"/>
  <c r="U276" i="3"/>
  <c r="X276" i="3" s="1"/>
  <c r="Y276" i="3"/>
  <c r="I277" i="3"/>
  <c r="BG277" i="3" s="1"/>
  <c r="AE277" i="3"/>
  <c r="BE277" i="3" s="1"/>
  <c r="P279" i="3"/>
  <c r="Q279" i="3" s="1"/>
  <c r="T279" i="3"/>
  <c r="U280" i="3"/>
  <c r="X280" i="3" s="1"/>
  <c r="Y280" i="3"/>
  <c r="I281" i="3"/>
  <c r="BG281" i="3" s="1"/>
  <c r="AE281" i="3"/>
  <c r="BE281" i="3" s="1"/>
  <c r="P283" i="3"/>
  <c r="Q283" i="3" s="1"/>
  <c r="T283" i="3"/>
  <c r="Y283" i="3" s="1"/>
  <c r="U284" i="3"/>
  <c r="V284" i="3" s="1"/>
  <c r="I285" i="3"/>
  <c r="BG285" i="3" s="1"/>
  <c r="AE285" i="3"/>
  <c r="BE285" i="3" s="1"/>
  <c r="P287" i="3"/>
  <c r="Q287" i="3" s="1"/>
  <c r="T287" i="3"/>
  <c r="U288" i="3"/>
  <c r="Z288" i="3" s="1"/>
  <c r="I289" i="3"/>
  <c r="BG289" i="3" s="1"/>
  <c r="AE289" i="3"/>
  <c r="BE289" i="3" s="1"/>
  <c r="P291" i="3"/>
  <c r="Q291" i="3" s="1"/>
  <c r="T291" i="3"/>
  <c r="Y291" i="3" s="1"/>
  <c r="U292" i="3"/>
  <c r="Z292" i="3" s="1"/>
  <c r="I293" i="3"/>
  <c r="BG293" i="3" s="1"/>
  <c r="AE293" i="3"/>
  <c r="BE293" i="3" s="1"/>
  <c r="P295" i="3"/>
  <c r="Q295" i="3" s="1"/>
  <c r="T295" i="3"/>
  <c r="Y295" i="3" s="1"/>
  <c r="U296" i="3"/>
  <c r="Z296" i="3" s="1"/>
  <c r="I297" i="3"/>
  <c r="BG297" i="3" s="1"/>
  <c r="AE297" i="3"/>
  <c r="BE297" i="3" s="1"/>
  <c r="P299" i="3"/>
  <c r="Q299" i="3" s="1"/>
  <c r="T299" i="3"/>
  <c r="U300" i="3"/>
  <c r="Z300" i="3" s="1"/>
  <c r="I301" i="3"/>
  <c r="BG301" i="3" s="1"/>
  <c r="AE301" i="3"/>
  <c r="BE301" i="3" s="1"/>
  <c r="P303" i="3"/>
  <c r="Q303" i="3" s="1"/>
  <c r="T303" i="3"/>
  <c r="Y303" i="3" s="1"/>
  <c r="U304" i="3"/>
  <c r="Z304" i="3" s="1"/>
  <c r="I305" i="3"/>
  <c r="BG305" i="3" s="1"/>
  <c r="AE305" i="3"/>
  <c r="BE305" i="3" s="1"/>
  <c r="P307" i="3"/>
  <c r="Q307" i="3" s="1"/>
  <c r="T307" i="3"/>
  <c r="Y307" i="3" s="1"/>
  <c r="X307" i="3"/>
  <c r="U308" i="3"/>
  <c r="X308" i="3" s="1"/>
  <c r="I309" i="3"/>
  <c r="BG309" i="3" s="1"/>
  <c r="AE309" i="3"/>
  <c r="BE309" i="3" s="1"/>
  <c r="Z311" i="3"/>
  <c r="AA311" i="3" s="1"/>
  <c r="AB311" i="3" s="1"/>
  <c r="AC311" i="3" s="1"/>
  <c r="P313" i="3"/>
  <c r="Q313" i="3" s="1"/>
  <c r="T313" i="3"/>
  <c r="Y313" i="3" s="1"/>
  <c r="U314" i="3"/>
  <c r="V314" i="3" s="1"/>
  <c r="I315" i="3"/>
  <c r="BG315" i="3" s="1"/>
  <c r="AE315" i="3"/>
  <c r="BE315" i="3" s="1"/>
  <c r="P317" i="3"/>
  <c r="Q317" i="3" s="1"/>
  <c r="T317" i="3"/>
  <c r="Z317" i="3" s="1"/>
  <c r="X317" i="3"/>
  <c r="U318" i="3"/>
  <c r="Z318" i="3" s="1"/>
  <c r="Y318" i="3"/>
  <c r="I319" i="3"/>
  <c r="BG319" i="3" s="1"/>
  <c r="AE319" i="3"/>
  <c r="BE319" i="3" s="1"/>
  <c r="P321" i="3"/>
  <c r="Q321" i="3" s="1"/>
  <c r="T321" i="3"/>
  <c r="Z321" i="3" s="1"/>
  <c r="U322" i="3"/>
  <c r="I323" i="3"/>
  <c r="BG323" i="3" s="1"/>
  <c r="AE323" i="3"/>
  <c r="BE323" i="3" s="1"/>
  <c r="P325" i="3"/>
  <c r="Q325" i="3" s="1"/>
  <c r="T325" i="3"/>
  <c r="Z325" i="3" s="1"/>
  <c r="X325" i="3"/>
  <c r="U326" i="3"/>
  <c r="V326" i="3" s="1"/>
  <c r="Y326" i="3"/>
  <c r="I327" i="3"/>
  <c r="BG327" i="3" s="1"/>
  <c r="AE327" i="3"/>
  <c r="BE327" i="3" s="1"/>
  <c r="Y328" i="3"/>
  <c r="I329" i="3"/>
  <c r="BG329" i="3" s="1"/>
  <c r="AE329" i="3"/>
  <c r="BE329" i="3" s="1"/>
  <c r="P331" i="3"/>
  <c r="Q331" i="3" s="1"/>
  <c r="T331" i="3"/>
  <c r="U332" i="3"/>
  <c r="Z332" i="3" s="1"/>
  <c r="I333" i="3"/>
  <c r="BG333" i="3" s="1"/>
  <c r="AE333" i="3"/>
  <c r="BE333" i="3" s="1"/>
  <c r="P335" i="3"/>
  <c r="Q335" i="3" s="1"/>
  <c r="T335" i="3"/>
  <c r="U336" i="3"/>
  <c r="X336" i="3" s="1"/>
  <c r="I337" i="3"/>
  <c r="BG337" i="3" s="1"/>
  <c r="AE337" i="3"/>
  <c r="BE337" i="3" s="1"/>
  <c r="P339" i="3"/>
  <c r="Q339" i="3" s="1"/>
  <c r="T339" i="3"/>
  <c r="X339" i="3" s="1"/>
  <c r="U340" i="3"/>
  <c r="V340" i="3" s="1"/>
  <c r="I341" i="3"/>
  <c r="BG341" i="3" s="1"/>
  <c r="AE341" i="3"/>
  <c r="BE341" i="3" s="1"/>
  <c r="P343" i="3"/>
  <c r="Q343" i="3" s="1"/>
  <c r="T343" i="3"/>
  <c r="Z343" i="3" s="1"/>
  <c r="AA343" i="3" s="1"/>
  <c r="AB343" i="3" s="1"/>
  <c r="AC343" i="3" s="1"/>
  <c r="U344" i="3"/>
  <c r="X344" i="3" s="1"/>
  <c r="I345" i="3"/>
  <c r="BG345" i="3" s="1"/>
  <c r="AE345" i="3"/>
  <c r="BE345" i="3" s="1"/>
  <c r="P347" i="3"/>
  <c r="Q347" i="3" s="1"/>
  <c r="T347" i="3"/>
  <c r="X347" i="3"/>
  <c r="U348" i="3"/>
  <c r="I349" i="3"/>
  <c r="BG349" i="3" s="1"/>
  <c r="AE349" i="3"/>
  <c r="BE349" i="3" s="1"/>
  <c r="P351" i="3"/>
  <c r="Q351" i="3" s="1"/>
  <c r="T351" i="3"/>
  <c r="X351" i="3"/>
  <c r="U352" i="3"/>
  <c r="X352" i="3" s="1"/>
  <c r="I353" i="3"/>
  <c r="Z454" i="3"/>
  <c r="AK455" i="3"/>
  <c r="AK456" i="3" s="1"/>
  <c r="L466" i="3"/>
  <c r="Z470" i="3"/>
  <c r="X472" i="3"/>
  <c r="X473" i="3" s="1"/>
  <c r="K476" i="3"/>
  <c r="K480" i="3"/>
  <c r="K481" i="3" s="1"/>
  <c r="Y482" i="3"/>
  <c r="K486" i="3"/>
  <c r="S489" i="3"/>
  <c r="Y490" i="3"/>
  <c r="E507" i="3"/>
  <c r="L507" i="3" s="1"/>
  <c r="C514" i="3"/>
  <c r="I144" i="4"/>
  <c r="V144" i="4"/>
  <c r="U145" i="4"/>
  <c r="Y145" i="4" s="1"/>
  <c r="I146" i="4"/>
  <c r="AE146" i="4"/>
  <c r="BE146" i="4" s="1"/>
  <c r="AF147" i="4"/>
  <c r="BH147" i="4" s="1"/>
  <c r="P148" i="4"/>
  <c r="T148" i="4"/>
  <c r="U149" i="4"/>
  <c r="Z149" i="4" s="1"/>
  <c r="Y149" i="4"/>
  <c r="I150" i="4"/>
  <c r="BG150" i="4" s="1"/>
  <c r="AE150" i="4"/>
  <c r="BE150" i="4" s="1"/>
  <c r="AF151" i="4"/>
  <c r="BH151" i="4" s="1"/>
  <c r="P152" i="4"/>
  <c r="T152" i="4"/>
  <c r="Y152" i="4" s="1"/>
  <c r="U153" i="4"/>
  <c r="Z153" i="4" s="1"/>
  <c r="Y153" i="4"/>
  <c r="I154" i="4"/>
  <c r="AE154" i="4"/>
  <c r="BE154" i="4" s="1"/>
  <c r="AF155" i="4"/>
  <c r="BH155" i="4" s="1"/>
  <c r="P156" i="4"/>
  <c r="T156" i="4"/>
  <c r="W157" i="4"/>
  <c r="AF157" i="4"/>
  <c r="BH157" i="4" s="1"/>
  <c r="P158" i="4"/>
  <c r="T158" i="4"/>
  <c r="X158" i="4"/>
  <c r="U159" i="4"/>
  <c r="V159" i="4" s="1"/>
  <c r="I160" i="4"/>
  <c r="BG160" i="4" s="1"/>
  <c r="AE160" i="4"/>
  <c r="BE160" i="4" s="1"/>
  <c r="AF161" i="4"/>
  <c r="BH161" i="4" s="1"/>
  <c r="P162" i="4"/>
  <c r="T162" i="4"/>
  <c r="U163" i="4"/>
  <c r="V163" i="4" s="1"/>
  <c r="Y163" i="4"/>
  <c r="I164" i="4"/>
  <c r="BG164" i="4" s="1"/>
  <c r="AE164" i="4"/>
  <c r="BE164" i="4" s="1"/>
  <c r="AF165" i="4"/>
  <c r="BH165" i="4" s="1"/>
  <c r="P166" i="4"/>
  <c r="T166" i="4"/>
  <c r="I168" i="4"/>
  <c r="BG168" i="4" s="1"/>
  <c r="AE168" i="4"/>
  <c r="BE168" i="4" s="1"/>
  <c r="AF169" i="4"/>
  <c r="BH169" i="4" s="1"/>
  <c r="P170" i="4"/>
  <c r="T170" i="4"/>
  <c r="X170" i="4"/>
  <c r="U171" i="4"/>
  <c r="Z171" i="4" s="1"/>
  <c r="I172" i="4"/>
  <c r="AE172" i="4"/>
  <c r="BE172" i="4" s="1"/>
  <c r="AF173" i="4"/>
  <c r="BH173" i="4" s="1"/>
  <c r="P174" i="4"/>
  <c r="T174" i="4"/>
  <c r="Z174" i="4" s="1"/>
  <c r="AA174" i="4" s="1"/>
  <c r="U175" i="4"/>
  <c r="X175" i="4" s="1"/>
  <c r="Y175" i="4"/>
  <c r="I176" i="4"/>
  <c r="BG176" i="4" s="1"/>
  <c r="AE176" i="4"/>
  <c r="BE176" i="4" s="1"/>
  <c r="AF177" i="4"/>
  <c r="BH177" i="4" s="1"/>
  <c r="P178" i="4"/>
  <c r="T178" i="4"/>
  <c r="W178" i="4" s="1"/>
  <c r="U179" i="4"/>
  <c r="V179" i="4" s="1"/>
  <c r="Y179" i="4"/>
  <c r="I180" i="4"/>
  <c r="BG180" i="4" s="1"/>
  <c r="AE180" i="4"/>
  <c r="BE180" i="4" s="1"/>
  <c r="AF181" i="4"/>
  <c r="BH181" i="4" s="1"/>
  <c r="P182" i="4"/>
  <c r="T182" i="4"/>
  <c r="U183" i="4"/>
  <c r="V183" i="4" s="1"/>
  <c r="I184" i="4"/>
  <c r="BG184" i="4" s="1"/>
  <c r="AE184" i="4"/>
  <c r="BE184" i="4" s="1"/>
  <c r="AF185" i="4"/>
  <c r="BH185" i="4" s="1"/>
  <c r="P186" i="4"/>
  <c r="T186" i="4"/>
  <c r="W186" i="4" s="1"/>
  <c r="I188" i="4"/>
  <c r="BG188" i="4" s="1"/>
  <c r="AE188" i="4"/>
  <c r="BE188" i="4" s="1"/>
  <c r="AF189" i="4"/>
  <c r="BH189" i="4" s="1"/>
  <c r="P190" i="4"/>
  <c r="T190" i="4"/>
  <c r="U191" i="4"/>
  <c r="V191" i="4" s="1"/>
  <c r="I192" i="4"/>
  <c r="BG192" i="4" s="1"/>
  <c r="AE192" i="4"/>
  <c r="BE192" i="4" s="1"/>
  <c r="AF193" i="4"/>
  <c r="BH193" i="4" s="1"/>
  <c r="P194" i="4"/>
  <c r="T194" i="4"/>
  <c r="Y194" i="4" s="1"/>
  <c r="X194" i="4"/>
  <c r="U195" i="4"/>
  <c r="Y195" i="4" s="1"/>
  <c r="I196" i="4"/>
  <c r="AE196" i="4"/>
  <c r="BE196" i="4" s="1"/>
  <c r="AF197" i="4"/>
  <c r="BH197" i="4" s="1"/>
  <c r="P198" i="4"/>
  <c r="T198" i="4"/>
  <c r="Y198" i="4" s="1"/>
  <c r="U199" i="4"/>
  <c r="Z199" i="4" s="1"/>
  <c r="I200" i="4"/>
  <c r="BG200" i="4" s="1"/>
  <c r="AE200" i="4"/>
  <c r="BE200" i="4" s="1"/>
  <c r="AF201" i="4"/>
  <c r="BH201" i="4" s="1"/>
  <c r="P202" i="4"/>
  <c r="T202" i="4"/>
  <c r="Y202" i="4" s="1"/>
  <c r="X202" i="4"/>
  <c r="I204" i="4"/>
  <c r="BG204" i="4" s="1"/>
  <c r="AE204" i="4"/>
  <c r="BE204" i="4" s="1"/>
  <c r="Q205" i="4"/>
  <c r="I206" i="4"/>
  <c r="BG206" i="4" s="1"/>
  <c r="AE206" i="4"/>
  <c r="BE206" i="4" s="1"/>
  <c r="AF207" i="4"/>
  <c r="BH207" i="4" s="1"/>
  <c r="P208" i="4"/>
  <c r="T208" i="4"/>
  <c r="U209" i="4"/>
  <c r="Z209" i="4" s="1"/>
  <c r="I210" i="4"/>
  <c r="BG210" i="4" s="1"/>
  <c r="AE210" i="4"/>
  <c r="BE210" i="4" s="1"/>
  <c r="AF211" i="4"/>
  <c r="BH211" i="4" s="1"/>
  <c r="P212" i="4"/>
  <c r="T212" i="4"/>
  <c r="Z212" i="4" s="1"/>
  <c r="U213" i="4"/>
  <c r="Z213" i="4" s="1"/>
  <c r="Y213" i="4"/>
  <c r="I214" i="4"/>
  <c r="BG214" i="4" s="1"/>
  <c r="AE214" i="4"/>
  <c r="BE214" i="4" s="1"/>
  <c r="AF215" i="4"/>
  <c r="BH215" i="4" s="1"/>
  <c r="P216" i="4"/>
  <c r="T216" i="4"/>
  <c r="Y216" i="4" s="1"/>
  <c r="X216" i="4"/>
  <c r="U217" i="4"/>
  <c r="Y217" i="4" s="1"/>
  <c r="I218" i="4"/>
  <c r="BG218" i="4" s="1"/>
  <c r="AE218" i="4"/>
  <c r="BE218" i="4" s="1"/>
  <c r="AF219" i="4"/>
  <c r="BH219" i="4" s="1"/>
  <c r="P220" i="4"/>
  <c r="T220" i="4"/>
  <c r="Z220" i="4" s="1"/>
  <c r="X220" i="4"/>
  <c r="U221" i="4"/>
  <c r="V221" i="4" s="1"/>
  <c r="I222" i="4"/>
  <c r="BG222" i="4" s="1"/>
  <c r="AE222" i="4"/>
  <c r="BE222" i="4" s="1"/>
  <c r="AF223" i="4"/>
  <c r="BH223" i="4" s="1"/>
  <c r="P224" i="4"/>
  <c r="T224" i="4"/>
  <c r="U225" i="4"/>
  <c r="X225" i="4" s="1"/>
  <c r="Y225" i="4"/>
  <c r="I226" i="4"/>
  <c r="BG226" i="4" s="1"/>
  <c r="AE226" i="4"/>
  <c r="BE226" i="4" s="1"/>
  <c r="Q227" i="4"/>
  <c r="Y227" i="4"/>
  <c r="I228" i="4"/>
  <c r="BG228" i="4" s="1"/>
  <c r="AE228" i="4"/>
  <c r="BE228" i="4" s="1"/>
  <c r="AF229" i="4"/>
  <c r="BH229" i="4" s="1"/>
  <c r="P230" i="4"/>
  <c r="T230" i="4"/>
  <c r="Y231" i="4"/>
  <c r="I232" i="4"/>
  <c r="BG232" i="4" s="1"/>
  <c r="AE232" i="4"/>
  <c r="BE232" i="4" s="1"/>
  <c r="AF233" i="4"/>
  <c r="BH233" i="4" s="1"/>
  <c r="P234" i="4"/>
  <c r="T234" i="4"/>
  <c r="Z234" i="4" s="1"/>
  <c r="X234" i="4"/>
  <c r="I236" i="4"/>
  <c r="AE236" i="4"/>
  <c r="BE236" i="4" s="1"/>
  <c r="AF237" i="4"/>
  <c r="BH237" i="4" s="1"/>
  <c r="P238" i="4"/>
  <c r="T238" i="4"/>
  <c r="Z238" i="4" s="1"/>
  <c r="X238" i="4"/>
  <c r="Y239" i="4"/>
  <c r="I240" i="4"/>
  <c r="BG240" i="4" s="1"/>
  <c r="AE240" i="4"/>
  <c r="BE240" i="4" s="1"/>
  <c r="AF241" i="4"/>
  <c r="BH241" i="4" s="1"/>
  <c r="P242" i="4"/>
  <c r="T242" i="4"/>
  <c r="Y243" i="4"/>
  <c r="I244" i="4"/>
  <c r="BG244" i="4" s="1"/>
  <c r="AE244" i="4"/>
  <c r="BE244" i="4" s="1"/>
  <c r="AF245" i="4"/>
  <c r="BH245" i="4" s="1"/>
  <c r="V246" i="4"/>
  <c r="AA246" i="4" s="1"/>
  <c r="Z246" i="4"/>
  <c r="AE246" i="4"/>
  <c r="BE246" i="4" s="1"/>
  <c r="AF247" i="4"/>
  <c r="BH247" i="4" s="1"/>
  <c r="P248" i="4"/>
  <c r="T248" i="4"/>
  <c r="X248" i="4"/>
  <c r="Y249" i="4"/>
  <c r="I250" i="4"/>
  <c r="BG250" i="4" s="1"/>
  <c r="AE250" i="4"/>
  <c r="BE250" i="4" s="1"/>
  <c r="AF251" i="4"/>
  <c r="BH251" i="4" s="1"/>
  <c r="P252" i="4"/>
  <c r="T252" i="4"/>
  <c r="X252" i="4" s="1"/>
  <c r="Y253" i="4"/>
  <c r="I254" i="4"/>
  <c r="BG254" i="4" s="1"/>
  <c r="AE254" i="4"/>
  <c r="BE254" i="4" s="1"/>
  <c r="AF255" i="4"/>
  <c r="BH255" i="4" s="1"/>
  <c r="P256" i="4"/>
  <c r="T256" i="4"/>
  <c r="Y257" i="4"/>
  <c r="I258" i="4"/>
  <c r="BG258" i="4" s="1"/>
  <c r="AE258" i="4"/>
  <c r="BE258" i="4" s="1"/>
  <c r="AF259" i="4"/>
  <c r="BH259" i="4" s="1"/>
  <c r="P260" i="4"/>
  <c r="T260" i="4"/>
  <c r="X260" i="4"/>
  <c r="I262" i="4"/>
  <c r="BG262" i="4" s="1"/>
  <c r="AE262" i="4"/>
  <c r="BE262" i="4" s="1"/>
  <c r="AF263" i="4"/>
  <c r="BH263" i="4" s="1"/>
  <c r="P264" i="4"/>
  <c r="T264" i="4"/>
  <c r="Y265" i="4"/>
  <c r="I266" i="4"/>
  <c r="BG266" i="4" s="1"/>
  <c r="AE266" i="4"/>
  <c r="BE266" i="4" s="1"/>
  <c r="AF267" i="4"/>
  <c r="BH267" i="4" s="1"/>
  <c r="P268" i="4"/>
  <c r="T268" i="4"/>
  <c r="Z268" i="4" s="1"/>
  <c r="X268" i="4"/>
  <c r="U269" i="4"/>
  <c r="I270" i="4"/>
  <c r="BG270" i="4" s="1"/>
  <c r="AE270" i="4"/>
  <c r="BE270" i="4" s="1"/>
  <c r="Q271" i="4"/>
  <c r="I272" i="4"/>
  <c r="BG272" i="4" s="1"/>
  <c r="AE272" i="4"/>
  <c r="BE272" i="4" s="1"/>
  <c r="AF273" i="4"/>
  <c r="BH273" i="4" s="1"/>
  <c r="P274" i="4"/>
  <c r="T274" i="4"/>
  <c r="U275" i="4"/>
  <c r="I276" i="4"/>
  <c r="BG276" i="4" s="1"/>
  <c r="AE276" i="4"/>
  <c r="BE276" i="4" s="1"/>
  <c r="AF277" i="4"/>
  <c r="BH277" i="4" s="1"/>
  <c r="P278" i="4"/>
  <c r="T278" i="4"/>
  <c r="Z278" i="4" s="1"/>
  <c r="X278" i="4"/>
  <c r="I280" i="4"/>
  <c r="BG280" i="4" s="1"/>
  <c r="AE280" i="4"/>
  <c r="BE280" i="4" s="1"/>
  <c r="AF281" i="4"/>
  <c r="BH281" i="4" s="1"/>
  <c r="P282" i="4"/>
  <c r="T282" i="4"/>
  <c r="Y283" i="4"/>
  <c r="I284" i="4"/>
  <c r="BG284" i="4" s="1"/>
  <c r="AE284" i="4"/>
  <c r="BE284" i="4" s="1"/>
  <c r="AF285" i="4"/>
  <c r="BH285" i="4" s="1"/>
  <c r="P286" i="4"/>
  <c r="T286" i="4"/>
  <c r="Z286" i="4" s="1"/>
  <c r="X286" i="4"/>
  <c r="I288" i="4"/>
  <c r="BG288" i="4" s="1"/>
  <c r="AE288" i="4"/>
  <c r="BE288" i="4" s="1"/>
  <c r="AF289" i="4"/>
  <c r="BH289" i="4" s="1"/>
  <c r="P290" i="4"/>
  <c r="T290" i="4"/>
  <c r="Y291" i="4"/>
  <c r="I292" i="4"/>
  <c r="BG292" i="4" s="1"/>
  <c r="AE292" i="4"/>
  <c r="BE292" i="4" s="1"/>
  <c r="AF293" i="4"/>
  <c r="BH293" i="4" s="1"/>
  <c r="P294" i="4"/>
  <c r="T294" i="4"/>
  <c r="X294" i="4"/>
  <c r="Y295" i="4"/>
  <c r="I296" i="4"/>
  <c r="BG296" i="4" s="1"/>
  <c r="AE296" i="4"/>
  <c r="BE296" i="4" s="1"/>
  <c r="AF297" i="4"/>
  <c r="BH297" i="4" s="1"/>
  <c r="P298" i="4"/>
  <c r="T298" i="4"/>
  <c r="U299" i="4"/>
  <c r="I300" i="4"/>
  <c r="BG300" i="4" s="1"/>
  <c r="AE300" i="4"/>
  <c r="BE300" i="4" s="1"/>
  <c r="AF301" i="4"/>
  <c r="BH301" i="4" s="1"/>
  <c r="P302" i="4"/>
  <c r="T302" i="4"/>
  <c r="Y303" i="4"/>
  <c r="I304" i="4"/>
  <c r="BG304" i="4" s="1"/>
  <c r="AE304" i="4"/>
  <c r="BE304" i="4" s="1"/>
  <c r="AF305" i="4"/>
  <c r="BH305" i="4" s="1"/>
  <c r="P306" i="4"/>
  <c r="T306" i="4"/>
  <c r="Z306" i="4" s="1"/>
  <c r="X306" i="4"/>
  <c r="Y307" i="4"/>
  <c r="I308" i="4"/>
  <c r="BG308" i="4" s="1"/>
  <c r="AE308" i="4"/>
  <c r="BE308" i="4" s="1"/>
  <c r="AF309" i="4"/>
  <c r="BH309" i="4" s="1"/>
  <c r="P310" i="4"/>
  <c r="T310" i="4"/>
  <c r="W311" i="4"/>
  <c r="AF311" i="4"/>
  <c r="BH311" i="4" s="1"/>
  <c r="P312" i="4"/>
  <c r="T312" i="4"/>
  <c r="Y313" i="4"/>
  <c r="I314" i="4"/>
  <c r="BG314" i="4" s="1"/>
  <c r="AE314" i="4"/>
  <c r="BE314" i="4" s="1"/>
  <c r="AF315" i="4"/>
  <c r="BH315" i="4" s="1"/>
  <c r="P316" i="4"/>
  <c r="T316" i="4"/>
  <c r="X316" i="4" s="1"/>
  <c r="Y317" i="4"/>
  <c r="I318" i="4"/>
  <c r="BG318" i="4" s="1"/>
  <c r="AE318" i="4"/>
  <c r="BE318" i="4" s="1"/>
  <c r="AF319" i="4"/>
  <c r="BH319" i="4" s="1"/>
  <c r="P320" i="4"/>
  <c r="T320" i="4"/>
  <c r="U321" i="4"/>
  <c r="I322" i="4"/>
  <c r="BG322" i="4" s="1"/>
  <c r="AE322" i="4"/>
  <c r="BE322" i="4" s="1"/>
  <c r="AF323" i="4"/>
  <c r="BH323" i="4" s="1"/>
  <c r="P324" i="4"/>
  <c r="T324" i="4"/>
  <c r="X324" i="4"/>
  <c r="U325" i="4"/>
  <c r="X325" i="4" s="1"/>
  <c r="I326" i="4"/>
  <c r="BG326" i="4" s="1"/>
  <c r="AE326" i="4"/>
  <c r="BE326" i="4" s="1"/>
  <c r="AF327" i="4"/>
  <c r="BH327" i="4" s="1"/>
  <c r="V328" i="4"/>
  <c r="AA328" i="4" s="1"/>
  <c r="Z328" i="4"/>
  <c r="AE328" i="4"/>
  <c r="BE328" i="4" s="1"/>
  <c r="AF329" i="4"/>
  <c r="BH329" i="4" s="1"/>
  <c r="P330" i="4"/>
  <c r="T330" i="4"/>
  <c r="Z330" i="4" s="1"/>
  <c r="X330" i="4"/>
  <c r="I332" i="4"/>
  <c r="BG332" i="4" s="1"/>
  <c r="AE332" i="4"/>
  <c r="BE332" i="4" s="1"/>
  <c r="AF333" i="4"/>
  <c r="BH333" i="4" s="1"/>
  <c r="P334" i="4"/>
  <c r="T334" i="4"/>
  <c r="X334" i="4"/>
  <c r="Y335" i="4"/>
  <c r="I336" i="4"/>
  <c r="AE336" i="4"/>
  <c r="BE336" i="4" s="1"/>
  <c r="AF337" i="4"/>
  <c r="BH337" i="4" s="1"/>
  <c r="P338" i="4"/>
  <c r="T338" i="4"/>
  <c r="Y339" i="4"/>
  <c r="AE340" i="4"/>
  <c r="BE340" i="4" s="1"/>
  <c r="AF341" i="4"/>
  <c r="BH341" i="4" s="1"/>
  <c r="P342" i="4"/>
  <c r="T342" i="4"/>
  <c r="Z342" i="4" s="1"/>
  <c r="AE344" i="4"/>
  <c r="BE344" i="4" s="1"/>
  <c r="AF345" i="4"/>
  <c r="BH345" i="4" s="1"/>
  <c r="P346" i="4"/>
  <c r="T346" i="4"/>
  <c r="Z346" i="4" s="1"/>
  <c r="X346" i="4"/>
  <c r="Y347" i="4"/>
  <c r="AE348" i="4"/>
  <c r="BE348" i="4" s="1"/>
  <c r="AF349" i="4"/>
  <c r="BH349" i="4" s="1"/>
  <c r="P350" i="4"/>
  <c r="T350" i="4"/>
  <c r="Z350" i="4" s="1"/>
  <c r="X350" i="4"/>
  <c r="Y351" i="4"/>
  <c r="I355" i="4"/>
  <c r="I364" i="4"/>
  <c r="I372" i="4"/>
  <c r="AL499" i="4"/>
  <c r="AL491" i="4"/>
  <c r="AF491" i="4"/>
  <c r="AL473" i="4"/>
  <c r="R471" i="4"/>
  <c r="AL483" i="4"/>
  <c r="R480" i="4"/>
  <c r="AL462" i="4"/>
  <c r="AF462" i="4"/>
  <c r="AK503" i="4"/>
  <c r="AK504" i="4" s="1"/>
  <c r="AK501" i="4"/>
  <c r="AK502" i="4" s="1"/>
  <c r="BG155" i="5"/>
  <c r="K26" i="5"/>
  <c r="BG251" i="5"/>
  <c r="U34" i="5"/>
  <c r="P202" i="3"/>
  <c r="Q202" i="3" s="1"/>
  <c r="T202" i="3"/>
  <c r="Y205" i="3"/>
  <c r="P208" i="3"/>
  <c r="Q208" i="3" s="1"/>
  <c r="T208" i="3"/>
  <c r="Y208" i="3" s="1"/>
  <c r="P212" i="3"/>
  <c r="Q212" i="3" s="1"/>
  <c r="T212" i="3"/>
  <c r="Y212" i="3" s="1"/>
  <c r="P216" i="3"/>
  <c r="Q216" i="3" s="1"/>
  <c r="T216" i="3"/>
  <c r="P220" i="3"/>
  <c r="Q220" i="3" s="1"/>
  <c r="T220" i="3"/>
  <c r="P224" i="3"/>
  <c r="Q224" i="3" s="1"/>
  <c r="P230" i="3"/>
  <c r="Q230" i="3" s="1"/>
  <c r="P234" i="3"/>
  <c r="Q234" i="3" s="1"/>
  <c r="P238" i="3"/>
  <c r="Q238" i="3" s="1"/>
  <c r="P242" i="3"/>
  <c r="Q242" i="3" s="1"/>
  <c r="P248" i="3"/>
  <c r="Q248" i="3" s="1"/>
  <c r="U249" i="3"/>
  <c r="P252" i="3"/>
  <c r="Q252" i="3" s="1"/>
  <c r="T252" i="3"/>
  <c r="P256" i="3"/>
  <c r="Q256" i="3" s="1"/>
  <c r="T256" i="3"/>
  <c r="P260" i="3"/>
  <c r="Q260" i="3" s="1"/>
  <c r="T260" i="3"/>
  <c r="Z260" i="3" s="1"/>
  <c r="P264" i="3"/>
  <c r="Q264" i="3" s="1"/>
  <c r="T264" i="3"/>
  <c r="P268" i="3"/>
  <c r="Q268" i="3" s="1"/>
  <c r="T268" i="3"/>
  <c r="Z268" i="3" s="1"/>
  <c r="P274" i="3"/>
  <c r="Q274" i="3" s="1"/>
  <c r="T274" i="3"/>
  <c r="P278" i="3"/>
  <c r="Q278" i="3" s="1"/>
  <c r="T278" i="3"/>
  <c r="Z278" i="3" s="1"/>
  <c r="P282" i="3"/>
  <c r="Q282" i="3" s="1"/>
  <c r="T282" i="3"/>
  <c r="P286" i="3"/>
  <c r="Q286" i="3" s="1"/>
  <c r="T286" i="3"/>
  <c r="Y286" i="3" s="1"/>
  <c r="P290" i="3"/>
  <c r="Q290" i="3" s="1"/>
  <c r="T290" i="3"/>
  <c r="P294" i="3"/>
  <c r="Q294" i="3" s="1"/>
  <c r="T294" i="3"/>
  <c r="Y294" i="3" s="1"/>
  <c r="P298" i="3"/>
  <c r="Q298" i="3" s="1"/>
  <c r="T298" i="3"/>
  <c r="P302" i="3"/>
  <c r="Q302" i="3" s="1"/>
  <c r="T302" i="3"/>
  <c r="P306" i="3"/>
  <c r="Q306" i="3" s="1"/>
  <c r="T306" i="3"/>
  <c r="P310" i="3"/>
  <c r="Q310" i="3" s="1"/>
  <c r="T310" i="3"/>
  <c r="P312" i="3"/>
  <c r="Q312" i="3" s="1"/>
  <c r="T312" i="3"/>
  <c r="P316" i="3"/>
  <c r="Q316" i="3" s="1"/>
  <c r="T316" i="3"/>
  <c r="W316" i="3" s="1"/>
  <c r="P320" i="3"/>
  <c r="Q320" i="3" s="1"/>
  <c r="T320" i="3"/>
  <c r="P324" i="3"/>
  <c r="Q324" i="3" s="1"/>
  <c r="T324" i="3"/>
  <c r="Y324" i="3" s="1"/>
  <c r="P330" i="3"/>
  <c r="Q330" i="3" s="1"/>
  <c r="T330" i="3"/>
  <c r="P334" i="3"/>
  <c r="Q334" i="3" s="1"/>
  <c r="T334" i="3"/>
  <c r="X334" i="3" s="1"/>
  <c r="P338" i="3"/>
  <c r="Q338" i="3" s="1"/>
  <c r="T338" i="3"/>
  <c r="P342" i="3"/>
  <c r="Q342" i="3" s="1"/>
  <c r="T342" i="3"/>
  <c r="P346" i="3"/>
  <c r="Q346" i="3" s="1"/>
  <c r="T346" i="3"/>
  <c r="P350" i="3"/>
  <c r="Q350" i="3" s="1"/>
  <c r="T350" i="3"/>
  <c r="Y350" i="3" s="1"/>
  <c r="T353" i="3"/>
  <c r="Z353" i="3" s="1"/>
  <c r="AA353" i="3" s="1"/>
  <c r="AB353" i="3" s="1"/>
  <c r="AC353" i="3" s="1"/>
  <c r="J470" i="3"/>
  <c r="J471" i="3" s="1"/>
  <c r="Q475" i="3"/>
  <c r="Q476" i="3" s="1"/>
  <c r="L476" i="3"/>
  <c r="Z482" i="3"/>
  <c r="L486" i="3"/>
  <c r="Z490" i="3"/>
  <c r="AK493" i="3"/>
  <c r="AK494" i="3" s="1"/>
  <c r="F507" i="3"/>
  <c r="M507" i="3" s="1"/>
  <c r="AF352" i="4"/>
  <c r="BH352" i="4" s="1"/>
  <c r="AF146" i="4"/>
  <c r="BH146" i="4" s="1"/>
  <c r="P147" i="4"/>
  <c r="T147" i="4"/>
  <c r="Y147" i="4" s="1"/>
  <c r="Q148" i="4"/>
  <c r="AF150" i="4"/>
  <c r="BH150" i="4" s="1"/>
  <c r="P151" i="4"/>
  <c r="T151" i="4"/>
  <c r="Z151" i="4" s="1"/>
  <c r="Q152" i="4"/>
  <c r="AF154" i="4"/>
  <c r="BH154" i="4" s="1"/>
  <c r="P155" i="4"/>
  <c r="T155" i="4"/>
  <c r="Z155" i="4" s="1"/>
  <c r="AA155" i="4" s="1"/>
  <c r="Q156" i="4"/>
  <c r="X157" i="4"/>
  <c r="Q158" i="4"/>
  <c r="AF160" i="4"/>
  <c r="BH160" i="4" s="1"/>
  <c r="P161" i="4"/>
  <c r="T161" i="4"/>
  <c r="W161" i="4" s="1"/>
  <c r="Q162" i="4"/>
  <c r="AF164" i="4"/>
  <c r="BH164" i="4" s="1"/>
  <c r="P165" i="4"/>
  <c r="T165" i="4"/>
  <c r="Q166" i="4"/>
  <c r="AF168" i="4"/>
  <c r="BH168" i="4" s="1"/>
  <c r="P169" i="4"/>
  <c r="T169" i="4"/>
  <c r="Z169" i="4" s="1"/>
  <c r="Q170" i="4"/>
  <c r="AF172" i="4"/>
  <c r="BH172" i="4" s="1"/>
  <c r="P173" i="4"/>
  <c r="T173" i="4"/>
  <c r="W173" i="4" s="1"/>
  <c r="Q174" i="4"/>
  <c r="AF176" i="4"/>
  <c r="BH176" i="4" s="1"/>
  <c r="P177" i="4"/>
  <c r="T177" i="4"/>
  <c r="Q178" i="4"/>
  <c r="AF180" i="4"/>
  <c r="BH180" i="4" s="1"/>
  <c r="P181" i="4"/>
  <c r="T181" i="4"/>
  <c r="Q182" i="4"/>
  <c r="AF184" i="4"/>
  <c r="BH184" i="4" s="1"/>
  <c r="P185" i="4"/>
  <c r="T185" i="4"/>
  <c r="Z185" i="4" s="1"/>
  <c r="Q186" i="4"/>
  <c r="AF188" i="4"/>
  <c r="BH188" i="4" s="1"/>
  <c r="P189" i="4"/>
  <c r="T189" i="4"/>
  <c r="Q190" i="4"/>
  <c r="AF192" i="4"/>
  <c r="BH192" i="4" s="1"/>
  <c r="P193" i="4"/>
  <c r="T193" i="4"/>
  <c r="Q194" i="4"/>
  <c r="AF196" i="4"/>
  <c r="BH196" i="4" s="1"/>
  <c r="P197" i="4"/>
  <c r="T197" i="4"/>
  <c r="Q198" i="4"/>
  <c r="AF200" i="4"/>
  <c r="BH200" i="4" s="1"/>
  <c r="P201" i="4"/>
  <c r="T201" i="4"/>
  <c r="Z201" i="4" s="1"/>
  <c r="Q202" i="4"/>
  <c r="AF204" i="4"/>
  <c r="BH204" i="4" s="1"/>
  <c r="AE205" i="4"/>
  <c r="BE205" i="4" s="1"/>
  <c r="AF206" i="4"/>
  <c r="BH206" i="4" s="1"/>
  <c r="P207" i="4"/>
  <c r="T207" i="4"/>
  <c r="Y207" i="4" s="1"/>
  <c r="Q208" i="4"/>
  <c r="U208" i="4"/>
  <c r="AF210" i="4"/>
  <c r="BH210" i="4" s="1"/>
  <c r="P211" i="4"/>
  <c r="T211" i="4"/>
  <c r="Q212" i="4"/>
  <c r="U212" i="4"/>
  <c r="AF214" i="4"/>
  <c r="BH214" i="4" s="1"/>
  <c r="P215" i="4"/>
  <c r="T215" i="4"/>
  <c r="Q216" i="4"/>
  <c r="AF218" i="4"/>
  <c r="BH218" i="4" s="1"/>
  <c r="P219" i="4"/>
  <c r="T219" i="4"/>
  <c r="Q220" i="4"/>
  <c r="AF222" i="4"/>
  <c r="BH222" i="4" s="1"/>
  <c r="P223" i="4"/>
  <c r="T223" i="4"/>
  <c r="Y223" i="4" s="1"/>
  <c r="Q224" i="4"/>
  <c r="AF226" i="4"/>
  <c r="BH226" i="4" s="1"/>
  <c r="AE227" i="4"/>
  <c r="BE227" i="4" s="1"/>
  <c r="AF228" i="4"/>
  <c r="BH228" i="4" s="1"/>
  <c r="P229" i="4"/>
  <c r="T229" i="4"/>
  <c r="Q230" i="4"/>
  <c r="AF232" i="4"/>
  <c r="BH232" i="4" s="1"/>
  <c r="P233" i="4"/>
  <c r="T233" i="4"/>
  <c r="Q234" i="4"/>
  <c r="AF236" i="4"/>
  <c r="BH236" i="4" s="1"/>
  <c r="P237" i="4"/>
  <c r="T237" i="4"/>
  <c r="Q238" i="4"/>
  <c r="AF240" i="4"/>
  <c r="BH240" i="4" s="1"/>
  <c r="P241" i="4"/>
  <c r="T241" i="4"/>
  <c r="Y241" i="4" s="1"/>
  <c r="Q242" i="4"/>
  <c r="AF244" i="4"/>
  <c r="BH244" i="4" s="1"/>
  <c r="P245" i="4"/>
  <c r="T245" i="4"/>
  <c r="AF246" i="4"/>
  <c r="BH246" i="4" s="1"/>
  <c r="P247" i="4"/>
  <c r="T247" i="4"/>
  <c r="W247" i="4" s="1"/>
  <c r="Q248" i="4"/>
  <c r="AF250" i="4"/>
  <c r="BH250" i="4" s="1"/>
  <c r="P251" i="4"/>
  <c r="T251" i="4"/>
  <c r="Q252" i="4"/>
  <c r="AF254" i="4"/>
  <c r="BH254" i="4" s="1"/>
  <c r="P255" i="4"/>
  <c r="T255" i="4"/>
  <c r="Y255" i="4" s="1"/>
  <c r="Q256" i="4"/>
  <c r="AF258" i="4"/>
  <c r="BH258" i="4" s="1"/>
  <c r="P259" i="4"/>
  <c r="T259" i="4"/>
  <c r="W259" i="4" s="1"/>
  <c r="Q260" i="4"/>
  <c r="AF262" i="4"/>
  <c r="BH262" i="4" s="1"/>
  <c r="P263" i="4"/>
  <c r="T263" i="4"/>
  <c r="Y263" i="4" s="1"/>
  <c r="Q264" i="4"/>
  <c r="AF266" i="4"/>
  <c r="BH266" i="4" s="1"/>
  <c r="P267" i="4"/>
  <c r="T267" i="4"/>
  <c r="Q268" i="4"/>
  <c r="AF270" i="4"/>
  <c r="BH270" i="4" s="1"/>
  <c r="AE271" i="4"/>
  <c r="BE271" i="4" s="1"/>
  <c r="AF272" i="4"/>
  <c r="BH272" i="4" s="1"/>
  <c r="P273" i="4"/>
  <c r="T273" i="4"/>
  <c r="Q274" i="4"/>
  <c r="AF276" i="4"/>
  <c r="BH276" i="4" s="1"/>
  <c r="P277" i="4"/>
  <c r="T277" i="4"/>
  <c r="Y277" i="4" s="1"/>
  <c r="Q278" i="4"/>
  <c r="AF280" i="4"/>
  <c r="BH280" i="4" s="1"/>
  <c r="P281" i="4"/>
  <c r="T281" i="4"/>
  <c r="Q282" i="4"/>
  <c r="AF284" i="4"/>
  <c r="BH284" i="4" s="1"/>
  <c r="P285" i="4"/>
  <c r="T285" i="4"/>
  <c r="Q286" i="4"/>
  <c r="AF288" i="4"/>
  <c r="BH288" i="4" s="1"/>
  <c r="P289" i="4"/>
  <c r="T289" i="4"/>
  <c r="Q290" i="4"/>
  <c r="AF292" i="4"/>
  <c r="BH292" i="4" s="1"/>
  <c r="P293" i="4"/>
  <c r="T293" i="4"/>
  <c r="W293" i="4" s="1"/>
  <c r="Q294" i="4"/>
  <c r="AF296" i="4"/>
  <c r="BH296" i="4" s="1"/>
  <c r="P297" i="4"/>
  <c r="T297" i="4"/>
  <c r="Y297" i="4" s="1"/>
  <c r="Q298" i="4"/>
  <c r="AF300" i="4"/>
  <c r="BH300" i="4" s="1"/>
  <c r="P301" i="4"/>
  <c r="T301" i="4"/>
  <c r="W301" i="4" s="1"/>
  <c r="Q302" i="4"/>
  <c r="AF304" i="4"/>
  <c r="BH304" i="4" s="1"/>
  <c r="P305" i="4"/>
  <c r="T305" i="4"/>
  <c r="Q306" i="4"/>
  <c r="AF308" i="4"/>
  <c r="BH308" i="4" s="1"/>
  <c r="P309" i="4"/>
  <c r="T309" i="4"/>
  <c r="W309" i="4" s="1"/>
  <c r="Q310" i="4"/>
  <c r="X311" i="4"/>
  <c r="Q312" i="4"/>
  <c r="AF314" i="4"/>
  <c r="BH314" i="4" s="1"/>
  <c r="P315" i="4"/>
  <c r="T315" i="4"/>
  <c r="Q316" i="4"/>
  <c r="AF318" i="4"/>
  <c r="BH318" i="4" s="1"/>
  <c r="P319" i="4"/>
  <c r="T319" i="4"/>
  <c r="Q320" i="4"/>
  <c r="AF322" i="4"/>
  <c r="BH322" i="4" s="1"/>
  <c r="P323" i="4"/>
  <c r="T323" i="4"/>
  <c r="Q324" i="4"/>
  <c r="AF326" i="4"/>
  <c r="BH326" i="4" s="1"/>
  <c r="P327" i="4"/>
  <c r="T327" i="4"/>
  <c r="AF328" i="4"/>
  <c r="BH328" i="4" s="1"/>
  <c r="P329" i="4"/>
  <c r="T329" i="4"/>
  <c r="Q330" i="4"/>
  <c r="AF332" i="4"/>
  <c r="BH332" i="4" s="1"/>
  <c r="P333" i="4"/>
  <c r="T333" i="4"/>
  <c r="Q334" i="4"/>
  <c r="AF336" i="4"/>
  <c r="BH336" i="4" s="1"/>
  <c r="P337" i="4"/>
  <c r="T337" i="4"/>
  <c r="Y337" i="4" s="1"/>
  <c r="Q338" i="4"/>
  <c r="AF340" i="4"/>
  <c r="BH340" i="4" s="1"/>
  <c r="P341" i="4"/>
  <c r="T341" i="4"/>
  <c r="W341" i="4" s="1"/>
  <c r="Q342" i="4"/>
  <c r="AF344" i="4"/>
  <c r="BH344" i="4" s="1"/>
  <c r="P345" i="4"/>
  <c r="T345" i="4"/>
  <c r="W345" i="4" s="1"/>
  <c r="Q346" i="4"/>
  <c r="AF348" i="4"/>
  <c r="BH348" i="4" s="1"/>
  <c r="P349" i="4"/>
  <c r="T349" i="4"/>
  <c r="Q350" i="4"/>
  <c r="T352" i="4"/>
  <c r="X352" i="4" s="1"/>
  <c r="AE352" i="4"/>
  <c r="BE352" i="4" s="1"/>
  <c r="C536" i="4"/>
  <c r="E533" i="4" s="1"/>
  <c r="C528" i="4"/>
  <c r="C514" i="4"/>
  <c r="X466" i="4"/>
  <c r="X467" i="4" s="1"/>
  <c r="X464" i="4"/>
  <c r="X465" i="4" s="1"/>
  <c r="G524" i="4"/>
  <c r="H533" i="4" s="1"/>
  <c r="C509" i="4"/>
  <c r="J468" i="4"/>
  <c r="J469" i="4" s="1"/>
  <c r="Q475" i="4"/>
  <c r="Q476" i="4" s="1"/>
  <c r="S489" i="4"/>
  <c r="Z470" i="4"/>
  <c r="L466" i="4"/>
  <c r="Z454" i="4"/>
  <c r="Z462" i="4"/>
  <c r="Z498" i="4"/>
  <c r="M476" i="4"/>
  <c r="S461" i="4"/>
  <c r="AK493" i="4"/>
  <c r="AK494" i="4" s="1"/>
  <c r="Y503" i="4"/>
  <c r="BG161" i="5"/>
  <c r="U24" i="5"/>
  <c r="BG185" i="5"/>
  <c r="K30" i="5"/>
  <c r="BG201" i="5"/>
  <c r="K35" i="5"/>
  <c r="C536" i="5"/>
  <c r="E533" i="5" s="1"/>
  <c r="C528" i="5"/>
  <c r="P201" i="3"/>
  <c r="Q201" i="3" s="1"/>
  <c r="V205" i="3"/>
  <c r="AA205" i="3" s="1"/>
  <c r="AB205" i="3" s="1"/>
  <c r="AC205" i="3" s="1"/>
  <c r="P207" i="3"/>
  <c r="Q207" i="3" s="1"/>
  <c r="P211" i="3"/>
  <c r="Q211" i="3" s="1"/>
  <c r="P215" i="3"/>
  <c r="Q215" i="3" s="1"/>
  <c r="P219" i="3"/>
  <c r="Q219" i="3" s="1"/>
  <c r="P223" i="3"/>
  <c r="Q223" i="3" s="1"/>
  <c r="V227" i="3"/>
  <c r="AA227" i="3" s="1"/>
  <c r="AB227" i="3" s="1"/>
  <c r="AC227" i="3" s="1"/>
  <c r="P229" i="3"/>
  <c r="Q229" i="3" s="1"/>
  <c r="P233" i="3"/>
  <c r="Q233" i="3" s="1"/>
  <c r="P237" i="3"/>
  <c r="Q237" i="3" s="1"/>
  <c r="P241" i="3"/>
  <c r="Q241" i="3" s="1"/>
  <c r="P245" i="3"/>
  <c r="Q245" i="3" s="1"/>
  <c r="P247" i="3"/>
  <c r="Q247" i="3" s="1"/>
  <c r="I249" i="3"/>
  <c r="BG249" i="3" s="1"/>
  <c r="V249" i="3"/>
  <c r="W250" i="3"/>
  <c r="P251" i="3"/>
  <c r="Q251" i="3" s="1"/>
  <c r="T251" i="3"/>
  <c r="W251" i="3" s="1"/>
  <c r="U252" i="3"/>
  <c r="I253" i="3"/>
  <c r="BG253" i="3" s="1"/>
  <c r="V253" i="3"/>
  <c r="P255" i="3"/>
  <c r="Q255" i="3" s="1"/>
  <c r="T255" i="3"/>
  <c r="W255" i="3" s="1"/>
  <c r="U256" i="3"/>
  <c r="I257" i="3"/>
  <c r="BG257" i="3" s="1"/>
  <c r="V257" i="3"/>
  <c r="W258" i="3"/>
  <c r="P259" i="3"/>
  <c r="Q259" i="3" s="1"/>
  <c r="T259" i="3"/>
  <c r="W259" i="3" s="1"/>
  <c r="U260" i="3"/>
  <c r="W262" i="3"/>
  <c r="AA262" i="3" s="1"/>
  <c r="AB262" i="3" s="1"/>
  <c r="P263" i="3"/>
  <c r="Q263" i="3" s="1"/>
  <c r="T263" i="3"/>
  <c r="W263" i="3" s="1"/>
  <c r="U264" i="3"/>
  <c r="I265" i="3"/>
  <c r="BG265" i="3" s="1"/>
  <c r="V265" i="3"/>
  <c r="P267" i="3"/>
  <c r="Q267" i="3" s="1"/>
  <c r="T267" i="3"/>
  <c r="W267" i="3" s="1"/>
  <c r="U268" i="3"/>
  <c r="W270" i="3"/>
  <c r="W272" i="3"/>
  <c r="P273" i="3"/>
  <c r="Q273" i="3" s="1"/>
  <c r="T273" i="3"/>
  <c r="U274" i="3"/>
  <c r="W276" i="3"/>
  <c r="P277" i="3"/>
  <c r="Q277" i="3" s="1"/>
  <c r="T277" i="3"/>
  <c r="W277" i="3" s="1"/>
  <c r="U278" i="3"/>
  <c r="W280" i="3"/>
  <c r="P281" i="3"/>
  <c r="Q281" i="3" s="1"/>
  <c r="T281" i="3"/>
  <c r="Z281" i="3" s="1"/>
  <c r="U282" i="3"/>
  <c r="I283" i="3"/>
  <c r="BG283" i="3" s="1"/>
  <c r="V283" i="3"/>
  <c r="W284" i="3"/>
  <c r="P285" i="3"/>
  <c r="Q285" i="3" s="1"/>
  <c r="T285" i="3"/>
  <c r="W285" i="3" s="1"/>
  <c r="U286" i="3"/>
  <c r="W288" i="3"/>
  <c r="P289" i="3"/>
  <c r="Q289" i="3" s="1"/>
  <c r="T289" i="3"/>
  <c r="W289" i="3" s="1"/>
  <c r="U290" i="3"/>
  <c r="I291" i="3"/>
  <c r="BG291" i="3" s="1"/>
  <c r="V291" i="3"/>
  <c r="W292" i="3"/>
  <c r="P293" i="3"/>
  <c r="Q293" i="3" s="1"/>
  <c r="T293" i="3"/>
  <c r="W293" i="3" s="1"/>
  <c r="U294" i="3"/>
  <c r="I295" i="3"/>
  <c r="BG295" i="3" s="1"/>
  <c r="V295" i="3"/>
  <c r="W296" i="3"/>
  <c r="P297" i="3"/>
  <c r="Q297" i="3" s="1"/>
  <c r="T297" i="3"/>
  <c r="W297" i="3" s="1"/>
  <c r="U298" i="3"/>
  <c r="W300" i="3"/>
  <c r="P301" i="3"/>
  <c r="Q301" i="3" s="1"/>
  <c r="T301" i="3"/>
  <c r="W301" i="3" s="1"/>
  <c r="U302" i="3"/>
  <c r="I303" i="3"/>
  <c r="BG303" i="3" s="1"/>
  <c r="V303" i="3"/>
  <c r="W304" i="3"/>
  <c r="P305" i="3"/>
  <c r="Q305" i="3" s="1"/>
  <c r="T305" i="3"/>
  <c r="V305" i="3" s="1"/>
  <c r="U306" i="3"/>
  <c r="I307" i="3"/>
  <c r="BG307" i="3" s="1"/>
  <c r="V307" i="3"/>
  <c r="W308" i="3"/>
  <c r="P309" i="3"/>
  <c r="Q309" i="3" s="1"/>
  <c r="T309" i="3"/>
  <c r="W309" i="3" s="1"/>
  <c r="U310" i="3"/>
  <c r="U312" i="3"/>
  <c r="I313" i="3"/>
  <c r="BG313" i="3" s="1"/>
  <c r="V313" i="3"/>
  <c r="P315" i="3"/>
  <c r="Q315" i="3" s="1"/>
  <c r="T315" i="3"/>
  <c r="W315" i="3" s="1"/>
  <c r="U316" i="3"/>
  <c r="V317" i="3"/>
  <c r="W318" i="3"/>
  <c r="P319" i="3"/>
  <c r="Q319" i="3" s="1"/>
  <c r="T319" i="3"/>
  <c r="U320" i="3"/>
  <c r="V321" i="3"/>
  <c r="P323" i="3"/>
  <c r="Q323" i="3" s="1"/>
  <c r="T323" i="3"/>
  <c r="U324" i="3"/>
  <c r="W326" i="3"/>
  <c r="P327" i="3"/>
  <c r="Q327" i="3" s="1"/>
  <c r="T327" i="3"/>
  <c r="W328" i="3"/>
  <c r="AA328" i="3" s="1"/>
  <c r="AB328" i="3" s="1"/>
  <c r="AC328" i="3" s="1"/>
  <c r="P329" i="3"/>
  <c r="Q329" i="3" s="1"/>
  <c r="T329" i="3"/>
  <c r="Z329" i="3" s="1"/>
  <c r="W332" i="3"/>
  <c r="P333" i="3"/>
  <c r="Q333" i="3" s="1"/>
  <c r="T333" i="3"/>
  <c r="Y333" i="3" s="1"/>
  <c r="W336" i="3"/>
  <c r="AA336" i="3" s="1"/>
  <c r="AB336" i="3" s="1"/>
  <c r="P337" i="3"/>
  <c r="Q337" i="3" s="1"/>
  <c r="T337" i="3"/>
  <c r="X337" i="3" s="1"/>
  <c r="V339" i="3"/>
  <c r="W340" i="3"/>
  <c r="P341" i="3"/>
  <c r="Q341" i="3" s="1"/>
  <c r="T341" i="3"/>
  <c r="W344" i="3"/>
  <c r="P345" i="3"/>
  <c r="Q345" i="3" s="1"/>
  <c r="T345" i="3"/>
  <c r="V345" i="3" s="1"/>
  <c r="V347" i="3"/>
  <c r="P349" i="3"/>
  <c r="Q349" i="3" s="1"/>
  <c r="T349" i="3"/>
  <c r="Z349" i="3" s="1"/>
  <c r="V351" i="3"/>
  <c r="W352" i="3"/>
  <c r="P353" i="3"/>
  <c r="Q353" i="3" s="1"/>
  <c r="R353" i="3" s="1"/>
  <c r="S461" i="3"/>
  <c r="Y462" i="3"/>
  <c r="Q463" i="3"/>
  <c r="Q464" i="3" s="1"/>
  <c r="Q465" i="3"/>
  <c r="Q466" i="3" s="1"/>
  <c r="J468" i="3"/>
  <c r="J469" i="3" s="1"/>
  <c r="M476" i="3"/>
  <c r="AA482" i="3"/>
  <c r="M486" i="3"/>
  <c r="Q489" i="3"/>
  <c r="U489" i="3"/>
  <c r="AA490" i="3"/>
  <c r="Z498" i="3"/>
  <c r="Y501" i="3"/>
  <c r="G507" i="3"/>
  <c r="N507" i="3" s="1"/>
  <c r="C515" i="3"/>
  <c r="C517" i="3"/>
  <c r="G524" i="3"/>
  <c r="H533" i="3" s="1"/>
  <c r="K524" i="3"/>
  <c r="L533" i="3" s="1"/>
  <c r="C529" i="3"/>
  <c r="K5" i="4"/>
  <c r="AF145" i="4"/>
  <c r="BH145" i="4" s="1"/>
  <c r="P146" i="4"/>
  <c r="T146" i="4"/>
  <c r="W146" i="4" s="1"/>
  <c r="Q147" i="4"/>
  <c r="U147" i="4"/>
  <c r="I148" i="4"/>
  <c r="BG148" i="4" s="1"/>
  <c r="V148" i="4"/>
  <c r="AF149" i="4"/>
  <c r="BH149" i="4" s="1"/>
  <c r="P150" i="4"/>
  <c r="T150" i="4"/>
  <c r="W150" i="4" s="1"/>
  <c r="Q151" i="4"/>
  <c r="U151" i="4"/>
  <c r="I152" i="4"/>
  <c r="BG152" i="4" s="1"/>
  <c r="AF153" i="4"/>
  <c r="BH153" i="4" s="1"/>
  <c r="P154" i="4"/>
  <c r="T154" i="4"/>
  <c r="W154" i="4" s="1"/>
  <c r="Q155" i="4"/>
  <c r="U155" i="4"/>
  <c r="Q157" i="4"/>
  <c r="Y157" i="4"/>
  <c r="I158" i="4"/>
  <c r="BG158" i="4" s="1"/>
  <c r="AE158" i="4"/>
  <c r="BE158" i="4" s="1"/>
  <c r="AF159" i="4"/>
  <c r="BH159" i="4" s="1"/>
  <c r="P160" i="4"/>
  <c r="T160" i="4"/>
  <c r="Y160" i="4" s="1"/>
  <c r="Q161" i="4"/>
  <c r="U161" i="4"/>
  <c r="AF163" i="4"/>
  <c r="BH163" i="4" s="1"/>
  <c r="P164" i="4"/>
  <c r="T164" i="4"/>
  <c r="V164" i="4" s="1"/>
  <c r="Q165" i="4"/>
  <c r="U165" i="4"/>
  <c r="AF167" i="4"/>
  <c r="BH167" i="4" s="1"/>
  <c r="P168" i="4"/>
  <c r="T168" i="4"/>
  <c r="Y168" i="4" s="1"/>
  <c r="Q169" i="4"/>
  <c r="U169" i="4"/>
  <c r="I170" i="4"/>
  <c r="AE170" i="4"/>
  <c r="BE170" i="4" s="1"/>
  <c r="AF171" i="4"/>
  <c r="BH171" i="4" s="1"/>
  <c r="P172" i="4"/>
  <c r="T172" i="4"/>
  <c r="W172" i="4" s="1"/>
  <c r="Q173" i="4"/>
  <c r="U173" i="4"/>
  <c r="AF175" i="4"/>
  <c r="BH175" i="4" s="1"/>
  <c r="P176" i="4"/>
  <c r="T176" i="4"/>
  <c r="V176" i="4" s="1"/>
  <c r="Q177" i="4"/>
  <c r="U177" i="4"/>
  <c r="I178" i="4"/>
  <c r="AF179" i="4"/>
  <c r="BH179" i="4" s="1"/>
  <c r="P180" i="4"/>
  <c r="T180" i="4"/>
  <c r="Q181" i="4"/>
  <c r="U181" i="4"/>
  <c r="AF183" i="4"/>
  <c r="BH183" i="4" s="1"/>
  <c r="P184" i="4"/>
  <c r="T184" i="4"/>
  <c r="Q185" i="4"/>
  <c r="U185" i="4"/>
  <c r="I186" i="4"/>
  <c r="AF187" i="4"/>
  <c r="BH187" i="4" s="1"/>
  <c r="P188" i="4"/>
  <c r="T188" i="4"/>
  <c r="W188" i="4" s="1"/>
  <c r="Q189" i="4"/>
  <c r="U189" i="4"/>
  <c r="AF191" i="4"/>
  <c r="BH191" i="4" s="1"/>
  <c r="P192" i="4"/>
  <c r="T192" i="4"/>
  <c r="W192" i="4" s="1"/>
  <c r="Q193" i="4"/>
  <c r="U193" i="4"/>
  <c r="I194" i="4"/>
  <c r="BG194" i="4" s="1"/>
  <c r="V194" i="4"/>
  <c r="AF195" i="4"/>
  <c r="BH195" i="4" s="1"/>
  <c r="P196" i="4"/>
  <c r="T196" i="4"/>
  <c r="W196" i="4" s="1"/>
  <c r="Q197" i="4"/>
  <c r="U197" i="4"/>
  <c r="I198" i="4"/>
  <c r="BG198" i="4" s="1"/>
  <c r="V198" i="4"/>
  <c r="AF199" i="4"/>
  <c r="BH199" i="4" s="1"/>
  <c r="P200" i="4"/>
  <c r="T200" i="4"/>
  <c r="W200" i="4" s="1"/>
  <c r="Q201" i="4"/>
  <c r="U201" i="4"/>
  <c r="I202" i="4"/>
  <c r="AF203" i="4"/>
  <c r="BH203" i="4" s="1"/>
  <c r="P204" i="4"/>
  <c r="T204" i="4"/>
  <c r="W205" i="4"/>
  <c r="AA205" i="4" s="1"/>
  <c r="AF205" i="4"/>
  <c r="BH205" i="4" s="1"/>
  <c r="P206" i="4"/>
  <c r="T206" i="4"/>
  <c r="W206" i="4" s="1"/>
  <c r="Q207" i="4"/>
  <c r="U207" i="4"/>
  <c r="AF209" i="4"/>
  <c r="BH209" i="4" s="1"/>
  <c r="P210" i="4"/>
  <c r="T210" i="4"/>
  <c r="W210" i="4" s="1"/>
  <c r="Q211" i="4"/>
  <c r="U211" i="4"/>
  <c r="V212" i="4"/>
  <c r="AF213" i="4"/>
  <c r="BH213" i="4" s="1"/>
  <c r="P214" i="4"/>
  <c r="T214" i="4"/>
  <c r="W214" i="4" s="1"/>
  <c r="Q215" i="4"/>
  <c r="U215" i="4"/>
  <c r="I216" i="4"/>
  <c r="BG216" i="4" s="1"/>
  <c r="AF217" i="4"/>
  <c r="BH217" i="4" s="1"/>
  <c r="P218" i="4"/>
  <c r="T218" i="4"/>
  <c r="W218" i="4" s="1"/>
  <c r="Q219" i="4"/>
  <c r="U219" i="4"/>
  <c r="I220" i="4"/>
  <c r="BG220" i="4" s="1"/>
  <c r="V220" i="4"/>
  <c r="AF221" i="4"/>
  <c r="BH221" i="4" s="1"/>
  <c r="P222" i="4"/>
  <c r="T222" i="4"/>
  <c r="Q223" i="4"/>
  <c r="U223" i="4"/>
  <c r="I224" i="4"/>
  <c r="BG224" i="4" s="1"/>
  <c r="V224" i="4"/>
  <c r="AF225" i="4"/>
  <c r="BH225" i="4" s="1"/>
  <c r="P226" i="4"/>
  <c r="T226" i="4"/>
  <c r="W227" i="4"/>
  <c r="AA227" i="4" s="1"/>
  <c r="AF227" i="4"/>
  <c r="BH227" i="4" s="1"/>
  <c r="P228" i="4"/>
  <c r="T228" i="4"/>
  <c r="X228" i="4" s="1"/>
  <c r="Q229" i="4"/>
  <c r="I230" i="4"/>
  <c r="BG230" i="4" s="1"/>
  <c r="V230" i="4"/>
  <c r="W231" i="4"/>
  <c r="AF231" i="4"/>
  <c r="BH231" i="4" s="1"/>
  <c r="P232" i="4"/>
  <c r="T232" i="4"/>
  <c r="Q233" i="4"/>
  <c r="I234" i="4"/>
  <c r="BG234" i="4" s="1"/>
  <c r="V234" i="4"/>
  <c r="W235" i="4"/>
  <c r="AA235" i="4" s="1"/>
  <c r="AF235" i="4"/>
  <c r="BH235" i="4" s="1"/>
  <c r="P236" i="4"/>
  <c r="T236" i="4"/>
  <c r="W236" i="4" s="1"/>
  <c r="AA236" i="4" s="1"/>
  <c r="Q237" i="4"/>
  <c r="V238" i="4"/>
  <c r="W239" i="4"/>
  <c r="AF239" i="4"/>
  <c r="BH239" i="4" s="1"/>
  <c r="P240" i="4"/>
  <c r="T240" i="4"/>
  <c r="X240" i="4" s="1"/>
  <c r="Q241" i="4"/>
  <c r="V242" i="4"/>
  <c r="W243" i="4"/>
  <c r="AF243" i="4"/>
  <c r="BH243" i="4" s="1"/>
  <c r="P244" i="4"/>
  <c r="T244" i="4"/>
  <c r="Q245" i="4"/>
  <c r="Q247" i="4"/>
  <c r="I248" i="4"/>
  <c r="BG248" i="4" s="1"/>
  <c r="V248" i="4"/>
  <c r="W249" i="4"/>
  <c r="AF249" i="4"/>
  <c r="BH249" i="4" s="1"/>
  <c r="P250" i="4"/>
  <c r="T250" i="4"/>
  <c r="Z250" i="4" s="1"/>
  <c r="Q251" i="4"/>
  <c r="I252" i="4"/>
  <c r="BG252" i="4" s="1"/>
  <c r="W253" i="4"/>
  <c r="AF253" i="4"/>
  <c r="BH253" i="4" s="1"/>
  <c r="P254" i="4"/>
  <c r="T254" i="4"/>
  <c r="Q255" i="4"/>
  <c r="I256" i="4"/>
  <c r="BG256" i="4" s="1"/>
  <c r="V256" i="4"/>
  <c r="W257" i="4"/>
  <c r="AF257" i="4"/>
  <c r="BH257" i="4" s="1"/>
  <c r="P258" i="4"/>
  <c r="T258" i="4"/>
  <c r="Q259" i="4"/>
  <c r="I260" i="4"/>
  <c r="BG260" i="4" s="1"/>
  <c r="V260" i="4"/>
  <c r="AF261" i="4"/>
  <c r="BH261" i="4" s="1"/>
  <c r="P262" i="4"/>
  <c r="T262" i="4"/>
  <c r="W262" i="4" s="1"/>
  <c r="Q263" i="4"/>
  <c r="V264" i="4"/>
  <c r="W265" i="4"/>
  <c r="AF265" i="4"/>
  <c r="BH265" i="4" s="1"/>
  <c r="P266" i="4"/>
  <c r="T266" i="4"/>
  <c r="Z266" i="4" s="1"/>
  <c r="Q267" i="4"/>
  <c r="V268" i="4"/>
  <c r="AF269" i="4"/>
  <c r="BH269" i="4" s="1"/>
  <c r="P270" i="4"/>
  <c r="T270" i="4"/>
  <c r="AF271" i="4"/>
  <c r="BH271" i="4" s="1"/>
  <c r="P272" i="4"/>
  <c r="T272" i="4"/>
  <c r="Q273" i="4"/>
  <c r="AF275" i="4"/>
  <c r="BH275" i="4" s="1"/>
  <c r="P276" i="4"/>
  <c r="T276" i="4"/>
  <c r="Z276" i="4" s="1"/>
  <c r="Q277" i="4"/>
  <c r="I278" i="4"/>
  <c r="BG278" i="4" s="1"/>
  <c r="V278" i="4"/>
  <c r="AF279" i="4"/>
  <c r="BH279" i="4" s="1"/>
  <c r="P280" i="4"/>
  <c r="T280" i="4"/>
  <c r="Q281" i="4"/>
  <c r="I282" i="4"/>
  <c r="BG282" i="4" s="1"/>
  <c r="W283" i="4"/>
  <c r="AF283" i="4"/>
  <c r="BH283" i="4" s="1"/>
  <c r="P284" i="4"/>
  <c r="T284" i="4"/>
  <c r="Q285" i="4"/>
  <c r="I286" i="4"/>
  <c r="BG286" i="4" s="1"/>
  <c r="V286" i="4"/>
  <c r="AF287" i="4"/>
  <c r="BH287" i="4" s="1"/>
  <c r="P288" i="4"/>
  <c r="T288" i="4"/>
  <c r="X288" i="4" s="1"/>
  <c r="Q289" i="4"/>
  <c r="I290" i="4"/>
  <c r="BG290" i="4" s="1"/>
  <c r="W291" i="4"/>
  <c r="AF291" i="4"/>
  <c r="BH291" i="4" s="1"/>
  <c r="P292" i="4"/>
  <c r="T292" i="4"/>
  <c r="Z292" i="4" s="1"/>
  <c r="Q293" i="4"/>
  <c r="V294" i="4"/>
  <c r="W295" i="4"/>
  <c r="AF295" i="4"/>
  <c r="BH295" i="4" s="1"/>
  <c r="P296" i="4"/>
  <c r="T296" i="4"/>
  <c r="Q297" i="4"/>
  <c r="V298" i="4"/>
  <c r="AF299" i="4"/>
  <c r="BH299" i="4" s="1"/>
  <c r="P300" i="4"/>
  <c r="T300" i="4"/>
  <c r="Q301" i="4"/>
  <c r="I302" i="4"/>
  <c r="BG302" i="4" s="1"/>
  <c r="W303" i="4"/>
  <c r="AF303" i="4"/>
  <c r="BH303" i="4" s="1"/>
  <c r="P304" i="4"/>
  <c r="T304" i="4"/>
  <c r="V304" i="4" s="1"/>
  <c r="Q305" i="4"/>
  <c r="I306" i="4"/>
  <c r="BG306" i="4" s="1"/>
  <c r="V306" i="4"/>
  <c r="W307" i="4"/>
  <c r="AF307" i="4"/>
  <c r="BH307" i="4" s="1"/>
  <c r="P308" i="4"/>
  <c r="T308" i="4"/>
  <c r="X308" i="4" s="1"/>
  <c r="Q309" i="4"/>
  <c r="I310" i="4"/>
  <c r="BG310" i="4" s="1"/>
  <c r="Q311" i="4"/>
  <c r="Y311" i="4"/>
  <c r="I312" i="4"/>
  <c r="BG312" i="4" s="1"/>
  <c r="V312" i="4"/>
  <c r="W313" i="4"/>
  <c r="AF313" i="4"/>
  <c r="BH313" i="4" s="1"/>
  <c r="P314" i="4"/>
  <c r="T314" i="4"/>
  <c r="Q315" i="4"/>
  <c r="V316" i="4"/>
  <c r="W317" i="4"/>
  <c r="AF317" i="4"/>
  <c r="BH317" i="4" s="1"/>
  <c r="P318" i="4"/>
  <c r="T318" i="4"/>
  <c r="Q319" i="4"/>
  <c r="AF321" i="4"/>
  <c r="BH321" i="4" s="1"/>
  <c r="P322" i="4"/>
  <c r="T322" i="4"/>
  <c r="W322" i="4" s="1"/>
  <c r="Q323" i="4"/>
  <c r="V324" i="4"/>
  <c r="W325" i="4"/>
  <c r="AF325" i="4"/>
  <c r="BH325" i="4" s="1"/>
  <c r="P326" i="4"/>
  <c r="T326" i="4"/>
  <c r="X326" i="4" s="1"/>
  <c r="Q327" i="4"/>
  <c r="Q329" i="4"/>
  <c r="I330" i="4"/>
  <c r="BG330" i="4" s="1"/>
  <c r="V330" i="4"/>
  <c r="AF331" i="4"/>
  <c r="BH331" i="4" s="1"/>
  <c r="P332" i="4"/>
  <c r="T332" i="4"/>
  <c r="Z332" i="4" s="1"/>
  <c r="Q333" i="4"/>
  <c r="I334" i="4"/>
  <c r="BG334" i="4" s="1"/>
  <c r="V334" i="4"/>
  <c r="W335" i="4"/>
  <c r="AF335" i="4"/>
  <c r="BH335" i="4" s="1"/>
  <c r="P336" i="4"/>
  <c r="T336" i="4"/>
  <c r="Q337" i="4"/>
  <c r="I338" i="4"/>
  <c r="BG338" i="4" s="1"/>
  <c r="W339" i="4"/>
  <c r="AF339" i="4"/>
  <c r="BH339" i="4" s="1"/>
  <c r="P340" i="4"/>
  <c r="T340" i="4"/>
  <c r="Z340" i="4" s="1"/>
  <c r="Q341" i="4"/>
  <c r="U341" i="4"/>
  <c r="I342" i="4"/>
  <c r="BG342" i="4" s="1"/>
  <c r="V342" i="4"/>
  <c r="W343" i="4"/>
  <c r="AF343" i="4"/>
  <c r="BH343" i="4" s="1"/>
  <c r="P344" i="4"/>
  <c r="T344" i="4"/>
  <c r="Z344" i="4" s="1"/>
  <c r="Q345" i="4"/>
  <c r="U345" i="4"/>
  <c r="I346" i="4"/>
  <c r="BG346" i="4" s="1"/>
  <c r="W347" i="4"/>
  <c r="AF347" i="4"/>
  <c r="BH347" i="4" s="1"/>
  <c r="P348" i="4"/>
  <c r="T348" i="4"/>
  <c r="Z348" i="4" s="1"/>
  <c r="Q349" i="4"/>
  <c r="U349" i="4"/>
  <c r="I350" i="4"/>
  <c r="BG350" i="4" s="1"/>
  <c r="V350" i="4"/>
  <c r="W351" i="4"/>
  <c r="AF351" i="4"/>
  <c r="BH351" i="4" s="1"/>
  <c r="W352" i="4"/>
  <c r="P352" i="4"/>
  <c r="U353" i="4"/>
  <c r="Z353" i="4" s="1"/>
  <c r="AA353" i="4" s="1"/>
  <c r="P353" i="4"/>
  <c r="I359" i="4"/>
  <c r="I368" i="4"/>
  <c r="L486" i="4"/>
  <c r="Z490" i="4"/>
  <c r="BG151" i="5"/>
  <c r="U23" i="5"/>
  <c r="P250" i="3"/>
  <c r="Q250" i="3" s="1"/>
  <c r="V252" i="3"/>
  <c r="P254" i="3"/>
  <c r="Q254" i="3" s="1"/>
  <c r="V256" i="3"/>
  <c r="P258" i="3"/>
  <c r="Q258" i="3" s="1"/>
  <c r="V260" i="3"/>
  <c r="P262" i="3"/>
  <c r="Q262" i="3" s="1"/>
  <c r="V264" i="3"/>
  <c r="P266" i="3"/>
  <c r="Q266" i="3" s="1"/>
  <c r="V268" i="3"/>
  <c r="P270" i="3"/>
  <c r="Q270" i="3" s="1"/>
  <c r="P272" i="3"/>
  <c r="Q272" i="3" s="1"/>
  <c r="P276" i="3"/>
  <c r="Q276" i="3" s="1"/>
  <c r="V278" i="3"/>
  <c r="P280" i="3"/>
  <c r="Q280" i="3" s="1"/>
  <c r="P284" i="3"/>
  <c r="Q284" i="3" s="1"/>
  <c r="V286" i="3"/>
  <c r="P288" i="3"/>
  <c r="Q288" i="3" s="1"/>
  <c r="P292" i="3"/>
  <c r="Q292" i="3" s="1"/>
  <c r="V294" i="3"/>
  <c r="P296" i="3"/>
  <c r="Q296" i="3" s="1"/>
  <c r="V298" i="3"/>
  <c r="P300" i="3"/>
  <c r="Q300" i="3" s="1"/>
  <c r="P304" i="3"/>
  <c r="Q304" i="3" s="1"/>
  <c r="V306" i="3"/>
  <c r="P308" i="3"/>
  <c r="Q308" i="3" s="1"/>
  <c r="V312" i="3"/>
  <c r="P314" i="3"/>
  <c r="Q314" i="3" s="1"/>
  <c r="V316" i="3"/>
  <c r="P318" i="3"/>
  <c r="Q318" i="3" s="1"/>
  <c r="P322" i="3"/>
  <c r="Q322" i="3" s="1"/>
  <c r="P326" i="3"/>
  <c r="Q326" i="3" s="1"/>
  <c r="I330" i="3"/>
  <c r="BG330" i="3" s="1"/>
  <c r="P332" i="3"/>
  <c r="Q332" i="3" s="1"/>
  <c r="P336" i="3"/>
  <c r="Q336" i="3" s="1"/>
  <c r="I338" i="3"/>
  <c r="BG338" i="3" s="1"/>
  <c r="P340" i="3"/>
  <c r="Q340" i="3" s="1"/>
  <c r="I342" i="3"/>
  <c r="BG342" i="3" s="1"/>
  <c r="P344" i="3"/>
  <c r="Q344" i="3" s="1"/>
  <c r="P348" i="3"/>
  <c r="Q348" i="3" s="1"/>
  <c r="I350" i="3"/>
  <c r="BG350" i="3" s="1"/>
  <c r="P352" i="3"/>
  <c r="Q352" i="3" s="1"/>
  <c r="Y454" i="3"/>
  <c r="X464" i="3"/>
  <c r="X465" i="3" s="1"/>
  <c r="AK464" i="3"/>
  <c r="AK465" i="3" s="1"/>
  <c r="K466" i="3"/>
  <c r="Y470" i="3"/>
  <c r="N476" i="3"/>
  <c r="X482" i="3"/>
  <c r="AB482" i="3"/>
  <c r="J486" i="3"/>
  <c r="N486" i="3"/>
  <c r="X490" i="3"/>
  <c r="AB490" i="3"/>
  <c r="AK501" i="3"/>
  <c r="AK502" i="3" s="1"/>
  <c r="P145" i="4"/>
  <c r="Q145" i="4" s="1"/>
  <c r="Q146" i="4"/>
  <c r="V147" i="4"/>
  <c r="AF148" i="4"/>
  <c r="BH148" i="4" s="1"/>
  <c r="P149" i="4"/>
  <c r="Q149" i="4" s="1"/>
  <c r="Q150" i="4"/>
  <c r="V151" i="4"/>
  <c r="AF152" i="4"/>
  <c r="BH152" i="4" s="1"/>
  <c r="P153" i="4"/>
  <c r="Q153" i="4" s="1"/>
  <c r="Q154" i="4"/>
  <c r="AF156" i="4"/>
  <c r="BH156" i="4" s="1"/>
  <c r="V157" i="4"/>
  <c r="AA157" i="4" s="1"/>
  <c r="AE157" i="4"/>
  <c r="BE157" i="4" s="1"/>
  <c r="AF158" i="4"/>
  <c r="BH158" i="4" s="1"/>
  <c r="P159" i="4"/>
  <c r="Q159" i="4" s="1"/>
  <c r="Q160" i="4"/>
  <c r="AF162" i="4"/>
  <c r="BH162" i="4" s="1"/>
  <c r="P163" i="4"/>
  <c r="Q163" i="4" s="1"/>
  <c r="Q164" i="4"/>
  <c r="V165" i="4"/>
  <c r="AF166" i="4"/>
  <c r="BH166" i="4" s="1"/>
  <c r="P167" i="4"/>
  <c r="Q167" i="4" s="1"/>
  <c r="Q168" i="4"/>
  <c r="AF170" i="4"/>
  <c r="BH170" i="4" s="1"/>
  <c r="P171" i="4"/>
  <c r="Q171" i="4" s="1"/>
  <c r="Q172" i="4"/>
  <c r="AF174" i="4"/>
  <c r="BH174" i="4" s="1"/>
  <c r="P175" i="4"/>
  <c r="Q175" i="4" s="1"/>
  <c r="Q176" i="4"/>
  <c r="V177" i="4"/>
  <c r="AF178" i="4"/>
  <c r="BH178" i="4" s="1"/>
  <c r="P179" i="4"/>
  <c r="Q179" i="4" s="1"/>
  <c r="Q180" i="4"/>
  <c r="AF182" i="4"/>
  <c r="BH182" i="4" s="1"/>
  <c r="P183" i="4"/>
  <c r="Q183" i="4" s="1"/>
  <c r="Q184" i="4"/>
  <c r="V185" i="4"/>
  <c r="AF186" i="4"/>
  <c r="BH186" i="4" s="1"/>
  <c r="P187" i="4"/>
  <c r="Q187" i="4" s="1"/>
  <c r="Q188" i="4"/>
  <c r="V189" i="4"/>
  <c r="AF190" i="4"/>
  <c r="BH190" i="4" s="1"/>
  <c r="P191" i="4"/>
  <c r="Q191" i="4" s="1"/>
  <c r="Q192" i="4"/>
  <c r="AF194" i="4"/>
  <c r="BH194" i="4" s="1"/>
  <c r="P195" i="4"/>
  <c r="Q195" i="4" s="1"/>
  <c r="Q196" i="4"/>
  <c r="V197" i="4"/>
  <c r="AF198" i="4"/>
  <c r="BH198" i="4" s="1"/>
  <c r="P199" i="4"/>
  <c r="Q199" i="4" s="1"/>
  <c r="Q200" i="4"/>
  <c r="V201" i="4"/>
  <c r="AF202" i="4"/>
  <c r="BH202" i="4" s="1"/>
  <c r="P203" i="4"/>
  <c r="Q203" i="4" s="1"/>
  <c r="Q204" i="4"/>
  <c r="Q206" i="4"/>
  <c r="V207" i="4"/>
  <c r="AF208" i="4"/>
  <c r="BH208" i="4" s="1"/>
  <c r="P209" i="4"/>
  <c r="Q209" i="4" s="1"/>
  <c r="Q210" i="4"/>
  <c r="V211" i="4"/>
  <c r="AF212" i="4"/>
  <c r="BH212" i="4" s="1"/>
  <c r="P213" i="4"/>
  <c r="Q213" i="4" s="1"/>
  <c r="Q214" i="4"/>
  <c r="AF216" i="4"/>
  <c r="BH216" i="4" s="1"/>
  <c r="P217" i="4"/>
  <c r="Q217" i="4" s="1"/>
  <c r="Q218" i="4"/>
  <c r="AF220" i="4"/>
  <c r="BH220" i="4" s="1"/>
  <c r="P221" i="4"/>
  <c r="Q221" i="4" s="1"/>
  <c r="Q222" i="4"/>
  <c r="AF224" i="4"/>
  <c r="BH224" i="4" s="1"/>
  <c r="P225" i="4"/>
  <c r="Q225" i="4" s="1"/>
  <c r="Q226" i="4"/>
  <c r="Q228" i="4"/>
  <c r="I229" i="4"/>
  <c r="BG229" i="4" s="1"/>
  <c r="AF230" i="4"/>
  <c r="BH230" i="4" s="1"/>
  <c r="P231" i="4"/>
  <c r="Q231" i="4" s="1"/>
  <c r="Q232" i="4"/>
  <c r="AF234" i="4"/>
  <c r="BH234" i="4" s="1"/>
  <c r="P235" i="4"/>
  <c r="Q235" i="4" s="1"/>
  <c r="Q236" i="4"/>
  <c r="AF238" i="4"/>
  <c r="BH238" i="4" s="1"/>
  <c r="P239" i="4"/>
  <c r="Q239" i="4" s="1"/>
  <c r="Q240" i="4"/>
  <c r="I241" i="4"/>
  <c r="BG241" i="4" s="1"/>
  <c r="AF242" i="4"/>
  <c r="BH242" i="4" s="1"/>
  <c r="P243" i="4"/>
  <c r="Q243" i="4" s="1"/>
  <c r="Q244" i="4"/>
  <c r="Q246" i="4"/>
  <c r="I247" i="4"/>
  <c r="BG247" i="4" s="1"/>
  <c r="AF248" i="4"/>
  <c r="BH248" i="4" s="1"/>
  <c r="P249" i="4"/>
  <c r="Q249" i="4" s="1"/>
  <c r="Q250" i="4"/>
  <c r="AF252" i="4"/>
  <c r="BH252" i="4" s="1"/>
  <c r="P253" i="4"/>
  <c r="Q253" i="4" s="1"/>
  <c r="Q254" i="4"/>
  <c r="I255" i="4"/>
  <c r="BG255" i="4" s="1"/>
  <c r="AF256" i="4"/>
  <c r="BH256" i="4" s="1"/>
  <c r="P257" i="4"/>
  <c r="Q257" i="4" s="1"/>
  <c r="Q258" i="4"/>
  <c r="I259" i="4"/>
  <c r="BG259" i="4" s="1"/>
  <c r="AF260" i="4"/>
  <c r="BH260" i="4" s="1"/>
  <c r="P261" i="4"/>
  <c r="Q261" i="4" s="1"/>
  <c r="Q262" i="4"/>
  <c r="I263" i="4"/>
  <c r="BG263" i="4" s="1"/>
  <c r="AF264" i="4"/>
  <c r="BH264" i="4" s="1"/>
  <c r="P265" i="4"/>
  <c r="Q265" i="4" s="1"/>
  <c r="Q266" i="4"/>
  <c r="I267" i="4"/>
  <c r="BG267" i="4" s="1"/>
  <c r="AF268" i="4"/>
  <c r="BH268" i="4" s="1"/>
  <c r="P269" i="4"/>
  <c r="Q269" i="4" s="1"/>
  <c r="Q270" i="4"/>
  <c r="Q272" i="4"/>
  <c r="AF274" i="4"/>
  <c r="BH274" i="4" s="1"/>
  <c r="P275" i="4"/>
  <c r="Q275" i="4" s="1"/>
  <c r="Q276" i="4"/>
  <c r="I277" i="4"/>
  <c r="BG277" i="4" s="1"/>
  <c r="AF278" i="4"/>
  <c r="BH278" i="4" s="1"/>
  <c r="P279" i="4"/>
  <c r="Q279" i="4" s="1"/>
  <c r="Q280" i="4"/>
  <c r="AF282" i="4"/>
  <c r="BH282" i="4" s="1"/>
  <c r="P283" i="4"/>
  <c r="Q283" i="4" s="1"/>
  <c r="Q284" i="4"/>
  <c r="I285" i="4"/>
  <c r="BG285" i="4" s="1"/>
  <c r="AF286" i="4"/>
  <c r="BH286" i="4" s="1"/>
  <c r="P287" i="4"/>
  <c r="Q287" i="4" s="1"/>
  <c r="Q288" i="4"/>
  <c r="I289" i="4"/>
  <c r="BG289" i="4" s="1"/>
  <c r="AF290" i="4"/>
  <c r="BH290" i="4" s="1"/>
  <c r="P291" i="4"/>
  <c r="Q291" i="4" s="1"/>
  <c r="Q292" i="4"/>
  <c r="AF294" i="4"/>
  <c r="BH294" i="4" s="1"/>
  <c r="P295" i="4"/>
  <c r="Q295" i="4" s="1"/>
  <c r="Q296" i="4"/>
  <c r="I297" i="4"/>
  <c r="BG297" i="4" s="1"/>
  <c r="AF298" i="4"/>
  <c r="BH298" i="4" s="1"/>
  <c r="P299" i="4"/>
  <c r="Q299" i="4" s="1"/>
  <c r="Q300" i="4"/>
  <c r="I301" i="4"/>
  <c r="BG301" i="4" s="1"/>
  <c r="AF302" i="4"/>
  <c r="BH302" i="4" s="1"/>
  <c r="P303" i="4"/>
  <c r="Q303" i="4" s="1"/>
  <c r="Q304" i="4"/>
  <c r="I305" i="4"/>
  <c r="BG305" i="4" s="1"/>
  <c r="AF306" i="4"/>
  <c r="BH306" i="4" s="1"/>
  <c r="P307" i="4"/>
  <c r="Q307" i="4" s="1"/>
  <c r="Q308" i="4"/>
  <c r="I309" i="4"/>
  <c r="BG309" i="4" s="1"/>
  <c r="AF310" i="4"/>
  <c r="BH310" i="4" s="1"/>
  <c r="V311" i="4"/>
  <c r="AA311" i="4" s="1"/>
  <c r="AE311" i="4"/>
  <c r="BE311" i="4" s="1"/>
  <c r="AF312" i="4"/>
  <c r="BH312" i="4" s="1"/>
  <c r="P313" i="4"/>
  <c r="Q313" i="4" s="1"/>
  <c r="Q314" i="4"/>
  <c r="AF316" i="4"/>
  <c r="BH316" i="4" s="1"/>
  <c r="P317" i="4"/>
  <c r="Q317" i="4" s="1"/>
  <c r="Q318" i="4"/>
  <c r="AF320" i="4"/>
  <c r="BH320" i="4" s="1"/>
  <c r="P321" i="4"/>
  <c r="Q321" i="4" s="1"/>
  <c r="Q322" i="4"/>
  <c r="I323" i="4"/>
  <c r="BG323" i="4" s="1"/>
  <c r="AF324" i="4"/>
  <c r="BH324" i="4" s="1"/>
  <c r="P325" i="4"/>
  <c r="Q325" i="4" s="1"/>
  <c r="Q326" i="4"/>
  <c r="Q328" i="4"/>
  <c r="I329" i="4"/>
  <c r="BG329" i="4" s="1"/>
  <c r="AF330" i="4"/>
  <c r="BH330" i="4" s="1"/>
  <c r="P331" i="4"/>
  <c r="Q331" i="4" s="1"/>
  <c r="Q332" i="4"/>
  <c r="I333" i="4"/>
  <c r="BG333" i="4" s="1"/>
  <c r="AF334" i="4"/>
  <c r="BH334" i="4" s="1"/>
  <c r="P335" i="4"/>
  <c r="Q335" i="4" s="1"/>
  <c r="Q336" i="4"/>
  <c r="I337" i="4"/>
  <c r="BG337" i="4" s="1"/>
  <c r="AF338" i="4"/>
  <c r="BH338" i="4" s="1"/>
  <c r="P339" i="4"/>
  <c r="Q339" i="4" s="1"/>
  <c r="Q340" i="4"/>
  <c r="I341" i="4"/>
  <c r="BG341" i="4" s="1"/>
  <c r="AF342" i="4"/>
  <c r="BH342" i="4" s="1"/>
  <c r="P343" i="4"/>
  <c r="Q343" i="4" s="1"/>
  <c r="Q344" i="4"/>
  <c r="I345" i="4"/>
  <c r="BG345" i="4" s="1"/>
  <c r="AF346" i="4"/>
  <c r="BH346" i="4" s="1"/>
  <c r="P347" i="4"/>
  <c r="Q347" i="4" s="1"/>
  <c r="Q348" i="4"/>
  <c r="I349" i="4"/>
  <c r="BG349" i="4" s="1"/>
  <c r="AF350" i="4"/>
  <c r="BH350" i="4" s="1"/>
  <c r="P351" i="4"/>
  <c r="Q351" i="4" s="1"/>
  <c r="Q352" i="4"/>
  <c r="Q353" i="4"/>
  <c r="R353" i="4" s="1"/>
  <c r="I398" i="4"/>
  <c r="AL453" i="4"/>
  <c r="J470" i="4"/>
  <c r="J471" i="4" s="1"/>
  <c r="Z482" i="4"/>
  <c r="BG173" i="5"/>
  <c r="K28" i="5"/>
  <c r="AF350" i="5"/>
  <c r="BH350" i="5" s="1"/>
  <c r="Q348" i="5"/>
  <c r="AF346" i="5"/>
  <c r="BH346" i="5" s="1"/>
  <c r="AF342" i="5"/>
  <c r="BH342" i="5" s="1"/>
  <c r="AF338" i="5"/>
  <c r="BH338" i="5" s="1"/>
  <c r="Q336" i="5"/>
  <c r="AF334" i="5"/>
  <c r="BH334" i="5" s="1"/>
  <c r="AF146" i="5"/>
  <c r="BH146" i="5" s="1"/>
  <c r="P147" i="5"/>
  <c r="T147" i="5"/>
  <c r="AF150" i="5"/>
  <c r="BH150" i="5" s="1"/>
  <c r="P151" i="5"/>
  <c r="T151" i="5"/>
  <c r="AF154" i="5"/>
  <c r="BH154" i="5" s="1"/>
  <c r="P155" i="5"/>
  <c r="T155" i="5"/>
  <c r="AF160" i="5"/>
  <c r="BH160" i="5" s="1"/>
  <c r="P161" i="5"/>
  <c r="T161" i="5"/>
  <c r="AF164" i="5"/>
  <c r="BH164" i="5" s="1"/>
  <c r="P165" i="5"/>
  <c r="T165" i="5"/>
  <c r="AF168" i="5"/>
  <c r="BH168" i="5" s="1"/>
  <c r="P169" i="5"/>
  <c r="T169" i="5"/>
  <c r="AF172" i="5"/>
  <c r="BH172" i="5" s="1"/>
  <c r="P173" i="5"/>
  <c r="T173" i="5"/>
  <c r="AF176" i="5"/>
  <c r="BH176" i="5" s="1"/>
  <c r="P177" i="5"/>
  <c r="T177" i="5"/>
  <c r="AF180" i="5"/>
  <c r="BH180" i="5" s="1"/>
  <c r="P181" i="5"/>
  <c r="T181" i="5"/>
  <c r="AF184" i="5"/>
  <c r="BH184" i="5" s="1"/>
  <c r="P185" i="5"/>
  <c r="T185" i="5"/>
  <c r="AF188" i="5"/>
  <c r="BH188" i="5" s="1"/>
  <c r="P189" i="5"/>
  <c r="T189" i="5"/>
  <c r="AF192" i="5"/>
  <c r="BH192" i="5" s="1"/>
  <c r="P193" i="5"/>
  <c r="T193" i="5"/>
  <c r="AF196" i="5"/>
  <c r="BH196" i="5" s="1"/>
  <c r="P197" i="5"/>
  <c r="T197" i="5"/>
  <c r="AF200" i="5"/>
  <c r="BH200" i="5" s="1"/>
  <c r="P201" i="5"/>
  <c r="T201" i="5"/>
  <c r="AF204" i="5"/>
  <c r="BH204" i="5" s="1"/>
  <c r="AE205" i="5"/>
  <c r="BE205" i="5" s="1"/>
  <c r="AF206" i="5"/>
  <c r="BH206" i="5" s="1"/>
  <c r="P207" i="5"/>
  <c r="T207" i="5"/>
  <c r="AF210" i="5"/>
  <c r="BH210" i="5" s="1"/>
  <c r="P211" i="5"/>
  <c r="T211" i="5"/>
  <c r="AF214" i="5"/>
  <c r="BH214" i="5" s="1"/>
  <c r="P215" i="5"/>
  <c r="T215" i="5"/>
  <c r="AF218" i="5"/>
  <c r="BH218" i="5" s="1"/>
  <c r="P219" i="5"/>
  <c r="T219" i="5"/>
  <c r="AF222" i="5"/>
  <c r="BH222" i="5" s="1"/>
  <c r="P223" i="5"/>
  <c r="T223" i="5"/>
  <c r="AF226" i="5"/>
  <c r="BH226" i="5" s="1"/>
  <c r="AE227" i="5"/>
  <c r="BE227" i="5" s="1"/>
  <c r="AF228" i="5"/>
  <c r="BH228" i="5" s="1"/>
  <c r="P229" i="5"/>
  <c r="T229" i="5"/>
  <c r="AF232" i="5"/>
  <c r="BH232" i="5" s="1"/>
  <c r="P233" i="5"/>
  <c r="T233" i="5"/>
  <c r="AF236" i="5"/>
  <c r="BH236" i="5" s="1"/>
  <c r="P237" i="5"/>
  <c r="T237" i="5"/>
  <c r="AF240" i="5"/>
  <c r="BH240" i="5" s="1"/>
  <c r="P241" i="5"/>
  <c r="T241" i="5"/>
  <c r="AF244" i="5"/>
  <c r="BH244" i="5" s="1"/>
  <c r="P245" i="5"/>
  <c r="T245" i="5"/>
  <c r="AF246" i="5"/>
  <c r="BH246" i="5" s="1"/>
  <c r="P247" i="5"/>
  <c r="T247" i="5"/>
  <c r="AF250" i="5"/>
  <c r="BH250" i="5" s="1"/>
  <c r="P251" i="5"/>
  <c r="T251" i="5"/>
  <c r="AF254" i="5"/>
  <c r="BH254" i="5" s="1"/>
  <c r="P255" i="5"/>
  <c r="T255" i="5"/>
  <c r="AF258" i="5"/>
  <c r="BH258" i="5" s="1"/>
  <c r="P259" i="5"/>
  <c r="T259" i="5"/>
  <c r="AF262" i="5"/>
  <c r="BH262" i="5" s="1"/>
  <c r="P263" i="5"/>
  <c r="T263" i="5"/>
  <c r="AF266" i="5"/>
  <c r="BH266" i="5" s="1"/>
  <c r="P267" i="5"/>
  <c r="T267" i="5"/>
  <c r="AF270" i="5"/>
  <c r="BH270" i="5" s="1"/>
  <c r="AE271" i="5"/>
  <c r="BE271" i="5" s="1"/>
  <c r="AF272" i="5"/>
  <c r="BH272" i="5" s="1"/>
  <c r="P273" i="5"/>
  <c r="T273" i="5"/>
  <c r="AF276" i="5"/>
  <c r="BH276" i="5" s="1"/>
  <c r="P277" i="5"/>
  <c r="T277" i="5"/>
  <c r="AF280" i="5"/>
  <c r="BH280" i="5" s="1"/>
  <c r="P281" i="5"/>
  <c r="T281" i="5"/>
  <c r="AF284" i="5"/>
  <c r="BH284" i="5" s="1"/>
  <c r="P285" i="5"/>
  <c r="T285" i="5"/>
  <c r="AF288" i="5"/>
  <c r="BH288" i="5" s="1"/>
  <c r="P289" i="5"/>
  <c r="T289" i="5"/>
  <c r="AF292" i="5"/>
  <c r="BH292" i="5" s="1"/>
  <c r="P293" i="5"/>
  <c r="T293" i="5"/>
  <c r="AF296" i="5"/>
  <c r="BH296" i="5" s="1"/>
  <c r="P297" i="5"/>
  <c r="T297" i="5"/>
  <c r="AF300" i="5"/>
  <c r="BH300" i="5" s="1"/>
  <c r="P301" i="5"/>
  <c r="T301" i="5"/>
  <c r="AF304" i="5"/>
  <c r="BH304" i="5" s="1"/>
  <c r="P305" i="5"/>
  <c r="T305" i="5"/>
  <c r="AF308" i="5"/>
  <c r="BH308" i="5" s="1"/>
  <c r="P309" i="5"/>
  <c r="T309" i="5"/>
  <c r="AF314" i="5"/>
  <c r="BH314" i="5" s="1"/>
  <c r="P315" i="5"/>
  <c r="T315" i="5"/>
  <c r="AF318" i="5"/>
  <c r="BH318" i="5" s="1"/>
  <c r="P319" i="5"/>
  <c r="T319" i="5"/>
  <c r="AF322" i="5"/>
  <c r="BH322" i="5" s="1"/>
  <c r="P323" i="5"/>
  <c r="T323" i="5"/>
  <c r="AF326" i="5"/>
  <c r="BH326" i="5" s="1"/>
  <c r="P327" i="5"/>
  <c r="T327" i="5"/>
  <c r="AF328" i="5"/>
  <c r="BH328" i="5" s="1"/>
  <c r="P329" i="5"/>
  <c r="T329" i="5"/>
  <c r="AF332" i="5"/>
  <c r="BH332" i="5" s="1"/>
  <c r="P333" i="5"/>
  <c r="T333" i="5"/>
  <c r="T335" i="5"/>
  <c r="P335" i="5"/>
  <c r="U335" i="5"/>
  <c r="AE335" i="5"/>
  <c r="BE335" i="5" s="1"/>
  <c r="AF337" i="5"/>
  <c r="BH337" i="5" s="1"/>
  <c r="AF339" i="5"/>
  <c r="BH339" i="5" s="1"/>
  <c r="T340" i="5"/>
  <c r="AE340" i="5"/>
  <c r="BE340" i="5" s="1"/>
  <c r="P344" i="5"/>
  <c r="Q344" i="5" s="1"/>
  <c r="AF344" i="5"/>
  <c r="BH344" i="5" s="1"/>
  <c r="T345" i="5"/>
  <c r="P346" i="5"/>
  <c r="U346" i="5"/>
  <c r="P349" i="5"/>
  <c r="U349" i="5"/>
  <c r="T351" i="5"/>
  <c r="P351" i="5"/>
  <c r="U351" i="5"/>
  <c r="AE351" i="5"/>
  <c r="BE351" i="5" s="1"/>
  <c r="V354" i="5"/>
  <c r="Y355" i="5"/>
  <c r="V357" i="5"/>
  <c r="AE464" i="5"/>
  <c r="AE465" i="5" s="1"/>
  <c r="X498" i="5"/>
  <c r="K476" i="5"/>
  <c r="Q461" i="5"/>
  <c r="AB498" i="5"/>
  <c r="U461" i="5"/>
  <c r="Q482" i="5"/>
  <c r="Q483" i="5" s="1"/>
  <c r="X490" i="5"/>
  <c r="H507" i="5"/>
  <c r="O507" i="5" s="1"/>
  <c r="U145" i="6"/>
  <c r="T145" i="6"/>
  <c r="Z145" i="6" s="1"/>
  <c r="P145" i="6"/>
  <c r="AF145" i="6"/>
  <c r="BH145" i="6" s="1"/>
  <c r="AE149" i="6"/>
  <c r="BE149" i="6" s="1"/>
  <c r="AE153" i="6"/>
  <c r="BE153" i="6" s="1"/>
  <c r="Z155" i="6"/>
  <c r="W157" i="6"/>
  <c r="Z157" i="6"/>
  <c r="V157" i="6"/>
  <c r="U158" i="6"/>
  <c r="AE160" i="6"/>
  <c r="BE160" i="6" s="1"/>
  <c r="U160" i="6"/>
  <c r="AF160" i="6"/>
  <c r="BH160" i="6" s="1"/>
  <c r="AE164" i="6"/>
  <c r="BE164" i="6" s="1"/>
  <c r="U164" i="6"/>
  <c r="AF164" i="6"/>
  <c r="BH164" i="6" s="1"/>
  <c r="U167" i="6"/>
  <c r="T167" i="6"/>
  <c r="P167" i="6"/>
  <c r="P168" i="6"/>
  <c r="U171" i="6"/>
  <c r="T171" i="6"/>
  <c r="P171" i="6"/>
  <c r="U29" i="6"/>
  <c r="K27" i="6"/>
  <c r="P172" i="6"/>
  <c r="Y173" i="6"/>
  <c r="AE176" i="6"/>
  <c r="BE176" i="6" s="1"/>
  <c r="U176" i="6"/>
  <c r="T176" i="6"/>
  <c r="V176" i="6" s="1"/>
  <c r="P176" i="6"/>
  <c r="U182" i="6"/>
  <c r="U190" i="6"/>
  <c r="AE194" i="6"/>
  <c r="BE194" i="6" s="1"/>
  <c r="I194" i="6"/>
  <c r="BG194" i="6" s="1"/>
  <c r="U194" i="6"/>
  <c r="U31" i="6"/>
  <c r="BG199" i="6"/>
  <c r="AE200" i="6"/>
  <c r="BE200" i="6" s="1"/>
  <c r="U200" i="6"/>
  <c r="T200" i="6"/>
  <c r="P200" i="6"/>
  <c r="AF200" i="6"/>
  <c r="BH200" i="6" s="1"/>
  <c r="AE201" i="6"/>
  <c r="BE201" i="6" s="1"/>
  <c r="I201" i="6"/>
  <c r="U201" i="6"/>
  <c r="P201" i="6"/>
  <c r="K37" i="6"/>
  <c r="BG203" i="6"/>
  <c r="U32" i="6"/>
  <c r="BG209" i="6"/>
  <c r="AE210" i="6"/>
  <c r="BE210" i="6" s="1"/>
  <c r="U210" i="6"/>
  <c r="T210" i="6"/>
  <c r="V210" i="6" s="1"/>
  <c r="P210" i="6"/>
  <c r="AF210" i="6"/>
  <c r="BH210" i="6" s="1"/>
  <c r="AE211" i="6"/>
  <c r="BE211" i="6" s="1"/>
  <c r="I211" i="6"/>
  <c r="BG211" i="6" s="1"/>
  <c r="U211" i="6"/>
  <c r="P211" i="6"/>
  <c r="AE266" i="6"/>
  <c r="BE266" i="6" s="1"/>
  <c r="AE288" i="6"/>
  <c r="BE288" i="6" s="1"/>
  <c r="AE292" i="6"/>
  <c r="BE292" i="6" s="1"/>
  <c r="AE296" i="6"/>
  <c r="BE296" i="6" s="1"/>
  <c r="U36" i="6"/>
  <c r="BG336" i="6"/>
  <c r="K39" i="6"/>
  <c r="BG352" i="6"/>
  <c r="Y462" i="4"/>
  <c r="AA482" i="4"/>
  <c r="M486" i="4"/>
  <c r="AA490" i="4"/>
  <c r="Y501" i="4"/>
  <c r="G507" i="4"/>
  <c r="N507" i="4" s="1"/>
  <c r="C515" i="4"/>
  <c r="C517" i="4"/>
  <c r="K524" i="4"/>
  <c r="L533" i="4" s="1"/>
  <c r="C529" i="4"/>
  <c r="K5" i="5"/>
  <c r="K17" i="5" s="1"/>
  <c r="B4" i="1" s="1"/>
  <c r="W356" i="5"/>
  <c r="AA145" i="5"/>
  <c r="AF145" i="5"/>
  <c r="BH145" i="5" s="1"/>
  <c r="P146" i="5"/>
  <c r="T146" i="5"/>
  <c r="Q147" i="5"/>
  <c r="U147" i="5"/>
  <c r="I148" i="5"/>
  <c r="BG148" i="5" s="1"/>
  <c r="AF149" i="5"/>
  <c r="BH149" i="5" s="1"/>
  <c r="P150" i="5"/>
  <c r="T150" i="5"/>
  <c r="Q151" i="5"/>
  <c r="U151" i="5"/>
  <c r="I152" i="5"/>
  <c r="BG152" i="5" s="1"/>
  <c r="AF153" i="5"/>
  <c r="BH153" i="5" s="1"/>
  <c r="P154" i="5"/>
  <c r="T154" i="5"/>
  <c r="Q155" i="5"/>
  <c r="U155" i="5"/>
  <c r="I156" i="5"/>
  <c r="BG156" i="5" s="1"/>
  <c r="Q157" i="5"/>
  <c r="I158" i="5"/>
  <c r="BG158" i="5" s="1"/>
  <c r="AF159" i="5"/>
  <c r="BH159" i="5" s="1"/>
  <c r="P160" i="5"/>
  <c r="T160" i="5"/>
  <c r="Q161" i="5"/>
  <c r="U161" i="5"/>
  <c r="I162" i="5"/>
  <c r="AF163" i="5"/>
  <c r="BH163" i="5" s="1"/>
  <c r="P164" i="5"/>
  <c r="T164" i="5"/>
  <c r="Q165" i="5"/>
  <c r="U165" i="5"/>
  <c r="I166" i="5"/>
  <c r="BG166" i="5" s="1"/>
  <c r="AF167" i="5"/>
  <c r="BH167" i="5" s="1"/>
  <c r="P168" i="5"/>
  <c r="T168" i="5"/>
  <c r="Q169" i="5"/>
  <c r="U169" i="5"/>
  <c r="I170" i="5"/>
  <c r="AF171" i="5"/>
  <c r="BH171" i="5" s="1"/>
  <c r="P172" i="5"/>
  <c r="T172" i="5"/>
  <c r="Q173" i="5"/>
  <c r="U173" i="5"/>
  <c r="I174" i="5"/>
  <c r="AF175" i="5"/>
  <c r="BH175" i="5" s="1"/>
  <c r="P176" i="5"/>
  <c r="T176" i="5"/>
  <c r="Q177" i="5"/>
  <c r="U177" i="5"/>
  <c r="I178" i="5"/>
  <c r="AF179" i="5"/>
  <c r="BH179" i="5" s="1"/>
  <c r="P180" i="5"/>
  <c r="T180" i="5"/>
  <c r="Q181" i="5"/>
  <c r="U181" i="5"/>
  <c r="I182" i="5"/>
  <c r="BG182" i="5" s="1"/>
  <c r="AF183" i="5"/>
  <c r="BH183" i="5" s="1"/>
  <c r="P184" i="5"/>
  <c r="T184" i="5"/>
  <c r="Q185" i="5"/>
  <c r="U185" i="5"/>
  <c r="I186" i="5"/>
  <c r="AF187" i="5"/>
  <c r="BH187" i="5" s="1"/>
  <c r="P188" i="5"/>
  <c r="T188" i="5"/>
  <c r="Q189" i="5"/>
  <c r="U189" i="5"/>
  <c r="I190" i="5"/>
  <c r="BG190" i="5" s="1"/>
  <c r="AF191" i="5"/>
  <c r="BH191" i="5" s="1"/>
  <c r="P192" i="5"/>
  <c r="T192" i="5"/>
  <c r="Q193" i="5"/>
  <c r="U193" i="5"/>
  <c r="I194" i="5"/>
  <c r="BG194" i="5" s="1"/>
  <c r="AF195" i="5"/>
  <c r="BH195" i="5" s="1"/>
  <c r="P196" i="5"/>
  <c r="T196" i="5"/>
  <c r="Q197" i="5"/>
  <c r="U197" i="5"/>
  <c r="I198" i="5"/>
  <c r="BG198" i="5" s="1"/>
  <c r="AF199" i="5"/>
  <c r="BH199" i="5" s="1"/>
  <c r="P200" i="5"/>
  <c r="T200" i="5"/>
  <c r="Q201" i="5"/>
  <c r="U201" i="5"/>
  <c r="I202" i="5"/>
  <c r="AF203" i="5"/>
  <c r="BH203" i="5" s="1"/>
  <c r="P204" i="5"/>
  <c r="T204" i="5"/>
  <c r="AF205" i="5"/>
  <c r="BH205" i="5" s="1"/>
  <c r="P206" i="5"/>
  <c r="T206" i="5"/>
  <c r="Q207" i="5"/>
  <c r="U207" i="5"/>
  <c r="I208" i="5"/>
  <c r="BG208" i="5" s="1"/>
  <c r="AF209" i="5"/>
  <c r="BH209" i="5" s="1"/>
  <c r="P210" i="5"/>
  <c r="T210" i="5"/>
  <c r="Q211" i="5"/>
  <c r="U211" i="5"/>
  <c r="I212" i="5"/>
  <c r="BG212" i="5" s="1"/>
  <c r="AF213" i="5"/>
  <c r="BH213" i="5" s="1"/>
  <c r="P214" i="5"/>
  <c r="T214" i="5"/>
  <c r="Q215" i="5"/>
  <c r="U215" i="5"/>
  <c r="I216" i="5"/>
  <c r="BG216" i="5" s="1"/>
  <c r="AF217" i="5"/>
  <c r="BH217" i="5" s="1"/>
  <c r="P218" i="5"/>
  <c r="T218" i="5"/>
  <c r="Q219" i="5"/>
  <c r="U219" i="5"/>
  <c r="I220" i="5"/>
  <c r="BG220" i="5" s="1"/>
  <c r="AF221" i="5"/>
  <c r="BH221" i="5" s="1"/>
  <c r="P222" i="5"/>
  <c r="T222" i="5"/>
  <c r="Q223" i="5"/>
  <c r="U223" i="5"/>
  <c r="I224" i="5"/>
  <c r="BG224" i="5" s="1"/>
  <c r="AF225" i="5"/>
  <c r="BH225" i="5" s="1"/>
  <c r="P226" i="5"/>
  <c r="T226" i="5"/>
  <c r="AF227" i="5"/>
  <c r="BH227" i="5" s="1"/>
  <c r="P228" i="5"/>
  <c r="T228" i="5"/>
  <c r="Q229" i="5"/>
  <c r="U229" i="5"/>
  <c r="I230" i="5"/>
  <c r="BG230" i="5" s="1"/>
  <c r="AF231" i="5"/>
  <c r="BH231" i="5" s="1"/>
  <c r="P232" i="5"/>
  <c r="T232" i="5"/>
  <c r="Q233" i="5"/>
  <c r="U233" i="5"/>
  <c r="I234" i="5"/>
  <c r="BG234" i="5" s="1"/>
  <c r="AF235" i="5"/>
  <c r="BH235" i="5" s="1"/>
  <c r="P236" i="5"/>
  <c r="T236" i="5"/>
  <c r="Q237" i="5"/>
  <c r="U237" i="5"/>
  <c r="I238" i="5"/>
  <c r="BG238" i="5" s="1"/>
  <c r="AF239" i="5"/>
  <c r="BH239" i="5" s="1"/>
  <c r="P240" i="5"/>
  <c r="T240" i="5"/>
  <c r="Q241" i="5"/>
  <c r="U241" i="5"/>
  <c r="I242" i="5"/>
  <c r="BG242" i="5" s="1"/>
  <c r="AF243" i="5"/>
  <c r="BH243" i="5" s="1"/>
  <c r="P244" i="5"/>
  <c r="T244" i="5"/>
  <c r="Q245" i="5"/>
  <c r="U245" i="5"/>
  <c r="Q247" i="5"/>
  <c r="U247" i="5"/>
  <c r="I248" i="5"/>
  <c r="BG248" i="5" s="1"/>
  <c r="AF249" i="5"/>
  <c r="BH249" i="5" s="1"/>
  <c r="P250" i="5"/>
  <c r="T250" i="5"/>
  <c r="Q251" i="5"/>
  <c r="U251" i="5"/>
  <c r="I252" i="5"/>
  <c r="BG252" i="5" s="1"/>
  <c r="AF253" i="5"/>
  <c r="BH253" i="5" s="1"/>
  <c r="P254" i="5"/>
  <c r="T254" i="5"/>
  <c r="Q255" i="5"/>
  <c r="U255" i="5"/>
  <c r="I256" i="5"/>
  <c r="BG256" i="5" s="1"/>
  <c r="AF257" i="5"/>
  <c r="BH257" i="5" s="1"/>
  <c r="P258" i="5"/>
  <c r="T258" i="5"/>
  <c r="Q259" i="5"/>
  <c r="U259" i="5"/>
  <c r="I260" i="5"/>
  <c r="BG260" i="5" s="1"/>
  <c r="AF261" i="5"/>
  <c r="BH261" i="5" s="1"/>
  <c r="P262" i="5"/>
  <c r="T262" i="5"/>
  <c r="Q263" i="5"/>
  <c r="U263" i="5"/>
  <c r="I264" i="5"/>
  <c r="BG264" i="5" s="1"/>
  <c r="AF265" i="5"/>
  <c r="BH265" i="5" s="1"/>
  <c r="P266" i="5"/>
  <c r="T266" i="5"/>
  <c r="Q267" i="5"/>
  <c r="U267" i="5"/>
  <c r="I268" i="5"/>
  <c r="BG268" i="5" s="1"/>
  <c r="AF269" i="5"/>
  <c r="BH269" i="5" s="1"/>
  <c r="P270" i="5"/>
  <c r="T270" i="5"/>
  <c r="AF271" i="5"/>
  <c r="BH271" i="5" s="1"/>
  <c r="P272" i="5"/>
  <c r="T272" i="5"/>
  <c r="Q273" i="5"/>
  <c r="U273" i="5"/>
  <c r="I274" i="5"/>
  <c r="BG274" i="5" s="1"/>
  <c r="AF275" i="5"/>
  <c r="BH275" i="5" s="1"/>
  <c r="P276" i="5"/>
  <c r="T276" i="5"/>
  <c r="Q277" i="5"/>
  <c r="U277" i="5"/>
  <c r="I278" i="5"/>
  <c r="BG278" i="5" s="1"/>
  <c r="AF279" i="5"/>
  <c r="BH279" i="5" s="1"/>
  <c r="P280" i="5"/>
  <c r="T280" i="5"/>
  <c r="Q281" i="5"/>
  <c r="U281" i="5"/>
  <c r="I282" i="5"/>
  <c r="BG282" i="5" s="1"/>
  <c r="AF283" i="5"/>
  <c r="BH283" i="5" s="1"/>
  <c r="P284" i="5"/>
  <c r="T284" i="5"/>
  <c r="Q285" i="5"/>
  <c r="U285" i="5"/>
  <c r="I286" i="5"/>
  <c r="BG286" i="5" s="1"/>
  <c r="AF287" i="5"/>
  <c r="BH287" i="5" s="1"/>
  <c r="P288" i="5"/>
  <c r="T288" i="5"/>
  <c r="Q289" i="5"/>
  <c r="U289" i="5"/>
  <c r="I290" i="5"/>
  <c r="BG290" i="5" s="1"/>
  <c r="AF291" i="5"/>
  <c r="BH291" i="5" s="1"/>
  <c r="P292" i="5"/>
  <c r="T292" i="5"/>
  <c r="Q293" i="5"/>
  <c r="U293" i="5"/>
  <c r="I294" i="5"/>
  <c r="BG294" i="5" s="1"/>
  <c r="AF295" i="5"/>
  <c r="BH295" i="5" s="1"/>
  <c r="P296" i="5"/>
  <c r="T296" i="5"/>
  <c r="Q297" i="5"/>
  <c r="U297" i="5"/>
  <c r="I298" i="5"/>
  <c r="BG298" i="5" s="1"/>
  <c r="AF299" i="5"/>
  <c r="BH299" i="5" s="1"/>
  <c r="P300" i="5"/>
  <c r="T300" i="5"/>
  <c r="Q301" i="5"/>
  <c r="U301" i="5"/>
  <c r="I302" i="5"/>
  <c r="BG302" i="5" s="1"/>
  <c r="AF303" i="5"/>
  <c r="BH303" i="5" s="1"/>
  <c r="P304" i="5"/>
  <c r="T304" i="5"/>
  <c r="Q305" i="5"/>
  <c r="U305" i="5"/>
  <c r="I306" i="5"/>
  <c r="BG306" i="5" s="1"/>
  <c r="AF307" i="5"/>
  <c r="BH307" i="5" s="1"/>
  <c r="P308" i="5"/>
  <c r="T308" i="5"/>
  <c r="Q309" i="5"/>
  <c r="U309" i="5"/>
  <c r="I310" i="5"/>
  <c r="BG310" i="5" s="1"/>
  <c r="Q311" i="5"/>
  <c r="I312" i="5"/>
  <c r="BG312" i="5" s="1"/>
  <c r="AF313" i="5"/>
  <c r="BH313" i="5" s="1"/>
  <c r="P314" i="5"/>
  <c r="T314" i="5"/>
  <c r="Q315" i="5"/>
  <c r="U315" i="5"/>
  <c r="I316" i="5"/>
  <c r="BG316" i="5" s="1"/>
  <c r="AF317" i="5"/>
  <c r="BH317" i="5" s="1"/>
  <c r="P318" i="5"/>
  <c r="T318" i="5"/>
  <c r="Q319" i="5"/>
  <c r="U319" i="5"/>
  <c r="I320" i="5"/>
  <c r="BG320" i="5" s="1"/>
  <c r="AF321" i="5"/>
  <c r="BH321" i="5" s="1"/>
  <c r="P322" i="5"/>
  <c r="T322" i="5"/>
  <c r="Q323" i="5"/>
  <c r="U323" i="5"/>
  <c r="I324" i="5"/>
  <c r="BG324" i="5" s="1"/>
  <c r="AF325" i="5"/>
  <c r="BH325" i="5" s="1"/>
  <c r="P326" i="5"/>
  <c r="T326" i="5"/>
  <c r="Q327" i="5"/>
  <c r="U327" i="5"/>
  <c r="Q329" i="5"/>
  <c r="U329" i="5"/>
  <c r="I330" i="5"/>
  <c r="BG330" i="5" s="1"/>
  <c r="AF331" i="5"/>
  <c r="BH331" i="5" s="1"/>
  <c r="P332" i="5"/>
  <c r="T332" i="5"/>
  <c r="Q333" i="5"/>
  <c r="U333" i="5"/>
  <c r="I334" i="5"/>
  <c r="BG334" i="5" s="1"/>
  <c r="Q335" i="5"/>
  <c r="AF335" i="5"/>
  <c r="BH335" i="5" s="1"/>
  <c r="U336" i="5"/>
  <c r="T336" i="5"/>
  <c r="AE336" i="5"/>
  <c r="BE336" i="5" s="1"/>
  <c r="P340" i="5"/>
  <c r="Q340" i="5" s="1"/>
  <c r="AF340" i="5"/>
  <c r="BH340" i="5" s="1"/>
  <c r="T341" i="5"/>
  <c r="P342" i="5"/>
  <c r="I345" i="5"/>
  <c r="BG345" i="5" s="1"/>
  <c r="P345" i="5"/>
  <c r="U345" i="5"/>
  <c r="Q346" i="5"/>
  <c r="AA346" i="5"/>
  <c r="T347" i="5"/>
  <c r="P347" i="5"/>
  <c r="U347" i="5"/>
  <c r="AE347" i="5"/>
  <c r="BE347" i="5" s="1"/>
  <c r="I348" i="5"/>
  <c r="BG348" i="5" s="1"/>
  <c r="Q349" i="5"/>
  <c r="AF349" i="5"/>
  <c r="BH349" i="5" s="1"/>
  <c r="I350" i="5"/>
  <c r="BG350" i="5" s="1"/>
  <c r="Q351" i="5"/>
  <c r="AF351" i="5"/>
  <c r="BH351" i="5" s="1"/>
  <c r="U352" i="5"/>
  <c r="T352" i="5"/>
  <c r="AE352" i="5"/>
  <c r="BE352" i="5" s="1"/>
  <c r="T353" i="5"/>
  <c r="W354" i="5"/>
  <c r="Y356" i="5"/>
  <c r="Y358" i="5" s="1"/>
  <c r="W357" i="5"/>
  <c r="I360" i="5"/>
  <c r="I367" i="5"/>
  <c r="I375" i="5"/>
  <c r="I383" i="5"/>
  <c r="I391" i="5"/>
  <c r="I399" i="5"/>
  <c r="X458" i="5"/>
  <c r="X459" i="5" s="1"/>
  <c r="X456" i="5"/>
  <c r="X457" i="5" s="1"/>
  <c r="AA454" i="5"/>
  <c r="X462" i="5"/>
  <c r="N466" i="5"/>
  <c r="X466" i="5"/>
  <c r="X467" i="5" s="1"/>
  <c r="AB470" i="5"/>
  <c r="C508" i="5"/>
  <c r="D480" i="5"/>
  <c r="D481" i="5" s="1"/>
  <c r="L476" i="5"/>
  <c r="AK477" i="5"/>
  <c r="AK478" i="5" s="1"/>
  <c r="AB482" i="5"/>
  <c r="N486" i="5"/>
  <c r="C512" i="5"/>
  <c r="Q491" i="5"/>
  <c r="Q492" i="5" s="1"/>
  <c r="U489" i="5"/>
  <c r="AA498" i="5"/>
  <c r="X502" i="5"/>
  <c r="X503" i="5" s="1"/>
  <c r="D507" i="5"/>
  <c r="K507" i="5" s="1"/>
  <c r="F524" i="5"/>
  <c r="G533" i="5" s="1"/>
  <c r="K524" i="5"/>
  <c r="L533" i="5" s="1"/>
  <c r="AF349" i="6"/>
  <c r="BH349" i="6" s="1"/>
  <c r="AF345" i="6"/>
  <c r="BH345" i="6" s="1"/>
  <c r="AF341" i="6"/>
  <c r="BH341" i="6" s="1"/>
  <c r="AF337" i="6"/>
  <c r="BH337" i="6" s="1"/>
  <c r="AF333" i="6"/>
  <c r="BH333" i="6" s="1"/>
  <c r="AF329" i="6"/>
  <c r="BH329" i="6" s="1"/>
  <c r="AE328" i="6"/>
  <c r="BE328" i="6" s="1"/>
  <c r="AF327" i="6"/>
  <c r="BH327" i="6" s="1"/>
  <c r="AF323" i="6"/>
  <c r="BH323" i="6" s="1"/>
  <c r="AF319" i="6"/>
  <c r="BH319" i="6" s="1"/>
  <c r="AF315" i="6"/>
  <c r="BH315" i="6" s="1"/>
  <c r="AF311" i="6"/>
  <c r="BH311" i="6" s="1"/>
  <c r="AF309" i="6"/>
  <c r="BH309" i="6" s="1"/>
  <c r="AF305" i="6"/>
  <c r="BH305" i="6" s="1"/>
  <c r="AF301" i="6"/>
  <c r="BH301" i="6" s="1"/>
  <c r="AF297" i="6"/>
  <c r="BH297" i="6" s="1"/>
  <c r="AF293" i="6"/>
  <c r="BH293" i="6" s="1"/>
  <c r="AF289" i="6"/>
  <c r="BH289" i="6" s="1"/>
  <c r="AF285" i="6"/>
  <c r="BH285" i="6" s="1"/>
  <c r="AF281" i="6"/>
  <c r="BH281" i="6" s="1"/>
  <c r="AF277" i="6"/>
  <c r="BH277" i="6" s="1"/>
  <c r="AF273" i="6"/>
  <c r="BH273" i="6" s="1"/>
  <c r="Q271" i="6"/>
  <c r="AF267" i="6"/>
  <c r="BH267" i="6" s="1"/>
  <c r="AF263" i="6"/>
  <c r="BH263" i="6" s="1"/>
  <c r="AF259" i="6"/>
  <c r="BH259" i="6" s="1"/>
  <c r="AF255" i="6"/>
  <c r="BH255" i="6" s="1"/>
  <c r="AF251" i="6"/>
  <c r="BH251" i="6" s="1"/>
  <c r="AF247" i="6"/>
  <c r="BH247" i="6" s="1"/>
  <c r="AE246" i="6"/>
  <c r="BE246" i="6" s="1"/>
  <c r="AF245" i="6"/>
  <c r="BH245" i="6" s="1"/>
  <c r="AF241" i="6"/>
  <c r="BH241" i="6" s="1"/>
  <c r="AF237" i="6"/>
  <c r="BH237" i="6" s="1"/>
  <c r="AF233" i="6"/>
  <c r="BH233" i="6" s="1"/>
  <c r="AF229" i="6"/>
  <c r="BH229" i="6" s="1"/>
  <c r="Q227" i="6"/>
  <c r="AF223" i="6"/>
  <c r="BH223" i="6" s="1"/>
  <c r="AF219" i="6"/>
  <c r="BH219" i="6" s="1"/>
  <c r="AF215" i="6"/>
  <c r="BH215" i="6" s="1"/>
  <c r="AF211" i="6"/>
  <c r="BH211" i="6" s="1"/>
  <c r="AF207" i="6"/>
  <c r="BH207" i="6" s="1"/>
  <c r="Q205" i="6"/>
  <c r="AF201" i="6"/>
  <c r="BH201" i="6" s="1"/>
  <c r="AF197" i="6"/>
  <c r="BH197" i="6" s="1"/>
  <c r="AF193" i="6"/>
  <c r="BH193" i="6" s="1"/>
  <c r="AF189" i="6"/>
  <c r="BH189" i="6" s="1"/>
  <c r="AF185" i="6"/>
  <c r="BH185" i="6" s="1"/>
  <c r="AF181" i="6"/>
  <c r="BH181" i="6" s="1"/>
  <c r="AF177" i="6"/>
  <c r="BH177" i="6" s="1"/>
  <c r="AF173" i="6"/>
  <c r="BH173" i="6" s="1"/>
  <c r="Q171" i="6"/>
  <c r="AF169" i="6"/>
  <c r="BH169" i="6" s="1"/>
  <c r="Q167" i="6"/>
  <c r="AF165" i="6"/>
  <c r="BH165" i="6" s="1"/>
  <c r="AF161" i="6"/>
  <c r="BH161" i="6" s="1"/>
  <c r="AF157" i="6"/>
  <c r="BH157" i="6" s="1"/>
  <c r="AF155" i="6"/>
  <c r="BH155" i="6" s="1"/>
  <c r="AF151" i="6"/>
  <c r="BH151" i="6" s="1"/>
  <c r="AF147" i="6"/>
  <c r="BH147" i="6" s="1"/>
  <c r="Q145" i="6"/>
  <c r="V144" i="6"/>
  <c r="AF350" i="6"/>
  <c r="BH350" i="6" s="1"/>
  <c r="AF346" i="6"/>
  <c r="BH346" i="6" s="1"/>
  <c r="AF342" i="6"/>
  <c r="BH342" i="6" s="1"/>
  <c r="AF338" i="6"/>
  <c r="BH338" i="6" s="1"/>
  <c r="AF334" i="6"/>
  <c r="BH334" i="6" s="1"/>
  <c r="AF330" i="6"/>
  <c r="BH330" i="6" s="1"/>
  <c r="Q328" i="6"/>
  <c r="AF324" i="6"/>
  <c r="BH324" i="6" s="1"/>
  <c r="AF320" i="6"/>
  <c r="BH320" i="6" s="1"/>
  <c r="AF316" i="6"/>
  <c r="BH316" i="6" s="1"/>
  <c r="AF312" i="6"/>
  <c r="BH312" i="6" s="1"/>
  <c r="AE311" i="6"/>
  <c r="BE311" i="6" s="1"/>
  <c r="AF310" i="6"/>
  <c r="BH310" i="6" s="1"/>
  <c r="AF306" i="6"/>
  <c r="BH306" i="6" s="1"/>
  <c r="AF302" i="6"/>
  <c r="BH302" i="6" s="1"/>
  <c r="AF298" i="6"/>
  <c r="BH298" i="6" s="1"/>
  <c r="AF294" i="6"/>
  <c r="BH294" i="6" s="1"/>
  <c r="AF290" i="6"/>
  <c r="BH290" i="6" s="1"/>
  <c r="AF286" i="6"/>
  <c r="BH286" i="6" s="1"/>
  <c r="AF282" i="6"/>
  <c r="BH282" i="6" s="1"/>
  <c r="AF278" i="6"/>
  <c r="BH278" i="6" s="1"/>
  <c r="AF274" i="6"/>
  <c r="BH274" i="6" s="1"/>
  <c r="AF268" i="6"/>
  <c r="BH268" i="6" s="1"/>
  <c r="AF264" i="6"/>
  <c r="BH264" i="6" s="1"/>
  <c r="AF260" i="6"/>
  <c r="BH260" i="6" s="1"/>
  <c r="AF256" i="6"/>
  <c r="BH256" i="6" s="1"/>
  <c r="AF252" i="6"/>
  <c r="BH252" i="6" s="1"/>
  <c r="AF248" i="6"/>
  <c r="BH248" i="6" s="1"/>
  <c r="Q246" i="6"/>
  <c r="AF242" i="6"/>
  <c r="BH242" i="6" s="1"/>
  <c r="AF238" i="6"/>
  <c r="BH238" i="6" s="1"/>
  <c r="AF234" i="6"/>
  <c r="BH234" i="6" s="1"/>
  <c r="AF230" i="6"/>
  <c r="BH230" i="6" s="1"/>
  <c r="AF224" i="6"/>
  <c r="BH224" i="6" s="1"/>
  <c r="AF220" i="6"/>
  <c r="BH220" i="6" s="1"/>
  <c r="AF216" i="6"/>
  <c r="BH216" i="6" s="1"/>
  <c r="AF212" i="6"/>
  <c r="BH212" i="6" s="1"/>
  <c r="Q210" i="6"/>
  <c r="AF208" i="6"/>
  <c r="BH208" i="6" s="1"/>
  <c r="AF202" i="6"/>
  <c r="BH202" i="6" s="1"/>
  <c r="Q200" i="6"/>
  <c r="AF198" i="6"/>
  <c r="BH198" i="6" s="1"/>
  <c r="AF194" i="6"/>
  <c r="BH194" i="6" s="1"/>
  <c r="AF190" i="6"/>
  <c r="BH190" i="6" s="1"/>
  <c r="AF186" i="6"/>
  <c r="BH186" i="6" s="1"/>
  <c r="AF182" i="6"/>
  <c r="BH182" i="6" s="1"/>
  <c r="AF178" i="6"/>
  <c r="BH178" i="6" s="1"/>
  <c r="Q176" i="6"/>
  <c r="AF174" i="6"/>
  <c r="BH174" i="6" s="1"/>
  <c r="Q172" i="6"/>
  <c r="AF170" i="6"/>
  <c r="BH170" i="6" s="1"/>
  <c r="Q168" i="6"/>
  <c r="AF166" i="6"/>
  <c r="BH166" i="6" s="1"/>
  <c r="AF162" i="6"/>
  <c r="BH162" i="6" s="1"/>
  <c r="AF158" i="6"/>
  <c r="BH158" i="6" s="1"/>
  <c r="AE157" i="6"/>
  <c r="BE157" i="6" s="1"/>
  <c r="AF156" i="6"/>
  <c r="BH156" i="6" s="1"/>
  <c r="AF152" i="6"/>
  <c r="BH152" i="6" s="1"/>
  <c r="AF148" i="6"/>
  <c r="BH148" i="6" s="1"/>
  <c r="AF351" i="6"/>
  <c r="BH351" i="6" s="1"/>
  <c r="AF347" i="6"/>
  <c r="BH347" i="6" s="1"/>
  <c r="AF343" i="6"/>
  <c r="BH343" i="6" s="1"/>
  <c r="AF339" i="6"/>
  <c r="BH339" i="6" s="1"/>
  <c r="AF335" i="6"/>
  <c r="BH335" i="6" s="1"/>
  <c r="AF331" i="6"/>
  <c r="BH331" i="6" s="1"/>
  <c r="AF325" i="6"/>
  <c r="BH325" i="6" s="1"/>
  <c r="AF321" i="6"/>
  <c r="BH321" i="6" s="1"/>
  <c r="AF317" i="6"/>
  <c r="BH317" i="6" s="1"/>
  <c r="AF313" i="6"/>
  <c r="BH313" i="6" s="1"/>
  <c r="Q311" i="6"/>
  <c r="AF307" i="6"/>
  <c r="BH307" i="6" s="1"/>
  <c r="AF303" i="6"/>
  <c r="BH303" i="6" s="1"/>
  <c r="AF299" i="6"/>
  <c r="BH299" i="6" s="1"/>
  <c r="AF295" i="6"/>
  <c r="BH295" i="6" s="1"/>
  <c r="AF291" i="6"/>
  <c r="BH291" i="6" s="1"/>
  <c r="AF287" i="6"/>
  <c r="BH287" i="6" s="1"/>
  <c r="AF283" i="6"/>
  <c r="BH283" i="6" s="1"/>
  <c r="AF279" i="6"/>
  <c r="BH279" i="6" s="1"/>
  <c r="AF275" i="6"/>
  <c r="BH275" i="6" s="1"/>
  <c r="AF271" i="6"/>
  <c r="BH271" i="6" s="1"/>
  <c r="AF269" i="6"/>
  <c r="BH269" i="6" s="1"/>
  <c r="AF265" i="6"/>
  <c r="BH265" i="6" s="1"/>
  <c r="AF261" i="6"/>
  <c r="BH261" i="6" s="1"/>
  <c r="AF257" i="6"/>
  <c r="BH257" i="6" s="1"/>
  <c r="AF253" i="6"/>
  <c r="BH253" i="6" s="1"/>
  <c r="AF249" i="6"/>
  <c r="BH249" i="6" s="1"/>
  <c r="AF243" i="6"/>
  <c r="BH243" i="6" s="1"/>
  <c r="AF239" i="6"/>
  <c r="BH239" i="6" s="1"/>
  <c r="AF235" i="6"/>
  <c r="BH235" i="6" s="1"/>
  <c r="AF231" i="6"/>
  <c r="BH231" i="6" s="1"/>
  <c r="AF227" i="6"/>
  <c r="BH227" i="6" s="1"/>
  <c r="AF225" i="6"/>
  <c r="BH225" i="6" s="1"/>
  <c r="AF221" i="6"/>
  <c r="BH221" i="6" s="1"/>
  <c r="AF217" i="6"/>
  <c r="BH217" i="6" s="1"/>
  <c r="AF213" i="6"/>
  <c r="BH213" i="6" s="1"/>
  <c r="Q211" i="6"/>
  <c r="AF209" i="6"/>
  <c r="BH209" i="6" s="1"/>
  <c r="AF205" i="6"/>
  <c r="BH205" i="6" s="1"/>
  <c r="AF203" i="6"/>
  <c r="BH203" i="6" s="1"/>
  <c r="Q201" i="6"/>
  <c r="AF199" i="6"/>
  <c r="BH199" i="6" s="1"/>
  <c r="AF195" i="6"/>
  <c r="BH195" i="6" s="1"/>
  <c r="AF191" i="6"/>
  <c r="BH191" i="6" s="1"/>
  <c r="AF187" i="6"/>
  <c r="BH187" i="6" s="1"/>
  <c r="AF183" i="6"/>
  <c r="BH183" i="6" s="1"/>
  <c r="AF179" i="6"/>
  <c r="BH179" i="6" s="1"/>
  <c r="AF175" i="6"/>
  <c r="BH175" i="6" s="1"/>
  <c r="AF352" i="6"/>
  <c r="BH352" i="6" s="1"/>
  <c r="AF348" i="6"/>
  <c r="BH348" i="6" s="1"/>
  <c r="AF344" i="6"/>
  <c r="BH344" i="6" s="1"/>
  <c r="AF340" i="6"/>
  <c r="BH340" i="6" s="1"/>
  <c r="AF336" i="6"/>
  <c r="BH336" i="6" s="1"/>
  <c r="AF332" i="6"/>
  <c r="BH332" i="6" s="1"/>
  <c r="AF328" i="6"/>
  <c r="BH328" i="6" s="1"/>
  <c r="AF326" i="6"/>
  <c r="BH326" i="6" s="1"/>
  <c r="AF322" i="6"/>
  <c r="BH322" i="6" s="1"/>
  <c r="AF318" i="6"/>
  <c r="BH318" i="6" s="1"/>
  <c r="AF314" i="6"/>
  <c r="BH314" i="6" s="1"/>
  <c r="AF308" i="6"/>
  <c r="BH308" i="6" s="1"/>
  <c r="AF304" i="6"/>
  <c r="BH304" i="6" s="1"/>
  <c r="AF300" i="6"/>
  <c r="BH300" i="6" s="1"/>
  <c r="AF296" i="6"/>
  <c r="BH296" i="6" s="1"/>
  <c r="AF292" i="6"/>
  <c r="BH292" i="6" s="1"/>
  <c r="AF288" i="6"/>
  <c r="BH288" i="6" s="1"/>
  <c r="AF284" i="6"/>
  <c r="BH284" i="6" s="1"/>
  <c r="AF280" i="6"/>
  <c r="BH280" i="6" s="1"/>
  <c r="AF276" i="6"/>
  <c r="BH276" i="6" s="1"/>
  <c r="AF272" i="6"/>
  <c r="BH272" i="6" s="1"/>
  <c r="AE271" i="6"/>
  <c r="BE271" i="6" s="1"/>
  <c r="AF270" i="6"/>
  <c r="BH270" i="6" s="1"/>
  <c r="AF266" i="6"/>
  <c r="BH266" i="6" s="1"/>
  <c r="AF262" i="6"/>
  <c r="BH262" i="6" s="1"/>
  <c r="AF258" i="6"/>
  <c r="BH258" i="6" s="1"/>
  <c r="AF254" i="6"/>
  <c r="BH254" i="6" s="1"/>
  <c r="AF250" i="6"/>
  <c r="BH250" i="6" s="1"/>
  <c r="AF246" i="6"/>
  <c r="BH246" i="6" s="1"/>
  <c r="AF244" i="6"/>
  <c r="BH244" i="6" s="1"/>
  <c r="AF240" i="6"/>
  <c r="BH240" i="6" s="1"/>
  <c r="AF236" i="6"/>
  <c r="BH236" i="6" s="1"/>
  <c r="AF232" i="6"/>
  <c r="BH232" i="6" s="1"/>
  <c r="AF228" i="6"/>
  <c r="BH228" i="6" s="1"/>
  <c r="AE227" i="6"/>
  <c r="BE227" i="6" s="1"/>
  <c r="AF226" i="6"/>
  <c r="BH226" i="6" s="1"/>
  <c r="AF222" i="6"/>
  <c r="BH222" i="6" s="1"/>
  <c r="AF218" i="6"/>
  <c r="BH218" i="6" s="1"/>
  <c r="AF214" i="6"/>
  <c r="BH214" i="6" s="1"/>
  <c r="AE146" i="6"/>
  <c r="BE146" i="6" s="1"/>
  <c r="U146" i="6"/>
  <c r="Z146" i="6" s="1"/>
  <c r="W147" i="6"/>
  <c r="AE147" i="6"/>
  <c r="BE147" i="6" s="1"/>
  <c r="I147" i="6"/>
  <c r="BG147" i="6" s="1"/>
  <c r="P147" i="6"/>
  <c r="X147" i="6"/>
  <c r="U149" i="6"/>
  <c r="T149" i="6"/>
  <c r="Z149" i="6" s="1"/>
  <c r="P149" i="6"/>
  <c r="Q149" i="6" s="1"/>
  <c r="AF149" i="6"/>
  <c r="BH149" i="6" s="1"/>
  <c r="W151" i="6"/>
  <c r="AE151" i="6"/>
  <c r="BE151" i="6" s="1"/>
  <c r="I151" i="6"/>
  <c r="P151" i="6"/>
  <c r="X151" i="6"/>
  <c r="U153" i="6"/>
  <c r="T153" i="6"/>
  <c r="P153" i="6"/>
  <c r="Q153" i="6" s="1"/>
  <c r="AF153" i="6"/>
  <c r="BH153" i="6" s="1"/>
  <c r="BG153" i="6"/>
  <c r="T158" i="6"/>
  <c r="Y158" i="6" s="1"/>
  <c r="I160" i="6"/>
  <c r="BG160" i="6" s="1"/>
  <c r="P160" i="6"/>
  <c r="Q160" i="6" s="1"/>
  <c r="T161" i="6"/>
  <c r="I164" i="6"/>
  <c r="BG164" i="6" s="1"/>
  <c r="P164" i="6"/>
  <c r="Q164" i="6" s="1"/>
  <c r="T165" i="6"/>
  <c r="T166" i="6"/>
  <c r="AE167" i="6"/>
  <c r="BE167" i="6" s="1"/>
  <c r="U169" i="6"/>
  <c r="X169" i="6" s="1"/>
  <c r="I170" i="6"/>
  <c r="U170" i="6"/>
  <c r="AE171" i="6"/>
  <c r="BE171" i="6" s="1"/>
  <c r="I174" i="6"/>
  <c r="U175" i="6"/>
  <c r="AE175" i="6"/>
  <c r="BE175" i="6" s="1"/>
  <c r="I176" i="6"/>
  <c r="BG176" i="6" s="1"/>
  <c r="AF176" i="6"/>
  <c r="BH176" i="6" s="1"/>
  <c r="AE177" i="6"/>
  <c r="BE177" i="6" s="1"/>
  <c r="I177" i="6"/>
  <c r="BG177" i="6" s="1"/>
  <c r="U177" i="6"/>
  <c r="P177" i="6"/>
  <c r="Q177" i="6" s="1"/>
  <c r="U179" i="6"/>
  <c r="AE180" i="6"/>
  <c r="BE180" i="6" s="1"/>
  <c r="U180" i="6"/>
  <c r="T180" i="6"/>
  <c r="P180" i="6"/>
  <c r="Q180" i="6" s="1"/>
  <c r="AF180" i="6"/>
  <c r="BH180" i="6" s="1"/>
  <c r="I181" i="6"/>
  <c r="BG181" i="6" s="1"/>
  <c r="U181" i="6"/>
  <c r="P181" i="6"/>
  <c r="Q181" i="6" s="1"/>
  <c r="AA182" i="6"/>
  <c r="AE188" i="6"/>
  <c r="BE188" i="6" s="1"/>
  <c r="U188" i="6"/>
  <c r="T188" i="6"/>
  <c r="P188" i="6"/>
  <c r="Q188" i="6" s="1"/>
  <c r="AF188" i="6"/>
  <c r="BH188" i="6" s="1"/>
  <c r="I189" i="6"/>
  <c r="BG189" i="6" s="1"/>
  <c r="U189" i="6"/>
  <c r="P189" i="6"/>
  <c r="Q189" i="6" s="1"/>
  <c r="AA190" i="6"/>
  <c r="AE192" i="6"/>
  <c r="BE192" i="6" s="1"/>
  <c r="U192" i="6"/>
  <c r="T192" i="6"/>
  <c r="P192" i="6"/>
  <c r="Q192" i="6" s="1"/>
  <c r="AF192" i="6"/>
  <c r="BH192" i="6" s="1"/>
  <c r="I193" i="6"/>
  <c r="BG193" i="6" s="1"/>
  <c r="U193" i="6"/>
  <c r="P193" i="6"/>
  <c r="Q193" i="6" s="1"/>
  <c r="K33" i="6"/>
  <c r="BG195" i="6"/>
  <c r="AE196" i="6"/>
  <c r="BE196" i="6" s="1"/>
  <c r="U196" i="6"/>
  <c r="T196" i="6"/>
  <c r="P196" i="6"/>
  <c r="Q196" i="6" s="1"/>
  <c r="T198" i="6"/>
  <c r="U199" i="6"/>
  <c r="I200" i="6"/>
  <c r="BG200" i="6" s="1"/>
  <c r="T201" i="6"/>
  <c r="W201" i="6" s="1"/>
  <c r="X202" i="6"/>
  <c r="I202" i="6"/>
  <c r="U202" i="6"/>
  <c r="U203" i="6"/>
  <c r="AE205" i="6"/>
  <c r="BE205" i="6" s="1"/>
  <c r="AE206" i="6"/>
  <c r="BE206" i="6" s="1"/>
  <c r="U206" i="6"/>
  <c r="T206" i="6"/>
  <c r="P206" i="6"/>
  <c r="Q206" i="6" s="1"/>
  <c r="AF206" i="6"/>
  <c r="BH206" i="6" s="1"/>
  <c r="W207" i="6"/>
  <c r="AE207" i="6"/>
  <c r="BE207" i="6" s="1"/>
  <c r="I207" i="6"/>
  <c r="BG207" i="6" s="1"/>
  <c r="U207" i="6"/>
  <c r="X207" i="6" s="1"/>
  <c r="P207" i="6"/>
  <c r="Q207" i="6" s="1"/>
  <c r="U209" i="6"/>
  <c r="I210" i="6"/>
  <c r="BG210" i="6" s="1"/>
  <c r="T211" i="6"/>
  <c r="AE212" i="6"/>
  <c r="BE212" i="6" s="1"/>
  <c r="I212" i="6"/>
  <c r="BG212" i="6" s="1"/>
  <c r="U212" i="6"/>
  <c r="X212" i="6" s="1"/>
  <c r="AE218" i="6"/>
  <c r="BE218" i="6" s="1"/>
  <c r="AE228" i="6"/>
  <c r="BE228" i="6" s="1"/>
  <c r="AE250" i="6"/>
  <c r="BE250" i="6" s="1"/>
  <c r="AE272" i="6"/>
  <c r="BE272" i="6" s="1"/>
  <c r="AE284" i="6"/>
  <c r="BE284" i="6" s="1"/>
  <c r="AE318" i="6"/>
  <c r="BE318" i="6" s="1"/>
  <c r="Y475" i="6"/>
  <c r="Y503" i="6"/>
  <c r="E524" i="6"/>
  <c r="AZ457" i="6"/>
  <c r="Y454" i="4"/>
  <c r="T461" i="4"/>
  <c r="AK464" i="4"/>
  <c r="AK465" i="4" s="1"/>
  <c r="K466" i="4"/>
  <c r="Y470" i="4"/>
  <c r="N476" i="4"/>
  <c r="K478" i="4"/>
  <c r="K479" i="4" s="1"/>
  <c r="X482" i="4"/>
  <c r="AB482" i="4"/>
  <c r="J486" i="4"/>
  <c r="N486" i="4"/>
  <c r="R489" i="4"/>
  <c r="X490" i="4"/>
  <c r="AB490" i="4"/>
  <c r="H524" i="4"/>
  <c r="I533" i="4" s="1"/>
  <c r="P145" i="5"/>
  <c r="X357" i="5"/>
  <c r="X358" i="5" s="1"/>
  <c r="Q146" i="5"/>
  <c r="U146" i="5"/>
  <c r="AF148" i="5"/>
  <c r="BH148" i="5" s="1"/>
  <c r="P149" i="5"/>
  <c r="Q150" i="5"/>
  <c r="U150" i="5"/>
  <c r="AF152" i="5"/>
  <c r="BH152" i="5" s="1"/>
  <c r="P153" i="5"/>
  <c r="Q154" i="5"/>
  <c r="U154" i="5"/>
  <c r="AF156" i="5"/>
  <c r="BH156" i="5" s="1"/>
  <c r="AE157" i="5"/>
  <c r="BE157" i="5" s="1"/>
  <c r="AF158" i="5"/>
  <c r="BH158" i="5" s="1"/>
  <c r="P159" i="5"/>
  <c r="Q160" i="5"/>
  <c r="U160" i="5"/>
  <c r="AF162" i="5"/>
  <c r="BH162" i="5" s="1"/>
  <c r="P163" i="5"/>
  <c r="Q164" i="5"/>
  <c r="U164" i="5"/>
  <c r="AF166" i="5"/>
  <c r="BH166" i="5" s="1"/>
  <c r="P167" i="5"/>
  <c r="Q168" i="5"/>
  <c r="U168" i="5"/>
  <c r="AF170" i="5"/>
  <c r="BH170" i="5" s="1"/>
  <c r="P171" i="5"/>
  <c r="Q172" i="5"/>
  <c r="U172" i="5"/>
  <c r="AF174" i="5"/>
  <c r="BH174" i="5" s="1"/>
  <c r="P175" i="5"/>
  <c r="Q176" i="5"/>
  <c r="U176" i="5"/>
  <c r="AF178" i="5"/>
  <c r="BH178" i="5" s="1"/>
  <c r="P179" i="5"/>
  <c r="Q180" i="5"/>
  <c r="U180" i="5"/>
  <c r="AF182" i="5"/>
  <c r="BH182" i="5" s="1"/>
  <c r="P183" i="5"/>
  <c r="Q184" i="5"/>
  <c r="U184" i="5"/>
  <c r="AF186" i="5"/>
  <c r="BH186" i="5" s="1"/>
  <c r="P187" i="5"/>
  <c r="Q188" i="5"/>
  <c r="U188" i="5"/>
  <c r="AF190" i="5"/>
  <c r="BH190" i="5" s="1"/>
  <c r="P191" i="5"/>
  <c r="Q192" i="5"/>
  <c r="U192" i="5"/>
  <c r="AF194" i="5"/>
  <c r="BH194" i="5" s="1"/>
  <c r="P195" i="5"/>
  <c r="Q196" i="5"/>
  <c r="U196" i="5"/>
  <c r="AF198" i="5"/>
  <c r="BH198" i="5" s="1"/>
  <c r="P199" i="5"/>
  <c r="Q200" i="5"/>
  <c r="U200" i="5"/>
  <c r="AF202" i="5"/>
  <c r="BH202" i="5" s="1"/>
  <c r="P203" i="5"/>
  <c r="Q204" i="5"/>
  <c r="U204" i="5"/>
  <c r="Q206" i="5"/>
  <c r="U206" i="5"/>
  <c r="AF208" i="5"/>
  <c r="BH208" i="5" s="1"/>
  <c r="P209" i="5"/>
  <c r="Q210" i="5"/>
  <c r="U210" i="5"/>
  <c r="AF212" i="5"/>
  <c r="BH212" i="5" s="1"/>
  <c r="P213" i="5"/>
  <c r="Q214" i="5"/>
  <c r="U214" i="5"/>
  <c r="AF216" i="5"/>
  <c r="BH216" i="5" s="1"/>
  <c r="P217" i="5"/>
  <c r="Q218" i="5"/>
  <c r="U218" i="5"/>
  <c r="AF220" i="5"/>
  <c r="BH220" i="5" s="1"/>
  <c r="P221" i="5"/>
  <c r="Q222" i="5"/>
  <c r="U222" i="5"/>
  <c r="AF224" i="5"/>
  <c r="BH224" i="5" s="1"/>
  <c r="P225" i="5"/>
  <c r="Q226" i="5"/>
  <c r="U226" i="5"/>
  <c r="Q228" i="5"/>
  <c r="U228" i="5"/>
  <c r="AF230" i="5"/>
  <c r="BH230" i="5" s="1"/>
  <c r="P231" i="5"/>
  <c r="Q232" i="5"/>
  <c r="U232" i="5"/>
  <c r="AF234" i="5"/>
  <c r="BH234" i="5" s="1"/>
  <c r="P235" i="5"/>
  <c r="Q236" i="5"/>
  <c r="U236" i="5"/>
  <c r="AF238" i="5"/>
  <c r="BH238" i="5" s="1"/>
  <c r="P239" i="5"/>
  <c r="Q240" i="5"/>
  <c r="U240" i="5"/>
  <c r="AF242" i="5"/>
  <c r="BH242" i="5" s="1"/>
  <c r="P243" i="5"/>
  <c r="Q244" i="5"/>
  <c r="U244" i="5"/>
  <c r="Q246" i="5"/>
  <c r="AF248" i="5"/>
  <c r="BH248" i="5" s="1"/>
  <c r="P249" i="5"/>
  <c r="Q250" i="5"/>
  <c r="U250" i="5"/>
  <c r="AF252" i="5"/>
  <c r="BH252" i="5" s="1"/>
  <c r="P253" i="5"/>
  <c r="Q254" i="5"/>
  <c r="U254" i="5"/>
  <c r="AF256" i="5"/>
  <c r="BH256" i="5" s="1"/>
  <c r="P257" i="5"/>
  <c r="Q258" i="5"/>
  <c r="U258" i="5"/>
  <c r="AF260" i="5"/>
  <c r="BH260" i="5" s="1"/>
  <c r="P261" i="5"/>
  <c r="Q262" i="5"/>
  <c r="U262" i="5"/>
  <c r="AF264" i="5"/>
  <c r="BH264" i="5" s="1"/>
  <c r="P265" i="5"/>
  <c r="Q266" i="5"/>
  <c r="U266" i="5"/>
  <c r="AF268" i="5"/>
  <c r="BH268" i="5" s="1"/>
  <c r="P269" i="5"/>
  <c r="Q270" i="5"/>
  <c r="U270" i="5"/>
  <c r="Q272" i="5"/>
  <c r="U272" i="5"/>
  <c r="AF274" i="5"/>
  <c r="BH274" i="5" s="1"/>
  <c r="P275" i="5"/>
  <c r="Q276" i="5"/>
  <c r="U276" i="5"/>
  <c r="AF278" i="5"/>
  <c r="BH278" i="5" s="1"/>
  <c r="P279" i="5"/>
  <c r="Q280" i="5"/>
  <c r="U280" i="5"/>
  <c r="AF282" i="5"/>
  <c r="BH282" i="5" s="1"/>
  <c r="P283" i="5"/>
  <c r="Q284" i="5"/>
  <c r="U284" i="5"/>
  <c r="AF286" i="5"/>
  <c r="BH286" i="5" s="1"/>
  <c r="P287" i="5"/>
  <c r="Q288" i="5"/>
  <c r="U288" i="5"/>
  <c r="AF290" i="5"/>
  <c r="BH290" i="5" s="1"/>
  <c r="P291" i="5"/>
  <c r="Q292" i="5"/>
  <c r="U292" i="5"/>
  <c r="AF294" i="5"/>
  <c r="BH294" i="5" s="1"/>
  <c r="P295" i="5"/>
  <c r="Q296" i="5"/>
  <c r="U296" i="5"/>
  <c r="AF298" i="5"/>
  <c r="BH298" i="5" s="1"/>
  <c r="P299" i="5"/>
  <c r="Q300" i="5"/>
  <c r="U300" i="5"/>
  <c r="AF302" i="5"/>
  <c r="BH302" i="5" s="1"/>
  <c r="P303" i="5"/>
  <c r="Q304" i="5"/>
  <c r="U304" i="5"/>
  <c r="AF306" i="5"/>
  <c r="BH306" i="5" s="1"/>
  <c r="P307" i="5"/>
  <c r="Q308" i="5"/>
  <c r="U308" i="5"/>
  <c r="AF310" i="5"/>
  <c r="BH310" i="5" s="1"/>
  <c r="AE311" i="5"/>
  <c r="BE311" i="5" s="1"/>
  <c r="AF312" i="5"/>
  <c r="BH312" i="5" s="1"/>
  <c r="P313" i="5"/>
  <c r="Q314" i="5"/>
  <c r="U314" i="5"/>
  <c r="AF316" i="5"/>
  <c r="BH316" i="5" s="1"/>
  <c r="P317" i="5"/>
  <c r="Q318" i="5"/>
  <c r="U318" i="5"/>
  <c r="AF320" i="5"/>
  <c r="BH320" i="5" s="1"/>
  <c r="P321" i="5"/>
  <c r="Q322" i="5"/>
  <c r="U322" i="5"/>
  <c r="AF324" i="5"/>
  <c r="BH324" i="5" s="1"/>
  <c r="P325" i="5"/>
  <c r="Q326" i="5"/>
  <c r="U326" i="5"/>
  <c r="Q328" i="5"/>
  <c r="AF330" i="5"/>
  <c r="BH330" i="5" s="1"/>
  <c r="P331" i="5"/>
  <c r="Q332" i="5"/>
  <c r="U332" i="5"/>
  <c r="T334" i="5"/>
  <c r="AF336" i="5"/>
  <c r="BH336" i="5" s="1"/>
  <c r="T337" i="5"/>
  <c r="P338" i="5"/>
  <c r="I341" i="5"/>
  <c r="BG341" i="5" s="1"/>
  <c r="P341" i="5"/>
  <c r="U341" i="5"/>
  <c r="Q342" i="5"/>
  <c r="AA342" i="5"/>
  <c r="T343" i="5"/>
  <c r="P343" i="5"/>
  <c r="U343" i="5"/>
  <c r="AE343" i="5"/>
  <c r="BE343" i="5" s="1"/>
  <c r="Q345" i="5"/>
  <c r="AF345" i="5"/>
  <c r="BH345" i="5" s="1"/>
  <c r="I346" i="5"/>
  <c r="BG346" i="5" s="1"/>
  <c r="Q347" i="5"/>
  <c r="AF347" i="5"/>
  <c r="BH347" i="5" s="1"/>
  <c r="U348" i="5"/>
  <c r="T348" i="5"/>
  <c r="AE348" i="5"/>
  <c r="BE348" i="5" s="1"/>
  <c r="T350" i="5"/>
  <c r="P352" i="5"/>
  <c r="Q352" i="5" s="1"/>
  <c r="AF352" i="5"/>
  <c r="BH352" i="5" s="1"/>
  <c r="X354" i="5"/>
  <c r="W355" i="5"/>
  <c r="Z356" i="5"/>
  <c r="I365" i="5"/>
  <c r="I373" i="5"/>
  <c r="I381" i="5"/>
  <c r="I389" i="5"/>
  <c r="I397" i="5"/>
  <c r="AB454" i="5"/>
  <c r="T461" i="5"/>
  <c r="J466" i="5"/>
  <c r="J470" i="5"/>
  <c r="J471" i="5" s="1"/>
  <c r="X470" i="5"/>
  <c r="S489" i="5"/>
  <c r="Z470" i="5"/>
  <c r="L466" i="5"/>
  <c r="Z454" i="5"/>
  <c r="M476" i="5"/>
  <c r="I524" i="5"/>
  <c r="J533" i="5" s="1"/>
  <c r="C516" i="5"/>
  <c r="X486" i="5"/>
  <c r="X487" i="5" s="1"/>
  <c r="X482" i="5"/>
  <c r="J486" i="5"/>
  <c r="Q489" i="5"/>
  <c r="AA490" i="5"/>
  <c r="X500" i="5"/>
  <c r="X501" i="5" s="1"/>
  <c r="F507" i="5"/>
  <c r="M507" i="5" s="1"/>
  <c r="C509" i="5"/>
  <c r="G524" i="5"/>
  <c r="H533" i="5" s="1"/>
  <c r="I65" i="6"/>
  <c r="I94" i="6"/>
  <c r="I102" i="6"/>
  <c r="I110" i="6"/>
  <c r="I118" i="6"/>
  <c r="I126" i="6"/>
  <c r="I134" i="6"/>
  <c r="I142" i="6"/>
  <c r="I144" i="6"/>
  <c r="I146" i="6"/>
  <c r="P146" i="6"/>
  <c r="Q146" i="6" s="1"/>
  <c r="W146" i="6"/>
  <c r="AF146" i="6"/>
  <c r="BH146" i="6" s="1"/>
  <c r="Q147" i="6"/>
  <c r="I148" i="6"/>
  <c r="BG148" i="6" s="1"/>
  <c r="U148" i="6"/>
  <c r="Y148" i="6" s="1"/>
  <c r="AE150" i="6"/>
  <c r="BE150" i="6" s="1"/>
  <c r="U150" i="6"/>
  <c r="Y150" i="6" s="1"/>
  <c r="Z150" i="6"/>
  <c r="W150" i="6"/>
  <c r="AF150" i="6"/>
  <c r="BH150" i="6" s="1"/>
  <c r="Q151" i="6"/>
  <c r="I152" i="6"/>
  <c r="BG152" i="6" s="1"/>
  <c r="U152" i="6"/>
  <c r="Y152" i="6" s="1"/>
  <c r="AE154" i="6"/>
  <c r="BE154" i="6" s="1"/>
  <c r="U154" i="6"/>
  <c r="Y154" i="6" s="1"/>
  <c r="Z154" i="6"/>
  <c r="I155" i="6"/>
  <c r="P155" i="6"/>
  <c r="AA155" i="6"/>
  <c r="I156" i="6"/>
  <c r="BG156" i="6" s="1"/>
  <c r="X157" i="6"/>
  <c r="I159" i="6"/>
  <c r="BG159" i="6" s="1"/>
  <c r="I162" i="6"/>
  <c r="I163" i="6"/>
  <c r="BG163" i="6" s="1"/>
  <c r="AF167" i="6"/>
  <c r="BH167" i="6" s="1"/>
  <c r="W169" i="6"/>
  <c r="I169" i="6"/>
  <c r="BG169" i="6" s="1"/>
  <c r="P169" i="6"/>
  <c r="T170" i="6"/>
  <c r="AE170" i="6"/>
  <c r="BE170" i="6" s="1"/>
  <c r="AF171" i="6"/>
  <c r="BH171" i="6" s="1"/>
  <c r="W173" i="6"/>
  <c r="I173" i="6"/>
  <c r="P173" i="6"/>
  <c r="AA173" i="6"/>
  <c r="T174" i="6"/>
  <c r="Z174" i="6" s="1"/>
  <c r="AA174" i="6"/>
  <c r="T177" i="6"/>
  <c r="I180" i="6"/>
  <c r="BG180" i="6" s="1"/>
  <c r="T181" i="6"/>
  <c r="T182" i="6"/>
  <c r="AE184" i="6"/>
  <c r="BE184" i="6" s="1"/>
  <c r="U184" i="6"/>
  <c r="T184" i="6"/>
  <c r="P184" i="6"/>
  <c r="Q184" i="6" s="1"/>
  <c r="AF184" i="6"/>
  <c r="BH184" i="6" s="1"/>
  <c r="AE185" i="6"/>
  <c r="BE185" i="6" s="1"/>
  <c r="I185" i="6"/>
  <c r="U185" i="6"/>
  <c r="X185" i="6" s="1"/>
  <c r="P185" i="6"/>
  <c r="Q185" i="6" s="1"/>
  <c r="K32" i="6"/>
  <c r="BG187" i="6"/>
  <c r="I188" i="6"/>
  <c r="BG188" i="6" s="1"/>
  <c r="T189" i="6"/>
  <c r="T190" i="6"/>
  <c r="I192" i="6"/>
  <c r="BG192" i="6" s="1"/>
  <c r="T193" i="6"/>
  <c r="T194" i="6"/>
  <c r="X194" i="6" s="1"/>
  <c r="U195" i="6"/>
  <c r="AE195" i="6"/>
  <c r="BE195" i="6" s="1"/>
  <c r="I196" i="6"/>
  <c r="AF196" i="6"/>
  <c r="BH196" i="6" s="1"/>
  <c r="AE197" i="6"/>
  <c r="BE197" i="6" s="1"/>
  <c r="I197" i="6"/>
  <c r="BG197" i="6" s="1"/>
  <c r="U197" i="6"/>
  <c r="X197" i="6" s="1"/>
  <c r="P197" i="6"/>
  <c r="Q197" i="6" s="1"/>
  <c r="I206" i="6"/>
  <c r="BG206" i="6" s="1"/>
  <c r="Z207" i="6"/>
  <c r="V207" i="6"/>
  <c r="AA207" i="6" s="1"/>
  <c r="Y207" i="6"/>
  <c r="AE208" i="6"/>
  <c r="BE208" i="6" s="1"/>
  <c r="I208" i="6"/>
  <c r="BG208" i="6" s="1"/>
  <c r="U208" i="6"/>
  <c r="W208" i="6" s="1"/>
  <c r="AE213" i="6"/>
  <c r="BE213" i="6" s="1"/>
  <c r="AE214" i="6"/>
  <c r="BE214" i="6" s="1"/>
  <c r="AE232" i="6"/>
  <c r="BE232" i="6" s="1"/>
  <c r="U38" i="6"/>
  <c r="BG236" i="6"/>
  <c r="AE240" i="6"/>
  <c r="BE240" i="6" s="1"/>
  <c r="AE276" i="6"/>
  <c r="BE276" i="6" s="1"/>
  <c r="AE348" i="6"/>
  <c r="BE348" i="6" s="1"/>
  <c r="AK455" i="4"/>
  <c r="AK456" i="4" s="1"/>
  <c r="K476" i="4"/>
  <c r="Y482" i="4"/>
  <c r="K486" i="4"/>
  <c r="Y490" i="4"/>
  <c r="I144" i="5"/>
  <c r="V144" i="5"/>
  <c r="Q145" i="5"/>
  <c r="Y354" i="5"/>
  <c r="I146" i="5"/>
  <c r="AF147" i="5"/>
  <c r="BH147" i="5" s="1"/>
  <c r="P148" i="5"/>
  <c r="Q148" i="5" s="1"/>
  <c r="Q149" i="5"/>
  <c r="I150" i="5"/>
  <c r="BG150" i="5" s="1"/>
  <c r="AF151" i="5"/>
  <c r="BH151" i="5" s="1"/>
  <c r="P152" i="5"/>
  <c r="Q152" i="5" s="1"/>
  <c r="Q153" i="5"/>
  <c r="I154" i="5"/>
  <c r="AF155" i="5"/>
  <c r="BH155" i="5" s="1"/>
  <c r="P156" i="5"/>
  <c r="Q156" i="5" s="1"/>
  <c r="AF157" i="5"/>
  <c r="BH157" i="5" s="1"/>
  <c r="P158" i="5"/>
  <c r="Q158" i="5" s="1"/>
  <c r="Q159" i="5"/>
  <c r="I160" i="5"/>
  <c r="BG160" i="5" s="1"/>
  <c r="AF161" i="5"/>
  <c r="BH161" i="5" s="1"/>
  <c r="P162" i="5"/>
  <c r="Q162" i="5" s="1"/>
  <c r="Q163" i="5"/>
  <c r="I164" i="5"/>
  <c r="BG164" i="5" s="1"/>
  <c r="AF165" i="5"/>
  <c r="BH165" i="5" s="1"/>
  <c r="P166" i="5"/>
  <c r="Q166" i="5" s="1"/>
  <c r="Q167" i="5"/>
  <c r="I168" i="5"/>
  <c r="BG168" i="5" s="1"/>
  <c r="AF169" i="5"/>
  <c r="BH169" i="5" s="1"/>
  <c r="P170" i="5"/>
  <c r="Q170" i="5" s="1"/>
  <c r="Q171" i="5"/>
  <c r="I172" i="5"/>
  <c r="AF173" i="5"/>
  <c r="BH173" i="5" s="1"/>
  <c r="P174" i="5"/>
  <c r="Q174" i="5" s="1"/>
  <c r="Q175" i="5"/>
  <c r="I176" i="5"/>
  <c r="BG176" i="5" s="1"/>
  <c r="AF177" i="5"/>
  <c r="BH177" i="5" s="1"/>
  <c r="P178" i="5"/>
  <c r="Q178" i="5" s="1"/>
  <c r="Q179" i="5"/>
  <c r="I180" i="5"/>
  <c r="BG180" i="5" s="1"/>
  <c r="AF181" i="5"/>
  <c r="BH181" i="5" s="1"/>
  <c r="P182" i="5"/>
  <c r="Q182" i="5" s="1"/>
  <c r="Q183" i="5"/>
  <c r="I184" i="5"/>
  <c r="BG184" i="5" s="1"/>
  <c r="AF185" i="5"/>
  <c r="BH185" i="5" s="1"/>
  <c r="P186" i="5"/>
  <c r="Q186" i="5" s="1"/>
  <c r="Q187" i="5"/>
  <c r="I188" i="5"/>
  <c r="BG188" i="5" s="1"/>
  <c r="AF189" i="5"/>
  <c r="BH189" i="5" s="1"/>
  <c r="P190" i="5"/>
  <c r="Q190" i="5" s="1"/>
  <c r="Q191" i="5"/>
  <c r="I192" i="5"/>
  <c r="BG192" i="5" s="1"/>
  <c r="AF193" i="5"/>
  <c r="BH193" i="5" s="1"/>
  <c r="P194" i="5"/>
  <c r="Q194" i="5" s="1"/>
  <c r="Q195" i="5"/>
  <c r="I196" i="5"/>
  <c r="AF197" i="5"/>
  <c r="BH197" i="5" s="1"/>
  <c r="P198" i="5"/>
  <c r="Q198" i="5" s="1"/>
  <c r="Q199" i="5"/>
  <c r="I200" i="5"/>
  <c r="BG200" i="5" s="1"/>
  <c r="AF201" i="5"/>
  <c r="BH201" i="5" s="1"/>
  <c r="P202" i="5"/>
  <c r="Q202" i="5" s="1"/>
  <c r="Q203" i="5"/>
  <c r="I204" i="5"/>
  <c r="BG204" i="5" s="1"/>
  <c r="Q205" i="5"/>
  <c r="I206" i="5"/>
  <c r="BG206" i="5" s="1"/>
  <c r="AF207" i="5"/>
  <c r="BH207" i="5" s="1"/>
  <c r="P208" i="5"/>
  <c r="Q208" i="5" s="1"/>
  <c r="Q209" i="5"/>
  <c r="I210" i="5"/>
  <c r="BG210" i="5" s="1"/>
  <c r="AF211" i="5"/>
  <c r="BH211" i="5" s="1"/>
  <c r="P212" i="5"/>
  <c r="Q212" i="5" s="1"/>
  <c r="Q213" i="5"/>
  <c r="I214" i="5"/>
  <c r="BG214" i="5" s="1"/>
  <c r="AF215" i="5"/>
  <c r="BH215" i="5" s="1"/>
  <c r="P216" i="5"/>
  <c r="Q216" i="5" s="1"/>
  <c r="Q217" i="5"/>
  <c r="I218" i="5"/>
  <c r="BG218" i="5" s="1"/>
  <c r="AF219" i="5"/>
  <c r="BH219" i="5" s="1"/>
  <c r="P220" i="5"/>
  <c r="Q220" i="5" s="1"/>
  <c r="Q221" i="5"/>
  <c r="I222" i="5"/>
  <c r="BG222" i="5" s="1"/>
  <c r="AF223" i="5"/>
  <c r="BH223" i="5" s="1"/>
  <c r="P224" i="5"/>
  <c r="Q224" i="5" s="1"/>
  <c r="Q225" i="5"/>
  <c r="I226" i="5"/>
  <c r="BG226" i="5" s="1"/>
  <c r="Q227" i="5"/>
  <c r="I228" i="5"/>
  <c r="BG228" i="5" s="1"/>
  <c r="AF229" i="5"/>
  <c r="BH229" i="5" s="1"/>
  <c r="P230" i="5"/>
  <c r="Q230" i="5" s="1"/>
  <c r="Q231" i="5"/>
  <c r="I232" i="5"/>
  <c r="BG232" i="5" s="1"/>
  <c r="AF233" i="5"/>
  <c r="BH233" i="5" s="1"/>
  <c r="P234" i="5"/>
  <c r="Q234" i="5" s="1"/>
  <c r="Q235" i="5"/>
  <c r="I236" i="5"/>
  <c r="AF237" i="5"/>
  <c r="BH237" i="5" s="1"/>
  <c r="P238" i="5"/>
  <c r="Q238" i="5" s="1"/>
  <c r="Q239" i="5"/>
  <c r="I240" i="5"/>
  <c r="BG240" i="5" s="1"/>
  <c r="AF241" i="5"/>
  <c r="BH241" i="5" s="1"/>
  <c r="P242" i="5"/>
  <c r="Q242" i="5" s="1"/>
  <c r="Q243" i="5"/>
  <c r="I244" i="5"/>
  <c r="BG244" i="5" s="1"/>
  <c r="AF245" i="5"/>
  <c r="BH245" i="5" s="1"/>
  <c r="AE246" i="5"/>
  <c r="BE246" i="5" s="1"/>
  <c r="AF247" i="5"/>
  <c r="BH247" i="5" s="1"/>
  <c r="P248" i="5"/>
  <c r="Q248" i="5" s="1"/>
  <c r="Q249" i="5"/>
  <c r="I250" i="5"/>
  <c r="BG250" i="5" s="1"/>
  <c r="AF251" i="5"/>
  <c r="BH251" i="5" s="1"/>
  <c r="P252" i="5"/>
  <c r="Q252" i="5" s="1"/>
  <c r="Q253" i="5"/>
  <c r="I254" i="5"/>
  <c r="BG254" i="5" s="1"/>
  <c r="AF255" i="5"/>
  <c r="BH255" i="5" s="1"/>
  <c r="P256" i="5"/>
  <c r="Q256" i="5" s="1"/>
  <c r="Q257" i="5"/>
  <c r="I258" i="5"/>
  <c r="BG258" i="5" s="1"/>
  <c r="AF259" i="5"/>
  <c r="BH259" i="5" s="1"/>
  <c r="P260" i="5"/>
  <c r="Q260" i="5" s="1"/>
  <c r="Q261" i="5"/>
  <c r="I262" i="5"/>
  <c r="BG262" i="5" s="1"/>
  <c r="AF263" i="5"/>
  <c r="BH263" i="5" s="1"/>
  <c r="P264" i="5"/>
  <c r="Q264" i="5" s="1"/>
  <c r="Q265" i="5"/>
  <c r="I266" i="5"/>
  <c r="BG266" i="5" s="1"/>
  <c r="AF267" i="5"/>
  <c r="BH267" i="5" s="1"/>
  <c r="P268" i="5"/>
  <c r="Q268" i="5" s="1"/>
  <c r="Q269" i="5"/>
  <c r="I270" i="5"/>
  <c r="BG270" i="5" s="1"/>
  <c r="Q271" i="5"/>
  <c r="I272" i="5"/>
  <c r="BG272" i="5" s="1"/>
  <c r="AF273" i="5"/>
  <c r="BH273" i="5" s="1"/>
  <c r="P274" i="5"/>
  <c r="Q274" i="5" s="1"/>
  <c r="Q275" i="5"/>
  <c r="I276" i="5"/>
  <c r="BG276" i="5" s="1"/>
  <c r="AF277" i="5"/>
  <c r="BH277" i="5" s="1"/>
  <c r="P278" i="5"/>
  <c r="Q278" i="5" s="1"/>
  <c r="Q279" i="5"/>
  <c r="I280" i="5"/>
  <c r="BG280" i="5" s="1"/>
  <c r="AF281" i="5"/>
  <c r="BH281" i="5" s="1"/>
  <c r="P282" i="5"/>
  <c r="Q282" i="5" s="1"/>
  <c r="Q283" i="5"/>
  <c r="I284" i="5"/>
  <c r="BG284" i="5" s="1"/>
  <c r="AF285" i="5"/>
  <c r="BH285" i="5" s="1"/>
  <c r="P286" i="5"/>
  <c r="Q286" i="5" s="1"/>
  <c r="Q287" i="5"/>
  <c r="I288" i="5"/>
  <c r="BG288" i="5" s="1"/>
  <c r="AF289" i="5"/>
  <c r="BH289" i="5" s="1"/>
  <c r="P290" i="5"/>
  <c r="Q290" i="5" s="1"/>
  <c r="Q291" i="5"/>
  <c r="I292" i="5"/>
  <c r="BG292" i="5" s="1"/>
  <c r="AF293" i="5"/>
  <c r="BH293" i="5" s="1"/>
  <c r="P294" i="5"/>
  <c r="Q294" i="5" s="1"/>
  <c r="Q295" i="5"/>
  <c r="I296" i="5"/>
  <c r="BG296" i="5" s="1"/>
  <c r="AF297" i="5"/>
  <c r="BH297" i="5" s="1"/>
  <c r="P298" i="5"/>
  <c r="Q298" i="5" s="1"/>
  <c r="Q299" i="5"/>
  <c r="I300" i="5"/>
  <c r="BG300" i="5" s="1"/>
  <c r="AF301" i="5"/>
  <c r="BH301" i="5" s="1"/>
  <c r="P302" i="5"/>
  <c r="Q302" i="5" s="1"/>
  <c r="Q303" i="5"/>
  <c r="I304" i="5"/>
  <c r="BG304" i="5" s="1"/>
  <c r="AF305" i="5"/>
  <c r="BH305" i="5" s="1"/>
  <c r="P306" i="5"/>
  <c r="Q306" i="5" s="1"/>
  <c r="Q307" i="5"/>
  <c r="I308" i="5"/>
  <c r="BG308" i="5" s="1"/>
  <c r="AF309" i="5"/>
  <c r="BH309" i="5" s="1"/>
  <c r="P310" i="5"/>
  <c r="Q310" i="5" s="1"/>
  <c r="AF311" i="5"/>
  <c r="BH311" i="5" s="1"/>
  <c r="P312" i="5"/>
  <c r="Q312" i="5" s="1"/>
  <c r="Q313" i="5"/>
  <c r="I314" i="5"/>
  <c r="BG314" i="5" s="1"/>
  <c r="AF315" i="5"/>
  <c r="BH315" i="5" s="1"/>
  <c r="P316" i="5"/>
  <c r="Q316" i="5" s="1"/>
  <c r="Q317" i="5"/>
  <c r="I318" i="5"/>
  <c r="BG318" i="5" s="1"/>
  <c r="AF319" i="5"/>
  <c r="BH319" i="5" s="1"/>
  <c r="P320" i="5"/>
  <c r="Q320" i="5" s="1"/>
  <c r="Q321" i="5"/>
  <c r="I322" i="5"/>
  <c r="BG322" i="5" s="1"/>
  <c r="AF323" i="5"/>
  <c r="BH323" i="5" s="1"/>
  <c r="P324" i="5"/>
  <c r="Q324" i="5" s="1"/>
  <c r="Q325" i="5"/>
  <c r="I326" i="5"/>
  <c r="BG326" i="5" s="1"/>
  <c r="AF327" i="5"/>
  <c r="BH327" i="5" s="1"/>
  <c r="AE328" i="5"/>
  <c r="BE328" i="5" s="1"/>
  <c r="AF329" i="5"/>
  <c r="BH329" i="5" s="1"/>
  <c r="P330" i="5"/>
  <c r="Q330" i="5" s="1"/>
  <c r="Q331" i="5"/>
  <c r="I332" i="5"/>
  <c r="BG332" i="5" s="1"/>
  <c r="AF333" i="5"/>
  <c r="BH333" i="5" s="1"/>
  <c r="P334" i="5"/>
  <c r="Q334" i="5" s="1"/>
  <c r="I335" i="5"/>
  <c r="BG335" i="5" s="1"/>
  <c r="I337" i="5"/>
  <c r="BG337" i="5" s="1"/>
  <c r="P337" i="5"/>
  <c r="Q337" i="5" s="1"/>
  <c r="U337" i="5"/>
  <c r="Q338" i="5"/>
  <c r="T339" i="5"/>
  <c r="P339" i="5"/>
  <c r="Q339" i="5" s="1"/>
  <c r="U339" i="5"/>
  <c r="AE339" i="5"/>
  <c r="BE339" i="5" s="1"/>
  <c r="I340" i="5"/>
  <c r="BG340" i="5" s="1"/>
  <c r="Q341" i="5"/>
  <c r="AF341" i="5"/>
  <c r="BH341" i="5" s="1"/>
  <c r="Q343" i="5"/>
  <c r="AF343" i="5"/>
  <c r="BH343" i="5" s="1"/>
  <c r="U344" i="5"/>
  <c r="T344" i="5"/>
  <c r="AE344" i="5"/>
  <c r="BE344" i="5" s="1"/>
  <c r="AF348" i="5"/>
  <c r="BH348" i="5" s="1"/>
  <c r="T349" i="5"/>
  <c r="P350" i="5"/>
  <c r="Q350" i="5" s="1"/>
  <c r="I351" i="5"/>
  <c r="I353" i="5"/>
  <c r="P353" i="5"/>
  <c r="Q353" i="5" s="1"/>
  <c r="R353" i="5" s="1"/>
  <c r="Z354" i="5"/>
  <c r="X355" i="5"/>
  <c r="V356" i="5"/>
  <c r="V358" i="5" s="1"/>
  <c r="Z357" i="5"/>
  <c r="I363" i="5"/>
  <c r="I371" i="5"/>
  <c r="I379" i="5"/>
  <c r="I387" i="5"/>
  <c r="I395" i="5"/>
  <c r="X454" i="5"/>
  <c r="Q463" i="5"/>
  <c r="Q464" i="5" s="1"/>
  <c r="X464" i="5"/>
  <c r="X465" i="5" s="1"/>
  <c r="N476" i="5"/>
  <c r="C510" i="5"/>
  <c r="C527" i="5" s="1"/>
  <c r="D533" i="5" s="1"/>
  <c r="J490" i="5"/>
  <c r="J491" i="5" s="1"/>
  <c r="J488" i="5"/>
  <c r="J489" i="5" s="1"/>
  <c r="AB490" i="5"/>
  <c r="G507" i="5"/>
  <c r="N507" i="5" s="1"/>
  <c r="I92" i="6"/>
  <c r="I100" i="6"/>
  <c r="I108" i="6"/>
  <c r="I116" i="6"/>
  <c r="I124" i="6"/>
  <c r="I132" i="6"/>
  <c r="I140" i="6"/>
  <c r="I145" i="6"/>
  <c r="Y145" i="6"/>
  <c r="V145" i="6"/>
  <c r="AE145" i="6"/>
  <c r="BE145" i="6" s="1"/>
  <c r="X146" i="6"/>
  <c r="Z147" i="6"/>
  <c r="V147" i="6"/>
  <c r="AA147" i="6" s="1"/>
  <c r="W148" i="6"/>
  <c r="V148" i="6"/>
  <c r="P150" i="6"/>
  <c r="Q150" i="6" s="1"/>
  <c r="Z151" i="6"/>
  <c r="V151" i="6"/>
  <c r="W152" i="6"/>
  <c r="P154" i="6"/>
  <c r="Q154" i="6" s="1"/>
  <c r="W154" i="6"/>
  <c r="AF154" i="6"/>
  <c r="BH154" i="6" s="1"/>
  <c r="BG154" i="6"/>
  <c r="Q155" i="6"/>
  <c r="Q157" i="6"/>
  <c r="Y157" i="6"/>
  <c r="X158" i="6"/>
  <c r="U159" i="6"/>
  <c r="T159" i="6"/>
  <c r="P159" i="6"/>
  <c r="Q159" i="6" s="1"/>
  <c r="AF159" i="6"/>
  <c r="BH159" i="6" s="1"/>
  <c r="T160" i="6"/>
  <c r="Z160" i="6" s="1"/>
  <c r="W161" i="6"/>
  <c r="I161" i="6"/>
  <c r="P161" i="6"/>
  <c r="Q161" i="6" s="1"/>
  <c r="U163" i="6"/>
  <c r="T163" i="6"/>
  <c r="P163" i="6"/>
  <c r="Q163" i="6" s="1"/>
  <c r="AF163" i="6"/>
  <c r="BH163" i="6" s="1"/>
  <c r="T164" i="6"/>
  <c r="Z164" i="6" s="1"/>
  <c r="W165" i="6"/>
  <c r="AE165" i="6"/>
  <c r="BE165" i="6" s="1"/>
  <c r="I165" i="6"/>
  <c r="BG165" i="6" s="1"/>
  <c r="P165" i="6"/>
  <c r="Q165" i="6" s="1"/>
  <c r="I167" i="6"/>
  <c r="AE168" i="6"/>
  <c r="BE168" i="6" s="1"/>
  <c r="U168" i="6"/>
  <c r="V168" i="6" s="1"/>
  <c r="W168" i="6"/>
  <c r="AF168" i="6"/>
  <c r="BH168" i="6" s="1"/>
  <c r="Q169" i="6"/>
  <c r="I171" i="6"/>
  <c r="AE172" i="6"/>
  <c r="BE172" i="6" s="1"/>
  <c r="U172" i="6"/>
  <c r="X172" i="6" s="1"/>
  <c r="W172" i="6"/>
  <c r="AF172" i="6"/>
  <c r="BH172" i="6" s="1"/>
  <c r="BG172" i="6"/>
  <c r="Q173" i="6"/>
  <c r="X178" i="6"/>
  <c r="AE178" i="6"/>
  <c r="BE178" i="6" s="1"/>
  <c r="I178" i="6"/>
  <c r="U178" i="6"/>
  <c r="V178" i="6" s="1"/>
  <c r="AA181" i="6"/>
  <c r="AE183" i="6"/>
  <c r="BE183" i="6" s="1"/>
  <c r="Z185" i="6"/>
  <c r="V185" i="6"/>
  <c r="Y185" i="6"/>
  <c r="I186" i="6"/>
  <c r="U186" i="6"/>
  <c r="W186" i="6" s="1"/>
  <c r="AA189" i="6"/>
  <c r="Z197" i="6"/>
  <c r="V197" i="6"/>
  <c r="Y197" i="6"/>
  <c r="X198" i="6"/>
  <c r="AE198" i="6"/>
  <c r="BE198" i="6" s="1"/>
  <c r="I198" i="6"/>
  <c r="BG198" i="6" s="1"/>
  <c r="U198" i="6"/>
  <c r="W202" i="6"/>
  <c r="AA202" i="6" s="1"/>
  <c r="Z202" i="6"/>
  <c r="Y202" i="6"/>
  <c r="AE204" i="6"/>
  <c r="BE204" i="6" s="1"/>
  <c r="U204" i="6"/>
  <c r="T204" i="6"/>
  <c r="P204" i="6"/>
  <c r="Q204" i="6" s="1"/>
  <c r="AF204" i="6"/>
  <c r="BH204" i="6" s="1"/>
  <c r="W212" i="6"/>
  <c r="Z212" i="6"/>
  <c r="V212" i="6"/>
  <c r="W238" i="6"/>
  <c r="AE258" i="6"/>
  <c r="BE258" i="6" s="1"/>
  <c r="AE270" i="6"/>
  <c r="BE270" i="6" s="1"/>
  <c r="V286" i="6"/>
  <c r="AE300" i="6"/>
  <c r="BE300" i="6" s="1"/>
  <c r="AE304" i="6"/>
  <c r="BE304" i="6" s="1"/>
  <c r="X312" i="6"/>
  <c r="AE326" i="6"/>
  <c r="BE326" i="6" s="1"/>
  <c r="AE332" i="6"/>
  <c r="BE332" i="6" s="1"/>
  <c r="AE336" i="6"/>
  <c r="BE336" i="6" s="1"/>
  <c r="AE340" i="6"/>
  <c r="BE340" i="6" s="1"/>
  <c r="P215" i="6"/>
  <c r="Q215" i="6" s="1"/>
  <c r="T215" i="6"/>
  <c r="U216" i="6"/>
  <c r="X216" i="6" s="1"/>
  <c r="AE217" i="6"/>
  <c r="BE217" i="6" s="1"/>
  <c r="P219" i="6"/>
  <c r="Q219" i="6" s="1"/>
  <c r="T219" i="6"/>
  <c r="U220" i="6"/>
  <c r="Z220" i="6" s="1"/>
  <c r="AE221" i="6"/>
  <c r="BE221" i="6" s="1"/>
  <c r="P223" i="6"/>
  <c r="Q223" i="6" s="1"/>
  <c r="T223" i="6"/>
  <c r="U224" i="6"/>
  <c r="Y224" i="6" s="1"/>
  <c r="AE225" i="6"/>
  <c r="BE225" i="6" s="1"/>
  <c r="P229" i="6"/>
  <c r="Q229" i="6" s="1"/>
  <c r="T229" i="6"/>
  <c r="U230" i="6"/>
  <c r="X230" i="6" s="1"/>
  <c r="AE231" i="6"/>
  <c r="BE231" i="6" s="1"/>
  <c r="P233" i="6"/>
  <c r="Q233" i="6" s="1"/>
  <c r="T233" i="6"/>
  <c r="U234" i="6"/>
  <c r="V234" i="6" s="1"/>
  <c r="P237" i="6"/>
  <c r="Q237" i="6" s="1"/>
  <c r="T237" i="6"/>
  <c r="U238" i="6"/>
  <c r="Y238" i="6" s="1"/>
  <c r="AE239" i="6"/>
  <c r="BE239" i="6" s="1"/>
  <c r="P241" i="6"/>
  <c r="Q241" i="6" s="1"/>
  <c r="T241" i="6"/>
  <c r="U242" i="6"/>
  <c r="Y242" i="6" s="1"/>
  <c r="AE243" i="6"/>
  <c r="BE243" i="6" s="1"/>
  <c r="P245" i="6"/>
  <c r="Q245" i="6" s="1"/>
  <c r="T245" i="6"/>
  <c r="P247" i="6"/>
  <c r="Q247" i="6" s="1"/>
  <c r="T247" i="6"/>
  <c r="U248" i="6"/>
  <c r="P251" i="6"/>
  <c r="Q251" i="6" s="1"/>
  <c r="T251" i="6"/>
  <c r="U252" i="6"/>
  <c r="W252" i="6" s="1"/>
  <c r="AE253" i="6"/>
  <c r="BE253" i="6" s="1"/>
  <c r="P255" i="6"/>
  <c r="Q255" i="6" s="1"/>
  <c r="T255" i="6"/>
  <c r="U256" i="6"/>
  <c r="Y256" i="6" s="1"/>
  <c r="AE257" i="6"/>
  <c r="BE257" i="6" s="1"/>
  <c r="P259" i="6"/>
  <c r="Q259" i="6" s="1"/>
  <c r="T259" i="6"/>
  <c r="U260" i="6"/>
  <c r="Z260" i="6" s="1"/>
  <c r="P263" i="6"/>
  <c r="Q263" i="6" s="1"/>
  <c r="T263" i="6"/>
  <c r="U264" i="6"/>
  <c r="W264" i="6" s="1"/>
  <c r="AE265" i="6"/>
  <c r="BE265" i="6" s="1"/>
  <c r="P267" i="6"/>
  <c r="Q267" i="6" s="1"/>
  <c r="T267" i="6"/>
  <c r="W267" i="6" s="1"/>
  <c r="U268" i="6"/>
  <c r="X268" i="6" s="1"/>
  <c r="P273" i="6"/>
  <c r="Q273" i="6" s="1"/>
  <c r="T273" i="6"/>
  <c r="U274" i="6"/>
  <c r="P277" i="6"/>
  <c r="Q277" i="6" s="1"/>
  <c r="T277" i="6"/>
  <c r="U278" i="6"/>
  <c r="V278" i="6" s="1"/>
  <c r="P281" i="6"/>
  <c r="Q281" i="6" s="1"/>
  <c r="T281" i="6"/>
  <c r="U282" i="6"/>
  <c r="P285" i="6"/>
  <c r="Q285" i="6" s="1"/>
  <c r="T285" i="6"/>
  <c r="W285" i="6" s="1"/>
  <c r="U286" i="6"/>
  <c r="Z286" i="6" s="1"/>
  <c r="P289" i="6"/>
  <c r="Q289" i="6" s="1"/>
  <c r="T289" i="6"/>
  <c r="W289" i="6" s="1"/>
  <c r="U290" i="6"/>
  <c r="AE291" i="6"/>
  <c r="BE291" i="6" s="1"/>
  <c r="P293" i="6"/>
  <c r="Q293" i="6" s="1"/>
  <c r="T293" i="6"/>
  <c r="U294" i="6"/>
  <c r="Z294" i="6" s="1"/>
  <c r="AE295" i="6"/>
  <c r="BE295" i="6" s="1"/>
  <c r="P297" i="6"/>
  <c r="Q297" i="6" s="1"/>
  <c r="T297" i="6"/>
  <c r="W297" i="6" s="1"/>
  <c r="U298" i="6"/>
  <c r="W298" i="6" s="1"/>
  <c r="P301" i="6"/>
  <c r="Q301" i="6" s="1"/>
  <c r="T301" i="6"/>
  <c r="U302" i="6"/>
  <c r="AE303" i="6"/>
  <c r="BE303" i="6" s="1"/>
  <c r="P305" i="6"/>
  <c r="Q305" i="6" s="1"/>
  <c r="T305" i="6"/>
  <c r="U306" i="6"/>
  <c r="Y306" i="6" s="1"/>
  <c r="AE307" i="6"/>
  <c r="BE307" i="6" s="1"/>
  <c r="P309" i="6"/>
  <c r="Q309" i="6" s="1"/>
  <c r="T309" i="6"/>
  <c r="U310" i="6"/>
  <c r="X311" i="6"/>
  <c r="U312" i="6"/>
  <c r="W312" i="6" s="1"/>
  <c r="AE313" i="6"/>
  <c r="BE313" i="6" s="1"/>
  <c r="P315" i="6"/>
  <c r="Q315" i="6" s="1"/>
  <c r="T315" i="6"/>
  <c r="W315" i="6" s="1"/>
  <c r="U316" i="6"/>
  <c r="X316" i="6" s="1"/>
  <c r="P319" i="6"/>
  <c r="Q319" i="6" s="1"/>
  <c r="T319" i="6"/>
  <c r="U320" i="6"/>
  <c r="P323" i="6"/>
  <c r="Q323" i="6" s="1"/>
  <c r="T323" i="6"/>
  <c r="U324" i="6"/>
  <c r="Y324" i="6" s="1"/>
  <c r="P327" i="6"/>
  <c r="Q327" i="6" s="1"/>
  <c r="T327" i="6"/>
  <c r="P329" i="6"/>
  <c r="Q329" i="6" s="1"/>
  <c r="T329" i="6"/>
  <c r="W329" i="6" s="1"/>
  <c r="U330" i="6"/>
  <c r="Z330" i="6" s="1"/>
  <c r="P333" i="6"/>
  <c r="Q333" i="6" s="1"/>
  <c r="T333" i="6"/>
  <c r="U334" i="6"/>
  <c r="X334" i="6" s="1"/>
  <c r="P337" i="6"/>
  <c r="Q337" i="6" s="1"/>
  <c r="T337" i="6"/>
  <c r="U338" i="6"/>
  <c r="AE339" i="6"/>
  <c r="BE339" i="6" s="1"/>
  <c r="P341" i="6"/>
  <c r="Q341" i="6" s="1"/>
  <c r="T341" i="6"/>
  <c r="W341" i="6" s="1"/>
  <c r="U342" i="6"/>
  <c r="W342" i="6" s="1"/>
  <c r="P345" i="6"/>
  <c r="Q345" i="6" s="1"/>
  <c r="T345" i="6"/>
  <c r="U346" i="6"/>
  <c r="W346" i="6" s="1"/>
  <c r="AE347" i="6"/>
  <c r="BE347" i="6" s="1"/>
  <c r="P349" i="6"/>
  <c r="Q349" i="6" s="1"/>
  <c r="T349" i="6"/>
  <c r="U350" i="6"/>
  <c r="V350" i="6" s="1"/>
  <c r="AE351" i="6"/>
  <c r="BE351" i="6" s="1"/>
  <c r="P353" i="6"/>
  <c r="Q353" i="6" s="1"/>
  <c r="R353" i="6" s="1"/>
  <c r="U353" i="6"/>
  <c r="Z353" i="6" s="1"/>
  <c r="AA353" i="6" s="1"/>
  <c r="AK457" i="6"/>
  <c r="AK458" i="6" s="1"/>
  <c r="X474" i="6"/>
  <c r="X475" i="6" s="1"/>
  <c r="H524" i="6"/>
  <c r="I533" i="6" s="1"/>
  <c r="X484" i="6"/>
  <c r="X485" i="6" s="1"/>
  <c r="X486" i="6"/>
  <c r="X487" i="6" s="1"/>
  <c r="C515" i="6"/>
  <c r="I100" i="7"/>
  <c r="I104" i="7"/>
  <c r="I108" i="7"/>
  <c r="I112" i="7"/>
  <c r="I120" i="7"/>
  <c r="I124" i="7"/>
  <c r="AF339" i="7"/>
  <c r="BH339" i="7" s="1"/>
  <c r="W356" i="7"/>
  <c r="W358" i="7" s="1"/>
  <c r="W357" i="7"/>
  <c r="W354" i="7"/>
  <c r="W355" i="7"/>
  <c r="AA145" i="7"/>
  <c r="AA146" i="7"/>
  <c r="BG151" i="7"/>
  <c r="U23" i="7"/>
  <c r="U151" i="7"/>
  <c r="R157" i="7"/>
  <c r="BG161" i="7"/>
  <c r="U24" i="7"/>
  <c r="U161" i="7"/>
  <c r="U169" i="7"/>
  <c r="K29" i="7"/>
  <c r="BG174" i="7"/>
  <c r="U177" i="7"/>
  <c r="BG185" i="7"/>
  <c r="K30" i="7"/>
  <c r="U185" i="7"/>
  <c r="U193" i="7"/>
  <c r="BG201" i="7"/>
  <c r="K35" i="7"/>
  <c r="U201" i="7"/>
  <c r="AE203" i="7"/>
  <c r="BE203" i="7" s="1"/>
  <c r="I203" i="7"/>
  <c r="U203" i="7"/>
  <c r="T203" i="7"/>
  <c r="P203" i="7"/>
  <c r="AF203" i="7"/>
  <c r="BH203" i="7" s="1"/>
  <c r="P204" i="7"/>
  <c r="U215" i="7"/>
  <c r="AE217" i="7"/>
  <c r="BE217" i="7" s="1"/>
  <c r="U217" i="7"/>
  <c r="T217" i="7"/>
  <c r="P217" i="7"/>
  <c r="AF217" i="7"/>
  <c r="BH217" i="7" s="1"/>
  <c r="I218" i="7"/>
  <c r="BG218" i="7" s="1"/>
  <c r="U218" i="7"/>
  <c r="P218" i="7"/>
  <c r="I228" i="7"/>
  <c r="BG228" i="7" s="1"/>
  <c r="U228" i="7"/>
  <c r="P228" i="7"/>
  <c r="AE235" i="7"/>
  <c r="BE235" i="7" s="1"/>
  <c r="U235" i="7"/>
  <c r="T235" i="7"/>
  <c r="P235" i="7"/>
  <c r="AF235" i="7"/>
  <c r="BH235" i="7" s="1"/>
  <c r="I236" i="7"/>
  <c r="U236" i="7"/>
  <c r="P236" i="7"/>
  <c r="BG251" i="7"/>
  <c r="U34" i="7"/>
  <c r="U251" i="7"/>
  <c r="U259" i="7"/>
  <c r="U267" i="7"/>
  <c r="AE275" i="7"/>
  <c r="BE275" i="7" s="1"/>
  <c r="U275" i="7"/>
  <c r="T275" i="7"/>
  <c r="P275" i="7"/>
  <c r="AF275" i="7"/>
  <c r="BH275" i="7" s="1"/>
  <c r="I276" i="7"/>
  <c r="BG276" i="7" s="1"/>
  <c r="U276" i="7"/>
  <c r="P276" i="7"/>
  <c r="AE283" i="7"/>
  <c r="BE283" i="7" s="1"/>
  <c r="U283" i="7"/>
  <c r="T283" i="7"/>
  <c r="P283" i="7"/>
  <c r="AF283" i="7"/>
  <c r="BH283" i="7" s="1"/>
  <c r="I284" i="7"/>
  <c r="BG284" i="7" s="1"/>
  <c r="U284" i="7"/>
  <c r="P284" i="7"/>
  <c r="P214" i="6"/>
  <c r="Q214" i="6" s="1"/>
  <c r="T214" i="6"/>
  <c r="U215" i="6"/>
  <c r="I216" i="6"/>
  <c r="BG216" i="6" s="1"/>
  <c r="P218" i="6"/>
  <c r="Q218" i="6" s="1"/>
  <c r="T218" i="6"/>
  <c r="U219" i="6"/>
  <c r="I220" i="6"/>
  <c r="BG220" i="6" s="1"/>
  <c r="AE220" i="6"/>
  <c r="BE220" i="6" s="1"/>
  <c r="P222" i="6"/>
  <c r="Q222" i="6" s="1"/>
  <c r="T222" i="6"/>
  <c r="U223" i="6"/>
  <c r="I224" i="6"/>
  <c r="BG224" i="6" s="1"/>
  <c r="AE224" i="6"/>
  <c r="BE224" i="6" s="1"/>
  <c r="P226" i="6"/>
  <c r="Q226" i="6" s="1"/>
  <c r="T226" i="6"/>
  <c r="P228" i="6"/>
  <c r="Q228" i="6" s="1"/>
  <c r="T228" i="6"/>
  <c r="U229" i="6"/>
  <c r="I230" i="6"/>
  <c r="BG230" i="6" s="1"/>
  <c r="AE230" i="6"/>
  <c r="BE230" i="6" s="1"/>
  <c r="BG231" i="6"/>
  <c r="P232" i="6"/>
  <c r="Q232" i="6" s="1"/>
  <c r="T232" i="6"/>
  <c r="U233" i="6"/>
  <c r="I234" i="6"/>
  <c r="BG234" i="6" s="1"/>
  <c r="AE234" i="6"/>
  <c r="BE234" i="6" s="1"/>
  <c r="BG235" i="6"/>
  <c r="P236" i="6"/>
  <c r="Q236" i="6" s="1"/>
  <c r="T236" i="6"/>
  <c r="U237" i="6"/>
  <c r="I238" i="6"/>
  <c r="BG238" i="6" s="1"/>
  <c r="AE238" i="6"/>
  <c r="BE238" i="6" s="1"/>
  <c r="P240" i="6"/>
  <c r="Q240" i="6" s="1"/>
  <c r="T240" i="6"/>
  <c r="Z240" i="6" s="1"/>
  <c r="U241" i="6"/>
  <c r="I242" i="6"/>
  <c r="BG242" i="6" s="1"/>
  <c r="AE242" i="6"/>
  <c r="BE242" i="6" s="1"/>
  <c r="P244" i="6"/>
  <c r="Q244" i="6" s="1"/>
  <c r="T244" i="6"/>
  <c r="Z244" i="6" s="1"/>
  <c r="U245" i="6"/>
  <c r="X246" i="6"/>
  <c r="U247" i="6"/>
  <c r="P250" i="6"/>
  <c r="Q250" i="6" s="1"/>
  <c r="T250" i="6"/>
  <c r="U251" i="6"/>
  <c r="I252" i="6"/>
  <c r="BG252" i="6" s="1"/>
  <c r="AE252" i="6"/>
  <c r="BE252" i="6" s="1"/>
  <c r="P254" i="6"/>
  <c r="Q254" i="6" s="1"/>
  <c r="T254" i="6"/>
  <c r="U255" i="6"/>
  <c r="I256" i="6"/>
  <c r="BG256" i="6" s="1"/>
  <c r="AE256" i="6"/>
  <c r="BE256" i="6" s="1"/>
  <c r="P258" i="6"/>
  <c r="Q258" i="6" s="1"/>
  <c r="T258" i="6"/>
  <c r="U259" i="6"/>
  <c r="I260" i="6"/>
  <c r="BG260" i="6" s="1"/>
  <c r="AE260" i="6"/>
  <c r="BE260" i="6" s="1"/>
  <c r="P262" i="6"/>
  <c r="Q262" i="6" s="1"/>
  <c r="T262" i="6"/>
  <c r="U263" i="6"/>
  <c r="I264" i="6"/>
  <c r="BG264" i="6" s="1"/>
  <c r="AE264" i="6"/>
  <c r="BE264" i="6" s="1"/>
  <c r="P266" i="6"/>
  <c r="Q266" i="6" s="1"/>
  <c r="T266" i="6"/>
  <c r="Z266" i="6" s="1"/>
  <c r="U267" i="6"/>
  <c r="I268" i="6"/>
  <c r="BG268" i="6" s="1"/>
  <c r="AE268" i="6"/>
  <c r="BE268" i="6" s="1"/>
  <c r="P270" i="6"/>
  <c r="Q270" i="6" s="1"/>
  <c r="T270" i="6"/>
  <c r="P272" i="6"/>
  <c r="Q272" i="6" s="1"/>
  <c r="T272" i="6"/>
  <c r="U273" i="6"/>
  <c r="P276" i="6"/>
  <c r="Q276" i="6" s="1"/>
  <c r="T276" i="6"/>
  <c r="Z276" i="6" s="1"/>
  <c r="U277" i="6"/>
  <c r="I278" i="6"/>
  <c r="BG278" i="6" s="1"/>
  <c r="AE278" i="6"/>
  <c r="BE278" i="6" s="1"/>
  <c r="BG279" i="6"/>
  <c r="P280" i="6"/>
  <c r="Q280" i="6" s="1"/>
  <c r="T280" i="6"/>
  <c r="U281" i="6"/>
  <c r="P284" i="6"/>
  <c r="Q284" i="6" s="1"/>
  <c r="T284" i="6"/>
  <c r="U285" i="6"/>
  <c r="I286" i="6"/>
  <c r="BG286" i="6" s="1"/>
  <c r="AE286" i="6"/>
  <c r="BE286" i="6" s="1"/>
  <c r="P288" i="6"/>
  <c r="Q288" i="6" s="1"/>
  <c r="T288" i="6"/>
  <c r="U289" i="6"/>
  <c r="P292" i="6"/>
  <c r="Q292" i="6" s="1"/>
  <c r="T292" i="6"/>
  <c r="Z292" i="6" s="1"/>
  <c r="U293" i="6"/>
  <c r="I294" i="6"/>
  <c r="BG294" i="6" s="1"/>
  <c r="AE294" i="6"/>
  <c r="BE294" i="6" s="1"/>
  <c r="P296" i="6"/>
  <c r="Q296" i="6" s="1"/>
  <c r="T296" i="6"/>
  <c r="U297" i="6"/>
  <c r="I298" i="6"/>
  <c r="BG298" i="6" s="1"/>
  <c r="AE298" i="6"/>
  <c r="BE298" i="6" s="1"/>
  <c r="P300" i="6"/>
  <c r="Q300" i="6" s="1"/>
  <c r="T300" i="6"/>
  <c r="U301" i="6"/>
  <c r="P304" i="6"/>
  <c r="Q304" i="6" s="1"/>
  <c r="T304" i="6"/>
  <c r="U305" i="6"/>
  <c r="I306" i="6"/>
  <c r="BG306" i="6" s="1"/>
  <c r="AE306" i="6"/>
  <c r="BE306" i="6" s="1"/>
  <c r="P308" i="6"/>
  <c r="Q308" i="6" s="1"/>
  <c r="T308" i="6"/>
  <c r="U309" i="6"/>
  <c r="Y311" i="6"/>
  <c r="I312" i="6"/>
  <c r="BG312" i="6" s="1"/>
  <c r="AE312" i="6"/>
  <c r="BE312" i="6" s="1"/>
  <c r="P314" i="6"/>
  <c r="Q314" i="6" s="1"/>
  <c r="T314" i="6"/>
  <c r="U315" i="6"/>
  <c r="I316" i="6"/>
  <c r="BG316" i="6" s="1"/>
  <c r="AE316" i="6"/>
  <c r="BE316" i="6" s="1"/>
  <c r="P318" i="6"/>
  <c r="Q318" i="6" s="1"/>
  <c r="T318" i="6"/>
  <c r="Z318" i="6" s="1"/>
  <c r="U319" i="6"/>
  <c r="P322" i="6"/>
  <c r="Q322" i="6" s="1"/>
  <c r="T322" i="6"/>
  <c r="U323" i="6"/>
  <c r="I324" i="6"/>
  <c r="BG324" i="6" s="1"/>
  <c r="AE324" i="6"/>
  <c r="BE324" i="6" s="1"/>
  <c r="P326" i="6"/>
  <c r="Q326" i="6" s="1"/>
  <c r="T326" i="6"/>
  <c r="Z326" i="6" s="1"/>
  <c r="U327" i="6"/>
  <c r="X328" i="6"/>
  <c r="U329" i="6"/>
  <c r="I330" i="6"/>
  <c r="BG330" i="6" s="1"/>
  <c r="AE330" i="6"/>
  <c r="BE330" i="6" s="1"/>
  <c r="P332" i="6"/>
  <c r="Q332" i="6" s="1"/>
  <c r="T332" i="6"/>
  <c r="Z332" i="6" s="1"/>
  <c r="U333" i="6"/>
  <c r="I334" i="6"/>
  <c r="BG334" i="6" s="1"/>
  <c r="AE334" i="6"/>
  <c r="BE334" i="6" s="1"/>
  <c r="P336" i="6"/>
  <c r="Q336" i="6" s="1"/>
  <c r="T336" i="6"/>
  <c r="U337" i="6"/>
  <c r="P340" i="6"/>
  <c r="Q340" i="6" s="1"/>
  <c r="T340" i="6"/>
  <c r="Z340" i="6" s="1"/>
  <c r="U341" i="6"/>
  <c r="I342" i="6"/>
  <c r="BG342" i="6" s="1"/>
  <c r="AE342" i="6"/>
  <c r="BE342" i="6" s="1"/>
  <c r="P344" i="6"/>
  <c r="Q344" i="6" s="1"/>
  <c r="T344" i="6"/>
  <c r="U345" i="6"/>
  <c r="I346" i="6"/>
  <c r="BG346" i="6" s="1"/>
  <c r="P348" i="6"/>
  <c r="Q348" i="6" s="1"/>
  <c r="T348" i="6"/>
  <c r="U349" i="6"/>
  <c r="I350" i="6"/>
  <c r="BG350" i="6" s="1"/>
  <c r="AE350" i="6"/>
  <c r="BE350" i="6" s="1"/>
  <c r="P352" i="6"/>
  <c r="Q352" i="6" s="1"/>
  <c r="T352" i="6"/>
  <c r="X472" i="6"/>
  <c r="X473" i="6" s="1"/>
  <c r="Y498" i="6"/>
  <c r="L476" i="6"/>
  <c r="R461" i="6"/>
  <c r="R489" i="6"/>
  <c r="Y470" i="6"/>
  <c r="K466" i="6"/>
  <c r="Y454" i="6"/>
  <c r="K476" i="6"/>
  <c r="K480" i="6"/>
  <c r="K481" i="6" s="1"/>
  <c r="AE495" i="6"/>
  <c r="AE496" i="6" s="1"/>
  <c r="AE493" i="6"/>
  <c r="AE494" i="6" s="1"/>
  <c r="C510" i="6"/>
  <c r="C527" i="6" s="1"/>
  <c r="D533" i="6" s="1"/>
  <c r="W144" i="7"/>
  <c r="I144" i="7"/>
  <c r="AE145" i="7"/>
  <c r="BE145" i="7" s="1"/>
  <c r="U145" i="7"/>
  <c r="T145" i="7"/>
  <c r="P145" i="7"/>
  <c r="AF145" i="7"/>
  <c r="BH145" i="7" s="1"/>
  <c r="I146" i="7"/>
  <c r="U146" i="7"/>
  <c r="P146" i="7"/>
  <c r="AE153" i="7"/>
  <c r="BE153" i="7" s="1"/>
  <c r="U153" i="7"/>
  <c r="T153" i="7"/>
  <c r="P153" i="7"/>
  <c r="AF153" i="7"/>
  <c r="BH153" i="7" s="1"/>
  <c r="I154" i="7"/>
  <c r="U154" i="7"/>
  <c r="P154" i="7"/>
  <c r="U156" i="7"/>
  <c r="U158" i="7"/>
  <c r="AA161" i="7"/>
  <c r="AE163" i="7"/>
  <c r="BE163" i="7" s="1"/>
  <c r="I163" i="7"/>
  <c r="BG163" i="7" s="1"/>
  <c r="U163" i="7"/>
  <c r="T163" i="7"/>
  <c r="P163" i="7"/>
  <c r="AF163" i="7"/>
  <c r="BH163" i="7" s="1"/>
  <c r="P164" i="7"/>
  <c r="U166" i="7"/>
  <c r="AA169" i="7"/>
  <c r="AE171" i="7"/>
  <c r="BE171" i="7" s="1"/>
  <c r="I171" i="7"/>
  <c r="U171" i="7"/>
  <c r="T171" i="7"/>
  <c r="P171" i="7"/>
  <c r="AF171" i="7"/>
  <c r="BH171" i="7" s="1"/>
  <c r="BG172" i="7"/>
  <c r="U29" i="7"/>
  <c r="K27" i="7"/>
  <c r="P172" i="7"/>
  <c r="U174" i="7"/>
  <c r="AA177" i="7"/>
  <c r="AE179" i="7"/>
  <c r="BE179" i="7" s="1"/>
  <c r="I179" i="7"/>
  <c r="BG179" i="7" s="1"/>
  <c r="U179" i="7"/>
  <c r="T179" i="7"/>
  <c r="P179" i="7"/>
  <c r="AF179" i="7"/>
  <c r="BH179" i="7" s="1"/>
  <c r="P180" i="7"/>
  <c r="U182" i="7"/>
  <c r="AA185" i="7"/>
  <c r="AE187" i="7"/>
  <c r="BE187" i="7" s="1"/>
  <c r="I187" i="7"/>
  <c r="U187" i="7"/>
  <c r="T187" i="7"/>
  <c r="P187" i="7"/>
  <c r="AF187" i="7"/>
  <c r="BH187" i="7" s="1"/>
  <c r="P188" i="7"/>
  <c r="U190" i="7"/>
  <c r="AA193" i="7"/>
  <c r="AE195" i="7"/>
  <c r="BE195" i="7" s="1"/>
  <c r="I195" i="7"/>
  <c r="U195" i="7"/>
  <c r="T195" i="7"/>
  <c r="P195" i="7"/>
  <c r="AF195" i="7"/>
  <c r="BH195" i="7" s="1"/>
  <c r="BG196" i="7"/>
  <c r="K34" i="7"/>
  <c r="P196" i="7"/>
  <c r="U198" i="7"/>
  <c r="AA201" i="7"/>
  <c r="K36" i="7"/>
  <c r="BG202" i="7"/>
  <c r="T204" i="7"/>
  <c r="AF205" i="7"/>
  <c r="BH205" i="7" s="1"/>
  <c r="P206" i="7"/>
  <c r="U212" i="7"/>
  <c r="I217" i="7"/>
  <c r="BG217" i="7" s="1"/>
  <c r="U219" i="7"/>
  <c r="AE221" i="7"/>
  <c r="BE221" i="7" s="1"/>
  <c r="U221" i="7"/>
  <c r="T221" i="7"/>
  <c r="P221" i="7"/>
  <c r="AF221" i="7"/>
  <c r="BH221" i="7" s="1"/>
  <c r="I222" i="7"/>
  <c r="BG222" i="7" s="1"/>
  <c r="U222" i="7"/>
  <c r="P222" i="7"/>
  <c r="U224" i="7"/>
  <c r="U229" i="7"/>
  <c r="I235" i="7"/>
  <c r="U237" i="7"/>
  <c r="U241" i="7"/>
  <c r="U245" i="7"/>
  <c r="U248" i="7"/>
  <c r="AE253" i="7"/>
  <c r="BE253" i="7" s="1"/>
  <c r="U253" i="7"/>
  <c r="T253" i="7"/>
  <c r="P253" i="7"/>
  <c r="AF253" i="7"/>
  <c r="BH253" i="7" s="1"/>
  <c r="I254" i="7"/>
  <c r="BG254" i="7" s="1"/>
  <c r="U254" i="7"/>
  <c r="P254" i="7"/>
  <c r="U256" i="7"/>
  <c r="AE261" i="7"/>
  <c r="BE261" i="7" s="1"/>
  <c r="U261" i="7"/>
  <c r="T261" i="7"/>
  <c r="P261" i="7"/>
  <c r="AF261" i="7"/>
  <c r="BH261" i="7" s="1"/>
  <c r="I262" i="7"/>
  <c r="BG262" i="7" s="1"/>
  <c r="U262" i="7"/>
  <c r="P262" i="7"/>
  <c r="U264" i="7"/>
  <c r="AE269" i="7"/>
  <c r="BE269" i="7" s="1"/>
  <c r="U269" i="7"/>
  <c r="T269" i="7"/>
  <c r="P269" i="7"/>
  <c r="AF269" i="7"/>
  <c r="BH269" i="7" s="1"/>
  <c r="I270" i="7"/>
  <c r="BG270" i="7" s="1"/>
  <c r="U270" i="7"/>
  <c r="P270" i="7"/>
  <c r="I275" i="7"/>
  <c r="BG275" i="7" s="1"/>
  <c r="T276" i="7"/>
  <c r="U277" i="7"/>
  <c r="I283" i="7"/>
  <c r="BG283" i="7" s="1"/>
  <c r="T284" i="7"/>
  <c r="U285" i="7"/>
  <c r="P175" i="6"/>
  <c r="Q175" i="6" s="1"/>
  <c r="T175" i="6"/>
  <c r="P179" i="6"/>
  <c r="Q179" i="6" s="1"/>
  <c r="T179" i="6"/>
  <c r="P183" i="6"/>
  <c r="Q183" i="6" s="1"/>
  <c r="T183" i="6"/>
  <c r="Y183" i="6" s="1"/>
  <c r="P187" i="6"/>
  <c r="Q187" i="6" s="1"/>
  <c r="T187" i="6"/>
  <c r="Z187" i="6" s="1"/>
  <c r="AA187" i="6" s="1"/>
  <c r="P191" i="6"/>
  <c r="Q191" i="6" s="1"/>
  <c r="T191" i="6"/>
  <c r="P195" i="6"/>
  <c r="Q195" i="6" s="1"/>
  <c r="T195" i="6"/>
  <c r="Y195" i="6" s="1"/>
  <c r="P199" i="6"/>
  <c r="Q199" i="6" s="1"/>
  <c r="T199" i="6"/>
  <c r="Y199" i="6" s="1"/>
  <c r="P203" i="6"/>
  <c r="Q203" i="6" s="1"/>
  <c r="T203" i="6"/>
  <c r="Z203" i="6" s="1"/>
  <c r="AA203" i="6" s="1"/>
  <c r="X205" i="6"/>
  <c r="AA205" i="6" s="1"/>
  <c r="P209" i="6"/>
  <c r="Q209" i="6" s="1"/>
  <c r="T209" i="6"/>
  <c r="P213" i="6"/>
  <c r="Q213" i="6" s="1"/>
  <c r="T213" i="6"/>
  <c r="Y213" i="6" s="1"/>
  <c r="U214" i="6"/>
  <c r="P217" i="6"/>
  <c r="Q217" i="6" s="1"/>
  <c r="T217" i="6"/>
  <c r="Y217" i="6" s="1"/>
  <c r="U218" i="6"/>
  <c r="I219" i="6"/>
  <c r="BG219" i="6" s="1"/>
  <c r="AE219" i="6"/>
  <c r="BE219" i="6" s="1"/>
  <c r="P221" i="6"/>
  <c r="Q221" i="6" s="1"/>
  <c r="T221" i="6"/>
  <c r="Y221" i="6" s="1"/>
  <c r="U222" i="6"/>
  <c r="I223" i="6"/>
  <c r="BG223" i="6" s="1"/>
  <c r="AE223" i="6"/>
  <c r="BE223" i="6" s="1"/>
  <c r="P225" i="6"/>
  <c r="Q225" i="6" s="1"/>
  <c r="T225" i="6"/>
  <c r="U226" i="6"/>
  <c r="X227" i="6"/>
  <c r="AA227" i="6" s="1"/>
  <c r="U228" i="6"/>
  <c r="I229" i="6"/>
  <c r="BG229" i="6" s="1"/>
  <c r="AE229" i="6"/>
  <c r="BE229" i="6" s="1"/>
  <c r="P231" i="6"/>
  <c r="Q231" i="6" s="1"/>
  <c r="T231" i="6"/>
  <c r="U232" i="6"/>
  <c r="I233" i="6"/>
  <c r="BG233" i="6" s="1"/>
  <c r="AE233" i="6"/>
  <c r="BE233" i="6" s="1"/>
  <c r="P235" i="6"/>
  <c r="Q235" i="6" s="1"/>
  <c r="T235" i="6"/>
  <c r="U236" i="6"/>
  <c r="P239" i="6"/>
  <c r="Q239" i="6" s="1"/>
  <c r="T239" i="6"/>
  <c r="Y239" i="6" s="1"/>
  <c r="U240" i="6"/>
  <c r="I241" i="6"/>
  <c r="BG241" i="6" s="1"/>
  <c r="AE241" i="6"/>
  <c r="BE241" i="6" s="1"/>
  <c r="P243" i="6"/>
  <c r="Q243" i="6" s="1"/>
  <c r="T243" i="6"/>
  <c r="Y243" i="6" s="1"/>
  <c r="U244" i="6"/>
  <c r="Y246" i="6"/>
  <c r="I247" i="6"/>
  <c r="BG247" i="6" s="1"/>
  <c r="AE247" i="6"/>
  <c r="BE247" i="6" s="1"/>
  <c r="P249" i="6"/>
  <c r="Q249" i="6" s="1"/>
  <c r="T249" i="6"/>
  <c r="U250" i="6"/>
  <c r="I251" i="6"/>
  <c r="P253" i="6"/>
  <c r="Q253" i="6" s="1"/>
  <c r="T253" i="6"/>
  <c r="Y253" i="6" s="1"/>
  <c r="U254" i="6"/>
  <c r="I255" i="6"/>
  <c r="BG255" i="6" s="1"/>
  <c r="AE255" i="6"/>
  <c r="BE255" i="6" s="1"/>
  <c r="P257" i="6"/>
  <c r="Q257" i="6" s="1"/>
  <c r="T257" i="6"/>
  <c r="U258" i="6"/>
  <c r="I259" i="6"/>
  <c r="BG259" i="6" s="1"/>
  <c r="AE259" i="6"/>
  <c r="BE259" i="6" s="1"/>
  <c r="P261" i="6"/>
  <c r="Q261" i="6" s="1"/>
  <c r="T261" i="6"/>
  <c r="U262" i="6"/>
  <c r="P265" i="6"/>
  <c r="Q265" i="6" s="1"/>
  <c r="T265" i="6"/>
  <c r="Y265" i="6" s="1"/>
  <c r="U266" i="6"/>
  <c r="I267" i="6"/>
  <c r="BG267" i="6" s="1"/>
  <c r="AE267" i="6"/>
  <c r="BE267" i="6" s="1"/>
  <c r="P269" i="6"/>
  <c r="Q269" i="6" s="1"/>
  <c r="T269" i="6"/>
  <c r="U270" i="6"/>
  <c r="U272" i="6"/>
  <c r="P275" i="6"/>
  <c r="Q275" i="6" s="1"/>
  <c r="T275" i="6"/>
  <c r="U276" i="6"/>
  <c r="I277" i="6"/>
  <c r="BG277" i="6" s="1"/>
  <c r="AE277" i="6"/>
  <c r="BE277" i="6" s="1"/>
  <c r="P279" i="6"/>
  <c r="Q279" i="6" s="1"/>
  <c r="T279" i="6"/>
  <c r="U280" i="6"/>
  <c r="P283" i="6"/>
  <c r="Q283" i="6" s="1"/>
  <c r="T283" i="6"/>
  <c r="Z283" i="6" s="1"/>
  <c r="U284" i="6"/>
  <c r="I285" i="6"/>
  <c r="BG285" i="6" s="1"/>
  <c r="AE285" i="6"/>
  <c r="BE285" i="6" s="1"/>
  <c r="P287" i="6"/>
  <c r="Q287" i="6" s="1"/>
  <c r="T287" i="6"/>
  <c r="U288" i="6"/>
  <c r="I289" i="6"/>
  <c r="BG289" i="6" s="1"/>
  <c r="AE289" i="6"/>
  <c r="BE289" i="6" s="1"/>
  <c r="P291" i="6"/>
  <c r="Q291" i="6" s="1"/>
  <c r="T291" i="6"/>
  <c r="Y291" i="6" s="1"/>
  <c r="U292" i="6"/>
  <c r="I293" i="6"/>
  <c r="BG293" i="6" s="1"/>
  <c r="P295" i="6"/>
  <c r="Q295" i="6" s="1"/>
  <c r="T295" i="6"/>
  <c r="Y295" i="6" s="1"/>
  <c r="U296" i="6"/>
  <c r="I297" i="6"/>
  <c r="BG297" i="6" s="1"/>
  <c r="AE297" i="6"/>
  <c r="BE297" i="6" s="1"/>
  <c r="P299" i="6"/>
  <c r="Q299" i="6" s="1"/>
  <c r="T299" i="6"/>
  <c r="U300" i="6"/>
  <c r="I301" i="6"/>
  <c r="BG301" i="6" s="1"/>
  <c r="AE301" i="6"/>
  <c r="BE301" i="6" s="1"/>
  <c r="P303" i="6"/>
  <c r="Q303" i="6" s="1"/>
  <c r="T303" i="6"/>
  <c r="U304" i="6"/>
  <c r="I305" i="6"/>
  <c r="BG305" i="6" s="1"/>
  <c r="AE305" i="6"/>
  <c r="BE305" i="6" s="1"/>
  <c r="P307" i="6"/>
  <c r="Q307" i="6" s="1"/>
  <c r="T307" i="6"/>
  <c r="U308" i="6"/>
  <c r="I309" i="6"/>
  <c r="BG309" i="6" s="1"/>
  <c r="AE309" i="6"/>
  <c r="BE309" i="6" s="1"/>
  <c r="V311" i="6"/>
  <c r="AA311" i="6" s="1"/>
  <c r="Z311" i="6"/>
  <c r="P313" i="6"/>
  <c r="Q313" i="6" s="1"/>
  <c r="T313" i="6"/>
  <c r="Y313" i="6" s="1"/>
  <c r="U314" i="6"/>
  <c r="I315" i="6"/>
  <c r="BG315" i="6" s="1"/>
  <c r="P317" i="6"/>
  <c r="Q317" i="6" s="1"/>
  <c r="T317" i="6"/>
  <c r="Z317" i="6" s="1"/>
  <c r="U318" i="6"/>
  <c r="P321" i="6"/>
  <c r="Q321" i="6" s="1"/>
  <c r="T321" i="6"/>
  <c r="U322" i="6"/>
  <c r="I323" i="6"/>
  <c r="BG323" i="6" s="1"/>
  <c r="P325" i="6"/>
  <c r="Q325" i="6" s="1"/>
  <c r="T325" i="6"/>
  <c r="U326" i="6"/>
  <c r="Y328" i="6"/>
  <c r="I329" i="6"/>
  <c r="BG329" i="6" s="1"/>
  <c r="AE329" i="6"/>
  <c r="BE329" i="6" s="1"/>
  <c r="P331" i="6"/>
  <c r="Q331" i="6" s="1"/>
  <c r="T331" i="6"/>
  <c r="U332" i="6"/>
  <c r="P335" i="6"/>
  <c r="Q335" i="6" s="1"/>
  <c r="T335" i="6"/>
  <c r="Z335" i="6" s="1"/>
  <c r="AA335" i="6" s="1"/>
  <c r="U336" i="6"/>
  <c r="I337" i="6"/>
  <c r="BG337" i="6" s="1"/>
  <c r="AE337" i="6"/>
  <c r="BE337" i="6" s="1"/>
  <c r="P339" i="6"/>
  <c r="Q339" i="6" s="1"/>
  <c r="T339" i="6"/>
  <c r="U340" i="6"/>
  <c r="I341" i="6"/>
  <c r="BG341" i="6" s="1"/>
  <c r="AE341" i="6"/>
  <c r="BE341" i="6" s="1"/>
  <c r="P343" i="6"/>
  <c r="Q343" i="6" s="1"/>
  <c r="T343" i="6"/>
  <c r="U344" i="6"/>
  <c r="I345" i="6"/>
  <c r="BG345" i="6" s="1"/>
  <c r="AE345" i="6"/>
  <c r="BE345" i="6" s="1"/>
  <c r="P347" i="6"/>
  <c r="Q347" i="6" s="1"/>
  <c r="T347" i="6"/>
  <c r="U348" i="6"/>
  <c r="I349" i="6"/>
  <c r="BG349" i="6" s="1"/>
  <c r="AE349" i="6"/>
  <c r="BE349" i="6" s="1"/>
  <c r="P351" i="6"/>
  <c r="Q351" i="6" s="1"/>
  <c r="T351" i="6"/>
  <c r="U352" i="6"/>
  <c r="Y459" i="6"/>
  <c r="AZ456" i="6"/>
  <c r="AK477" i="6"/>
  <c r="AK478" i="6" s="1"/>
  <c r="AK475" i="6"/>
  <c r="AK476" i="6" s="1"/>
  <c r="AM499" i="6"/>
  <c r="AM491" i="6"/>
  <c r="AG491" i="6"/>
  <c r="AM473" i="6"/>
  <c r="S471" i="6"/>
  <c r="AK487" i="6"/>
  <c r="AK488" i="6" s="1"/>
  <c r="AK485" i="6"/>
  <c r="AK486" i="6" s="1"/>
  <c r="K486" i="6"/>
  <c r="C526" i="6"/>
  <c r="C535" i="6"/>
  <c r="C536" i="6"/>
  <c r="E533" i="6" s="1"/>
  <c r="I145" i="7"/>
  <c r="T146" i="7"/>
  <c r="U147" i="7"/>
  <c r="I153" i="7"/>
  <c r="T154" i="7"/>
  <c r="BG155" i="7"/>
  <c r="K26" i="7"/>
  <c r="U155" i="7"/>
  <c r="U25" i="7"/>
  <c r="BG162" i="7"/>
  <c r="T164" i="7"/>
  <c r="U165" i="7"/>
  <c r="U27" i="7"/>
  <c r="BG170" i="7"/>
  <c r="T172" i="7"/>
  <c r="BG173" i="7"/>
  <c r="K28" i="7"/>
  <c r="U173" i="7"/>
  <c r="U30" i="7"/>
  <c r="BG178" i="7"/>
  <c r="T180" i="7"/>
  <c r="U181" i="7"/>
  <c r="K31" i="7"/>
  <c r="BG186" i="7"/>
  <c r="T188" i="7"/>
  <c r="U189" i="7"/>
  <c r="T196" i="7"/>
  <c r="U197" i="7"/>
  <c r="T201" i="7"/>
  <c r="U202" i="7"/>
  <c r="AA204" i="7"/>
  <c r="T206" i="7"/>
  <c r="U207" i="7"/>
  <c r="AE209" i="7"/>
  <c r="BE209" i="7" s="1"/>
  <c r="U209" i="7"/>
  <c r="T209" i="7"/>
  <c r="P209" i="7"/>
  <c r="AF209" i="7"/>
  <c r="BH209" i="7" s="1"/>
  <c r="I210" i="7"/>
  <c r="BG210" i="7" s="1"/>
  <c r="U210" i="7"/>
  <c r="P210" i="7"/>
  <c r="T215" i="7"/>
  <c r="U216" i="7"/>
  <c r="AA218" i="7"/>
  <c r="AA219" i="7"/>
  <c r="I221" i="7"/>
  <c r="BG221" i="7" s="1"/>
  <c r="T222" i="7"/>
  <c r="U223" i="7"/>
  <c r="AA228" i="7"/>
  <c r="AA229" i="7"/>
  <c r="AE231" i="7"/>
  <c r="BE231" i="7" s="1"/>
  <c r="U231" i="7"/>
  <c r="T231" i="7"/>
  <c r="P231" i="7"/>
  <c r="AF231" i="7"/>
  <c r="BH231" i="7" s="1"/>
  <c r="I232" i="7"/>
  <c r="BG232" i="7" s="1"/>
  <c r="U232" i="7"/>
  <c r="P232" i="7"/>
  <c r="U234" i="7"/>
  <c r="AA236" i="7"/>
  <c r="AA237" i="7"/>
  <c r="AE239" i="7"/>
  <c r="BE239" i="7" s="1"/>
  <c r="U239" i="7"/>
  <c r="T239" i="7"/>
  <c r="P239" i="7"/>
  <c r="AF239" i="7"/>
  <c r="BH239" i="7" s="1"/>
  <c r="I240" i="7"/>
  <c r="BG240" i="7" s="1"/>
  <c r="U240" i="7"/>
  <c r="P240" i="7"/>
  <c r="AA241" i="7"/>
  <c r="AE243" i="7"/>
  <c r="BE243" i="7" s="1"/>
  <c r="U243" i="7"/>
  <c r="T243" i="7"/>
  <c r="P243" i="7"/>
  <c r="AF243" i="7"/>
  <c r="BH243" i="7" s="1"/>
  <c r="I244" i="7"/>
  <c r="BG244" i="7" s="1"/>
  <c r="U244" i="7"/>
  <c r="P244" i="7"/>
  <c r="AA245" i="7"/>
  <c r="AA246" i="7"/>
  <c r="U247" i="7"/>
  <c r="T251" i="7"/>
  <c r="I253" i="7"/>
  <c r="BG253" i="7" s="1"/>
  <c r="T254" i="7"/>
  <c r="U255" i="7"/>
  <c r="T259" i="7"/>
  <c r="I261" i="7"/>
  <c r="BG261" i="7" s="1"/>
  <c r="T262" i="7"/>
  <c r="U263" i="7"/>
  <c r="T267" i="7"/>
  <c r="I269" i="7"/>
  <c r="BG269" i="7" s="1"/>
  <c r="T270" i="7"/>
  <c r="AF271" i="7"/>
  <c r="BH271" i="7" s="1"/>
  <c r="I272" i="7"/>
  <c r="BG272" i="7" s="1"/>
  <c r="U272" i="7"/>
  <c r="P272" i="7"/>
  <c r="U274" i="7"/>
  <c r="AA276" i="7"/>
  <c r="AA277" i="7"/>
  <c r="AE279" i="7"/>
  <c r="BE279" i="7" s="1"/>
  <c r="U279" i="7"/>
  <c r="T279" i="7"/>
  <c r="P279" i="7"/>
  <c r="AF279" i="7"/>
  <c r="BH279" i="7" s="1"/>
  <c r="I280" i="7"/>
  <c r="BG280" i="7" s="1"/>
  <c r="U280" i="7"/>
  <c r="P280" i="7"/>
  <c r="U282" i="7"/>
  <c r="AA284" i="7"/>
  <c r="AA285" i="7"/>
  <c r="AE287" i="7"/>
  <c r="BE287" i="7" s="1"/>
  <c r="U287" i="7"/>
  <c r="T287" i="7"/>
  <c r="P287" i="7"/>
  <c r="AF287" i="7"/>
  <c r="BH287" i="7" s="1"/>
  <c r="I288" i="7"/>
  <c r="BG288" i="7" s="1"/>
  <c r="U288" i="7"/>
  <c r="P288" i="7"/>
  <c r="AK455" i="5"/>
  <c r="AK456" i="5" s="1"/>
  <c r="Y482" i="5"/>
  <c r="K486" i="5"/>
  <c r="Y490" i="5"/>
  <c r="P148" i="6"/>
  <c r="Q148" i="6" s="1"/>
  <c r="P152" i="6"/>
  <c r="Q152" i="6" s="1"/>
  <c r="P156" i="6"/>
  <c r="Q156" i="6" s="1"/>
  <c r="P158" i="6"/>
  <c r="Q158" i="6" s="1"/>
  <c r="P162" i="6"/>
  <c r="Q162" i="6" s="1"/>
  <c r="P166" i="6"/>
  <c r="Q166" i="6" s="1"/>
  <c r="P170" i="6"/>
  <c r="Q170" i="6" s="1"/>
  <c r="P174" i="6"/>
  <c r="Q174" i="6" s="1"/>
  <c r="P178" i="6"/>
  <c r="Q178" i="6" s="1"/>
  <c r="P182" i="6"/>
  <c r="Q182" i="6" s="1"/>
  <c r="P186" i="6"/>
  <c r="Q186" i="6" s="1"/>
  <c r="P190" i="6"/>
  <c r="Q190" i="6" s="1"/>
  <c r="P194" i="6"/>
  <c r="Q194" i="6" s="1"/>
  <c r="P198" i="6"/>
  <c r="Q198" i="6" s="1"/>
  <c r="P202" i="6"/>
  <c r="Q202" i="6" s="1"/>
  <c r="P208" i="6"/>
  <c r="Q208" i="6" s="1"/>
  <c r="P212" i="6"/>
  <c r="Q212" i="6" s="1"/>
  <c r="V214" i="6"/>
  <c r="P216" i="6"/>
  <c r="Q216" i="6" s="1"/>
  <c r="V218" i="6"/>
  <c r="P220" i="6"/>
  <c r="Q220" i="6" s="1"/>
  <c r="P224" i="6"/>
  <c r="Q224" i="6" s="1"/>
  <c r="V228" i="6"/>
  <c r="P230" i="6"/>
  <c r="Q230" i="6" s="1"/>
  <c r="V232" i="6"/>
  <c r="P234" i="6"/>
  <c r="Q234" i="6" s="1"/>
  <c r="P238" i="6"/>
  <c r="Q238" i="6" s="1"/>
  <c r="V240" i="6"/>
  <c r="P242" i="6"/>
  <c r="Q242" i="6" s="1"/>
  <c r="V246" i="6"/>
  <c r="AA246" i="6" s="1"/>
  <c r="P248" i="6"/>
  <c r="Q248" i="6" s="1"/>
  <c r="V250" i="6"/>
  <c r="P252" i="6"/>
  <c r="Q252" i="6" s="1"/>
  <c r="P256" i="6"/>
  <c r="Q256" i="6" s="1"/>
  <c r="V258" i="6"/>
  <c r="P260" i="6"/>
  <c r="Q260" i="6" s="1"/>
  <c r="V262" i="6"/>
  <c r="P264" i="6"/>
  <c r="Q264" i="6" s="1"/>
  <c r="V266" i="6"/>
  <c r="P268" i="6"/>
  <c r="Q268" i="6" s="1"/>
  <c r="V270" i="6"/>
  <c r="V272" i="6"/>
  <c r="P274" i="6"/>
  <c r="Q274" i="6" s="1"/>
  <c r="V276" i="6"/>
  <c r="P278" i="6"/>
  <c r="Q278" i="6" s="1"/>
  <c r="P282" i="6"/>
  <c r="Q282" i="6" s="1"/>
  <c r="V284" i="6"/>
  <c r="P286" i="6"/>
  <c r="Q286" i="6" s="1"/>
  <c r="V288" i="6"/>
  <c r="P290" i="6"/>
  <c r="Q290" i="6" s="1"/>
  <c r="V292" i="6"/>
  <c r="P294" i="6"/>
  <c r="Q294" i="6" s="1"/>
  <c r="V296" i="6"/>
  <c r="P298" i="6"/>
  <c r="Q298" i="6" s="1"/>
  <c r="V300" i="6"/>
  <c r="P302" i="6"/>
  <c r="Q302" i="6" s="1"/>
  <c r="V304" i="6"/>
  <c r="P306" i="6"/>
  <c r="Q306" i="6" s="1"/>
  <c r="P310" i="6"/>
  <c r="Q310" i="6" s="1"/>
  <c r="P312" i="6"/>
  <c r="Q312" i="6" s="1"/>
  <c r="P316" i="6"/>
  <c r="Q316" i="6" s="1"/>
  <c r="V318" i="6"/>
  <c r="P320" i="6"/>
  <c r="Q320" i="6" s="1"/>
  <c r="P324" i="6"/>
  <c r="Q324" i="6" s="1"/>
  <c r="V326" i="6"/>
  <c r="V328" i="6"/>
  <c r="AA328" i="6" s="1"/>
  <c r="P330" i="6"/>
  <c r="Q330" i="6" s="1"/>
  <c r="V332" i="6"/>
  <c r="P334" i="6"/>
  <c r="Q334" i="6" s="1"/>
  <c r="V336" i="6"/>
  <c r="P338" i="6"/>
  <c r="Q338" i="6" s="1"/>
  <c r="V340" i="6"/>
  <c r="P342" i="6"/>
  <c r="Q342" i="6" s="1"/>
  <c r="P346" i="6"/>
  <c r="Q346" i="6" s="1"/>
  <c r="V348" i="6"/>
  <c r="P350" i="6"/>
  <c r="Q350" i="6" s="1"/>
  <c r="AE466" i="6"/>
  <c r="AE467" i="6" s="1"/>
  <c r="AE464" i="6"/>
  <c r="AE465" i="6" s="1"/>
  <c r="T489" i="6"/>
  <c r="AA470" i="6"/>
  <c r="M466" i="6"/>
  <c r="AA454" i="6"/>
  <c r="AA498" i="6"/>
  <c r="N476" i="6"/>
  <c r="T461" i="6"/>
  <c r="S480" i="6"/>
  <c r="M486" i="6"/>
  <c r="J490" i="6"/>
  <c r="J491" i="6" s="1"/>
  <c r="Y490" i="6"/>
  <c r="E507" i="6"/>
  <c r="L507" i="6" s="1"/>
  <c r="C516" i="6"/>
  <c r="I67" i="7"/>
  <c r="I115" i="7"/>
  <c r="I116" i="7"/>
  <c r="I128" i="7"/>
  <c r="I131" i="7"/>
  <c r="I132" i="7"/>
  <c r="I135" i="7"/>
  <c r="I136" i="7"/>
  <c r="I139" i="7"/>
  <c r="I143" i="7"/>
  <c r="AA147" i="7"/>
  <c r="AE149" i="7"/>
  <c r="BE149" i="7" s="1"/>
  <c r="U149" i="7"/>
  <c r="T149" i="7"/>
  <c r="P149" i="7"/>
  <c r="AF149" i="7"/>
  <c r="BH149" i="7" s="1"/>
  <c r="I150" i="7"/>
  <c r="BG150" i="7" s="1"/>
  <c r="U150" i="7"/>
  <c r="P150" i="7"/>
  <c r="T151" i="7"/>
  <c r="U152" i="7"/>
  <c r="AA155" i="7"/>
  <c r="AA157" i="7"/>
  <c r="AE159" i="7"/>
  <c r="BE159" i="7" s="1"/>
  <c r="I159" i="7"/>
  <c r="BG159" i="7" s="1"/>
  <c r="U159" i="7"/>
  <c r="T159" i="7"/>
  <c r="P159" i="7"/>
  <c r="AF159" i="7"/>
  <c r="BH159" i="7" s="1"/>
  <c r="P160" i="7"/>
  <c r="T161" i="7"/>
  <c r="U162" i="7"/>
  <c r="AA165" i="7"/>
  <c r="AE167" i="7"/>
  <c r="BE167" i="7" s="1"/>
  <c r="I167" i="7"/>
  <c r="U167" i="7"/>
  <c r="T167" i="7"/>
  <c r="P167" i="7"/>
  <c r="AF167" i="7"/>
  <c r="BH167" i="7" s="1"/>
  <c r="P168" i="7"/>
  <c r="T169" i="7"/>
  <c r="U170" i="7"/>
  <c r="AA173" i="7"/>
  <c r="AE175" i="7"/>
  <c r="BE175" i="7" s="1"/>
  <c r="I175" i="7"/>
  <c r="BG175" i="7" s="1"/>
  <c r="U175" i="7"/>
  <c r="T175" i="7"/>
  <c r="P175" i="7"/>
  <c r="AF175" i="7"/>
  <c r="BH175" i="7" s="1"/>
  <c r="P176" i="7"/>
  <c r="T177" i="7"/>
  <c r="U178" i="7"/>
  <c r="AA181" i="7"/>
  <c r="AE183" i="7"/>
  <c r="BE183" i="7" s="1"/>
  <c r="I183" i="7"/>
  <c r="BG183" i="7" s="1"/>
  <c r="U183" i="7"/>
  <c r="T183" i="7"/>
  <c r="P183" i="7"/>
  <c r="AF183" i="7"/>
  <c r="BH183" i="7" s="1"/>
  <c r="P184" i="7"/>
  <c r="T185" i="7"/>
  <c r="U186" i="7"/>
  <c r="AA189" i="7"/>
  <c r="AE191" i="7"/>
  <c r="BE191" i="7" s="1"/>
  <c r="I191" i="7"/>
  <c r="BG191" i="7" s="1"/>
  <c r="U191" i="7"/>
  <c r="T191" i="7"/>
  <c r="P191" i="7"/>
  <c r="AF191" i="7"/>
  <c r="BH191" i="7" s="1"/>
  <c r="P192" i="7"/>
  <c r="T193" i="7"/>
  <c r="U194" i="7"/>
  <c r="AA197" i="7"/>
  <c r="AE199" i="7"/>
  <c r="BE199" i="7" s="1"/>
  <c r="I199" i="7"/>
  <c r="U199" i="7"/>
  <c r="T199" i="7"/>
  <c r="P199" i="7"/>
  <c r="AF199" i="7"/>
  <c r="BH199" i="7" s="1"/>
  <c r="P200" i="7"/>
  <c r="AA206" i="7"/>
  <c r="AA207" i="7"/>
  <c r="I209" i="7"/>
  <c r="T210" i="7"/>
  <c r="U211" i="7"/>
  <c r="AE213" i="7"/>
  <c r="BE213" i="7" s="1"/>
  <c r="U213" i="7"/>
  <c r="T213" i="7"/>
  <c r="P213" i="7"/>
  <c r="AF213" i="7"/>
  <c r="BH213" i="7" s="1"/>
  <c r="I214" i="7"/>
  <c r="BG214" i="7" s="1"/>
  <c r="U214" i="7"/>
  <c r="P214" i="7"/>
  <c r="T219" i="7"/>
  <c r="U220" i="7"/>
  <c r="AA222" i="7"/>
  <c r="AA223" i="7"/>
  <c r="AE225" i="7"/>
  <c r="BE225" i="7" s="1"/>
  <c r="U225" i="7"/>
  <c r="T225" i="7"/>
  <c r="P225" i="7"/>
  <c r="AF225" i="7"/>
  <c r="BH225" i="7" s="1"/>
  <c r="I226" i="7"/>
  <c r="BG226" i="7" s="1"/>
  <c r="U226" i="7"/>
  <c r="P226" i="7"/>
  <c r="T229" i="7"/>
  <c r="I231" i="7"/>
  <c r="T232" i="7"/>
  <c r="U233" i="7"/>
  <c r="T237" i="7"/>
  <c r="I239" i="7"/>
  <c r="BG239" i="7" s="1"/>
  <c r="T240" i="7"/>
  <c r="T241" i="7"/>
  <c r="I243" i="7"/>
  <c r="BG243" i="7" s="1"/>
  <c r="T244" i="7"/>
  <c r="T245" i="7"/>
  <c r="AA247" i="7"/>
  <c r="AE249" i="7"/>
  <c r="BE249" i="7" s="1"/>
  <c r="U249" i="7"/>
  <c r="T249" i="7"/>
  <c r="P249" i="7"/>
  <c r="AF249" i="7"/>
  <c r="BH249" i="7" s="1"/>
  <c r="I250" i="7"/>
  <c r="BG250" i="7" s="1"/>
  <c r="U250" i="7"/>
  <c r="P250" i="7"/>
  <c r="U252" i="7"/>
  <c r="AA254" i="7"/>
  <c r="AA255" i="7"/>
  <c r="AE257" i="7"/>
  <c r="BE257" i="7" s="1"/>
  <c r="U257" i="7"/>
  <c r="T257" i="7"/>
  <c r="P257" i="7"/>
  <c r="AF257" i="7"/>
  <c r="BH257" i="7" s="1"/>
  <c r="I258" i="7"/>
  <c r="BG258" i="7" s="1"/>
  <c r="U258" i="7"/>
  <c r="P258" i="7"/>
  <c r="U260" i="7"/>
  <c r="AA262" i="7"/>
  <c r="AA263" i="7"/>
  <c r="AE265" i="7"/>
  <c r="BE265" i="7" s="1"/>
  <c r="U265" i="7"/>
  <c r="T265" i="7"/>
  <c r="P265" i="7"/>
  <c r="AF265" i="7"/>
  <c r="BH265" i="7" s="1"/>
  <c r="I266" i="7"/>
  <c r="BG266" i="7" s="1"/>
  <c r="U266" i="7"/>
  <c r="P266" i="7"/>
  <c r="U268" i="7"/>
  <c r="AA270" i="7"/>
  <c r="T272" i="7"/>
  <c r="U273" i="7"/>
  <c r="T277" i="7"/>
  <c r="I279" i="7"/>
  <c r="T280" i="7"/>
  <c r="U281" i="7"/>
  <c r="T285" i="7"/>
  <c r="I287" i="7"/>
  <c r="BG287" i="7" s="1"/>
  <c r="T288" i="7"/>
  <c r="I289" i="7"/>
  <c r="BG289" i="7" s="1"/>
  <c r="U289" i="7"/>
  <c r="BG336" i="7"/>
  <c r="U36" i="7"/>
  <c r="AF291" i="7"/>
  <c r="BH291" i="7" s="1"/>
  <c r="P292" i="7"/>
  <c r="T292" i="7"/>
  <c r="U293" i="7"/>
  <c r="AF295" i="7"/>
  <c r="BH295" i="7" s="1"/>
  <c r="P296" i="7"/>
  <c r="T296" i="7"/>
  <c r="U297" i="7"/>
  <c r="AF299" i="7"/>
  <c r="BH299" i="7" s="1"/>
  <c r="P300" i="7"/>
  <c r="T300" i="7"/>
  <c r="U301" i="7"/>
  <c r="AF303" i="7"/>
  <c r="BH303" i="7" s="1"/>
  <c r="P304" i="7"/>
  <c r="T304" i="7"/>
  <c r="U305" i="7"/>
  <c r="AF307" i="7"/>
  <c r="BH307" i="7" s="1"/>
  <c r="P308" i="7"/>
  <c r="T308" i="7"/>
  <c r="U309" i="7"/>
  <c r="Q311" i="7"/>
  <c r="AF313" i="7"/>
  <c r="BH313" i="7" s="1"/>
  <c r="P314" i="7"/>
  <c r="T314" i="7"/>
  <c r="U315" i="7"/>
  <c r="AF317" i="7"/>
  <c r="BH317" i="7" s="1"/>
  <c r="P318" i="7"/>
  <c r="T318" i="7"/>
  <c r="U319" i="7"/>
  <c r="AF321" i="7"/>
  <c r="BH321" i="7" s="1"/>
  <c r="P322" i="7"/>
  <c r="T322" i="7"/>
  <c r="U323" i="7"/>
  <c r="AF325" i="7"/>
  <c r="BH325" i="7" s="1"/>
  <c r="P326" i="7"/>
  <c r="T326" i="7"/>
  <c r="U327" i="7"/>
  <c r="U329" i="7"/>
  <c r="AF331" i="7"/>
  <c r="BH331" i="7" s="1"/>
  <c r="P332" i="7"/>
  <c r="T332" i="7"/>
  <c r="U333" i="7"/>
  <c r="AF335" i="7"/>
  <c r="BH335" i="7" s="1"/>
  <c r="P336" i="7"/>
  <c r="T336" i="7"/>
  <c r="U337" i="7"/>
  <c r="AF338" i="7"/>
  <c r="BH338" i="7" s="1"/>
  <c r="T339" i="7"/>
  <c r="P340" i="7"/>
  <c r="Y473" i="7"/>
  <c r="Z150" i="8"/>
  <c r="V150" i="8"/>
  <c r="X150" i="8"/>
  <c r="Z164" i="8"/>
  <c r="X164" i="8"/>
  <c r="Z172" i="8"/>
  <c r="V172" i="8"/>
  <c r="X172" i="8"/>
  <c r="BG185" i="8"/>
  <c r="K30" i="8"/>
  <c r="Y199" i="8"/>
  <c r="W199" i="8"/>
  <c r="Z199" i="8"/>
  <c r="Y257" i="8"/>
  <c r="Z257" i="8"/>
  <c r="V257" i="8"/>
  <c r="Z266" i="8"/>
  <c r="V266" i="8"/>
  <c r="Z288" i="8"/>
  <c r="V288" i="8"/>
  <c r="X464" i="6"/>
  <c r="X465" i="6" s="1"/>
  <c r="AK464" i="6"/>
  <c r="AK465" i="6" s="1"/>
  <c r="Q473" i="6"/>
  <c r="Q474" i="6" s="1"/>
  <c r="X482" i="6"/>
  <c r="AB482" i="6"/>
  <c r="J486" i="6"/>
  <c r="N486" i="6"/>
  <c r="X490" i="6"/>
  <c r="AB490" i="6"/>
  <c r="X494" i="6"/>
  <c r="X495" i="6" s="1"/>
  <c r="AK495" i="6"/>
  <c r="AK496" i="6" s="1"/>
  <c r="X500" i="6"/>
  <c r="X501" i="6" s="1"/>
  <c r="AK501" i="6"/>
  <c r="AK502" i="6" s="1"/>
  <c r="X357" i="7"/>
  <c r="X354" i="7"/>
  <c r="X355" i="7"/>
  <c r="X356" i="7"/>
  <c r="X358" i="7" s="1"/>
  <c r="Q146" i="7"/>
  <c r="AF148" i="7"/>
  <c r="BH148" i="7" s="1"/>
  <c r="Q150" i="7"/>
  <c r="AF152" i="7"/>
  <c r="BH152" i="7" s="1"/>
  <c r="Q154" i="7"/>
  <c r="AF156" i="7"/>
  <c r="BH156" i="7" s="1"/>
  <c r="AE157" i="7"/>
  <c r="BE157" i="7" s="1"/>
  <c r="AF158" i="7"/>
  <c r="BH158" i="7" s="1"/>
  <c r="Q160" i="7"/>
  <c r="U160" i="7"/>
  <c r="AF162" i="7"/>
  <c r="BH162" i="7" s="1"/>
  <c r="Q164" i="7"/>
  <c r="U164" i="7"/>
  <c r="AF166" i="7"/>
  <c r="BH166" i="7" s="1"/>
  <c r="Q168" i="7"/>
  <c r="U168" i="7"/>
  <c r="AF170" i="7"/>
  <c r="BH170" i="7" s="1"/>
  <c r="Q172" i="7"/>
  <c r="U172" i="7"/>
  <c r="AF174" i="7"/>
  <c r="BH174" i="7" s="1"/>
  <c r="Q176" i="7"/>
  <c r="U176" i="7"/>
  <c r="AF178" i="7"/>
  <c r="BH178" i="7" s="1"/>
  <c r="Q180" i="7"/>
  <c r="U180" i="7"/>
  <c r="AF182" i="7"/>
  <c r="BH182" i="7" s="1"/>
  <c r="Q184" i="7"/>
  <c r="U184" i="7"/>
  <c r="AF186" i="7"/>
  <c r="BH186" i="7" s="1"/>
  <c r="Q188" i="7"/>
  <c r="U188" i="7"/>
  <c r="AF190" i="7"/>
  <c r="BH190" i="7" s="1"/>
  <c r="Q192" i="7"/>
  <c r="U192" i="7"/>
  <c r="AF194" i="7"/>
  <c r="BH194" i="7" s="1"/>
  <c r="Q196" i="7"/>
  <c r="U196" i="7"/>
  <c r="AF198" i="7"/>
  <c r="BH198" i="7" s="1"/>
  <c r="Q200" i="7"/>
  <c r="U200" i="7"/>
  <c r="AE201" i="7"/>
  <c r="BE201" i="7" s="1"/>
  <c r="AF202" i="7"/>
  <c r="BH202" i="7" s="1"/>
  <c r="Q204" i="7"/>
  <c r="U204" i="7"/>
  <c r="Q206" i="7"/>
  <c r="U206" i="7"/>
  <c r="AE207" i="7"/>
  <c r="BE207" i="7" s="1"/>
  <c r="AF208" i="7"/>
  <c r="BH208" i="7" s="1"/>
  <c r="Q210" i="7"/>
  <c r="AE211" i="7"/>
  <c r="BE211" i="7" s="1"/>
  <c r="AF212" i="7"/>
  <c r="BH212" i="7" s="1"/>
  <c r="Q214" i="7"/>
  <c r="AE215" i="7"/>
  <c r="BE215" i="7" s="1"/>
  <c r="AF216" i="7"/>
  <c r="BH216" i="7" s="1"/>
  <c r="Q218" i="7"/>
  <c r="AE219" i="7"/>
  <c r="BE219" i="7" s="1"/>
  <c r="AF220" i="7"/>
  <c r="BH220" i="7" s="1"/>
  <c r="Q222" i="7"/>
  <c r="AF224" i="7"/>
  <c r="BH224" i="7" s="1"/>
  <c r="Q226" i="7"/>
  <c r="Q228" i="7"/>
  <c r="AF230" i="7"/>
  <c r="BH230" i="7" s="1"/>
  <c r="Q232" i="7"/>
  <c r="AF234" i="7"/>
  <c r="BH234" i="7" s="1"/>
  <c r="Q236" i="7"/>
  <c r="AF238" i="7"/>
  <c r="BH238" i="7" s="1"/>
  <c r="Q240" i="7"/>
  <c r="AF242" i="7"/>
  <c r="BH242" i="7" s="1"/>
  <c r="Q244" i="7"/>
  <c r="Q246" i="7"/>
  <c r="AF248" i="7"/>
  <c r="BH248" i="7" s="1"/>
  <c r="Q250" i="7"/>
  <c r="AF252" i="7"/>
  <c r="BH252" i="7" s="1"/>
  <c r="Q254" i="7"/>
  <c r="AF256" i="7"/>
  <c r="BH256" i="7" s="1"/>
  <c r="Q258" i="7"/>
  <c r="AF260" i="7"/>
  <c r="BH260" i="7" s="1"/>
  <c r="Q262" i="7"/>
  <c r="AF264" i="7"/>
  <c r="BH264" i="7" s="1"/>
  <c r="Q266" i="7"/>
  <c r="AF268" i="7"/>
  <c r="BH268" i="7" s="1"/>
  <c r="Q270" i="7"/>
  <c r="Q272" i="7"/>
  <c r="AF274" i="7"/>
  <c r="BH274" i="7" s="1"/>
  <c r="Q276" i="7"/>
  <c r="AF278" i="7"/>
  <c r="BH278" i="7" s="1"/>
  <c r="Q280" i="7"/>
  <c r="AF282" i="7"/>
  <c r="BH282" i="7" s="1"/>
  <c r="Q284" i="7"/>
  <c r="AF286" i="7"/>
  <c r="BH286" i="7" s="1"/>
  <c r="Q288" i="7"/>
  <c r="AF290" i="7"/>
  <c r="BH290" i="7" s="1"/>
  <c r="P291" i="7"/>
  <c r="T291" i="7"/>
  <c r="Q292" i="7"/>
  <c r="U292" i="7"/>
  <c r="AF294" i="7"/>
  <c r="BH294" i="7" s="1"/>
  <c r="P295" i="7"/>
  <c r="T295" i="7"/>
  <c r="Q296" i="7"/>
  <c r="U296" i="7"/>
  <c r="AF298" i="7"/>
  <c r="BH298" i="7" s="1"/>
  <c r="P299" i="7"/>
  <c r="T299" i="7"/>
  <c r="Q300" i="7"/>
  <c r="U300" i="7"/>
  <c r="AF302" i="7"/>
  <c r="BH302" i="7" s="1"/>
  <c r="P303" i="7"/>
  <c r="T303" i="7"/>
  <c r="Q304" i="7"/>
  <c r="U304" i="7"/>
  <c r="AF306" i="7"/>
  <c r="BH306" i="7" s="1"/>
  <c r="P307" i="7"/>
  <c r="T307" i="7"/>
  <c r="Q308" i="7"/>
  <c r="U308" i="7"/>
  <c r="AF310" i="7"/>
  <c r="BH310" i="7" s="1"/>
  <c r="AE311" i="7"/>
  <c r="BE311" i="7" s="1"/>
  <c r="AF312" i="7"/>
  <c r="BH312" i="7" s="1"/>
  <c r="P313" i="7"/>
  <c r="T313" i="7"/>
  <c r="Q314" i="7"/>
  <c r="U314" i="7"/>
  <c r="AF316" i="7"/>
  <c r="BH316" i="7" s="1"/>
  <c r="P317" i="7"/>
  <c r="T317" i="7"/>
  <c r="Q318" i="7"/>
  <c r="U318" i="7"/>
  <c r="AF320" i="7"/>
  <c r="BH320" i="7" s="1"/>
  <c r="P321" i="7"/>
  <c r="T321" i="7"/>
  <c r="Q322" i="7"/>
  <c r="U322" i="7"/>
  <c r="AE323" i="7"/>
  <c r="BE323" i="7" s="1"/>
  <c r="AF324" i="7"/>
  <c r="BH324" i="7" s="1"/>
  <c r="P325" i="7"/>
  <c r="T325" i="7"/>
  <c r="Q326" i="7"/>
  <c r="U326" i="7"/>
  <c r="AE327" i="7"/>
  <c r="BE327" i="7" s="1"/>
  <c r="Q328" i="7"/>
  <c r="AE329" i="7"/>
  <c r="BE329" i="7" s="1"/>
  <c r="AF330" i="7"/>
  <c r="BH330" i="7" s="1"/>
  <c r="P331" i="7"/>
  <c r="T331" i="7"/>
  <c r="Q332" i="7"/>
  <c r="U332" i="7"/>
  <c r="AE333" i="7"/>
  <c r="BE333" i="7" s="1"/>
  <c r="AF334" i="7"/>
  <c r="BH334" i="7" s="1"/>
  <c r="P335" i="7"/>
  <c r="T335" i="7"/>
  <c r="Q336" i="7"/>
  <c r="U336" i="7"/>
  <c r="AE337" i="7"/>
  <c r="BE337" i="7" s="1"/>
  <c r="I339" i="7"/>
  <c r="BG339" i="7" s="1"/>
  <c r="P339" i="7"/>
  <c r="U339" i="7"/>
  <c r="Q340" i="7"/>
  <c r="T341" i="7"/>
  <c r="Y467" i="7"/>
  <c r="I67" i="8"/>
  <c r="Y145" i="8"/>
  <c r="W145" i="8"/>
  <c r="Z145" i="8"/>
  <c r="Z149" i="8"/>
  <c r="BG151" i="8"/>
  <c r="U23" i="8"/>
  <c r="Z160" i="8"/>
  <c r="V160" i="8"/>
  <c r="X160" i="8"/>
  <c r="Y163" i="8"/>
  <c r="W163" i="8"/>
  <c r="Z163" i="8"/>
  <c r="Z168" i="8"/>
  <c r="V168" i="8"/>
  <c r="X168" i="8"/>
  <c r="Y171" i="8"/>
  <c r="W171" i="8"/>
  <c r="Z171" i="8"/>
  <c r="BG173" i="8"/>
  <c r="K28" i="8"/>
  <c r="Z176" i="8"/>
  <c r="V176" i="8"/>
  <c r="X176" i="8"/>
  <c r="Y200" i="8"/>
  <c r="Y213" i="8"/>
  <c r="Z213" i="8"/>
  <c r="Y225" i="8"/>
  <c r="Z225" i="8"/>
  <c r="Y231" i="8"/>
  <c r="Z231" i="8"/>
  <c r="V231" i="8"/>
  <c r="Y249" i="8"/>
  <c r="Z249" i="8"/>
  <c r="V249" i="8"/>
  <c r="BG251" i="8"/>
  <c r="U34" i="8"/>
  <c r="W257" i="8"/>
  <c r="Z265" i="8"/>
  <c r="Z272" i="8"/>
  <c r="V272" i="8"/>
  <c r="Z287" i="8"/>
  <c r="V144" i="7"/>
  <c r="Q145" i="7"/>
  <c r="Y354" i="7"/>
  <c r="Y355" i="7"/>
  <c r="Y356" i="7"/>
  <c r="Y357" i="7"/>
  <c r="AF147" i="7"/>
  <c r="BH147" i="7" s="1"/>
  <c r="P148" i="7"/>
  <c r="T148" i="7"/>
  <c r="Q149" i="7"/>
  <c r="AF151" i="7"/>
  <c r="BH151" i="7" s="1"/>
  <c r="P152" i="7"/>
  <c r="T152" i="7"/>
  <c r="Q153" i="7"/>
  <c r="AF155" i="7"/>
  <c r="BH155" i="7" s="1"/>
  <c r="P156" i="7"/>
  <c r="T156" i="7"/>
  <c r="S157" i="7"/>
  <c r="AZ157" i="7" s="1"/>
  <c r="AF157" i="7"/>
  <c r="BH157" i="7" s="1"/>
  <c r="P158" i="7"/>
  <c r="T158" i="7"/>
  <c r="Q159" i="7"/>
  <c r="AF161" i="7"/>
  <c r="BH161" i="7" s="1"/>
  <c r="P162" i="7"/>
  <c r="T162" i="7"/>
  <c r="Q163" i="7"/>
  <c r="AF165" i="7"/>
  <c r="BH165" i="7" s="1"/>
  <c r="P166" i="7"/>
  <c r="T166" i="7"/>
  <c r="Q167" i="7"/>
  <c r="AF169" i="7"/>
  <c r="BH169" i="7" s="1"/>
  <c r="P170" i="7"/>
  <c r="T170" i="7"/>
  <c r="Q171" i="7"/>
  <c r="AF173" i="7"/>
  <c r="BH173" i="7" s="1"/>
  <c r="P174" i="7"/>
  <c r="T174" i="7"/>
  <c r="Q175" i="7"/>
  <c r="AF177" i="7"/>
  <c r="BH177" i="7" s="1"/>
  <c r="P178" i="7"/>
  <c r="T178" i="7"/>
  <c r="Q179" i="7"/>
  <c r="AF181" i="7"/>
  <c r="BH181" i="7" s="1"/>
  <c r="P182" i="7"/>
  <c r="T182" i="7"/>
  <c r="Q183" i="7"/>
  <c r="AF185" i="7"/>
  <c r="BH185" i="7" s="1"/>
  <c r="P186" i="7"/>
  <c r="T186" i="7"/>
  <c r="Q187" i="7"/>
  <c r="AF189" i="7"/>
  <c r="BH189" i="7" s="1"/>
  <c r="P190" i="7"/>
  <c r="T190" i="7"/>
  <c r="Q191" i="7"/>
  <c r="AF193" i="7"/>
  <c r="BH193" i="7" s="1"/>
  <c r="P194" i="7"/>
  <c r="T194" i="7"/>
  <c r="Q195" i="7"/>
  <c r="AF197" i="7"/>
  <c r="BH197" i="7" s="1"/>
  <c r="P198" i="7"/>
  <c r="T198" i="7"/>
  <c r="Q199" i="7"/>
  <c r="AF201" i="7"/>
  <c r="BH201" i="7" s="1"/>
  <c r="P202" i="7"/>
  <c r="T202" i="7"/>
  <c r="Q203" i="7"/>
  <c r="Q205" i="7"/>
  <c r="AF207" i="7"/>
  <c r="BH207" i="7" s="1"/>
  <c r="P208" i="7"/>
  <c r="T208" i="7"/>
  <c r="Q209" i="7"/>
  <c r="AF211" i="7"/>
  <c r="BH211" i="7" s="1"/>
  <c r="P212" i="7"/>
  <c r="T212" i="7"/>
  <c r="Q213" i="7"/>
  <c r="AF215" i="7"/>
  <c r="BH215" i="7" s="1"/>
  <c r="P216" i="7"/>
  <c r="T216" i="7"/>
  <c r="Q217" i="7"/>
  <c r="AF219" i="7"/>
  <c r="BH219" i="7" s="1"/>
  <c r="P220" i="7"/>
  <c r="T220" i="7"/>
  <c r="Q221" i="7"/>
  <c r="AF223" i="7"/>
  <c r="BH223" i="7" s="1"/>
  <c r="P224" i="7"/>
  <c r="T224" i="7"/>
  <c r="Q225" i="7"/>
  <c r="Q227" i="7"/>
  <c r="AF229" i="7"/>
  <c r="BH229" i="7" s="1"/>
  <c r="P230" i="7"/>
  <c r="T230" i="7"/>
  <c r="Q231" i="7"/>
  <c r="AF233" i="7"/>
  <c r="BH233" i="7" s="1"/>
  <c r="P234" i="7"/>
  <c r="T234" i="7"/>
  <c r="Q235" i="7"/>
  <c r="AF237" i="7"/>
  <c r="BH237" i="7" s="1"/>
  <c r="P238" i="7"/>
  <c r="T238" i="7"/>
  <c r="Q239" i="7"/>
  <c r="AF241" i="7"/>
  <c r="BH241" i="7" s="1"/>
  <c r="P242" i="7"/>
  <c r="T242" i="7"/>
  <c r="Q243" i="7"/>
  <c r="AF245" i="7"/>
  <c r="BH245" i="7" s="1"/>
  <c r="AE246" i="7"/>
  <c r="BE246" i="7" s="1"/>
  <c r="AF247" i="7"/>
  <c r="BH247" i="7" s="1"/>
  <c r="P248" i="7"/>
  <c r="T248" i="7"/>
  <c r="Q249" i="7"/>
  <c r="AF251" i="7"/>
  <c r="BH251" i="7" s="1"/>
  <c r="P252" i="7"/>
  <c r="T252" i="7"/>
  <c r="Q253" i="7"/>
  <c r="AF255" i="7"/>
  <c r="BH255" i="7" s="1"/>
  <c r="P256" i="7"/>
  <c r="T256" i="7"/>
  <c r="Q257" i="7"/>
  <c r="AF259" i="7"/>
  <c r="BH259" i="7" s="1"/>
  <c r="P260" i="7"/>
  <c r="T260" i="7"/>
  <c r="Q261" i="7"/>
  <c r="AF263" i="7"/>
  <c r="BH263" i="7" s="1"/>
  <c r="P264" i="7"/>
  <c r="T264" i="7"/>
  <c r="Q265" i="7"/>
  <c r="AF267" i="7"/>
  <c r="BH267" i="7" s="1"/>
  <c r="P268" i="7"/>
  <c r="T268" i="7"/>
  <c r="Q269" i="7"/>
  <c r="Q271" i="7"/>
  <c r="AF273" i="7"/>
  <c r="BH273" i="7" s="1"/>
  <c r="P274" i="7"/>
  <c r="T274" i="7"/>
  <c r="Q275" i="7"/>
  <c r="AF277" i="7"/>
  <c r="BH277" i="7" s="1"/>
  <c r="P278" i="7"/>
  <c r="T278" i="7"/>
  <c r="Q279" i="7"/>
  <c r="AF281" i="7"/>
  <c r="BH281" i="7" s="1"/>
  <c r="P282" i="7"/>
  <c r="T282" i="7"/>
  <c r="Q283" i="7"/>
  <c r="AF285" i="7"/>
  <c r="BH285" i="7" s="1"/>
  <c r="P286" i="7"/>
  <c r="T286" i="7"/>
  <c r="Q287" i="7"/>
  <c r="AF289" i="7"/>
  <c r="BH289" i="7" s="1"/>
  <c r="P290" i="7"/>
  <c r="T290" i="7"/>
  <c r="Q291" i="7"/>
  <c r="U291" i="7"/>
  <c r="AF293" i="7"/>
  <c r="BH293" i="7" s="1"/>
  <c r="P294" i="7"/>
  <c r="T294" i="7"/>
  <c r="Q295" i="7"/>
  <c r="U295" i="7"/>
  <c r="AF297" i="7"/>
  <c r="BH297" i="7" s="1"/>
  <c r="P298" i="7"/>
  <c r="T298" i="7"/>
  <c r="Q299" i="7"/>
  <c r="U299" i="7"/>
  <c r="AF301" i="7"/>
  <c r="BH301" i="7" s="1"/>
  <c r="P302" i="7"/>
  <c r="T302" i="7"/>
  <c r="Q303" i="7"/>
  <c r="U303" i="7"/>
  <c r="AF305" i="7"/>
  <c r="BH305" i="7" s="1"/>
  <c r="P306" i="7"/>
  <c r="T306" i="7"/>
  <c r="Q307" i="7"/>
  <c r="U307" i="7"/>
  <c r="AF309" i="7"/>
  <c r="BH309" i="7" s="1"/>
  <c r="P310" i="7"/>
  <c r="T310" i="7"/>
  <c r="AF311" i="7"/>
  <c r="BH311" i="7" s="1"/>
  <c r="P312" i="7"/>
  <c r="T312" i="7"/>
  <c r="Q313" i="7"/>
  <c r="U313" i="7"/>
  <c r="AF315" i="7"/>
  <c r="BH315" i="7" s="1"/>
  <c r="P316" i="7"/>
  <c r="T316" i="7"/>
  <c r="Q317" i="7"/>
  <c r="U317" i="7"/>
  <c r="AF319" i="7"/>
  <c r="BH319" i="7" s="1"/>
  <c r="P320" i="7"/>
  <c r="T320" i="7"/>
  <c r="Q321" i="7"/>
  <c r="U321" i="7"/>
  <c r="AF323" i="7"/>
  <c r="BH323" i="7" s="1"/>
  <c r="P324" i="7"/>
  <c r="T324" i="7"/>
  <c r="Q325" i="7"/>
  <c r="U325" i="7"/>
  <c r="AF327" i="7"/>
  <c r="BH327" i="7" s="1"/>
  <c r="AE328" i="7"/>
  <c r="BE328" i="7" s="1"/>
  <c r="AF329" i="7"/>
  <c r="BH329" i="7" s="1"/>
  <c r="P330" i="7"/>
  <c r="T330" i="7"/>
  <c r="Q331" i="7"/>
  <c r="U331" i="7"/>
  <c r="AF333" i="7"/>
  <c r="BH333" i="7" s="1"/>
  <c r="P334" i="7"/>
  <c r="T334" i="7"/>
  <c r="Q335" i="7"/>
  <c r="U335" i="7"/>
  <c r="AF337" i="7"/>
  <c r="BH337" i="7" s="1"/>
  <c r="P338" i="7"/>
  <c r="T338" i="7"/>
  <c r="Q339" i="7"/>
  <c r="I340" i="7"/>
  <c r="BG340" i="7" s="1"/>
  <c r="C536" i="7"/>
  <c r="E533" i="7" s="1"/>
  <c r="C528" i="7"/>
  <c r="C535" i="7"/>
  <c r="C526" i="7"/>
  <c r="Z154" i="8"/>
  <c r="V154" i="8"/>
  <c r="X154" i="8"/>
  <c r="BG161" i="8"/>
  <c r="U24" i="8"/>
  <c r="Y164" i="8"/>
  <c r="Z167" i="8"/>
  <c r="AA167" i="8" s="1"/>
  <c r="Y175" i="8"/>
  <c r="W175" i="8"/>
  <c r="Z175" i="8"/>
  <c r="Y187" i="8"/>
  <c r="W187" i="8"/>
  <c r="Z187" i="8"/>
  <c r="AA188" i="8"/>
  <c r="BG201" i="8"/>
  <c r="K35" i="8"/>
  <c r="Y209" i="8"/>
  <c r="Z209" i="8"/>
  <c r="V209" i="8"/>
  <c r="Y217" i="8"/>
  <c r="Z217" i="8"/>
  <c r="V217" i="8"/>
  <c r="AA225" i="8"/>
  <c r="W231" i="8"/>
  <c r="Y235" i="8"/>
  <c r="Z235" i="8"/>
  <c r="V235" i="8"/>
  <c r="Y243" i="8"/>
  <c r="Z243" i="8"/>
  <c r="W249" i="8"/>
  <c r="W265" i="8"/>
  <c r="Z279" i="8"/>
  <c r="Y287" i="8"/>
  <c r="Y465" i="6"/>
  <c r="Z482" i="6"/>
  <c r="L486" i="6"/>
  <c r="Z490" i="6"/>
  <c r="X492" i="6"/>
  <c r="X493" i="6" s="1"/>
  <c r="AF350" i="7"/>
  <c r="BH350" i="7" s="1"/>
  <c r="AF346" i="7"/>
  <c r="BH346" i="7" s="1"/>
  <c r="AF351" i="7"/>
  <c r="BH351" i="7" s="1"/>
  <c r="AF347" i="7"/>
  <c r="BH347" i="7" s="1"/>
  <c r="AF343" i="7"/>
  <c r="BH343" i="7" s="1"/>
  <c r="AF352" i="7"/>
  <c r="BH352" i="7" s="1"/>
  <c r="AF348" i="7"/>
  <c r="BH348" i="7" s="1"/>
  <c r="AF344" i="7"/>
  <c r="BH344" i="7" s="1"/>
  <c r="AF340" i="7"/>
  <c r="BH340" i="7" s="1"/>
  <c r="AF349" i="7"/>
  <c r="BH349" i="7" s="1"/>
  <c r="AF345" i="7"/>
  <c r="BH345" i="7" s="1"/>
  <c r="AF341" i="7"/>
  <c r="BH341" i="7" s="1"/>
  <c r="V355" i="7"/>
  <c r="V356" i="7"/>
  <c r="V358" i="7" s="1"/>
  <c r="V357" i="7"/>
  <c r="V354" i="7"/>
  <c r="Z355" i="7"/>
  <c r="Z356" i="7"/>
  <c r="Z358" i="7" s="1"/>
  <c r="Z357" i="7"/>
  <c r="Z354" i="7"/>
  <c r="AF146" i="7"/>
  <c r="BH146" i="7" s="1"/>
  <c r="P147" i="7"/>
  <c r="Q147" i="7" s="1"/>
  <c r="Q148" i="7"/>
  <c r="AF150" i="7"/>
  <c r="BH150" i="7" s="1"/>
  <c r="P151" i="7"/>
  <c r="Q151" i="7" s="1"/>
  <c r="Q152" i="7"/>
  <c r="AF154" i="7"/>
  <c r="BH154" i="7" s="1"/>
  <c r="P155" i="7"/>
  <c r="Q155" i="7" s="1"/>
  <c r="Q156" i="7"/>
  <c r="Q158" i="7"/>
  <c r="AF160" i="7"/>
  <c r="BH160" i="7" s="1"/>
  <c r="P161" i="7"/>
  <c r="Q161" i="7" s="1"/>
  <c r="Q162" i="7"/>
  <c r="AF164" i="7"/>
  <c r="BH164" i="7" s="1"/>
  <c r="P165" i="7"/>
  <c r="Q165" i="7" s="1"/>
  <c r="Q166" i="7"/>
  <c r="AF168" i="7"/>
  <c r="BH168" i="7" s="1"/>
  <c r="P169" i="7"/>
  <c r="Q169" i="7" s="1"/>
  <c r="Q170" i="7"/>
  <c r="AF172" i="7"/>
  <c r="BH172" i="7" s="1"/>
  <c r="P173" i="7"/>
  <c r="Q173" i="7" s="1"/>
  <c r="Q174" i="7"/>
  <c r="AF176" i="7"/>
  <c r="BH176" i="7" s="1"/>
  <c r="P177" i="7"/>
  <c r="Q177" i="7" s="1"/>
  <c r="Q178" i="7"/>
  <c r="AF180" i="7"/>
  <c r="BH180" i="7" s="1"/>
  <c r="P181" i="7"/>
  <c r="Q181" i="7" s="1"/>
  <c r="Q182" i="7"/>
  <c r="AF184" i="7"/>
  <c r="BH184" i="7" s="1"/>
  <c r="P185" i="7"/>
  <c r="Q185" i="7" s="1"/>
  <c r="Q186" i="7"/>
  <c r="AF188" i="7"/>
  <c r="BH188" i="7" s="1"/>
  <c r="P189" i="7"/>
  <c r="Q189" i="7" s="1"/>
  <c r="Q190" i="7"/>
  <c r="AF192" i="7"/>
  <c r="BH192" i="7" s="1"/>
  <c r="P193" i="7"/>
  <c r="Q193" i="7" s="1"/>
  <c r="Q194" i="7"/>
  <c r="AF196" i="7"/>
  <c r="BH196" i="7" s="1"/>
  <c r="P197" i="7"/>
  <c r="Q197" i="7" s="1"/>
  <c r="Q198" i="7"/>
  <c r="AF200" i="7"/>
  <c r="BH200" i="7" s="1"/>
  <c r="P201" i="7"/>
  <c r="Q201" i="7" s="1"/>
  <c r="Q202" i="7"/>
  <c r="AF204" i="7"/>
  <c r="BH204" i="7" s="1"/>
  <c r="AE205" i="7"/>
  <c r="BE205" i="7" s="1"/>
  <c r="AF206" i="7"/>
  <c r="BH206" i="7" s="1"/>
  <c r="P207" i="7"/>
  <c r="Q207" i="7" s="1"/>
  <c r="Q208" i="7"/>
  <c r="AF210" i="7"/>
  <c r="BH210" i="7" s="1"/>
  <c r="P211" i="7"/>
  <c r="Q211" i="7" s="1"/>
  <c r="Q212" i="7"/>
  <c r="AF214" i="7"/>
  <c r="BH214" i="7" s="1"/>
  <c r="P215" i="7"/>
  <c r="Q215" i="7" s="1"/>
  <c r="Q216" i="7"/>
  <c r="AF218" i="7"/>
  <c r="BH218" i="7" s="1"/>
  <c r="P219" i="7"/>
  <c r="Q219" i="7" s="1"/>
  <c r="Q220" i="7"/>
  <c r="AF222" i="7"/>
  <c r="BH222" i="7" s="1"/>
  <c r="P223" i="7"/>
  <c r="Q223" i="7" s="1"/>
  <c r="Q224" i="7"/>
  <c r="AF226" i="7"/>
  <c r="BH226" i="7" s="1"/>
  <c r="AE227" i="7"/>
  <c r="BE227" i="7" s="1"/>
  <c r="AF228" i="7"/>
  <c r="BH228" i="7" s="1"/>
  <c r="P229" i="7"/>
  <c r="Q229" i="7" s="1"/>
  <c r="Q230" i="7"/>
  <c r="AF232" i="7"/>
  <c r="BH232" i="7" s="1"/>
  <c r="P233" i="7"/>
  <c r="Q233" i="7" s="1"/>
  <c r="Q234" i="7"/>
  <c r="AF236" i="7"/>
  <c r="BH236" i="7" s="1"/>
  <c r="P237" i="7"/>
  <c r="Q237" i="7" s="1"/>
  <c r="Q238" i="7"/>
  <c r="AF240" i="7"/>
  <c r="BH240" i="7" s="1"/>
  <c r="P241" i="7"/>
  <c r="Q241" i="7" s="1"/>
  <c r="Q242" i="7"/>
  <c r="AF244" i="7"/>
  <c r="BH244" i="7" s="1"/>
  <c r="P245" i="7"/>
  <c r="Q245" i="7" s="1"/>
  <c r="AF246" i="7"/>
  <c r="BH246" i="7" s="1"/>
  <c r="P247" i="7"/>
  <c r="Q247" i="7" s="1"/>
  <c r="Q248" i="7"/>
  <c r="AF250" i="7"/>
  <c r="BH250" i="7" s="1"/>
  <c r="P251" i="7"/>
  <c r="Q251" i="7" s="1"/>
  <c r="Q252" i="7"/>
  <c r="AF254" i="7"/>
  <c r="BH254" i="7" s="1"/>
  <c r="P255" i="7"/>
  <c r="Q255" i="7" s="1"/>
  <c r="Q256" i="7"/>
  <c r="AF258" i="7"/>
  <c r="BH258" i="7" s="1"/>
  <c r="P259" i="7"/>
  <c r="Q259" i="7" s="1"/>
  <c r="Q260" i="7"/>
  <c r="AF262" i="7"/>
  <c r="BH262" i="7" s="1"/>
  <c r="P263" i="7"/>
  <c r="Q263" i="7" s="1"/>
  <c r="Q264" i="7"/>
  <c r="AF266" i="7"/>
  <c r="BH266" i="7" s="1"/>
  <c r="P267" i="7"/>
  <c r="Q267" i="7" s="1"/>
  <c r="Q268" i="7"/>
  <c r="AF270" i="7"/>
  <c r="BH270" i="7" s="1"/>
  <c r="AE271" i="7"/>
  <c r="BE271" i="7" s="1"/>
  <c r="AF272" i="7"/>
  <c r="BH272" i="7" s="1"/>
  <c r="P273" i="7"/>
  <c r="Q273" i="7" s="1"/>
  <c r="Q274" i="7"/>
  <c r="AF276" i="7"/>
  <c r="BH276" i="7" s="1"/>
  <c r="P277" i="7"/>
  <c r="Q277" i="7" s="1"/>
  <c r="Q278" i="7"/>
  <c r="AF280" i="7"/>
  <c r="BH280" i="7" s="1"/>
  <c r="P281" i="7"/>
  <c r="Q281" i="7" s="1"/>
  <c r="Q282" i="7"/>
  <c r="AF284" i="7"/>
  <c r="BH284" i="7" s="1"/>
  <c r="P285" i="7"/>
  <c r="Q285" i="7" s="1"/>
  <c r="Q286" i="7"/>
  <c r="AF288" i="7"/>
  <c r="BH288" i="7" s="1"/>
  <c r="P289" i="7"/>
  <c r="Q289" i="7" s="1"/>
  <c r="Q290" i="7"/>
  <c r="AF292" i="7"/>
  <c r="BH292" i="7" s="1"/>
  <c r="P293" i="7"/>
  <c r="Q293" i="7" s="1"/>
  <c r="Q294" i="7"/>
  <c r="AF296" i="7"/>
  <c r="BH296" i="7" s="1"/>
  <c r="P297" i="7"/>
  <c r="Q297" i="7" s="1"/>
  <c r="Q298" i="7"/>
  <c r="AF300" i="7"/>
  <c r="BH300" i="7" s="1"/>
  <c r="P301" i="7"/>
  <c r="Q301" i="7" s="1"/>
  <c r="Q302" i="7"/>
  <c r="AF304" i="7"/>
  <c r="BH304" i="7" s="1"/>
  <c r="P305" i="7"/>
  <c r="Q305" i="7" s="1"/>
  <c r="Q306" i="7"/>
  <c r="AF308" i="7"/>
  <c r="BH308" i="7" s="1"/>
  <c r="P309" i="7"/>
  <c r="Q309" i="7" s="1"/>
  <c r="Q310" i="7"/>
  <c r="Q312" i="7"/>
  <c r="I313" i="7"/>
  <c r="BG313" i="7" s="1"/>
  <c r="AF314" i="7"/>
  <c r="BH314" i="7" s="1"/>
  <c r="P315" i="7"/>
  <c r="Q315" i="7" s="1"/>
  <c r="Q316" i="7"/>
  <c r="I317" i="7"/>
  <c r="BG317" i="7" s="1"/>
  <c r="AF318" i="7"/>
  <c r="BH318" i="7" s="1"/>
  <c r="P319" i="7"/>
  <c r="Q319" i="7" s="1"/>
  <c r="Q320" i="7"/>
  <c r="I321" i="7"/>
  <c r="BG321" i="7" s="1"/>
  <c r="AF322" i="7"/>
  <c r="BH322" i="7" s="1"/>
  <c r="P323" i="7"/>
  <c r="Q323" i="7" s="1"/>
  <c r="Q324" i="7"/>
  <c r="I325" i="7"/>
  <c r="BG325" i="7" s="1"/>
  <c r="AF326" i="7"/>
  <c r="BH326" i="7" s="1"/>
  <c r="P327" i="7"/>
  <c r="Q327" i="7" s="1"/>
  <c r="AF328" i="7"/>
  <c r="BH328" i="7" s="1"/>
  <c r="P329" i="7"/>
  <c r="Q329" i="7" s="1"/>
  <c r="Q330" i="7"/>
  <c r="I331" i="7"/>
  <c r="BG331" i="7" s="1"/>
  <c r="AF332" i="7"/>
  <c r="BH332" i="7" s="1"/>
  <c r="P333" i="7"/>
  <c r="Q333" i="7" s="1"/>
  <c r="Q334" i="7"/>
  <c r="I335" i="7"/>
  <c r="BG335" i="7" s="1"/>
  <c r="AF336" i="7"/>
  <c r="BH336" i="7" s="1"/>
  <c r="P337" i="7"/>
  <c r="Q337" i="7" s="1"/>
  <c r="Q338" i="7"/>
  <c r="U338" i="7"/>
  <c r="U340" i="7"/>
  <c r="U341" i="7"/>
  <c r="AE342" i="7"/>
  <c r="BE342" i="7" s="1"/>
  <c r="I342" i="7"/>
  <c r="BG342" i="7" s="1"/>
  <c r="U342" i="7"/>
  <c r="T342" i="7"/>
  <c r="P342" i="7"/>
  <c r="Q342" i="7" s="1"/>
  <c r="AF342" i="7"/>
  <c r="BH342" i="7" s="1"/>
  <c r="P343" i="7"/>
  <c r="Q343" i="7" s="1"/>
  <c r="T344" i="7"/>
  <c r="AA344" i="7"/>
  <c r="U345" i="7"/>
  <c r="Y457" i="7"/>
  <c r="AA149" i="8"/>
  <c r="Y153" i="8"/>
  <c r="W153" i="8"/>
  <c r="Z153" i="8"/>
  <c r="BG155" i="8"/>
  <c r="K26" i="8"/>
  <c r="Y179" i="8"/>
  <c r="W179" i="8"/>
  <c r="Z179" i="8"/>
  <c r="Z180" i="8"/>
  <c r="AA180" i="8" s="1"/>
  <c r="Z200" i="8"/>
  <c r="X200" i="8"/>
  <c r="W209" i="8"/>
  <c r="W217" i="8"/>
  <c r="W235" i="8"/>
  <c r="W243" i="8"/>
  <c r="AA243" i="8" s="1"/>
  <c r="Z253" i="8"/>
  <c r="AA253" i="8" s="1"/>
  <c r="Y261" i="8"/>
  <c r="Z261" i="8"/>
  <c r="V261" i="8"/>
  <c r="Z270" i="8"/>
  <c r="V270" i="8"/>
  <c r="Z275" i="8"/>
  <c r="Z276" i="8"/>
  <c r="V276" i="8"/>
  <c r="Y279" i="8"/>
  <c r="Z284" i="8"/>
  <c r="V284" i="8"/>
  <c r="I344" i="7"/>
  <c r="BG344" i="7" s="1"/>
  <c r="AE344" i="7"/>
  <c r="BE344" i="7" s="1"/>
  <c r="P346" i="7"/>
  <c r="Q346" i="7" s="1"/>
  <c r="T346" i="7"/>
  <c r="U347" i="7"/>
  <c r="I348" i="7"/>
  <c r="BG348" i="7" s="1"/>
  <c r="AE348" i="7"/>
  <c r="BE348" i="7" s="1"/>
  <c r="P350" i="7"/>
  <c r="Q350" i="7" s="1"/>
  <c r="T350" i="7"/>
  <c r="U351" i="7"/>
  <c r="I352" i="7"/>
  <c r="AE352" i="7"/>
  <c r="BE352" i="7" s="1"/>
  <c r="AA454" i="7"/>
  <c r="Y459" i="7"/>
  <c r="R461" i="7"/>
  <c r="AE464" i="7"/>
  <c r="AE465" i="7" s="1"/>
  <c r="M466" i="7"/>
  <c r="J470" i="7"/>
  <c r="J471" i="7" s="1"/>
  <c r="AA470" i="7"/>
  <c r="X474" i="7"/>
  <c r="X475" i="7" s="1"/>
  <c r="Q475" i="7"/>
  <c r="Q476" i="7" s="1"/>
  <c r="AK475" i="7"/>
  <c r="AK476" i="7" s="1"/>
  <c r="L476" i="7"/>
  <c r="Z482" i="7"/>
  <c r="L486" i="7"/>
  <c r="AK487" i="7"/>
  <c r="AK488" i="7" s="1"/>
  <c r="J488" i="7"/>
  <c r="J489" i="7" s="1"/>
  <c r="T489" i="7"/>
  <c r="Z490" i="7"/>
  <c r="AK493" i="7"/>
  <c r="AK494" i="7" s="1"/>
  <c r="AE495" i="7"/>
  <c r="AE496" i="7" s="1"/>
  <c r="Y498" i="7"/>
  <c r="F507" i="7"/>
  <c r="M507" i="7" s="1"/>
  <c r="F524" i="7"/>
  <c r="G533" i="7" s="1"/>
  <c r="J524" i="7"/>
  <c r="K533" i="7" s="1"/>
  <c r="C534" i="7"/>
  <c r="L23" i="8"/>
  <c r="L25" i="8"/>
  <c r="L27" i="8"/>
  <c r="V29" i="8"/>
  <c r="L34" i="8"/>
  <c r="V36" i="8"/>
  <c r="V38" i="8"/>
  <c r="AF350" i="8"/>
  <c r="BH350" i="8" s="1"/>
  <c r="AF346" i="8"/>
  <c r="BH346" i="8" s="1"/>
  <c r="AF342" i="8"/>
  <c r="BH342" i="8" s="1"/>
  <c r="AF338" i="8"/>
  <c r="BH338" i="8" s="1"/>
  <c r="AF334" i="8"/>
  <c r="BH334" i="8" s="1"/>
  <c r="AF330" i="8"/>
  <c r="BH330" i="8" s="1"/>
  <c r="Q328" i="8"/>
  <c r="AF324" i="8"/>
  <c r="BH324" i="8" s="1"/>
  <c r="AF320" i="8"/>
  <c r="BH320" i="8" s="1"/>
  <c r="AF316" i="8"/>
  <c r="BH316" i="8" s="1"/>
  <c r="AF312" i="8"/>
  <c r="BH312" i="8" s="1"/>
  <c r="AE311" i="8"/>
  <c r="BE311" i="8" s="1"/>
  <c r="AF310" i="8"/>
  <c r="BH310" i="8" s="1"/>
  <c r="AF306" i="8"/>
  <c r="BH306" i="8" s="1"/>
  <c r="Q304" i="8"/>
  <c r="AF302" i="8"/>
  <c r="BH302" i="8" s="1"/>
  <c r="AF298" i="8"/>
  <c r="BH298" i="8" s="1"/>
  <c r="AF294" i="8"/>
  <c r="BH294" i="8" s="1"/>
  <c r="AF351" i="8"/>
  <c r="BH351" i="8" s="1"/>
  <c r="AF347" i="8"/>
  <c r="BH347" i="8" s="1"/>
  <c r="AF343" i="8"/>
  <c r="BH343" i="8" s="1"/>
  <c r="AF339" i="8"/>
  <c r="BH339" i="8" s="1"/>
  <c r="AF335" i="8"/>
  <c r="BH335" i="8" s="1"/>
  <c r="AF331" i="8"/>
  <c r="BH331" i="8" s="1"/>
  <c r="AF325" i="8"/>
  <c r="BH325" i="8" s="1"/>
  <c r="AF321" i="8"/>
  <c r="BH321" i="8" s="1"/>
  <c r="AF317" i="8"/>
  <c r="BH317" i="8" s="1"/>
  <c r="AF313" i="8"/>
  <c r="BH313" i="8" s="1"/>
  <c r="Q311" i="8"/>
  <c r="AF352" i="8"/>
  <c r="BH352" i="8" s="1"/>
  <c r="AF348" i="8"/>
  <c r="BH348" i="8" s="1"/>
  <c r="AF344" i="8"/>
  <c r="BH344" i="8" s="1"/>
  <c r="AF340" i="8"/>
  <c r="BH340" i="8" s="1"/>
  <c r="AF336" i="8"/>
  <c r="BH336" i="8" s="1"/>
  <c r="AF332" i="8"/>
  <c r="BH332" i="8" s="1"/>
  <c r="AF328" i="8"/>
  <c r="BH328" i="8" s="1"/>
  <c r="AF326" i="8"/>
  <c r="BH326" i="8" s="1"/>
  <c r="AF322" i="8"/>
  <c r="BH322" i="8" s="1"/>
  <c r="AF318" i="8"/>
  <c r="BH318" i="8" s="1"/>
  <c r="AF314" i="8"/>
  <c r="BH314" i="8" s="1"/>
  <c r="AF308" i="8"/>
  <c r="BH308" i="8" s="1"/>
  <c r="AF304" i="8"/>
  <c r="BH304" i="8" s="1"/>
  <c r="AF300" i="8"/>
  <c r="BH300" i="8" s="1"/>
  <c r="AF296" i="8"/>
  <c r="BH296" i="8" s="1"/>
  <c r="AF292" i="8"/>
  <c r="BH292" i="8" s="1"/>
  <c r="AF349" i="8"/>
  <c r="BH349" i="8" s="1"/>
  <c r="AF345" i="8"/>
  <c r="BH345" i="8" s="1"/>
  <c r="AF341" i="8"/>
  <c r="BH341" i="8" s="1"/>
  <c r="AF337" i="8"/>
  <c r="BH337" i="8" s="1"/>
  <c r="AF333" i="8"/>
  <c r="BH333" i="8" s="1"/>
  <c r="AF329" i="8"/>
  <c r="BH329" i="8" s="1"/>
  <c r="I145" i="8"/>
  <c r="V145" i="8"/>
  <c r="AE145" i="8"/>
  <c r="BE145" i="8" s="1"/>
  <c r="AF146" i="8"/>
  <c r="BH146" i="8" s="1"/>
  <c r="P147" i="8"/>
  <c r="T147" i="8"/>
  <c r="X147" i="8" s="1"/>
  <c r="U148" i="8"/>
  <c r="I149" i="8"/>
  <c r="BG149" i="8" s="1"/>
  <c r="AE149" i="8"/>
  <c r="BE149" i="8" s="1"/>
  <c r="W150" i="8"/>
  <c r="AF150" i="8"/>
  <c r="BH150" i="8" s="1"/>
  <c r="P151" i="8"/>
  <c r="T151" i="8"/>
  <c r="U152" i="8"/>
  <c r="X152" i="8" s="1"/>
  <c r="I153" i="8"/>
  <c r="V153" i="8"/>
  <c r="AE153" i="8"/>
  <c r="BE153" i="8" s="1"/>
  <c r="W154" i="8"/>
  <c r="AF154" i="8"/>
  <c r="BH154" i="8" s="1"/>
  <c r="P155" i="8"/>
  <c r="T155" i="8"/>
  <c r="U156" i="8"/>
  <c r="U158" i="8"/>
  <c r="X158" i="8" s="1"/>
  <c r="I159" i="8"/>
  <c r="BG159" i="8" s="1"/>
  <c r="AE159" i="8"/>
  <c r="BE159" i="8" s="1"/>
  <c r="W160" i="8"/>
  <c r="AF160" i="8"/>
  <c r="BH160" i="8" s="1"/>
  <c r="P161" i="8"/>
  <c r="T161" i="8"/>
  <c r="U162" i="8"/>
  <c r="Y162" i="8" s="1"/>
  <c r="I163" i="8"/>
  <c r="BG163" i="8" s="1"/>
  <c r="V163" i="8"/>
  <c r="AE163" i="8"/>
  <c r="BE163" i="8" s="1"/>
  <c r="W164" i="8"/>
  <c r="AA164" i="8" s="1"/>
  <c r="AF164" i="8"/>
  <c r="BH164" i="8" s="1"/>
  <c r="P165" i="8"/>
  <c r="T165" i="8"/>
  <c r="X165" i="8" s="1"/>
  <c r="U166" i="8"/>
  <c r="X166" i="8" s="1"/>
  <c r="I167" i="8"/>
  <c r="AE167" i="8"/>
  <c r="BE167" i="8" s="1"/>
  <c r="W168" i="8"/>
  <c r="AF168" i="8"/>
  <c r="BH168" i="8" s="1"/>
  <c r="P169" i="8"/>
  <c r="T169" i="8"/>
  <c r="X169" i="8" s="1"/>
  <c r="U170" i="8"/>
  <c r="I171" i="8"/>
  <c r="V171" i="8"/>
  <c r="AE171" i="8"/>
  <c r="BE171" i="8" s="1"/>
  <c r="W172" i="8"/>
  <c r="AF172" i="8"/>
  <c r="BH172" i="8" s="1"/>
  <c r="P173" i="8"/>
  <c r="T173" i="8"/>
  <c r="U174" i="8"/>
  <c r="X174" i="8" s="1"/>
  <c r="I175" i="8"/>
  <c r="BG175" i="8" s="1"/>
  <c r="V175" i="8"/>
  <c r="AE175" i="8"/>
  <c r="BE175" i="8" s="1"/>
  <c r="W176" i="8"/>
  <c r="AF176" i="8"/>
  <c r="BH176" i="8" s="1"/>
  <c r="P177" i="8"/>
  <c r="T177" i="8"/>
  <c r="U178" i="8"/>
  <c r="X178" i="8" s="1"/>
  <c r="I179" i="8"/>
  <c r="BG179" i="8" s="1"/>
  <c r="AE179" i="8"/>
  <c r="BE179" i="8" s="1"/>
  <c r="AF180" i="8"/>
  <c r="BH180" i="8" s="1"/>
  <c r="P181" i="8"/>
  <c r="T181" i="8"/>
  <c r="U182" i="8"/>
  <c r="I183" i="8"/>
  <c r="BG183" i="8" s="1"/>
  <c r="AE183" i="8"/>
  <c r="BE183" i="8" s="1"/>
  <c r="AF184" i="8"/>
  <c r="BH184" i="8" s="1"/>
  <c r="P185" i="8"/>
  <c r="T185" i="8"/>
  <c r="U186" i="8"/>
  <c r="X186" i="8" s="1"/>
  <c r="I187" i="8"/>
  <c r="AE187" i="8"/>
  <c r="BE187" i="8" s="1"/>
  <c r="AF188" i="8"/>
  <c r="BH188" i="8" s="1"/>
  <c r="P189" i="8"/>
  <c r="T189" i="8"/>
  <c r="X189" i="8" s="1"/>
  <c r="U190" i="8"/>
  <c r="X190" i="8" s="1"/>
  <c r="I191" i="8"/>
  <c r="BG191" i="8" s="1"/>
  <c r="AE191" i="8"/>
  <c r="BE191" i="8" s="1"/>
  <c r="AF192" i="8"/>
  <c r="BH192" i="8" s="1"/>
  <c r="P193" i="8"/>
  <c r="T193" i="8"/>
  <c r="U194" i="8"/>
  <c r="I195" i="8"/>
  <c r="AE195" i="8"/>
  <c r="BE195" i="8" s="1"/>
  <c r="AF196" i="8"/>
  <c r="BH196" i="8" s="1"/>
  <c r="P197" i="8"/>
  <c r="T197" i="8"/>
  <c r="U198" i="8"/>
  <c r="I199" i="8"/>
  <c r="V199" i="8"/>
  <c r="AE199" i="8"/>
  <c r="BE199" i="8" s="1"/>
  <c r="W200" i="8"/>
  <c r="AA200" i="8" s="1"/>
  <c r="AF200" i="8"/>
  <c r="BH200" i="8" s="1"/>
  <c r="P201" i="8"/>
  <c r="T201" i="8"/>
  <c r="Z201" i="8" s="1"/>
  <c r="AA201" i="8" s="1"/>
  <c r="U202" i="8"/>
  <c r="I203" i="8"/>
  <c r="AE203" i="8"/>
  <c r="BE203" i="8" s="1"/>
  <c r="AF204" i="8"/>
  <c r="BH204" i="8" s="1"/>
  <c r="AE205" i="8"/>
  <c r="BE205" i="8" s="1"/>
  <c r="AF206" i="8"/>
  <c r="BH206" i="8" s="1"/>
  <c r="P207" i="8"/>
  <c r="T207" i="8"/>
  <c r="U208" i="8"/>
  <c r="X208" i="8" s="1"/>
  <c r="I209" i="8"/>
  <c r="AE209" i="8"/>
  <c r="BE209" i="8" s="1"/>
  <c r="AF210" i="8"/>
  <c r="BH210" i="8" s="1"/>
  <c r="P211" i="8"/>
  <c r="T211" i="8"/>
  <c r="U212" i="8"/>
  <c r="X212" i="8" s="1"/>
  <c r="I213" i="8"/>
  <c r="BG213" i="8" s="1"/>
  <c r="AF214" i="8"/>
  <c r="BH214" i="8" s="1"/>
  <c r="P215" i="8"/>
  <c r="T215" i="8"/>
  <c r="U216" i="8"/>
  <c r="Z216" i="8" s="1"/>
  <c r="I217" i="8"/>
  <c r="BG217" i="8" s="1"/>
  <c r="AE217" i="8"/>
  <c r="BE217" i="8" s="1"/>
  <c r="AF218" i="8"/>
  <c r="BH218" i="8" s="1"/>
  <c r="P219" i="8"/>
  <c r="T219" i="8"/>
  <c r="Z219" i="8" s="1"/>
  <c r="U220" i="8"/>
  <c r="I221" i="8"/>
  <c r="BG221" i="8" s="1"/>
  <c r="AF222" i="8"/>
  <c r="BH222" i="8" s="1"/>
  <c r="P223" i="8"/>
  <c r="T223" i="8"/>
  <c r="U224" i="8"/>
  <c r="X224" i="8" s="1"/>
  <c r="I225" i="8"/>
  <c r="BG225" i="8" s="1"/>
  <c r="AF226" i="8"/>
  <c r="BH226" i="8" s="1"/>
  <c r="V227" i="8"/>
  <c r="Z227" i="8"/>
  <c r="AE227" i="8"/>
  <c r="BE227" i="8" s="1"/>
  <c r="AF228" i="8"/>
  <c r="BH228" i="8" s="1"/>
  <c r="P229" i="8"/>
  <c r="T229" i="8"/>
  <c r="Z229" i="8" s="1"/>
  <c r="U230" i="8"/>
  <c r="X230" i="8" s="1"/>
  <c r="I231" i="8"/>
  <c r="AE231" i="8"/>
  <c r="BE231" i="8" s="1"/>
  <c r="AF232" i="8"/>
  <c r="BH232" i="8" s="1"/>
  <c r="P233" i="8"/>
  <c r="T233" i="8"/>
  <c r="Y233" i="8" s="1"/>
  <c r="U234" i="8"/>
  <c r="X234" i="8" s="1"/>
  <c r="I235" i="8"/>
  <c r="AE235" i="8"/>
  <c r="BE235" i="8" s="1"/>
  <c r="AF236" i="8"/>
  <c r="BH236" i="8" s="1"/>
  <c r="P237" i="8"/>
  <c r="T237" i="8"/>
  <c r="U238" i="8"/>
  <c r="I239" i="8"/>
  <c r="BG239" i="8" s="1"/>
  <c r="AF240" i="8"/>
  <c r="BH240" i="8" s="1"/>
  <c r="P241" i="8"/>
  <c r="T241" i="8"/>
  <c r="Y241" i="8" s="1"/>
  <c r="U242" i="8"/>
  <c r="I243" i="8"/>
  <c r="BG243" i="8" s="1"/>
  <c r="AF244" i="8"/>
  <c r="BH244" i="8" s="1"/>
  <c r="P245" i="8"/>
  <c r="T245" i="8"/>
  <c r="AF246" i="8"/>
  <c r="BH246" i="8" s="1"/>
  <c r="P247" i="8"/>
  <c r="T247" i="8"/>
  <c r="U248" i="8"/>
  <c r="Y248" i="8" s="1"/>
  <c r="I249" i="8"/>
  <c r="BG249" i="8" s="1"/>
  <c r="AE249" i="8"/>
  <c r="BE249" i="8" s="1"/>
  <c r="AF250" i="8"/>
  <c r="BH250" i="8" s="1"/>
  <c r="P251" i="8"/>
  <c r="T251" i="8"/>
  <c r="U252" i="8"/>
  <c r="Z252" i="8" s="1"/>
  <c r="I253" i="8"/>
  <c r="BG253" i="8" s="1"/>
  <c r="AF254" i="8"/>
  <c r="BH254" i="8" s="1"/>
  <c r="P255" i="8"/>
  <c r="T255" i="8"/>
  <c r="X255" i="8" s="1"/>
  <c r="U256" i="8"/>
  <c r="X256" i="8" s="1"/>
  <c r="I257" i="8"/>
  <c r="BG257" i="8" s="1"/>
  <c r="AE257" i="8"/>
  <c r="BE257" i="8" s="1"/>
  <c r="AF258" i="8"/>
  <c r="BH258" i="8" s="1"/>
  <c r="P259" i="8"/>
  <c r="T259" i="8"/>
  <c r="U260" i="8"/>
  <c r="X260" i="8" s="1"/>
  <c r="I261" i="8"/>
  <c r="BG261" i="8" s="1"/>
  <c r="AE261" i="8"/>
  <c r="BE261" i="8" s="1"/>
  <c r="AF262" i="8"/>
  <c r="BH262" i="8" s="1"/>
  <c r="P263" i="8"/>
  <c r="T263" i="8"/>
  <c r="X263" i="8" s="1"/>
  <c r="U264" i="8"/>
  <c r="Z264" i="8" s="1"/>
  <c r="I265" i="8"/>
  <c r="BG265" i="8" s="1"/>
  <c r="V265" i="8"/>
  <c r="AE265" i="8"/>
  <c r="BE265" i="8" s="1"/>
  <c r="W266" i="8"/>
  <c r="AF266" i="8"/>
  <c r="BH266" i="8" s="1"/>
  <c r="P267" i="8"/>
  <c r="T267" i="8"/>
  <c r="U268" i="8"/>
  <c r="Z268" i="8" s="1"/>
  <c r="I269" i="8"/>
  <c r="BG269" i="8" s="1"/>
  <c r="V269" i="8"/>
  <c r="W270" i="8"/>
  <c r="AF270" i="8"/>
  <c r="BH270" i="8" s="1"/>
  <c r="V271" i="8"/>
  <c r="Z271" i="8"/>
  <c r="AE271" i="8"/>
  <c r="BE271" i="8" s="1"/>
  <c r="W272" i="8"/>
  <c r="AF272" i="8"/>
  <c r="BH272" i="8" s="1"/>
  <c r="P273" i="8"/>
  <c r="T273" i="8"/>
  <c r="U274" i="8"/>
  <c r="I275" i="8"/>
  <c r="BG275" i="8" s="1"/>
  <c r="V275" i="8"/>
  <c r="W276" i="8"/>
  <c r="AF276" i="8"/>
  <c r="BH276" i="8" s="1"/>
  <c r="P277" i="8"/>
  <c r="T277" i="8"/>
  <c r="Z277" i="8" s="1"/>
  <c r="U278" i="8"/>
  <c r="I279" i="8"/>
  <c r="V279" i="8"/>
  <c r="AF280" i="8"/>
  <c r="BH280" i="8" s="1"/>
  <c r="P281" i="8"/>
  <c r="T281" i="8"/>
  <c r="U282" i="8"/>
  <c r="Y282" i="8" s="1"/>
  <c r="I283" i="8"/>
  <c r="BG283" i="8" s="1"/>
  <c r="W284" i="8"/>
  <c r="AF284" i="8"/>
  <c r="BH284" i="8" s="1"/>
  <c r="P285" i="8"/>
  <c r="T285" i="8"/>
  <c r="X285" i="8" s="1"/>
  <c r="U286" i="8"/>
  <c r="Y286" i="8" s="1"/>
  <c r="I287" i="8"/>
  <c r="BG287" i="8" s="1"/>
  <c r="V287" i="8"/>
  <c r="W288" i="8"/>
  <c r="AF288" i="8"/>
  <c r="BH288" i="8" s="1"/>
  <c r="P289" i="8"/>
  <c r="T289" i="8"/>
  <c r="Z289" i="8" s="1"/>
  <c r="AA289" i="8" s="1"/>
  <c r="U290" i="8"/>
  <c r="P292" i="8"/>
  <c r="Q292" i="8" s="1"/>
  <c r="AF293" i="8"/>
  <c r="BH293" i="8" s="1"/>
  <c r="T295" i="8"/>
  <c r="P295" i="8"/>
  <c r="AE295" i="8"/>
  <c r="BE295" i="8" s="1"/>
  <c r="V295" i="8"/>
  <c r="I295" i="8"/>
  <c r="BG295" i="8" s="1"/>
  <c r="Z295" i="8"/>
  <c r="AF295" i="8"/>
  <c r="BH295" i="8" s="1"/>
  <c r="AE297" i="8"/>
  <c r="BE297" i="8" s="1"/>
  <c r="T297" i="8"/>
  <c r="P297" i="8"/>
  <c r="I298" i="8"/>
  <c r="BG298" i="8" s="1"/>
  <c r="T298" i="8"/>
  <c r="P300" i="8"/>
  <c r="Q300" i="8" s="1"/>
  <c r="U302" i="8"/>
  <c r="P302" i="8"/>
  <c r="Q302" i="8" s="1"/>
  <c r="AF305" i="8"/>
  <c r="BH305" i="8" s="1"/>
  <c r="U308" i="8"/>
  <c r="AA310" i="8"/>
  <c r="AF311" i="8"/>
  <c r="BH311" i="8" s="1"/>
  <c r="W312" i="8"/>
  <c r="AE312" i="8"/>
  <c r="BE312" i="8" s="1"/>
  <c r="I312" i="8"/>
  <c r="BG312" i="8" s="1"/>
  <c r="U312" i="8"/>
  <c r="X312" i="8" s="1"/>
  <c r="P312" i="8"/>
  <c r="Q312" i="8" s="1"/>
  <c r="T314" i="8"/>
  <c r="X317" i="8"/>
  <c r="U317" i="8"/>
  <c r="AF319" i="8"/>
  <c r="BH319" i="8" s="1"/>
  <c r="I320" i="8"/>
  <c r="BG320" i="8" s="1"/>
  <c r="U320" i="8"/>
  <c r="W320" i="8" s="1"/>
  <c r="AA320" i="8" s="1"/>
  <c r="P320" i="8"/>
  <c r="Q320" i="8" s="1"/>
  <c r="U322" i="8"/>
  <c r="I323" i="8"/>
  <c r="BG323" i="8" s="1"/>
  <c r="Y332" i="8"/>
  <c r="X336" i="8"/>
  <c r="Z336" i="8"/>
  <c r="V336" i="8"/>
  <c r="V340" i="8"/>
  <c r="AA340" i="8" s="1"/>
  <c r="V348" i="8"/>
  <c r="AA348" i="8" s="1"/>
  <c r="C525" i="8"/>
  <c r="C534" i="8"/>
  <c r="C537" i="8"/>
  <c r="F533" i="8" s="1"/>
  <c r="C529" i="8"/>
  <c r="X145" i="9"/>
  <c r="Z145" i="9"/>
  <c r="V145" i="9"/>
  <c r="Y149" i="9"/>
  <c r="X153" i="9"/>
  <c r="Z153" i="9"/>
  <c r="V153" i="9"/>
  <c r="Y162" i="9"/>
  <c r="Z162" i="9"/>
  <c r="Z179" i="9"/>
  <c r="V179" i="9"/>
  <c r="Y183" i="9"/>
  <c r="AA187" i="9"/>
  <c r="P341" i="7"/>
  <c r="Q341" i="7" s="1"/>
  <c r="P345" i="7"/>
  <c r="Q345" i="7" s="1"/>
  <c r="T345" i="7"/>
  <c r="U346" i="7"/>
  <c r="I347" i="7"/>
  <c r="BG347" i="7" s="1"/>
  <c r="P349" i="7"/>
  <c r="Q349" i="7" s="1"/>
  <c r="U350" i="7"/>
  <c r="I351" i="7"/>
  <c r="P353" i="7"/>
  <c r="Q353" i="7" s="1"/>
  <c r="R353" i="7" s="1"/>
  <c r="M476" i="7"/>
  <c r="AA482" i="7"/>
  <c r="X484" i="7"/>
  <c r="X485" i="7" s="1"/>
  <c r="M486" i="7"/>
  <c r="AA490" i="7"/>
  <c r="Y501" i="7"/>
  <c r="G507" i="7"/>
  <c r="N507" i="7" s="1"/>
  <c r="C515" i="7"/>
  <c r="G524" i="7"/>
  <c r="H533" i="7" s="1"/>
  <c r="C529" i="7"/>
  <c r="AF145" i="8"/>
  <c r="BH145" i="8" s="1"/>
  <c r="P146" i="8"/>
  <c r="T146" i="8"/>
  <c r="W146" i="8" s="1"/>
  <c r="Q147" i="8"/>
  <c r="U147" i="8"/>
  <c r="I148" i="8"/>
  <c r="BG148" i="8" s="1"/>
  <c r="AF149" i="8"/>
  <c r="BH149" i="8" s="1"/>
  <c r="P150" i="8"/>
  <c r="Q151" i="8"/>
  <c r="U151" i="8"/>
  <c r="I152" i="8"/>
  <c r="BG152" i="8" s="1"/>
  <c r="AE152" i="8"/>
  <c r="BE152" i="8" s="1"/>
  <c r="AF153" i="8"/>
  <c r="BH153" i="8" s="1"/>
  <c r="P154" i="8"/>
  <c r="Q155" i="8"/>
  <c r="U155" i="8"/>
  <c r="I156" i="8"/>
  <c r="BG156" i="8" s="1"/>
  <c r="Q157" i="8"/>
  <c r="I158" i="8"/>
  <c r="BG158" i="8" s="1"/>
  <c r="AE158" i="8"/>
  <c r="BE158" i="8" s="1"/>
  <c r="AF159" i="8"/>
  <c r="BH159" i="8" s="1"/>
  <c r="P160" i="8"/>
  <c r="Q161" i="8"/>
  <c r="U161" i="8"/>
  <c r="I162" i="8"/>
  <c r="AF163" i="8"/>
  <c r="BH163" i="8" s="1"/>
  <c r="P164" i="8"/>
  <c r="Q165" i="8"/>
  <c r="U165" i="8"/>
  <c r="I166" i="8"/>
  <c r="BG166" i="8" s="1"/>
  <c r="AF167" i="8"/>
  <c r="BH167" i="8" s="1"/>
  <c r="P168" i="8"/>
  <c r="Q169" i="8"/>
  <c r="U169" i="8"/>
  <c r="I170" i="8"/>
  <c r="AF171" i="8"/>
  <c r="BH171" i="8" s="1"/>
  <c r="P172" i="8"/>
  <c r="Q173" i="8"/>
  <c r="U173" i="8"/>
  <c r="I174" i="8"/>
  <c r="AE174" i="8"/>
  <c r="BE174" i="8" s="1"/>
  <c r="AF175" i="8"/>
  <c r="BH175" i="8" s="1"/>
  <c r="P176" i="8"/>
  <c r="Q177" i="8"/>
  <c r="U177" i="8"/>
  <c r="I178" i="8"/>
  <c r="AE178" i="8"/>
  <c r="BE178" i="8" s="1"/>
  <c r="AF179" i="8"/>
  <c r="BH179" i="8" s="1"/>
  <c r="P180" i="8"/>
  <c r="Q181" i="8"/>
  <c r="U181" i="8"/>
  <c r="I182" i="8"/>
  <c r="BG182" i="8" s="1"/>
  <c r="AF183" i="8"/>
  <c r="BH183" i="8" s="1"/>
  <c r="P184" i="8"/>
  <c r="Q185" i="8"/>
  <c r="U185" i="8"/>
  <c r="I186" i="8"/>
  <c r="AE186" i="8"/>
  <c r="BE186" i="8" s="1"/>
  <c r="AF187" i="8"/>
  <c r="BH187" i="8" s="1"/>
  <c r="P188" i="8"/>
  <c r="Q189" i="8"/>
  <c r="U189" i="8"/>
  <c r="I190" i="8"/>
  <c r="BG190" i="8" s="1"/>
  <c r="AE190" i="8"/>
  <c r="BE190" i="8" s="1"/>
  <c r="AF191" i="8"/>
  <c r="BH191" i="8" s="1"/>
  <c r="P192" i="8"/>
  <c r="T192" i="8"/>
  <c r="Q193" i="8"/>
  <c r="U193" i="8"/>
  <c r="I194" i="8"/>
  <c r="BG194" i="8" s="1"/>
  <c r="AF195" i="8"/>
  <c r="BH195" i="8" s="1"/>
  <c r="P196" i="8"/>
  <c r="Q197" i="8"/>
  <c r="U197" i="8"/>
  <c r="I198" i="8"/>
  <c r="BG198" i="8" s="1"/>
  <c r="AF199" i="8"/>
  <c r="BH199" i="8" s="1"/>
  <c r="P200" i="8"/>
  <c r="Q201" i="8"/>
  <c r="U201" i="8"/>
  <c r="I202" i="8"/>
  <c r="AF203" i="8"/>
  <c r="BH203" i="8" s="1"/>
  <c r="P204" i="8"/>
  <c r="AF205" i="8"/>
  <c r="BH205" i="8" s="1"/>
  <c r="P206" i="8"/>
  <c r="Q207" i="8"/>
  <c r="U207" i="8"/>
  <c r="I208" i="8"/>
  <c r="BG208" i="8" s="1"/>
  <c r="V208" i="8"/>
  <c r="AF209" i="8"/>
  <c r="BH209" i="8" s="1"/>
  <c r="P210" i="8"/>
  <c r="T210" i="8"/>
  <c r="X210" i="8" s="1"/>
  <c r="Q211" i="8"/>
  <c r="U211" i="8"/>
  <c r="I212" i="8"/>
  <c r="BG212" i="8" s="1"/>
  <c r="V212" i="8"/>
  <c r="AF213" i="8"/>
  <c r="BH213" i="8" s="1"/>
  <c r="P214" i="8"/>
  <c r="T214" i="8"/>
  <c r="Q215" i="8"/>
  <c r="U215" i="8"/>
  <c r="I216" i="8"/>
  <c r="BG216" i="8" s="1"/>
  <c r="V216" i="8"/>
  <c r="AF217" i="8"/>
  <c r="BH217" i="8" s="1"/>
  <c r="P218" i="8"/>
  <c r="T218" i="8"/>
  <c r="Y218" i="8" s="1"/>
  <c r="Q219" i="8"/>
  <c r="U219" i="8"/>
  <c r="I220" i="8"/>
  <c r="BG220" i="8" s="1"/>
  <c r="AF221" i="8"/>
  <c r="BH221" i="8" s="1"/>
  <c r="P222" i="8"/>
  <c r="T222" i="8"/>
  <c r="Q223" i="8"/>
  <c r="U223" i="8"/>
  <c r="I224" i="8"/>
  <c r="BG224" i="8" s="1"/>
  <c r="V224" i="8"/>
  <c r="AF225" i="8"/>
  <c r="BH225" i="8" s="1"/>
  <c r="P226" i="8"/>
  <c r="T226" i="8"/>
  <c r="W227" i="8"/>
  <c r="AF227" i="8"/>
  <c r="BH227" i="8" s="1"/>
  <c r="P228" i="8"/>
  <c r="T228" i="8"/>
  <c r="Q229" i="8"/>
  <c r="U229" i="8"/>
  <c r="I230" i="8"/>
  <c r="BG230" i="8" s="1"/>
  <c r="AF231" i="8"/>
  <c r="BH231" i="8" s="1"/>
  <c r="P232" i="8"/>
  <c r="T232" i="8"/>
  <c r="Q233" i="8"/>
  <c r="U233" i="8"/>
  <c r="I234" i="8"/>
  <c r="BG234" i="8" s="1"/>
  <c r="V234" i="8"/>
  <c r="AF235" i="8"/>
  <c r="BH235" i="8" s="1"/>
  <c r="P236" i="8"/>
  <c r="T236" i="8"/>
  <c r="Q237" i="8"/>
  <c r="U237" i="8"/>
  <c r="I238" i="8"/>
  <c r="BG238" i="8" s="1"/>
  <c r="AF239" i="8"/>
  <c r="BH239" i="8" s="1"/>
  <c r="P240" i="8"/>
  <c r="T240" i="8"/>
  <c r="Q241" i="8"/>
  <c r="U241" i="8"/>
  <c r="I242" i="8"/>
  <c r="BG242" i="8" s="1"/>
  <c r="AF243" i="8"/>
  <c r="BH243" i="8" s="1"/>
  <c r="P244" i="8"/>
  <c r="T244" i="8"/>
  <c r="Q245" i="8"/>
  <c r="U245" i="8"/>
  <c r="X246" i="8"/>
  <c r="AA246" i="8" s="1"/>
  <c r="Q247" i="8"/>
  <c r="U247" i="8"/>
  <c r="I248" i="8"/>
  <c r="BG248" i="8" s="1"/>
  <c r="V248" i="8"/>
  <c r="AF249" i="8"/>
  <c r="BH249" i="8" s="1"/>
  <c r="P250" i="8"/>
  <c r="T250" i="8"/>
  <c r="Q251" i="8"/>
  <c r="U251" i="8"/>
  <c r="I252" i="8"/>
  <c r="BG252" i="8" s="1"/>
  <c r="AF253" i="8"/>
  <c r="BH253" i="8" s="1"/>
  <c r="P254" i="8"/>
  <c r="T254" i="8"/>
  <c r="Q255" i="8"/>
  <c r="U255" i="8"/>
  <c r="I256" i="8"/>
  <c r="BG256" i="8" s="1"/>
  <c r="V256" i="8"/>
  <c r="AF257" i="8"/>
  <c r="BH257" i="8" s="1"/>
  <c r="P258" i="8"/>
  <c r="T258" i="8"/>
  <c r="Q259" i="8"/>
  <c r="U259" i="8"/>
  <c r="I260" i="8"/>
  <c r="BG260" i="8" s="1"/>
  <c r="AF261" i="8"/>
  <c r="BH261" i="8" s="1"/>
  <c r="P262" i="8"/>
  <c r="T262" i="8"/>
  <c r="Q263" i="8"/>
  <c r="U263" i="8"/>
  <c r="I264" i="8"/>
  <c r="BG264" i="8" s="1"/>
  <c r="V264" i="8"/>
  <c r="AF265" i="8"/>
  <c r="BH265" i="8" s="1"/>
  <c r="P266" i="8"/>
  <c r="X266" i="8"/>
  <c r="Q267" i="8"/>
  <c r="U267" i="8"/>
  <c r="I268" i="8"/>
  <c r="BG268" i="8" s="1"/>
  <c r="W269" i="8"/>
  <c r="AF269" i="8"/>
  <c r="BH269" i="8" s="1"/>
  <c r="P270" i="8"/>
  <c r="X270" i="8"/>
  <c r="W271" i="8"/>
  <c r="AF271" i="8"/>
  <c r="BH271" i="8" s="1"/>
  <c r="P272" i="8"/>
  <c r="X272" i="8"/>
  <c r="Q273" i="8"/>
  <c r="U273" i="8"/>
  <c r="I274" i="8"/>
  <c r="BG274" i="8" s="1"/>
  <c r="AF275" i="8"/>
  <c r="BH275" i="8" s="1"/>
  <c r="P276" i="8"/>
  <c r="X276" i="8"/>
  <c r="Q277" i="8"/>
  <c r="U277" i="8"/>
  <c r="I278" i="8"/>
  <c r="BG278" i="8" s="1"/>
  <c r="W279" i="8"/>
  <c r="AF279" i="8"/>
  <c r="BH279" i="8" s="1"/>
  <c r="P280" i="8"/>
  <c r="Q281" i="8"/>
  <c r="U281" i="8"/>
  <c r="I282" i="8"/>
  <c r="BG282" i="8" s="1"/>
  <c r="AF283" i="8"/>
  <c r="BH283" i="8" s="1"/>
  <c r="P284" i="8"/>
  <c r="X284" i="8"/>
  <c r="Q285" i="8"/>
  <c r="U285" i="8"/>
  <c r="I286" i="8"/>
  <c r="BG286" i="8" s="1"/>
  <c r="V286" i="8"/>
  <c r="W287" i="8"/>
  <c r="AF287" i="8"/>
  <c r="BH287" i="8" s="1"/>
  <c r="P288" i="8"/>
  <c r="X288" i="8"/>
  <c r="Q289" i="8"/>
  <c r="U289" i="8"/>
  <c r="I290" i="8"/>
  <c r="BG290" i="8" s="1"/>
  <c r="AE293" i="8"/>
  <c r="BE293" i="8" s="1"/>
  <c r="T293" i="8"/>
  <c r="P293" i="8"/>
  <c r="I294" i="8"/>
  <c r="BG294" i="8" s="1"/>
  <c r="T294" i="8"/>
  <c r="Q295" i="8"/>
  <c r="I296" i="8"/>
  <c r="BG296" i="8" s="1"/>
  <c r="T296" i="8"/>
  <c r="I297" i="8"/>
  <c r="BG297" i="8" s="1"/>
  <c r="Q297" i="8"/>
  <c r="AA298" i="8"/>
  <c r="T299" i="8"/>
  <c r="P299" i="8"/>
  <c r="AE299" i="8"/>
  <c r="BE299" i="8" s="1"/>
  <c r="I299" i="8"/>
  <c r="BG299" i="8" s="1"/>
  <c r="AF299" i="8"/>
  <c r="BH299" i="8" s="1"/>
  <c r="AE301" i="8"/>
  <c r="BE301" i="8" s="1"/>
  <c r="V301" i="8"/>
  <c r="T301" i="8"/>
  <c r="P301" i="8"/>
  <c r="Z301" i="8"/>
  <c r="AF301" i="8"/>
  <c r="BH301" i="8" s="1"/>
  <c r="T303" i="8"/>
  <c r="P303" i="8"/>
  <c r="AE303" i="8"/>
  <c r="BE303" i="8" s="1"/>
  <c r="V303" i="8"/>
  <c r="I303" i="8"/>
  <c r="BG303" i="8" s="1"/>
  <c r="Z303" i="8"/>
  <c r="AF303" i="8"/>
  <c r="BH303" i="8" s="1"/>
  <c r="I306" i="8"/>
  <c r="BG306" i="8" s="1"/>
  <c r="T306" i="8"/>
  <c r="P308" i="8"/>
  <c r="Q308" i="8" s="1"/>
  <c r="Z312" i="8"/>
  <c r="V312" i="8"/>
  <c r="X313" i="8"/>
  <c r="U313" i="8"/>
  <c r="Y313" i="8" s="1"/>
  <c r="Z320" i="8"/>
  <c r="T322" i="8"/>
  <c r="X325" i="8"/>
  <c r="U325" i="8"/>
  <c r="AE327" i="8"/>
  <c r="BE327" i="8" s="1"/>
  <c r="U327" i="8"/>
  <c r="T327" i="8"/>
  <c r="P327" i="8"/>
  <c r="Q327" i="8" s="1"/>
  <c r="AF327" i="8"/>
  <c r="BH327" i="8" s="1"/>
  <c r="AE328" i="8"/>
  <c r="BE328" i="8" s="1"/>
  <c r="AE329" i="8"/>
  <c r="BE329" i="8" s="1"/>
  <c r="U329" i="8"/>
  <c r="T329" i="8"/>
  <c r="P329" i="8"/>
  <c r="Q329" i="8" s="1"/>
  <c r="W179" i="9"/>
  <c r="Z183" i="9"/>
  <c r="V183" i="9"/>
  <c r="P344" i="7"/>
  <c r="Q344" i="7" s="1"/>
  <c r="P348" i="7"/>
  <c r="Q348" i="7" s="1"/>
  <c r="P352" i="7"/>
  <c r="Q352" i="7" s="1"/>
  <c r="Y454" i="7"/>
  <c r="T461" i="7"/>
  <c r="X464" i="7"/>
  <c r="X465" i="7" s="1"/>
  <c r="AK464" i="7"/>
  <c r="AK465" i="7" s="1"/>
  <c r="K466" i="7"/>
  <c r="Y470" i="7"/>
  <c r="N476" i="7"/>
  <c r="K478" i="7"/>
  <c r="K479" i="7" s="1"/>
  <c r="X482" i="7"/>
  <c r="AB482" i="7"/>
  <c r="J486" i="7"/>
  <c r="N486" i="7"/>
  <c r="R489" i="7"/>
  <c r="X490" i="7"/>
  <c r="AB490" i="7"/>
  <c r="AK501" i="7"/>
  <c r="AK502" i="7" s="1"/>
  <c r="H524" i="7"/>
  <c r="I533" i="7" s="1"/>
  <c r="P145" i="8"/>
  <c r="X145" i="8"/>
  <c r="Q146" i="8"/>
  <c r="Y146" i="8"/>
  <c r="V147" i="8"/>
  <c r="AF148" i="8"/>
  <c r="BH148" i="8" s="1"/>
  <c r="P149" i="8"/>
  <c r="Q150" i="8"/>
  <c r="Y150" i="8"/>
  <c r="W152" i="8"/>
  <c r="AF152" i="8"/>
  <c r="BH152" i="8" s="1"/>
  <c r="P153" i="8"/>
  <c r="X153" i="8"/>
  <c r="Q154" i="8"/>
  <c r="Y154" i="8"/>
  <c r="V155" i="8"/>
  <c r="AF156" i="8"/>
  <c r="BH156" i="8" s="1"/>
  <c r="AE157" i="8"/>
  <c r="BE157" i="8" s="1"/>
  <c r="W158" i="8"/>
  <c r="AF158" i="8"/>
  <c r="BH158" i="8" s="1"/>
  <c r="P159" i="8"/>
  <c r="Q160" i="8"/>
  <c r="Y160" i="8"/>
  <c r="V161" i="8"/>
  <c r="W162" i="8"/>
  <c r="AF162" i="8"/>
  <c r="BH162" i="8" s="1"/>
  <c r="P163" i="8"/>
  <c r="X163" i="8"/>
  <c r="Q164" i="8"/>
  <c r="V165" i="8"/>
  <c r="W166" i="8"/>
  <c r="AF166" i="8"/>
  <c r="BH166" i="8" s="1"/>
  <c r="P167" i="8"/>
  <c r="Q168" i="8"/>
  <c r="Y168" i="8"/>
  <c r="V169" i="8"/>
  <c r="AF170" i="8"/>
  <c r="BH170" i="8" s="1"/>
  <c r="P171" i="8"/>
  <c r="X171" i="8"/>
  <c r="Q172" i="8"/>
  <c r="Y172" i="8"/>
  <c r="V173" i="8"/>
  <c r="W174" i="8"/>
  <c r="AF174" i="8"/>
  <c r="BH174" i="8" s="1"/>
  <c r="P175" i="8"/>
  <c r="X175" i="8"/>
  <c r="Q176" i="8"/>
  <c r="Y176" i="8"/>
  <c r="V177" i="8"/>
  <c r="W178" i="8"/>
  <c r="AF178" i="8"/>
  <c r="BH178" i="8" s="1"/>
  <c r="P179" i="8"/>
  <c r="X179" i="8"/>
  <c r="Q180" i="8"/>
  <c r="AF182" i="8"/>
  <c r="BH182" i="8" s="1"/>
  <c r="P183" i="8"/>
  <c r="Q184" i="8"/>
  <c r="W186" i="8"/>
  <c r="AF186" i="8"/>
  <c r="BH186" i="8" s="1"/>
  <c r="P187" i="8"/>
  <c r="X187" i="8"/>
  <c r="Q188" i="8"/>
  <c r="V189" i="8"/>
  <c r="W190" i="8"/>
  <c r="AF190" i="8"/>
  <c r="BH190" i="8" s="1"/>
  <c r="P191" i="8"/>
  <c r="Q192" i="8"/>
  <c r="AF194" i="8"/>
  <c r="BH194" i="8" s="1"/>
  <c r="P195" i="8"/>
  <c r="Q196" i="8"/>
  <c r="V197" i="8"/>
  <c r="AF198" i="8"/>
  <c r="BH198" i="8" s="1"/>
  <c r="P199" i="8"/>
  <c r="X199" i="8"/>
  <c r="Q200" i="8"/>
  <c r="AF202" i="8"/>
  <c r="BH202" i="8" s="1"/>
  <c r="P203" i="8"/>
  <c r="Q204" i="8"/>
  <c r="Q206" i="8"/>
  <c r="V207" i="8"/>
  <c r="W208" i="8"/>
  <c r="AF208" i="8"/>
  <c r="BH208" i="8" s="1"/>
  <c r="P209" i="8"/>
  <c r="X209" i="8"/>
  <c r="Q210" i="8"/>
  <c r="V211" i="8"/>
  <c r="W212" i="8"/>
  <c r="AF212" i="8"/>
  <c r="BH212" i="8" s="1"/>
  <c r="P213" i="8"/>
  <c r="X213" i="8"/>
  <c r="AA213" i="8" s="1"/>
  <c r="Q214" i="8"/>
  <c r="Y214" i="8"/>
  <c r="W216" i="8"/>
  <c r="AF216" i="8"/>
  <c r="BH216" i="8" s="1"/>
  <c r="P217" i="8"/>
  <c r="X217" i="8"/>
  <c r="Q218" i="8"/>
  <c r="V219" i="8"/>
  <c r="AF220" i="8"/>
  <c r="BH220" i="8" s="1"/>
  <c r="P221" i="8"/>
  <c r="Q222" i="8"/>
  <c r="W224" i="8"/>
  <c r="AF224" i="8"/>
  <c r="BH224" i="8" s="1"/>
  <c r="P225" i="8"/>
  <c r="Q226" i="8"/>
  <c r="Y226" i="8"/>
  <c r="Q228" i="8"/>
  <c r="Y228" i="8"/>
  <c r="V229" i="8"/>
  <c r="W230" i="8"/>
  <c r="AF230" i="8"/>
  <c r="BH230" i="8" s="1"/>
  <c r="P231" i="8"/>
  <c r="X231" i="8"/>
  <c r="Q232" i="8"/>
  <c r="Y232" i="8"/>
  <c r="V233" i="8"/>
  <c r="W234" i="8"/>
  <c r="AF234" i="8"/>
  <c r="BH234" i="8" s="1"/>
  <c r="P235" i="8"/>
  <c r="X235" i="8"/>
  <c r="Q236" i="8"/>
  <c r="AF238" i="8"/>
  <c r="BH238" i="8" s="1"/>
  <c r="P239" i="8"/>
  <c r="Q240" i="8"/>
  <c r="V241" i="8"/>
  <c r="AF242" i="8"/>
  <c r="BH242" i="8" s="1"/>
  <c r="P243" i="8"/>
  <c r="X243" i="8"/>
  <c r="Q244" i="8"/>
  <c r="Q246" i="8"/>
  <c r="V247" i="8"/>
  <c r="W248" i="8"/>
  <c r="AF248" i="8"/>
  <c r="BH248" i="8" s="1"/>
  <c r="P249" i="8"/>
  <c r="X249" i="8"/>
  <c r="Q250" i="8"/>
  <c r="Y250" i="8"/>
  <c r="V251" i="8"/>
  <c r="W252" i="8"/>
  <c r="AF252" i="8"/>
  <c r="BH252" i="8" s="1"/>
  <c r="P253" i="8"/>
  <c r="Q254" i="8"/>
  <c r="V255" i="8"/>
  <c r="W256" i="8"/>
  <c r="AF256" i="8"/>
  <c r="BH256" i="8" s="1"/>
  <c r="P257" i="8"/>
  <c r="X257" i="8"/>
  <c r="Q258" i="8"/>
  <c r="Y258" i="8"/>
  <c r="W260" i="8"/>
  <c r="AF260" i="8"/>
  <c r="BH260" i="8" s="1"/>
  <c r="P261" i="8"/>
  <c r="X261" i="8"/>
  <c r="Q262" i="8"/>
  <c r="Y262" i="8"/>
  <c r="I263" i="8"/>
  <c r="BG263" i="8" s="1"/>
  <c r="W264" i="8"/>
  <c r="AF264" i="8"/>
  <c r="BH264" i="8" s="1"/>
  <c r="P265" i="8"/>
  <c r="X265" i="8"/>
  <c r="Q266" i="8"/>
  <c r="Y266" i="8"/>
  <c r="I267" i="8"/>
  <c r="BG267" i="8" s="1"/>
  <c r="W268" i="8"/>
  <c r="AF268" i="8"/>
  <c r="BH268" i="8" s="1"/>
  <c r="P269" i="8"/>
  <c r="X269" i="8"/>
  <c r="Q270" i="8"/>
  <c r="Y270" i="8"/>
  <c r="Q272" i="8"/>
  <c r="Y272" i="8"/>
  <c r="I273" i="8"/>
  <c r="BG273" i="8" s="1"/>
  <c r="V273" i="8"/>
  <c r="W274" i="8"/>
  <c r="AA274" i="8" s="1"/>
  <c r="AF274" i="8"/>
  <c r="BH274" i="8" s="1"/>
  <c r="P275" i="8"/>
  <c r="X275" i="8"/>
  <c r="Q276" i="8"/>
  <c r="Y276" i="8"/>
  <c r="I277" i="8"/>
  <c r="BG277" i="8" s="1"/>
  <c r="V277" i="8"/>
  <c r="AF278" i="8"/>
  <c r="BH278" i="8" s="1"/>
  <c r="P279" i="8"/>
  <c r="X279" i="8"/>
  <c r="Q280" i="8"/>
  <c r="I281" i="8"/>
  <c r="BG281" i="8" s="1"/>
  <c r="W282" i="8"/>
  <c r="AF282" i="8"/>
  <c r="BH282" i="8" s="1"/>
  <c r="P283" i="8"/>
  <c r="Q284" i="8"/>
  <c r="Y284" i="8"/>
  <c r="I285" i="8"/>
  <c r="BG285" i="8" s="1"/>
  <c r="V285" i="8"/>
  <c r="W286" i="8"/>
  <c r="AF286" i="8"/>
  <c r="BH286" i="8" s="1"/>
  <c r="P287" i="8"/>
  <c r="X287" i="8"/>
  <c r="Q288" i="8"/>
  <c r="Y288" i="8"/>
  <c r="I289" i="8"/>
  <c r="BG289" i="8" s="1"/>
  <c r="AF290" i="8"/>
  <c r="BH290" i="8" s="1"/>
  <c r="I291" i="8"/>
  <c r="BG291" i="8" s="1"/>
  <c r="T292" i="8"/>
  <c r="W292" i="8" s="1"/>
  <c r="I293" i="8"/>
  <c r="BG293" i="8" s="1"/>
  <c r="Q293" i="8"/>
  <c r="X295" i="8"/>
  <c r="U296" i="8"/>
  <c r="P298" i="8"/>
  <c r="Q298" i="8" s="1"/>
  <c r="Q299" i="8"/>
  <c r="T300" i="8"/>
  <c r="I301" i="8"/>
  <c r="BG301" i="8" s="1"/>
  <c r="Q301" i="8"/>
  <c r="T302" i="8"/>
  <c r="Q303" i="8"/>
  <c r="Y304" i="8"/>
  <c r="T304" i="8"/>
  <c r="Z304" i="8" s="1"/>
  <c r="AE305" i="8"/>
  <c r="BE305" i="8" s="1"/>
  <c r="T305" i="8"/>
  <c r="P305" i="8"/>
  <c r="Z305" i="8"/>
  <c r="AA305" i="8" s="1"/>
  <c r="T307" i="8"/>
  <c r="P307" i="8"/>
  <c r="AE307" i="8"/>
  <c r="BE307" i="8" s="1"/>
  <c r="I307" i="8"/>
  <c r="BG307" i="8" s="1"/>
  <c r="AF307" i="8"/>
  <c r="BH307" i="8" s="1"/>
  <c r="AE309" i="8"/>
  <c r="BE309" i="8" s="1"/>
  <c r="V309" i="8"/>
  <c r="U309" i="8"/>
  <c r="T309" i="8"/>
  <c r="P309" i="8"/>
  <c r="Q309" i="8" s="1"/>
  <c r="Z309" i="8"/>
  <c r="AF309" i="8"/>
  <c r="BH309" i="8" s="1"/>
  <c r="I310" i="8"/>
  <c r="BG310" i="8" s="1"/>
  <c r="U310" i="8"/>
  <c r="P310" i="8"/>
  <c r="Q310" i="8" s="1"/>
  <c r="Y312" i="8"/>
  <c r="Y314" i="8"/>
  <c r="AE315" i="8"/>
  <c r="BE315" i="8" s="1"/>
  <c r="U315" i="8"/>
  <c r="T315" i="8"/>
  <c r="X315" i="8" s="1"/>
  <c r="P315" i="8"/>
  <c r="Q315" i="8" s="1"/>
  <c r="Z315" i="8"/>
  <c r="W317" i="8"/>
  <c r="Z317" i="8"/>
  <c r="U318" i="8"/>
  <c r="Z318" i="8" s="1"/>
  <c r="AE319" i="8"/>
  <c r="BE319" i="8" s="1"/>
  <c r="U319" i="8"/>
  <c r="T319" i="8"/>
  <c r="V319" i="8" s="1"/>
  <c r="P319" i="8"/>
  <c r="Q319" i="8" s="1"/>
  <c r="W321" i="8"/>
  <c r="AA321" i="8" s="1"/>
  <c r="Z321" i="8"/>
  <c r="U326" i="8"/>
  <c r="V326" i="8" s="1"/>
  <c r="AE326" i="8"/>
  <c r="BE326" i="8" s="1"/>
  <c r="I327" i="8"/>
  <c r="BG327" i="8" s="1"/>
  <c r="I329" i="8"/>
  <c r="BG329" i="8" s="1"/>
  <c r="X332" i="8"/>
  <c r="Z332" i="8"/>
  <c r="V332" i="8"/>
  <c r="Y336" i="8"/>
  <c r="V352" i="8"/>
  <c r="AA352" i="8" s="1"/>
  <c r="C536" i="8"/>
  <c r="E533" i="8" s="1"/>
  <c r="C528" i="8"/>
  <c r="Y467" i="8"/>
  <c r="X149" i="9"/>
  <c r="Z149" i="9"/>
  <c r="V149" i="9"/>
  <c r="AA162" i="9"/>
  <c r="Z174" i="9"/>
  <c r="AA174" i="9"/>
  <c r="W183" i="9"/>
  <c r="P347" i="7"/>
  <c r="Q347" i="7" s="1"/>
  <c r="P351" i="7"/>
  <c r="Q351" i="7" s="1"/>
  <c r="AK455" i="7"/>
  <c r="AK456" i="7" s="1"/>
  <c r="K476" i="7"/>
  <c r="Y482" i="7"/>
  <c r="K486" i="7"/>
  <c r="Y490" i="7"/>
  <c r="C516" i="7"/>
  <c r="V144" i="8"/>
  <c r="Q145" i="8"/>
  <c r="AF147" i="8"/>
  <c r="BH147" i="8" s="1"/>
  <c r="P148" i="8"/>
  <c r="Q148" i="8" s="1"/>
  <c r="Q149" i="8"/>
  <c r="AF151" i="8"/>
  <c r="BH151" i="8" s="1"/>
  <c r="P152" i="8"/>
  <c r="Q152" i="8" s="1"/>
  <c r="Q153" i="8"/>
  <c r="AF155" i="8"/>
  <c r="BH155" i="8" s="1"/>
  <c r="P156" i="8"/>
  <c r="Q156" i="8" s="1"/>
  <c r="AF157" i="8"/>
  <c r="BH157" i="8" s="1"/>
  <c r="P158" i="8"/>
  <c r="Q158" i="8" s="1"/>
  <c r="Q159" i="8"/>
  <c r="AF161" i="8"/>
  <c r="BH161" i="8" s="1"/>
  <c r="P162" i="8"/>
  <c r="Q162" i="8" s="1"/>
  <c r="Q163" i="8"/>
  <c r="AF165" i="8"/>
  <c r="BH165" i="8" s="1"/>
  <c r="P166" i="8"/>
  <c r="Q166" i="8" s="1"/>
  <c r="Q167" i="8"/>
  <c r="AF169" i="8"/>
  <c r="BH169" i="8" s="1"/>
  <c r="P170" i="8"/>
  <c r="Q170" i="8" s="1"/>
  <c r="Q171" i="8"/>
  <c r="AF173" i="8"/>
  <c r="BH173" i="8" s="1"/>
  <c r="P174" i="8"/>
  <c r="Q174" i="8" s="1"/>
  <c r="Q175" i="8"/>
  <c r="AF177" i="8"/>
  <c r="BH177" i="8" s="1"/>
  <c r="P178" i="8"/>
  <c r="Q178" i="8" s="1"/>
  <c r="Q179" i="8"/>
  <c r="AF181" i="8"/>
  <c r="BH181" i="8" s="1"/>
  <c r="P182" i="8"/>
  <c r="Q182" i="8" s="1"/>
  <c r="Q183" i="8"/>
  <c r="AF185" i="8"/>
  <c r="BH185" i="8" s="1"/>
  <c r="P186" i="8"/>
  <c r="Q186" i="8" s="1"/>
  <c r="Q187" i="8"/>
  <c r="AF189" i="8"/>
  <c r="BH189" i="8" s="1"/>
  <c r="P190" i="8"/>
  <c r="Q190" i="8" s="1"/>
  <c r="Q191" i="8"/>
  <c r="AF193" i="8"/>
  <c r="BH193" i="8" s="1"/>
  <c r="P194" i="8"/>
  <c r="Q194" i="8" s="1"/>
  <c r="Q195" i="8"/>
  <c r="AF197" i="8"/>
  <c r="BH197" i="8" s="1"/>
  <c r="P198" i="8"/>
  <c r="Q198" i="8" s="1"/>
  <c r="Q199" i="8"/>
  <c r="AF201" i="8"/>
  <c r="BH201" i="8" s="1"/>
  <c r="P202" i="8"/>
  <c r="Q202" i="8" s="1"/>
  <c r="Q203" i="8"/>
  <c r="Q205" i="8"/>
  <c r="AF207" i="8"/>
  <c r="BH207" i="8" s="1"/>
  <c r="P208" i="8"/>
  <c r="Q208" i="8" s="1"/>
  <c r="Q209" i="8"/>
  <c r="AF211" i="8"/>
  <c r="BH211" i="8" s="1"/>
  <c r="P212" i="8"/>
  <c r="Q212" i="8" s="1"/>
  <c r="Q213" i="8"/>
  <c r="AF215" i="8"/>
  <c r="BH215" i="8" s="1"/>
  <c r="P216" i="8"/>
  <c r="Q216" i="8" s="1"/>
  <c r="Q217" i="8"/>
  <c r="AF219" i="8"/>
  <c r="BH219" i="8" s="1"/>
  <c r="P220" i="8"/>
  <c r="Q220" i="8" s="1"/>
  <c r="Q221" i="8"/>
  <c r="AF223" i="8"/>
  <c r="BH223" i="8" s="1"/>
  <c r="P224" i="8"/>
  <c r="Q224" i="8" s="1"/>
  <c r="Q225" i="8"/>
  <c r="Q227" i="8"/>
  <c r="AF229" i="8"/>
  <c r="BH229" i="8" s="1"/>
  <c r="P230" i="8"/>
  <c r="Q230" i="8" s="1"/>
  <c r="Q231" i="8"/>
  <c r="AF233" i="8"/>
  <c r="BH233" i="8" s="1"/>
  <c r="P234" i="8"/>
  <c r="Q234" i="8" s="1"/>
  <c r="Q235" i="8"/>
  <c r="AF237" i="8"/>
  <c r="BH237" i="8" s="1"/>
  <c r="P238" i="8"/>
  <c r="Q238" i="8" s="1"/>
  <c r="Q239" i="8"/>
  <c r="AF241" i="8"/>
  <c r="BH241" i="8" s="1"/>
  <c r="P242" i="8"/>
  <c r="Q242" i="8" s="1"/>
  <c r="Q243" i="8"/>
  <c r="AF245" i="8"/>
  <c r="BH245" i="8" s="1"/>
  <c r="AE246" i="8"/>
  <c r="BE246" i="8" s="1"/>
  <c r="AF247" i="8"/>
  <c r="BH247" i="8" s="1"/>
  <c r="P248" i="8"/>
  <c r="Q248" i="8" s="1"/>
  <c r="Q249" i="8"/>
  <c r="AF251" i="8"/>
  <c r="BH251" i="8" s="1"/>
  <c r="P252" i="8"/>
  <c r="Q252" i="8" s="1"/>
  <c r="Q253" i="8"/>
  <c r="AF255" i="8"/>
  <c r="BH255" i="8" s="1"/>
  <c r="P256" i="8"/>
  <c r="Q256" i="8" s="1"/>
  <c r="Q257" i="8"/>
  <c r="AF259" i="8"/>
  <c r="BH259" i="8" s="1"/>
  <c r="P260" i="8"/>
  <c r="Q260" i="8" s="1"/>
  <c r="Q261" i="8"/>
  <c r="AF263" i="8"/>
  <c r="BH263" i="8" s="1"/>
  <c r="P264" i="8"/>
  <c r="Q264" i="8" s="1"/>
  <c r="Q265" i="8"/>
  <c r="AF267" i="8"/>
  <c r="BH267" i="8" s="1"/>
  <c r="P268" i="8"/>
  <c r="Q268" i="8" s="1"/>
  <c r="Q269" i="8"/>
  <c r="Q271" i="8"/>
  <c r="AF273" i="8"/>
  <c r="BH273" i="8" s="1"/>
  <c r="P274" i="8"/>
  <c r="Q274" i="8" s="1"/>
  <c r="Q275" i="8"/>
  <c r="AF277" i="8"/>
  <c r="BH277" i="8" s="1"/>
  <c r="P278" i="8"/>
  <c r="Q278" i="8" s="1"/>
  <c r="Q279" i="8"/>
  <c r="AF281" i="8"/>
  <c r="BH281" i="8" s="1"/>
  <c r="P282" i="8"/>
  <c r="Q282" i="8" s="1"/>
  <c r="Q283" i="8"/>
  <c r="AF285" i="8"/>
  <c r="BH285" i="8" s="1"/>
  <c r="P286" i="8"/>
  <c r="Q286" i="8" s="1"/>
  <c r="Q287" i="8"/>
  <c r="AF289" i="8"/>
  <c r="BH289" i="8" s="1"/>
  <c r="P290" i="8"/>
  <c r="Q290" i="8" s="1"/>
  <c r="T291" i="8"/>
  <c r="Z291" i="8" s="1"/>
  <c r="P291" i="8"/>
  <c r="Q291" i="8" s="1"/>
  <c r="U291" i="8"/>
  <c r="AF291" i="8"/>
  <c r="BH291" i="8" s="1"/>
  <c r="AE292" i="8"/>
  <c r="BE292" i="8" s="1"/>
  <c r="W294" i="8"/>
  <c r="U294" i="8"/>
  <c r="P294" i="8"/>
  <c r="Q294" i="8" s="1"/>
  <c r="W296" i="8"/>
  <c r="P296" i="8"/>
  <c r="Q296" i="8" s="1"/>
  <c r="AF297" i="8"/>
  <c r="BH297" i="8" s="1"/>
  <c r="X299" i="8"/>
  <c r="AE300" i="8"/>
  <c r="BE300" i="8" s="1"/>
  <c r="X301" i="8"/>
  <c r="AE302" i="8"/>
  <c r="BE302" i="8" s="1"/>
  <c r="X303" i="8"/>
  <c r="AA304" i="8"/>
  <c r="Q305" i="8"/>
  <c r="P306" i="8"/>
  <c r="Q306" i="8" s="1"/>
  <c r="Q307" i="8"/>
  <c r="Y308" i="8"/>
  <c r="T308" i="8"/>
  <c r="W313" i="8"/>
  <c r="Z313" i="8"/>
  <c r="AE314" i="8"/>
  <c r="BE314" i="8" s="1"/>
  <c r="AF315" i="8"/>
  <c r="BH315" i="8" s="1"/>
  <c r="I316" i="8"/>
  <c r="BG316" i="8" s="1"/>
  <c r="U316" i="8"/>
  <c r="Y316" i="8" s="1"/>
  <c r="AA316" i="8" s="1"/>
  <c r="P316" i="8"/>
  <c r="Q316" i="8" s="1"/>
  <c r="X318" i="8"/>
  <c r="Y322" i="8"/>
  <c r="AE323" i="8"/>
  <c r="BE323" i="8" s="1"/>
  <c r="V323" i="8"/>
  <c r="U323" i="8"/>
  <c r="T323" i="8"/>
  <c r="X323" i="8" s="1"/>
  <c r="P323" i="8"/>
  <c r="Q323" i="8" s="1"/>
  <c r="Z323" i="8"/>
  <c r="AF323" i="8"/>
  <c r="BH323" i="8" s="1"/>
  <c r="W324" i="8"/>
  <c r="AE324" i="8"/>
  <c r="BE324" i="8" s="1"/>
  <c r="I324" i="8"/>
  <c r="BG324" i="8" s="1"/>
  <c r="U324" i="8"/>
  <c r="X324" i="8" s="1"/>
  <c r="P324" i="8"/>
  <c r="Q324" i="8" s="1"/>
  <c r="AA325" i="8"/>
  <c r="X326" i="8"/>
  <c r="C535" i="8"/>
  <c r="C526" i="8"/>
  <c r="Y501" i="8"/>
  <c r="BG155" i="9"/>
  <c r="K26" i="9"/>
  <c r="P330" i="8"/>
  <c r="Q330" i="8" s="1"/>
  <c r="T330" i="8"/>
  <c r="W330" i="8" s="1"/>
  <c r="U331" i="8"/>
  <c r="W331" i="8" s="1"/>
  <c r="AE332" i="8"/>
  <c r="BE332" i="8" s="1"/>
  <c r="P334" i="8"/>
  <c r="Q334" i="8" s="1"/>
  <c r="T334" i="8"/>
  <c r="U335" i="8"/>
  <c r="Y335" i="8" s="1"/>
  <c r="AE336" i="8"/>
  <c r="BE336" i="8" s="1"/>
  <c r="P338" i="8"/>
  <c r="Q338" i="8" s="1"/>
  <c r="T338" i="8"/>
  <c r="P342" i="8"/>
  <c r="Q342" i="8" s="1"/>
  <c r="T342" i="8"/>
  <c r="P346" i="8"/>
  <c r="Q346" i="8" s="1"/>
  <c r="T346" i="8"/>
  <c r="P350" i="8"/>
  <c r="Q350" i="8" s="1"/>
  <c r="T350" i="8"/>
  <c r="V350" i="8" s="1"/>
  <c r="AA350" i="8" s="1"/>
  <c r="T353" i="8"/>
  <c r="J470" i="8"/>
  <c r="J471" i="8" s="1"/>
  <c r="Q475" i="8"/>
  <c r="Q476" i="8" s="1"/>
  <c r="L476" i="8"/>
  <c r="Z482" i="8"/>
  <c r="L486" i="8"/>
  <c r="Z490" i="8"/>
  <c r="AK493" i="8"/>
  <c r="AK494" i="8" s="1"/>
  <c r="F507" i="8"/>
  <c r="M507" i="8" s="1"/>
  <c r="F524" i="8"/>
  <c r="G533" i="8" s="1"/>
  <c r="AF351" i="9"/>
  <c r="BH351" i="9" s="1"/>
  <c r="AF347" i="9"/>
  <c r="BH347" i="9" s="1"/>
  <c r="AF343" i="9"/>
  <c r="BH343" i="9" s="1"/>
  <c r="AF339" i="9"/>
  <c r="BH339" i="9" s="1"/>
  <c r="AF335" i="9"/>
  <c r="BH335" i="9" s="1"/>
  <c r="AF331" i="9"/>
  <c r="BH331" i="9" s="1"/>
  <c r="AF325" i="9"/>
  <c r="BH325" i="9" s="1"/>
  <c r="AF321" i="9"/>
  <c r="BH321" i="9" s="1"/>
  <c r="AF317" i="9"/>
  <c r="BH317" i="9" s="1"/>
  <c r="AF313" i="9"/>
  <c r="BH313" i="9" s="1"/>
  <c r="Q311" i="9"/>
  <c r="AF307" i="9"/>
  <c r="BH307" i="9" s="1"/>
  <c r="AF303" i="9"/>
  <c r="BH303" i="9" s="1"/>
  <c r="AF299" i="9"/>
  <c r="BH299" i="9" s="1"/>
  <c r="AF295" i="9"/>
  <c r="BH295" i="9" s="1"/>
  <c r="AF291" i="9"/>
  <c r="BH291" i="9" s="1"/>
  <c r="AF287" i="9"/>
  <c r="BH287" i="9" s="1"/>
  <c r="AF352" i="9"/>
  <c r="BH352" i="9" s="1"/>
  <c r="AF348" i="9"/>
  <c r="BH348" i="9" s="1"/>
  <c r="AF344" i="9"/>
  <c r="BH344" i="9" s="1"/>
  <c r="AF340" i="9"/>
  <c r="BH340" i="9" s="1"/>
  <c r="AF336" i="9"/>
  <c r="BH336" i="9" s="1"/>
  <c r="AF332" i="9"/>
  <c r="BH332" i="9" s="1"/>
  <c r="AF328" i="9"/>
  <c r="BH328" i="9" s="1"/>
  <c r="AF326" i="9"/>
  <c r="BH326" i="9" s="1"/>
  <c r="AF322" i="9"/>
  <c r="BH322" i="9" s="1"/>
  <c r="AF318" i="9"/>
  <c r="BH318" i="9" s="1"/>
  <c r="AF314" i="9"/>
  <c r="BH314" i="9" s="1"/>
  <c r="AF308" i="9"/>
  <c r="BH308" i="9" s="1"/>
  <c r="AF304" i="9"/>
  <c r="BH304" i="9" s="1"/>
  <c r="AF300" i="9"/>
  <c r="BH300" i="9" s="1"/>
  <c r="AF296" i="9"/>
  <c r="BH296" i="9" s="1"/>
  <c r="AF292" i="9"/>
  <c r="BH292" i="9" s="1"/>
  <c r="AF288" i="9"/>
  <c r="BH288" i="9" s="1"/>
  <c r="AF349" i="9"/>
  <c r="BH349" i="9" s="1"/>
  <c r="AF333" i="9"/>
  <c r="BH333" i="9" s="1"/>
  <c r="AF345" i="9"/>
  <c r="BH345" i="9" s="1"/>
  <c r="AF330" i="9"/>
  <c r="BH330" i="9" s="1"/>
  <c r="AF329" i="9"/>
  <c r="BH329" i="9" s="1"/>
  <c r="AE328" i="9"/>
  <c r="BE328" i="9" s="1"/>
  <c r="Q328" i="9"/>
  <c r="AF324" i="9"/>
  <c r="BH324" i="9" s="1"/>
  <c r="AF316" i="9"/>
  <c r="BH316" i="9" s="1"/>
  <c r="AE311" i="9"/>
  <c r="BE311" i="9" s="1"/>
  <c r="AE348" i="9"/>
  <c r="BE348" i="9" s="1"/>
  <c r="AF342" i="9"/>
  <c r="BH342" i="9" s="1"/>
  <c r="AF338" i="9"/>
  <c r="BH338" i="9" s="1"/>
  <c r="AF337" i="9"/>
  <c r="BH337" i="9" s="1"/>
  <c r="AF350" i="9"/>
  <c r="BH350" i="9" s="1"/>
  <c r="AF346" i="9"/>
  <c r="BH346" i="9" s="1"/>
  <c r="AF341" i="9"/>
  <c r="BH341" i="9" s="1"/>
  <c r="AF334" i="9"/>
  <c r="BH334" i="9" s="1"/>
  <c r="AF327" i="9"/>
  <c r="BH327" i="9" s="1"/>
  <c r="AF312" i="9"/>
  <c r="BH312" i="9" s="1"/>
  <c r="AF306" i="9"/>
  <c r="BH306" i="9" s="1"/>
  <c r="AF323" i="9"/>
  <c r="BH323" i="9" s="1"/>
  <c r="AF315" i="9"/>
  <c r="BH315" i="9" s="1"/>
  <c r="AF301" i="9"/>
  <c r="BH301" i="9" s="1"/>
  <c r="AE300" i="9"/>
  <c r="BE300" i="9" s="1"/>
  <c r="AF298" i="9"/>
  <c r="BH298" i="9" s="1"/>
  <c r="AF294" i="9"/>
  <c r="BH294" i="9" s="1"/>
  <c r="AF290" i="9"/>
  <c r="BH290" i="9" s="1"/>
  <c r="AF289" i="9"/>
  <c r="BH289" i="9" s="1"/>
  <c r="AF285" i="9"/>
  <c r="BH285" i="9" s="1"/>
  <c r="AF281" i="9"/>
  <c r="BH281" i="9" s="1"/>
  <c r="AF277" i="9"/>
  <c r="BH277" i="9" s="1"/>
  <c r="AF273" i="9"/>
  <c r="BH273" i="9" s="1"/>
  <c r="Q271" i="9"/>
  <c r="AF267" i="9"/>
  <c r="BH267" i="9" s="1"/>
  <c r="AF263" i="9"/>
  <c r="BH263" i="9" s="1"/>
  <c r="AF259" i="9"/>
  <c r="BH259" i="9" s="1"/>
  <c r="AF255" i="9"/>
  <c r="BH255" i="9" s="1"/>
  <c r="AF251" i="9"/>
  <c r="BH251" i="9" s="1"/>
  <c r="AF247" i="9"/>
  <c r="BH247" i="9" s="1"/>
  <c r="AE246" i="9"/>
  <c r="BE246" i="9" s="1"/>
  <c r="AF245" i="9"/>
  <c r="BH245" i="9" s="1"/>
  <c r="AF241" i="9"/>
  <c r="BH241" i="9" s="1"/>
  <c r="AF237" i="9"/>
  <c r="BH237" i="9" s="1"/>
  <c r="AF233" i="9"/>
  <c r="BH233" i="9" s="1"/>
  <c r="AF229" i="9"/>
  <c r="BH229" i="9" s="1"/>
  <c r="Q227" i="9"/>
  <c r="AF223" i="9"/>
  <c r="BH223" i="9" s="1"/>
  <c r="AF219" i="9"/>
  <c r="BH219" i="9" s="1"/>
  <c r="AF215" i="9"/>
  <c r="BH215" i="9" s="1"/>
  <c r="AF211" i="9"/>
  <c r="BH211" i="9" s="1"/>
  <c r="AF207" i="9"/>
  <c r="BH207" i="9" s="1"/>
  <c r="AF310" i="9"/>
  <c r="BH310" i="9" s="1"/>
  <c r="AF309" i="9"/>
  <c r="BH309" i="9" s="1"/>
  <c r="AE301" i="9"/>
  <c r="BE301" i="9" s="1"/>
  <c r="AF297" i="9"/>
  <c r="BH297" i="9" s="1"/>
  <c r="AF293" i="9"/>
  <c r="BH293" i="9" s="1"/>
  <c r="AF286" i="9"/>
  <c r="BH286" i="9" s="1"/>
  <c r="AF282" i="9"/>
  <c r="BH282" i="9" s="1"/>
  <c r="AF278" i="9"/>
  <c r="BH278" i="9" s="1"/>
  <c r="AF274" i="9"/>
  <c r="BH274" i="9" s="1"/>
  <c r="AF268" i="9"/>
  <c r="BH268" i="9" s="1"/>
  <c r="AF264" i="9"/>
  <c r="BH264" i="9" s="1"/>
  <c r="AF260" i="9"/>
  <c r="BH260" i="9" s="1"/>
  <c r="AF256" i="9"/>
  <c r="BH256" i="9" s="1"/>
  <c r="AF252" i="9"/>
  <c r="BH252" i="9" s="1"/>
  <c r="AF248" i="9"/>
  <c r="BH248" i="9" s="1"/>
  <c r="Q246" i="9"/>
  <c r="AF242" i="9"/>
  <c r="BH242" i="9" s="1"/>
  <c r="AF238" i="9"/>
  <c r="BH238" i="9" s="1"/>
  <c r="AF234" i="9"/>
  <c r="BH234" i="9" s="1"/>
  <c r="AF230" i="9"/>
  <c r="BH230" i="9" s="1"/>
  <c r="AF224" i="9"/>
  <c r="BH224" i="9" s="1"/>
  <c r="AF220" i="9"/>
  <c r="BH220" i="9" s="1"/>
  <c r="AF216" i="9"/>
  <c r="BH216" i="9" s="1"/>
  <c r="AF212" i="9"/>
  <c r="BH212" i="9" s="1"/>
  <c r="AF208" i="9"/>
  <c r="BH208" i="9" s="1"/>
  <c r="AF202" i="9"/>
  <c r="BH202" i="9" s="1"/>
  <c r="AF198" i="9"/>
  <c r="BH198" i="9" s="1"/>
  <c r="AF194" i="9"/>
  <c r="BH194" i="9" s="1"/>
  <c r="AF311" i="9"/>
  <c r="BH311" i="9" s="1"/>
  <c r="AF283" i="9"/>
  <c r="BH283" i="9" s="1"/>
  <c r="AF279" i="9"/>
  <c r="BH279" i="9" s="1"/>
  <c r="AF275" i="9"/>
  <c r="BH275" i="9" s="1"/>
  <c r="AF271" i="9"/>
  <c r="BH271" i="9" s="1"/>
  <c r="AF269" i="9"/>
  <c r="BH269" i="9" s="1"/>
  <c r="AF265" i="9"/>
  <c r="BH265" i="9" s="1"/>
  <c r="AF261" i="9"/>
  <c r="BH261" i="9" s="1"/>
  <c r="AF257" i="9"/>
  <c r="BH257" i="9" s="1"/>
  <c r="AF253" i="9"/>
  <c r="BH253" i="9" s="1"/>
  <c r="AF249" i="9"/>
  <c r="BH249" i="9" s="1"/>
  <c r="AF243" i="9"/>
  <c r="BH243" i="9" s="1"/>
  <c r="AF239" i="9"/>
  <c r="BH239" i="9" s="1"/>
  <c r="AF235" i="9"/>
  <c r="BH235" i="9" s="1"/>
  <c r="AF231" i="9"/>
  <c r="BH231" i="9" s="1"/>
  <c r="AF227" i="9"/>
  <c r="BH227" i="9" s="1"/>
  <c r="AF225" i="9"/>
  <c r="BH225" i="9" s="1"/>
  <c r="AF221" i="9"/>
  <c r="BH221" i="9" s="1"/>
  <c r="AF217" i="9"/>
  <c r="BH217" i="9" s="1"/>
  <c r="AF213" i="9"/>
  <c r="BH213" i="9" s="1"/>
  <c r="AF209" i="9"/>
  <c r="BH209" i="9" s="1"/>
  <c r="AF205" i="9"/>
  <c r="BH205" i="9" s="1"/>
  <c r="AF203" i="9"/>
  <c r="BH203" i="9" s="1"/>
  <c r="AF199" i="9"/>
  <c r="BH199" i="9" s="1"/>
  <c r="AF195" i="9"/>
  <c r="BH195" i="9" s="1"/>
  <c r="AF320" i="9"/>
  <c r="BH320" i="9" s="1"/>
  <c r="AF319" i="9"/>
  <c r="BH319" i="9" s="1"/>
  <c r="AF305" i="9"/>
  <c r="BH305" i="9" s="1"/>
  <c r="AF302" i="9"/>
  <c r="BH302" i="9" s="1"/>
  <c r="AF284" i="9"/>
  <c r="BH284" i="9" s="1"/>
  <c r="AF280" i="9"/>
  <c r="BH280" i="9" s="1"/>
  <c r="AF276" i="9"/>
  <c r="BH276" i="9" s="1"/>
  <c r="AF272" i="9"/>
  <c r="BH272" i="9" s="1"/>
  <c r="AE271" i="9"/>
  <c r="BE271" i="9" s="1"/>
  <c r="AF270" i="9"/>
  <c r="BH270" i="9" s="1"/>
  <c r="AF266" i="9"/>
  <c r="BH266" i="9" s="1"/>
  <c r="AF262" i="9"/>
  <c r="BH262" i="9" s="1"/>
  <c r="AF258" i="9"/>
  <c r="BH258" i="9" s="1"/>
  <c r="AF254" i="9"/>
  <c r="BH254" i="9" s="1"/>
  <c r="AF250" i="9"/>
  <c r="BH250" i="9" s="1"/>
  <c r="AF246" i="9"/>
  <c r="BH246" i="9" s="1"/>
  <c r="AF244" i="9"/>
  <c r="BH244" i="9" s="1"/>
  <c r="AF240" i="9"/>
  <c r="BH240" i="9" s="1"/>
  <c r="AF236" i="9"/>
  <c r="BH236" i="9" s="1"/>
  <c r="AF232" i="9"/>
  <c r="BH232" i="9" s="1"/>
  <c r="AF228" i="9"/>
  <c r="BH228" i="9" s="1"/>
  <c r="AE227" i="9"/>
  <c r="BE227" i="9" s="1"/>
  <c r="AF226" i="9"/>
  <c r="BH226" i="9" s="1"/>
  <c r="AF222" i="9"/>
  <c r="BH222" i="9" s="1"/>
  <c r="AF218" i="9"/>
  <c r="BH218" i="9" s="1"/>
  <c r="AF214" i="9"/>
  <c r="BH214" i="9" s="1"/>
  <c r="AF210" i="9"/>
  <c r="BH210" i="9" s="1"/>
  <c r="AF206" i="9"/>
  <c r="BH206" i="9" s="1"/>
  <c r="AE205" i="9"/>
  <c r="BE205" i="9" s="1"/>
  <c r="AF204" i="9"/>
  <c r="BH204" i="9" s="1"/>
  <c r="AF200" i="9"/>
  <c r="BH200" i="9" s="1"/>
  <c r="AE145" i="9"/>
  <c r="BE145" i="9" s="1"/>
  <c r="AF146" i="9"/>
  <c r="BH146" i="9" s="1"/>
  <c r="P147" i="9"/>
  <c r="T147" i="9"/>
  <c r="W147" i="9" s="1"/>
  <c r="U148" i="9"/>
  <c r="X148" i="9" s="1"/>
  <c r="AE149" i="9"/>
  <c r="BE149" i="9" s="1"/>
  <c r="AF150" i="9"/>
  <c r="BH150" i="9" s="1"/>
  <c r="P151" i="9"/>
  <c r="T151" i="9"/>
  <c r="U152" i="9"/>
  <c r="Z152" i="9" s="1"/>
  <c r="AE153" i="9"/>
  <c r="BE153" i="9" s="1"/>
  <c r="AF154" i="9"/>
  <c r="BH154" i="9" s="1"/>
  <c r="P155" i="9"/>
  <c r="T155" i="9"/>
  <c r="Z155" i="9" s="1"/>
  <c r="AA155" i="9" s="1"/>
  <c r="X157" i="9"/>
  <c r="U158" i="9"/>
  <c r="Y158" i="9" s="1"/>
  <c r="AE159" i="9"/>
  <c r="BE159" i="9" s="1"/>
  <c r="AF160" i="9"/>
  <c r="BH160" i="9" s="1"/>
  <c r="P161" i="9"/>
  <c r="T161" i="9"/>
  <c r="AE163" i="9"/>
  <c r="BE163" i="9" s="1"/>
  <c r="AF164" i="9"/>
  <c r="BH164" i="9" s="1"/>
  <c r="P165" i="9"/>
  <c r="T165" i="9"/>
  <c r="Y165" i="9" s="1"/>
  <c r="AF168" i="9"/>
  <c r="BH168" i="9" s="1"/>
  <c r="P169" i="9"/>
  <c r="T169" i="9"/>
  <c r="U170" i="9"/>
  <c r="Y170" i="9" s="1"/>
  <c r="AF172" i="9"/>
  <c r="BH172" i="9" s="1"/>
  <c r="P173" i="9"/>
  <c r="T173" i="9"/>
  <c r="W173" i="9" s="1"/>
  <c r="AE175" i="9"/>
  <c r="BE175" i="9" s="1"/>
  <c r="AF176" i="9"/>
  <c r="BH176" i="9" s="1"/>
  <c r="P177" i="9"/>
  <c r="T177" i="9"/>
  <c r="Z177" i="9" s="1"/>
  <c r="U178" i="9"/>
  <c r="V178" i="9" s="1"/>
  <c r="AE179" i="9"/>
  <c r="BE179" i="9" s="1"/>
  <c r="AF180" i="9"/>
  <c r="BH180" i="9" s="1"/>
  <c r="P181" i="9"/>
  <c r="T181" i="9"/>
  <c r="AE183" i="9"/>
  <c r="BE183" i="9" s="1"/>
  <c r="AF184" i="9"/>
  <c r="BH184" i="9" s="1"/>
  <c r="P185" i="9"/>
  <c r="T185" i="9"/>
  <c r="U186" i="9"/>
  <c r="Z186" i="9" s="1"/>
  <c r="AF188" i="9"/>
  <c r="BH188" i="9" s="1"/>
  <c r="P189" i="9"/>
  <c r="T189" i="9"/>
  <c r="AF192" i="9"/>
  <c r="BH192" i="9" s="1"/>
  <c r="P193" i="9"/>
  <c r="T193" i="9"/>
  <c r="X193" i="9" s="1"/>
  <c r="I194" i="9"/>
  <c r="BG194" i="9" s="1"/>
  <c r="P194" i="9"/>
  <c r="U196" i="9"/>
  <c r="T196" i="9"/>
  <c r="Z196" i="9" s="1"/>
  <c r="P196" i="9"/>
  <c r="Q196" i="9" s="1"/>
  <c r="AF196" i="9"/>
  <c r="BH196" i="9" s="1"/>
  <c r="AF197" i="9"/>
  <c r="BH197" i="9" s="1"/>
  <c r="I198" i="9"/>
  <c r="BG198" i="9" s="1"/>
  <c r="U198" i="9"/>
  <c r="P198" i="9"/>
  <c r="Q198" i="9" s="1"/>
  <c r="AE201" i="9"/>
  <c r="BE201" i="9" s="1"/>
  <c r="V201" i="9"/>
  <c r="U201" i="9"/>
  <c r="T201" i="9"/>
  <c r="P201" i="9"/>
  <c r="Q201" i="9" s="1"/>
  <c r="Z201" i="9"/>
  <c r="AF201" i="9"/>
  <c r="BH201" i="9" s="1"/>
  <c r="I202" i="9"/>
  <c r="U202" i="9"/>
  <c r="P202" i="9"/>
  <c r="Q202" i="9" s="1"/>
  <c r="Y209" i="9"/>
  <c r="Z209" i="9"/>
  <c r="AE210" i="9"/>
  <c r="BE210" i="9" s="1"/>
  <c r="Y213" i="9"/>
  <c r="Z213" i="9"/>
  <c r="V213" i="9"/>
  <c r="AE218" i="9"/>
  <c r="BE218" i="9" s="1"/>
  <c r="Y221" i="9"/>
  <c r="Z221" i="9"/>
  <c r="V221" i="9"/>
  <c r="AE224" i="9"/>
  <c r="BE224" i="9" s="1"/>
  <c r="AE229" i="9"/>
  <c r="BE229" i="9" s="1"/>
  <c r="Y239" i="9"/>
  <c r="Z239" i="9"/>
  <c r="V239" i="9"/>
  <c r="AE242" i="9"/>
  <c r="BE242" i="9" s="1"/>
  <c r="AE260" i="9"/>
  <c r="BE260" i="9" s="1"/>
  <c r="AE270" i="9"/>
  <c r="BE270" i="9" s="1"/>
  <c r="AE286" i="9"/>
  <c r="BE286" i="9" s="1"/>
  <c r="AE288" i="9"/>
  <c r="BE288" i="9" s="1"/>
  <c r="AE297" i="9"/>
  <c r="BE297" i="9" s="1"/>
  <c r="X311" i="8"/>
  <c r="I313" i="8"/>
  <c r="BG313" i="8" s="1"/>
  <c r="V313" i="8"/>
  <c r="AE313" i="8"/>
  <c r="BE313" i="8" s="1"/>
  <c r="W314" i="8"/>
  <c r="I317" i="8"/>
  <c r="BG317" i="8" s="1"/>
  <c r="V317" i="8"/>
  <c r="AA317" i="8" s="1"/>
  <c r="AE317" i="8"/>
  <c r="BE317" i="8" s="1"/>
  <c r="W318" i="8"/>
  <c r="I321" i="8"/>
  <c r="BG321" i="8" s="1"/>
  <c r="AE321" i="8"/>
  <c r="BE321" i="8" s="1"/>
  <c r="W322" i="8"/>
  <c r="I325" i="8"/>
  <c r="BG325" i="8" s="1"/>
  <c r="AE325" i="8"/>
  <c r="BE325" i="8" s="1"/>
  <c r="W326" i="8"/>
  <c r="U330" i="8"/>
  <c r="I331" i="8"/>
  <c r="BG331" i="8" s="1"/>
  <c r="AE331" i="8"/>
  <c r="BE331" i="8" s="1"/>
  <c r="W332" i="8"/>
  <c r="P333" i="8"/>
  <c r="Q333" i="8" s="1"/>
  <c r="T333" i="8"/>
  <c r="U334" i="8"/>
  <c r="I335" i="8"/>
  <c r="BG335" i="8" s="1"/>
  <c r="V335" i="8"/>
  <c r="AE335" i="8"/>
  <c r="BE335" i="8" s="1"/>
  <c r="W336" i="8"/>
  <c r="P337" i="8"/>
  <c r="Q337" i="8" s="1"/>
  <c r="T337" i="8"/>
  <c r="U338" i="8"/>
  <c r="I339" i="8"/>
  <c r="BG339" i="8" s="1"/>
  <c r="AE339" i="8"/>
  <c r="BE339" i="8" s="1"/>
  <c r="P341" i="8"/>
  <c r="Q341" i="8" s="1"/>
  <c r="T341" i="8"/>
  <c r="U342" i="8"/>
  <c r="I343" i="8"/>
  <c r="BG343" i="8" s="1"/>
  <c r="V343" i="8"/>
  <c r="AA343" i="8" s="1"/>
  <c r="AE343" i="8"/>
  <c r="BE343" i="8" s="1"/>
  <c r="P345" i="8"/>
  <c r="Q345" i="8" s="1"/>
  <c r="T345" i="8"/>
  <c r="I347" i="8"/>
  <c r="BG347" i="8" s="1"/>
  <c r="AE347" i="8"/>
  <c r="BE347" i="8" s="1"/>
  <c r="P349" i="8"/>
  <c r="Q349" i="8" s="1"/>
  <c r="T349" i="8"/>
  <c r="I351" i="8"/>
  <c r="V351" i="8"/>
  <c r="AA351" i="8" s="1"/>
  <c r="AE351" i="8"/>
  <c r="BE351" i="8" s="1"/>
  <c r="P353" i="8"/>
  <c r="Q353" i="8" s="1"/>
  <c r="R353" i="8" s="1"/>
  <c r="U353" i="8"/>
  <c r="S461" i="8"/>
  <c r="Q463" i="8"/>
  <c r="Q464" i="8" s="1"/>
  <c r="Q465" i="8"/>
  <c r="Q466" i="8" s="1"/>
  <c r="J466" i="8"/>
  <c r="N466" i="8"/>
  <c r="J468" i="8"/>
  <c r="J469" i="8" s="1"/>
  <c r="X470" i="8"/>
  <c r="AB470" i="8"/>
  <c r="M476" i="8"/>
  <c r="AA482" i="8"/>
  <c r="X484" i="8"/>
  <c r="X485" i="8" s="1"/>
  <c r="M486" i="8"/>
  <c r="Q489" i="8"/>
  <c r="U489" i="8"/>
  <c r="AA490" i="8"/>
  <c r="Z498" i="8"/>
  <c r="G507" i="8"/>
  <c r="N507" i="8" s="1"/>
  <c r="C513" i="8"/>
  <c r="C515" i="8"/>
  <c r="C517" i="8"/>
  <c r="G524" i="8"/>
  <c r="H533" i="8" s="1"/>
  <c r="K524" i="8"/>
  <c r="L533" i="8" s="1"/>
  <c r="K5" i="9"/>
  <c r="K17" i="9" s="1"/>
  <c r="B8" i="1" s="1"/>
  <c r="W145" i="9"/>
  <c r="AF145" i="9"/>
  <c r="BH145" i="9" s="1"/>
  <c r="P146" i="9"/>
  <c r="T146" i="9"/>
  <c r="Z146" i="9" s="1"/>
  <c r="Q147" i="9"/>
  <c r="I148" i="9"/>
  <c r="BG148" i="9" s="1"/>
  <c r="V148" i="9"/>
  <c r="AE148" i="9"/>
  <c r="BE148" i="9" s="1"/>
  <c r="W149" i="9"/>
  <c r="AF149" i="9"/>
  <c r="BH149" i="9" s="1"/>
  <c r="P150" i="9"/>
  <c r="T150" i="9"/>
  <c r="Q151" i="9"/>
  <c r="I152" i="9"/>
  <c r="BG152" i="9" s="1"/>
  <c r="AE152" i="9"/>
  <c r="BE152" i="9" s="1"/>
  <c r="W153" i="9"/>
  <c r="AF153" i="9"/>
  <c r="BH153" i="9" s="1"/>
  <c r="P154" i="9"/>
  <c r="T154" i="9"/>
  <c r="Q155" i="9"/>
  <c r="I156" i="9"/>
  <c r="BG156" i="9" s="1"/>
  <c r="AE156" i="9"/>
  <c r="BE156" i="9" s="1"/>
  <c r="Q157" i="9"/>
  <c r="Y157" i="9"/>
  <c r="I158" i="9"/>
  <c r="BG158" i="9" s="1"/>
  <c r="V158" i="9"/>
  <c r="AE158" i="9"/>
  <c r="BE158" i="9" s="1"/>
  <c r="AF159" i="9"/>
  <c r="BH159" i="9" s="1"/>
  <c r="P160" i="9"/>
  <c r="T160" i="9"/>
  <c r="Y160" i="9" s="1"/>
  <c r="Q161" i="9"/>
  <c r="U161" i="9"/>
  <c r="I162" i="9"/>
  <c r="AE162" i="9"/>
  <c r="BE162" i="9" s="1"/>
  <c r="AF163" i="9"/>
  <c r="BH163" i="9" s="1"/>
  <c r="P164" i="9"/>
  <c r="T164" i="9"/>
  <c r="X164" i="9" s="1"/>
  <c r="Q165" i="9"/>
  <c r="U165" i="9"/>
  <c r="I166" i="9"/>
  <c r="BG166" i="9" s="1"/>
  <c r="AE166" i="9"/>
  <c r="BE166" i="9" s="1"/>
  <c r="AF167" i="9"/>
  <c r="BH167" i="9" s="1"/>
  <c r="P168" i="9"/>
  <c r="T168" i="9"/>
  <c r="Y168" i="9" s="1"/>
  <c r="Q169" i="9"/>
  <c r="U169" i="9"/>
  <c r="I170" i="9"/>
  <c r="V170" i="9"/>
  <c r="AE170" i="9"/>
  <c r="BE170" i="9" s="1"/>
  <c r="AF171" i="9"/>
  <c r="BH171" i="9" s="1"/>
  <c r="P172" i="9"/>
  <c r="T172" i="9"/>
  <c r="Y172" i="9" s="1"/>
  <c r="Q173" i="9"/>
  <c r="U173" i="9"/>
  <c r="I174" i="9"/>
  <c r="AF175" i="9"/>
  <c r="BH175" i="9" s="1"/>
  <c r="P176" i="9"/>
  <c r="T176" i="9"/>
  <c r="Y176" i="9" s="1"/>
  <c r="Q177" i="9"/>
  <c r="U177" i="9"/>
  <c r="I178" i="9"/>
  <c r="AF179" i="9"/>
  <c r="BH179" i="9" s="1"/>
  <c r="P180" i="9"/>
  <c r="T180" i="9"/>
  <c r="Q181" i="9"/>
  <c r="U181" i="9"/>
  <c r="I182" i="9"/>
  <c r="BG182" i="9" s="1"/>
  <c r="AF183" i="9"/>
  <c r="BH183" i="9" s="1"/>
  <c r="P184" i="9"/>
  <c r="T184" i="9"/>
  <c r="Q185" i="9"/>
  <c r="U185" i="9"/>
  <c r="I186" i="9"/>
  <c r="AF187" i="9"/>
  <c r="BH187" i="9" s="1"/>
  <c r="P188" i="9"/>
  <c r="T188" i="9"/>
  <c r="Q189" i="9"/>
  <c r="U189" i="9"/>
  <c r="I190" i="9"/>
  <c r="BG190" i="9" s="1"/>
  <c r="AF191" i="9"/>
  <c r="BH191" i="9" s="1"/>
  <c r="P192" i="9"/>
  <c r="T192" i="9"/>
  <c r="Q193" i="9"/>
  <c r="AF193" i="9"/>
  <c r="BH193" i="9" s="1"/>
  <c r="Q194" i="9"/>
  <c r="I195" i="9"/>
  <c r="U195" i="9"/>
  <c r="AE197" i="9"/>
  <c r="BE197" i="9" s="1"/>
  <c r="U197" i="9"/>
  <c r="X197" i="9" s="1"/>
  <c r="W197" i="9"/>
  <c r="T198" i="9"/>
  <c r="W198" i="9" s="1"/>
  <c r="I199" i="9"/>
  <c r="U199" i="9"/>
  <c r="W199" i="9" s="1"/>
  <c r="U200" i="9"/>
  <c r="AE200" i="9"/>
  <c r="BE200" i="9" s="1"/>
  <c r="I201" i="9"/>
  <c r="T202" i="9"/>
  <c r="W202" i="9" s="1"/>
  <c r="Z205" i="9"/>
  <c r="V205" i="9"/>
  <c r="AE207" i="9"/>
  <c r="BE207" i="9" s="1"/>
  <c r="W209" i="9"/>
  <c r="W213" i="9"/>
  <c r="AE214" i="9"/>
  <c r="BE214" i="9" s="1"/>
  <c r="W221" i="9"/>
  <c r="AE222" i="9"/>
  <c r="BE222" i="9" s="1"/>
  <c r="Y225" i="9"/>
  <c r="Z225" i="9"/>
  <c r="V225" i="9"/>
  <c r="AE230" i="9"/>
  <c r="BE230" i="9" s="1"/>
  <c r="W239" i="9"/>
  <c r="AE240" i="9"/>
  <c r="BE240" i="9" s="1"/>
  <c r="Y243" i="9"/>
  <c r="Z243" i="9"/>
  <c r="V243" i="9"/>
  <c r="Y257" i="9"/>
  <c r="Z257" i="9"/>
  <c r="V257" i="9"/>
  <c r="AE258" i="9"/>
  <c r="BE258" i="9" s="1"/>
  <c r="AE277" i="9"/>
  <c r="BE277" i="9" s="1"/>
  <c r="AE284" i="9"/>
  <c r="BE284" i="9" s="1"/>
  <c r="AE296" i="9"/>
  <c r="BE296" i="9" s="1"/>
  <c r="P314" i="8"/>
  <c r="Q314" i="8" s="1"/>
  <c r="P318" i="8"/>
  <c r="Q318" i="8" s="1"/>
  <c r="P322" i="8"/>
  <c r="Q322" i="8" s="1"/>
  <c r="P326" i="8"/>
  <c r="Q326" i="8" s="1"/>
  <c r="I330" i="8"/>
  <c r="BG330" i="8" s="1"/>
  <c r="AE330" i="8"/>
  <c r="BE330" i="8" s="1"/>
  <c r="P332" i="8"/>
  <c r="Q332" i="8" s="1"/>
  <c r="U333" i="8"/>
  <c r="I334" i="8"/>
  <c r="BG334" i="8" s="1"/>
  <c r="AE334" i="8"/>
  <c r="BE334" i="8" s="1"/>
  <c r="P336" i="8"/>
  <c r="Q336" i="8" s="1"/>
  <c r="U337" i="8"/>
  <c r="P340" i="8"/>
  <c r="Q340" i="8" s="1"/>
  <c r="U341" i="8"/>
  <c r="P344" i="8"/>
  <c r="Q344" i="8" s="1"/>
  <c r="U345" i="8"/>
  <c r="P348" i="8"/>
  <c r="Q348" i="8" s="1"/>
  <c r="U349" i="8"/>
  <c r="I350" i="8"/>
  <c r="BG350" i="8" s="1"/>
  <c r="P352" i="8"/>
  <c r="Q352" i="8" s="1"/>
  <c r="V353" i="8"/>
  <c r="AA353" i="8" s="1"/>
  <c r="Z462" i="8"/>
  <c r="X464" i="8"/>
  <c r="X465" i="8" s="1"/>
  <c r="AK464" i="8"/>
  <c r="AK465" i="8" s="1"/>
  <c r="X466" i="8"/>
  <c r="X467" i="8" s="1"/>
  <c r="N476" i="8"/>
  <c r="D478" i="8"/>
  <c r="D479" i="8" s="1"/>
  <c r="X482" i="8"/>
  <c r="AB482" i="8"/>
  <c r="J486" i="8"/>
  <c r="N486" i="8"/>
  <c r="R489" i="8"/>
  <c r="X490" i="8"/>
  <c r="AB490" i="8"/>
  <c r="Q493" i="8"/>
  <c r="Q494" i="8" s="1"/>
  <c r="X500" i="8"/>
  <c r="X501" i="8" s="1"/>
  <c r="AK501" i="8"/>
  <c r="AK502" i="8" s="1"/>
  <c r="D507" i="8"/>
  <c r="K507" i="8" s="1"/>
  <c r="H507" i="8"/>
  <c r="O507" i="8" s="1"/>
  <c r="H524" i="8"/>
  <c r="I533" i="8" s="1"/>
  <c r="P145" i="9"/>
  <c r="Q146" i="9"/>
  <c r="U146" i="9"/>
  <c r="I147" i="9"/>
  <c r="BG147" i="9" s="1"/>
  <c r="AE147" i="9"/>
  <c r="BE147" i="9" s="1"/>
  <c r="AF148" i="9"/>
  <c r="BH148" i="9" s="1"/>
  <c r="P149" i="9"/>
  <c r="Q150" i="9"/>
  <c r="U150" i="9"/>
  <c r="I151" i="9"/>
  <c r="AE151" i="9"/>
  <c r="BE151" i="9" s="1"/>
  <c r="AF152" i="9"/>
  <c r="BH152" i="9" s="1"/>
  <c r="P153" i="9"/>
  <c r="Q154" i="9"/>
  <c r="U154" i="9"/>
  <c r="AF156" i="9"/>
  <c r="BH156" i="9" s="1"/>
  <c r="V157" i="9"/>
  <c r="Z157" i="9"/>
  <c r="AE157" i="9"/>
  <c r="BE157" i="9" s="1"/>
  <c r="AF158" i="9"/>
  <c r="BH158" i="9" s="1"/>
  <c r="P159" i="9"/>
  <c r="T159" i="9"/>
  <c r="W159" i="9" s="1"/>
  <c r="Q160" i="9"/>
  <c r="U160" i="9"/>
  <c r="I161" i="9"/>
  <c r="AF162" i="9"/>
  <c r="BH162" i="9" s="1"/>
  <c r="P163" i="9"/>
  <c r="T163" i="9"/>
  <c r="Q164" i="9"/>
  <c r="U164" i="9"/>
  <c r="I165" i="9"/>
  <c r="BG165" i="9" s="1"/>
  <c r="V165" i="9"/>
  <c r="AF166" i="9"/>
  <c r="BH166" i="9" s="1"/>
  <c r="P167" i="9"/>
  <c r="T167" i="9"/>
  <c r="Q168" i="9"/>
  <c r="U168" i="9"/>
  <c r="I169" i="9"/>
  <c r="BG169" i="9" s="1"/>
  <c r="AF170" i="9"/>
  <c r="BH170" i="9" s="1"/>
  <c r="P171" i="9"/>
  <c r="Q172" i="9"/>
  <c r="U172" i="9"/>
  <c r="I173" i="9"/>
  <c r="AF174" i="9"/>
  <c r="BH174" i="9" s="1"/>
  <c r="P175" i="9"/>
  <c r="T175" i="9"/>
  <c r="X175" i="9" s="1"/>
  <c r="Q176" i="9"/>
  <c r="U176" i="9"/>
  <c r="I177" i="9"/>
  <c r="BG177" i="9" s="1"/>
  <c r="V177" i="9"/>
  <c r="W178" i="9"/>
  <c r="AF178" i="9"/>
  <c r="BH178" i="9" s="1"/>
  <c r="P179" i="9"/>
  <c r="X179" i="9"/>
  <c r="Q180" i="9"/>
  <c r="U180" i="9"/>
  <c r="W182" i="9"/>
  <c r="AA182" i="9" s="1"/>
  <c r="AF182" i="9"/>
  <c r="BH182" i="9" s="1"/>
  <c r="P183" i="9"/>
  <c r="X183" i="9"/>
  <c r="Q184" i="9"/>
  <c r="U184" i="9"/>
  <c r="I185" i="9"/>
  <c r="V185" i="9"/>
  <c r="W186" i="9"/>
  <c r="AF186" i="9"/>
  <c r="BH186" i="9" s="1"/>
  <c r="P187" i="9"/>
  <c r="Q188" i="9"/>
  <c r="U188" i="9"/>
  <c r="AF190" i="9"/>
  <c r="BH190" i="9" s="1"/>
  <c r="P191" i="9"/>
  <c r="Q192" i="9"/>
  <c r="U192" i="9"/>
  <c r="I193" i="9"/>
  <c r="BG193" i="9" s="1"/>
  <c r="T194" i="9"/>
  <c r="W194" i="9" s="1"/>
  <c r="T195" i="9"/>
  <c r="AE195" i="9"/>
  <c r="BE195" i="9" s="1"/>
  <c r="X196" i="9"/>
  <c r="P197" i="9"/>
  <c r="Q197" i="9" s="1"/>
  <c r="U203" i="9"/>
  <c r="Z203" i="9" s="1"/>
  <c r="AA203" i="9" s="1"/>
  <c r="AE211" i="9"/>
  <c r="BE211" i="9" s="1"/>
  <c r="AE219" i="9"/>
  <c r="BE219" i="9" s="1"/>
  <c r="W225" i="9"/>
  <c r="AE228" i="9"/>
  <c r="BE228" i="9" s="1"/>
  <c r="Y231" i="9"/>
  <c r="Z231" i="9"/>
  <c r="V231" i="9"/>
  <c r="Y249" i="9"/>
  <c r="Z249" i="9"/>
  <c r="V249" i="9"/>
  <c r="Y253" i="9"/>
  <c r="Z253" i="9"/>
  <c r="V253" i="9"/>
  <c r="AE255" i="9"/>
  <c r="BE255" i="9" s="1"/>
  <c r="AE267" i="9"/>
  <c r="BE267" i="9" s="1"/>
  <c r="AE278" i="9"/>
  <c r="BE278" i="9" s="1"/>
  <c r="Z284" i="9"/>
  <c r="V284" i="9"/>
  <c r="V311" i="8"/>
  <c r="AA311" i="8" s="1"/>
  <c r="P313" i="8"/>
  <c r="Q313" i="8" s="1"/>
  <c r="P317" i="8"/>
  <c r="Q317" i="8" s="1"/>
  <c r="P321" i="8"/>
  <c r="Q321" i="8" s="1"/>
  <c r="P325" i="8"/>
  <c r="Q325" i="8" s="1"/>
  <c r="P331" i="8"/>
  <c r="Q331" i="8" s="1"/>
  <c r="P335" i="8"/>
  <c r="Q335" i="8" s="1"/>
  <c r="P339" i="8"/>
  <c r="Q339" i="8" s="1"/>
  <c r="V341" i="8"/>
  <c r="AA341" i="8" s="1"/>
  <c r="P343" i="8"/>
  <c r="Q343" i="8" s="1"/>
  <c r="I345" i="8"/>
  <c r="BG345" i="8" s="1"/>
  <c r="V345" i="8"/>
  <c r="AA345" i="8" s="1"/>
  <c r="P347" i="8"/>
  <c r="Q347" i="8" s="1"/>
  <c r="I349" i="8"/>
  <c r="BG349" i="8" s="1"/>
  <c r="V349" i="8"/>
  <c r="AA349" i="8" s="1"/>
  <c r="P351" i="8"/>
  <c r="Q351" i="8" s="1"/>
  <c r="Z454" i="8"/>
  <c r="AK455" i="8"/>
  <c r="AK456" i="8" s="1"/>
  <c r="X456" i="8"/>
  <c r="X457" i="8" s="1"/>
  <c r="L466" i="8"/>
  <c r="Z470" i="8"/>
  <c r="K476" i="8"/>
  <c r="D480" i="8"/>
  <c r="D481" i="8" s="1"/>
  <c r="Y482" i="8"/>
  <c r="K486" i="8"/>
  <c r="X486" i="8"/>
  <c r="X487" i="8" s="1"/>
  <c r="J490" i="8"/>
  <c r="J491" i="8" s="1"/>
  <c r="Y490" i="8"/>
  <c r="Q491" i="8"/>
  <c r="Q492" i="8" s="1"/>
  <c r="C516" i="8"/>
  <c r="V144" i="9"/>
  <c r="Q145" i="9"/>
  <c r="I146" i="9"/>
  <c r="AF147" i="9"/>
  <c r="BH147" i="9" s="1"/>
  <c r="P148" i="9"/>
  <c r="Q148" i="9" s="1"/>
  <c r="Q149" i="9"/>
  <c r="I150" i="9"/>
  <c r="BG150" i="9" s="1"/>
  <c r="V150" i="9"/>
  <c r="AF151" i="9"/>
  <c r="BH151" i="9" s="1"/>
  <c r="P152" i="9"/>
  <c r="Q152" i="9" s="1"/>
  <c r="Q153" i="9"/>
  <c r="I154" i="9"/>
  <c r="AF155" i="9"/>
  <c r="BH155" i="9" s="1"/>
  <c r="P156" i="9"/>
  <c r="Q156" i="9" s="1"/>
  <c r="AF157" i="9"/>
  <c r="BH157" i="9" s="1"/>
  <c r="P158" i="9"/>
  <c r="Q158" i="9" s="1"/>
  <c r="Q159" i="9"/>
  <c r="I160" i="9"/>
  <c r="BG160" i="9" s="1"/>
  <c r="V160" i="9"/>
  <c r="AF161" i="9"/>
  <c r="BH161" i="9" s="1"/>
  <c r="P162" i="9"/>
  <c r="Q162" i="9" s="1"/>
  <c r="Q163" i="9"/>
  <c r="I164" i="9"/>
  <c r="BG164" i="9" s="1"/>
  <c r="V164" i="9"/>
  <c r="AF165" i="9"/>
  <c r="BH165" i="9" s="1"/>
  <c r="P166" i="9"/>
  <c r="Q166" i="9" s="1"/>
  <c r="Q167" i="9"/>
  <c r="I168" i="9"/>
  <c r="BG168" i="9" s="1"/>
  <c r="V168" i="9"/>
  <c r="AF169" i="9"/>
  <c r="BH169" i="9" s="1"/>
  <c r="P170" i="9"/>
  <c r="Q170" i="9" s="1"/>
  <c r="Q171" i="9"/>
  <c r="I172" i="9"/>
  <c r="V172" i="9"/>
  <c r="AF173" i="9"/>
  <c r="BH173" i="9" s="1"/>
  <c r="P174" i="9"/>
  <c r="Q174" i="9" s="1"/>
  <c r="Q175" i="9"/>
  <c r="I176" i="9"/>
  <c r="BG176" i="9" s="1"/>
  <c r="V176" i="9"/>
  <c r="AF177" i="9"/>
  <c r="BH177" i="9" s="1"/>
  <c r="P178" i="9"/>
  <c r="Q178" i="9" s="1"/>
  <c r="Q179" i="9"/>
  <c r="I180" i="9"/>
  <c r="BG180" i="9" s="1"/>
  <c r="AF181" i="9"/>
  <c r="BH181" i="9" s="1"/>
  <c r="P182" i="9"/>
  <c r="Q182" i="9" s="1"/>
  <c r="Q183" i="9"/>
  <c r="I184" i="9"/>
  <c r="BG184" i="9" s="1"/>
  <c r="V184" i="9"/>
  <c r="AF185" i="9"/>
  <c r="BH185" i="9" s="1"/>
  <c r="P186" i="9"/>
  <c r="Q186" i="9" s="1"/>
  <c r="Q187" i="9"/>
  <c r="I188" i="9"/>
  <c r="BG188" i="9" s="1"/>
  <c r="AF189" i="9"/>
  <c r="BH189" i="9" s="1"/>
  <c r="P190" i="9"/>
  <c r="Q190" i="9" s="1"/>
  <c r="Q191" i="9"/>
  <c r="I192" i="9"/>
  <c r="BG192" i="9" s="1"/>
  <c r="V192" i="9"/>
  <c r="AE193" i="9"/>
  <c r="BE193" i="9" s="1"/>
  <c r="V193" i="9"/>
  <c r="AE194" i="9"/>
  <c r="BE194" i="9" s="1"/>
  <c r="U194" i="9"/>
  <c r="Z194" i="9" s="1"/>
  <c r="W195" i="9"/>
  <c r="I196" i="9"/>
  <c r="Y196" i="9"/>
  <c r="AE196" i="9"/>
  <c r="BE196" i="9" s="1"/>
  <c r="AE198" i="9"/>
  <c r="BE198" i="9" s="1"/>
  <c r="Z198" i="9"/>
  <c r="Z199" i="9"/>
  <c r="Y199" i="9"/>
  <c r="Y201" i="9"/>
  <c r="Z202" i="9"/>
  <c r="Q205" i="9"/>
  <c r="AE206" i="9"/>
  <c r="BE206" i="9" s="1"/>
  <c r="AE212" i="9"/>
  <c r="BE212" i="9" s="1"/>
  <c r="Y217" i="9"/>
  <c r="Z217" i="9"/>
  <c r="V217" i="9"/>
  <c r="AE220" i="9"/>
  <c r="BE220" i="9" s="1"/>
  <c r="AE223" i="9"/>
  <c r="BE223" i="9" s="1"/>
  <c r="W231" i="9"/>
  <c r="AE232" i="9"/>
  <c r="BE232" i="9" s="1"/>
  <c r="AE234" i="9"/>
  <c r="BE234" i="9" s="1"/>
  <c r="AE238" i="9"/>
  <c r="BE238" i="9" s="1"/>
  <c r="AE241" i="9"/>
  <c r="BE241" i="9" s="1"/>
  <c r="AA246" i="9"/>
  <c r="AE247" i="9"/>
  <c r="BE247" i="9" s="1"/>
  <c r="W249" i="9"/>
  <c r="AE250" i="9"/>
  <c r="BE250" i="9" s="1"/>
  <c r="AE256" i="9"/>
  <c r="BE256" i="9" s="1"/>
  <c r="AE259" i="9"/>
  <c r="BE259" i="9" s="1"/>
  <c r="AE268" i="9"/>
  <c r="BE268" i="9" s="1"/>
  <c r="AE272" i="9"/>
  <c r="BE272" i="9" s="1"/>
  <c r="AE276" i="9"/>
  <c r="BE276" i="9" s="1"/>
  <c r="AE280" i="9"/>
  <c r="BE280" i="9" s="1"/>
  <c r="W284" i="9"/>
  <c r="AE285" i="9"/>
  <c r="BE285" i="9" s="1"/>
  <c r="AE289" i="9"/>
  <c r="BE289" i="9" s="1"/>
  <c r="AE292" i="9"/>
  <c r="BE292" i="9" s="1"/>
  <c r="P207" i="9"/>
  <c r="Q207" i="9" s="1"/>
  <c r="T207" i="9"/>
  <c r="U208" i="9"/>
  <c r="I209" i="9"/>
  <c r="P211" i="9"/>
  <c r="Q211" i="9" s="1"/>
  <c r="T211" i="9"/>
  <c r="Z211" i="9" s="1"/>
  <c r="U212" i="9"/>
  <c r="X212" i="9" s="1"/>
  <c r="I213" i="9"/>
  <c r="BG213" i="9" s="1"/>
  <c r="AE213" i="9"/>
  <c r="BE213" i="9" s="1"/>
  <c r="P215" i="9"/>
  <c r="Q215" i="9" s="1"/>
  <c r="T215" i="9"/>
  <c r="U216" i="9"/>
  <c r="Z216" i="9" s="1"/>
  <c r="I217" i="9"/>
  <c r="BG217" i="9" s="1"/>
  <c r="AE217" i="9"/>
  <c r="BE217" i="9" s="1"/>
  <c r="P219" i="9"/>
  <c r="Q219" i="9" s="1"/>
  <c r="T219" i="9"/>
  <c r="U220" i="9"/>
  <c r="Y220" i="9" s="1"/>
  <c r="I221" i="9"/>
  <c r="BG221" i="9" s="1"/>
  <c r="AE221" i="9"/>
  <c r="BE221" i="9" s="1"/>
  <c r="P223" i="9"/>
  <c r="Q223" i="9" s="1"/>
  <c r="T223" i="9"/>
  <c r="Z223" i="9" s="1"/>
  <c r="U224" i="9"/>
  <c r="X224" i="9" s="1"/>
  <c r="I225" i="9"/>
  <c r="BG225" i="9" s="1"/>
  <c r="AE225" i="9"/>
  <c r="BE225" i="9" s="1"/>
  <c r="V227" i="9"/>
  <c r="Z227" i="9"/>
  <c r="P229" i="9"/>
  <c r="Q229" i="9" s="1"/>
  <c r="T229" i="9"/>
  <c r="U230" i="9"/>
  <c r="Z230" i="9" s="1"/>
  <c r="I231" i="9"/>
  <c r="AE231" i="9"/>
  <c r="BE231" i="9" s="1"/>
  <c r="P233" i="9"/>
  <c r="Q233" i="9" s="1"/>
  <c r="T233" i="9"/>
  <c r="U234" i="9"/>
  <c r="X234" i="9" s="1"/>
  <c r="I235" i="9"/>
  <c r="P237" i="9"/>
  <c r="Q237" i="9" s="1"/>
  <c r="T237" i="9"/>
  <c r="Y237" i="9" s="1"/>
  <c r="U238" i="9"/>
  <c r="Z238" i="9" s="1"/>
  <c r="I239" i="9"/>
  <c r="BG239" i="9" s="1"/>
  <c r="AE239" i="9"/>
  <c r="BE239" i="9" s="1"/>
  <c r="P241" i="9"/>
  <c r="Q241" i="9" s="1"/>
  <c r="T241" i="9"/>
  <c r="Y241" i="9" s="1"/>
  <c r="U242" i="9"/>
  <c r="Z242" i="9" s="1"/>
  <c r="I243" i="9"/>
  <c r="BG243" i="9" s="1"/>
  <c r="AE243" i="9"/>
  <c r="BE243" i="9" s="1"/>
  <c r="P245" i="9"/>
  <c r="Q245" i="9" s="1"/>
  <c r="T245" i="9"/>
  <c r="P247" i="9"/>
  <c r="Q247" i="9" s="1"/>
  <c r="T247" i="9"/>
  <c r="Y247" i="9" s="1"/>
  <c r="U248" i="9"/>
  <c r="I249" i="9"/>
  <c r="BG249" i="9" s="1"/>
  <c r="AE249" i="9"/>
  <c r="BE249" i="9" s="1"/>
  <c r="P251" i="9"/>
  <c r="Q251" i="9" s="1"/>
  <c r="T251" i="9"/>
  <c r="Y251" i="9" s="1"/>
  <c r="U252" i="9"/>
  <c r="X252" i="9" s="1"/>
  <c r="I253" i="9"/>
  <c r="BG253" i="9" s="1"/>
  <c r="AE253" i="9"/>
  <c r="BE253" i="9" s="1"/>
  <c r="P255" i="9"/>
  <c r="Q255" i="9" s="1"/>
  <c r="T255" i="9"/>
  <c r="U256" i="9"/>
  <c r="X256" i="9" s="1"/>
  <c r="I257" i="9"/>
  <c r="BG257" i="9" s="1"/>
  <c r="AE257" i="9"/>
  <c r="BE257" i="9" s="1"/>
  <c r="P259" i="9"/>
  <c r="Q259" i="9" s="1"/>
  <c r="T259" i="9"/>
  <c r="U260" i="9"/>
  <c r="Y260" i="9" s="1"/>
  <c r="I261" i="9"/>
  <c r="BG261" i="9" s="1"/>
  <c r="P263" i="9"/>
  <c r="Q263" i="9" s="1"/>
  <c r="T263" i="9"/>
  <c r="Y263" i="9" s="1"/>
  <c r="U264" i="9"/>
  <c r="I265" i="9"/>
  <c r="BG265" i="9" s="1"/>
  <c r="P267" i="9"/>
  <c r="Q267" i="9" s="1"/>
  <c r="T267" i="9"/>
  <c r="U268" i="9"/>
  <c r="X268" i="9" s="1"/>
  <c r="I269" i="9"/>
  <c r="BG269" i="9" s="1"/>
  <c r="P273" i="9"/>
  <c r="Q273" i="9" s="1"/>
  <c r="T273" i="9"/>
  <c r="U274" i="9"/>
  <c r="I275" i="9"/>
  <c r="BG275" i="9" s="1"/>
  <c r="AE275" i="9"/>
  <c r="BE275" i="9" s="1"/>
  <c r="P277" i="9"/>
  <c r="Q277" i="9" s="1"/>
  <c r="T277" i="9"/>
  <c r="Z277" i="9" s="1"/>
  <c r="U278" i="9"/>
  <c r="X278" i="9" s="1"/>
  <c r="I279" i="9"/>
  <c r="P281" i="9"/>
  <c r="Q281" i="9" s="1"/>
  <c r="T281" i="9"/>
  <c r="U282" i="9"/>
  <c r="I283" i="9"/>
  <c r="BG283" i="9" s="1"/>
  <c r="P285" i="9"/>
  <c r="Q285" i="9" s="1"/>
  <c r="T285" i="9"/>
  <c r="X285" i="9" s="1"/>
  <c r="U286" i="9"/>
  <c r="Z286" i="9" s="1"/>
  <c r="I287" i="9"/>
  <c r="BG287" i="9" s="1"/>
  <c r="I288" i="9"/>
  <c r="BG288" i="9" s="1"/>
  <c r="U288" i="9"/>
  <c r="AE290" i="9"/>
  <c r="BE290" i="9" s="1"/>
  <c r="U290" i="9"/>
  <c r="T291" i="9"/>
  <c r="Y291" i="9" s="1"/>
  <c r="T292" i="9"/>
  <c r="I294" i="9"/>
  <c r="BG294" i="9" s="1"/>
  <c r="P294" i="9"/>
  <c r="Q294" i="9" s="1"/>
  <c r="T295" i="9"/>
  <c r="Y295" i="9" s="1"/>
  <c r="T296" i="9"/>
  <c r="I298" i="9"/>
  <c r="BG298" i="9" s="1"/>
  <c r="P298" i="9"/>
  <c r="Q298" i="9" s="1"/>
  <c r="T299" i="9"/>
  <c r="T300" i="9"/>
  <c r="I306" i="9"/>
  <c r="BG306" i="9" s="1"/>
  <c r="P306" i="9"/>
  <c r="Q306" i="9" s="1"/>
  <c r="W307" i="9"/>
  <c r="I307" i="9"/>
  <c r="BG307" i="9" s="1"/>
  <c r="U307" i="9"/>
  <c r="X307" i="9" s="1"/>
  <c r="P307" i="9"/>
  <c r="Q307" i="9" s="1"/>
  <c r="U318" i="9"/>
  <c r="I318" i="9"/>
  <c r="BG318" i="9" s="1"/>
  <c r="U319" i="9"/>
  <c r="T319" i="9"/>
  <c r="P319" i="9"/>
  <c r="Q319" i="9" s="1"/>
  <c r="I319" i="9"/>
  <c r="BG319" i="9" s="1"/>
  <c r="AE319" i="9"/>
  <c r="BE319" i="9" s="1"/>
  <c r="P320" i="9"/>
  <c r="Q320" i="9" s="1"/>
  <c r="X347" i="9"/>
  <c r="V194" i="9"/>
  <c r="V198" i="9"/>
  <c r="P200" i="9"/>
  <c r="Q200" i="9" s="1"/>
  <c r="T200" i="9"/>
  <c r="Y200" i="9" s="1"/>
  <c r="P204" i="9"/>
  <c r="Q204" i="9" s="1"/>
  <c r="T204" i="9"/>
  <c r="W205" i="9"/>
  <c r="P206" i="9"/>
  <c r="Q206" i="9" s="1"/>
  <c r="T206" i="9"/>
  <c r="U207" i="9"/>
  <c r="I208" i="9"/>
  <c r="BG208" i="9" s="1"/>
  <c r="P210" i="9"/>
  <c r="Q210" i="9" s="1"/>
  <c r="T210" i="9"/>
  <c r="U211" i="9"/>
  <c r="I212" i="9"/>
  <c r="BG212" i="9" s="1"/>
  <c r="V212" i="9"/>
  <c r="P214" i="9"/>
  <c r="Q214" i="9" s="1"/>
  <c r="T214" i="9"/>
  <c r="X214" i="9" s="1"/>
  <c r="U215" i="9"/>
  <c r="I216" i="9"/>
  <c r="BG216" i="9" s="1"/>
  <c r="P218" i="9"/>
  <c r="Q218" i="9" s="1"/>
  <c r="T218" i="9"/>
  <c r="X218" i="9" s="1"/>
  <c r="U219" i="9"/>
  <c r="I220" i="9"/>
  <c r="BG220" i="9" s="1"/>
  <c r="V220" i="9"/>
  <c r="P222" i="9"/>
  <c r="Q222" i="9" s="1"/>
  <c r="T222" i="9"/>
  <c r="U223" i="9"/>
  <c r="I224" i="9"/>
  <c r="BG224" i="9" s="1"/>
  <c r="P226" i="9"/>
  <c r="Q226" i="9" s="1"/>
  <c r="T226" i="9"/>
  <c r="W227" i="9"/>
  <c r="P228" i="9"/>
  <c r="Q228" i="9" s="1"/>
  <c r="T228" i="9"/>
  <c r="X228" i="9" s="1"/>
  <c r="U229" i="9"/>
  <c r="I230" i="9"/>
  <c r="BG230" i="9" s="1"/>
  <c r="V230" i="9"/>
  <c r="P232" i="9"/>
  <c r="Q232" i="9" s="1"/>
  <c r="T232" i="9"/>
  <c r="U233" i="9"/>
  <c r="I234" i="9"/>
  <c r="BG234" i="9" s="1"/>
  <c r="V234" i="9"/>
  <c r="P236" i="9"/>
  <c r="Q236" i="9" s="1"/>
  <c r="T236" i="9"/>
  <c r="U237" i="9"/>
  <c r="I238" i="9"/>
  <c r="BG238" i="9" s="1"/>
  <c r="V238" i="9"/>
  <c r="P240" i="9"/>
  <c r="Q240" i="9" s="1"/>
  <c r="T240" i="9"/>
  <c r="X240" i="9" s="1"/>
  <c r="U241" i="9"/>
  <c r="V241" i="9" s="1"/>
  <c r="I242" i="9"/>
  <c r="BG242" i="9" s="1"/>
  <c r="V242" i="9"/>
  <c r="P244" i="9"/>
  <c r="Q244" i="9" s="1"/>
  <c r="T244" i="9"/>
  <c r="Y244" i="9" s="1"/>
  <c r="U245" i="9"/>
  <c r="U247" i="9"/>
  <c r="V247" i="9" s="1"/>
  <c r="I248" i="9"/>
  <c r="BG248" i="9" s="1"/>
  <c r="P250" i="9"/>
  <c r="Q250" i="9" s="1"/>
  <c r="T250" i="9"/>
  <c r="U251" i="9"/>
  <c r="I252" i="9"/>
  <c r="BG252" i="9" s="1"/>
  <c r="W253" i="9"/>
  <c r="P254" i="9"/>
  <c r="Q254" i="9" s="1"/>
  <c r="T254" i="9"/>
  <c r="U255" i="9"/>
  <c r="I256" i="9"/>
  <c r="BG256" i="9" s="1"/>
  <c r="V256" i="9"/>
  <c r="W257" i="9"/>
  <c r="P258" i="9"/>
  <c r="Q258" i="9" s="1"/>
  <c r="T258" i="9"/>
  <c r="U259" i="9"/>
  <c r="I260" i="9"/>
  <c r="BG260" i="9" s="1"/>
  <c r="V260" i="9"/>
  <c r="P262" i="9"/>
  <c r="Q262" i="9" s="1"/>
  <c r="T262" i="9"/>
  <c r="X262" i="9" s="1"/>
  <c r="AA262" i="9" s="1"/>
  <c r="U263" i="9"/>
  <c r="I264" i="9"/>
  <c r="BG264" i="9" s="1"/>
  <c r="P266" i="9"/>
  <c r="Q266" i="9" s="1"/>
  <c r="T266" i="9"/>
  <c r="U267" i="9"/>
  <c r="I268" i="9"/>
  <c r="BG268" i="9" s="1"/>
  <c r="V268" i="9"/>
  <c r="P270" i="9"/>
  <c r="Q270" i="9" s="1"/>
  <c r="T270" i="9"/>
  <c r="P272" i="9"/>
  <c r="Q272" i="9" s="1"/>
  <c r="T272" i="9"/>
  <c r="X272" i="9" s="1"/>
  <c r="U273" i="9"/>
  <c r="I274" i="9"/>
  <c r="BG274" i="9" s="1"/>
  <c r="W275" i="9"/>
  <c r="AA275" i="9" s="1"/>
  <c r="P276" i="9"/>
  <c r="Q276" i="9" s="1"/>
  <c r="T276" i="9"/>
  <c r="U277" i="9"/>
  <c r="X277" i="9" s="1"/>
  <c r="I278" i="9"/>
  <c r="BG278" i="9" s="1"/>
  <c r="V278" i="9"/>
  <c r="P280" i="9"/>
  <c r="Q280" i="9" s="1"/>
  <c r="T280" i="9"/>
  <c r="U281" i="9"/>
  <c r="I282" i="9"/>
  <c r="BG282" i="9" s="1"/>
  <c r="P284" i="9"/>
  <c r="Q284" i="9" s="1"/>
  <c r="X284" i="9"/>
  <c r="U285" i="9"/>
  <c r="I286" i="9"/>
  <c r="BG286" i="9" s="1"/>
  <c r="V286" i="9"/>
  <c r="AE287" i="9"/>
  <c r="BE287" i="9" s="1"/>
  <c r="T288" i="9"/>
  <c r="I290" i="9"/>
  <c r="BG290" i="9" s="1"/>
  <c r="P290" i="9"/>
  <c r="Q290" i="9" s="1"/>
  <c r="AE291" i="9"/>
  <c r="BE291" i="9" s="1"/>
  <c r="Z291" i="9"/>
  <c r="W292" i="9"/>
  <c r="Y292" i="9"/>
  <c r="I293" i="9"/>
  <c r="BG293" i="9" s="1"/>
  <c r="AE295" i="9"/>
  <c r="BE295" i="9" s="1"/>
  <c r="Z295" i="9"/>
  <c r="W296" i="9"/>
  <c r="Y296" i="9"/>
  <c r="I297" i="9"/>
  <c r="BG297" i="9" s="1"/>
  <c r="X300" i="9"/>
  <c r="U301" i="9"/>
  <c r="Y301" i="9" s="1"/>
  <c r="T301" i="9"/>
  <c r="Z301" i="9" s="1"/>
  <c r="P301" i="9"/>
  <c r="Q301" i="9" s="1"/>
  <c r="T306" i="9"/>
  <c r="Y307" i="9"/>
  <c r="U308" i="9"/>
  <c r="I308" i="9"/>
  <c r="BG308" i="9" s="1"/>
  <c r="I312" i="9"/>
  <c r="BG312" i="9" s="1"/>
  <c r="P312" i="9"/>
  <c r="Q312" i="9" s="1"/>
  <c r="I313" i="9"/>
  <c r="BG313" i="9" s="1"/>
  <c r="U313" i="9"/>
  <c r="P313" i="9"/>
  <c r="Q313" i="9" s="1"/>
  <c r="T320" i="9"/>
  <c r="U321" i="9"/>
  <c r="AE322" i="9"/>
  <c r="BE322" i="9" s="1"/>
  <c r="U322" i="9"/>
  <c r="V322" i="9" s="1"/>
  <c r="AA322" i="9" s="1"/>
  <c r="I322" i="9"/>
  <c r="BG322" i="9" s="1"/>
  <c r="X351" i="9"/>
  <c r="P195" i="9"/>
  <c r="Q195" i="9" s="1"/>
  <c r="P199" i="9"/>
  <c r="Q199" i="9" s="1"/>
  <c r="P203" i="9"/>
  <c r="Q203" i="9" s="1"/>
  <c r="Y206" i="9"/>
  <c r="V207" i="9"/>
  <c r="P209" i="9"/>
  <c r="Q209" i="9" s="1"/>
  <c r="X209" i="9"/>
  <c r="AA209" i="9" s="1"/>
  <c r="Y210" i="9"/>
  <c r="V211" i="9"/>
  <c r="W212" i="9"/>
  <c r="P213" i="9"/>
  <c r="Q213" i="9" s="1"/>
  <c r="X213" i="9"/>
  <c r="Y214" i="9"/>
  <c r="W216" i="9"/>
  <c r="P217" i="9"/>
  <c r="Q217" i="9" s="1"/>
  <c r="X217" i="9"/>
  <c r="Y218" i="9"/>
  <c r="V219" i="9"/>
  <c r="W220" i="9"/>
  <c r="P221" i="9"/>
  <c r="Q221" i="9" s="1"/>
  <c r="X221" i="9"/>
  <c r="Y222" i="9"/>
  <c r="V223" i="9"/>
  <c r="W224" i="9"/>
  <c r="P225" i="9"/>
  <c r="Q225" i="9" s="1"/>
  <c r="X225" i="9"/>
  <c r="V229" i="9"/>
  <c r="W230" i="9"/>
  <c r="P231" i="9"/>
  <c r="Q231" i="9" s="1"/>
  <c r="X231" i="9"/>
  <c r="Y232" i="9"/>
  <c r="W234" i="9"/>
  <c r="P235" i="9"/>
  <c r="Q235" i="9" s="1"/>
  <c r="W238" i="9"/>
  <c r="P239" i="9"/>
  <c r="Q239" i="9" s="1"/>
  <c r="X239" i="9"/>
  <c r="Y240" i="9"/>
  <c r="W242" i="9"/>
  <c r="P243" i="9"/>
  <c r="Q243" i="9" s="1"/>
  <c r="X243" i="9"/>
  <c r="P249" i="9"/>
  <c r="Q249" i="9" s="1"/>
  <c r="X249" i="9"/>
  <c r="Y250" i="9"/>
  <c r="W252" i="9"/>
  <c r="P253" i="9"/>
  <c r="Q253" i="9" s="1"/>
  <c r="X253" i="9"/>
  <c r="V255" i="9"/>
  <c r="W256" i="9"/>
  <c r="P257" i="9"/>
  <c r="Q257" i="9" s="1"/>
  <c r="X257" i="9"/>
  <c r="Y258" i="9"/>
  <c r="I259" i="9"/>
  <c r="BG259" i="9" s="1"/>
  <c r="V259" i="9"/>
  <c r="W260" i="9"/>
  <c r="P261" i="9"/>
  <c r="Q261" i="9" s="1"/>
  <c r="P265" i="9"/>
  <c r="Q265" i="9" s="1"/>
  <c r="V267" i="9"/>
  <c r="W268" i="9"/>
  <c r="P269" i="9"/>
  <c r="Q269" i="9" s="1"/>
  <c r="Y272" i="9"/>
  <c r="I273" i="9"/>
  <c r="BG273" i="9" s="1"/>
  <c r="V273" i="9"/>
  <c r="P275" i="9"/>
  <c r="Q275" i="9" s="1"/>
  <c r="Y276" i="9"/>
  <c r="I277" i="9"/>
  <c r="BG277" i="9" s="1"/>
  <c r="V277" i="9"/>
  <c r="W278" i="9"/>
  <c r="P279" i="9"/>
  <c r="Q279" i="9" s="1"/>
  <c r="Y280" i="9"/>
  <c r="I281" i="9"/>
  <c r="BG281" i="9" s="1"/>
  <c r="P283" i="9"/>
  <c r="Q283" i="9" s="1"/>
  <c r="Y284" i="9"/>
  <c r="I285" i="9"/>
  <c r="BG285" i="9" s="1"/>
  <c r="V285" i="9"/>
  <c r="W286" i="9"/>
  <c r="P287" i="9"/>
  <c r="Q287" i="9" s="1"/>
  <c r="U287" i="9"/>
  <c r="Y287" i="9" s="1"/>
  <c r="I289" i="9"/>
  <c r="BG289" i="9" s="1"/>
  <c r="W291" i="9"/>
  <c r="I291" i="9"/>
  <c r="BG291" i="9" s="1"/>
  <c r="P291" i="9"/>
  <c r="Q291" i="9" s="1"/>
  <c r="X292" i="9"/>
  <c r="U293" i="9"/>
  <c r="T293" i="9"/>
  <c r="Y293" i="9" s="1"/>
  <c r="P293" i="9"/>
  <c r="Q293" i="9" s="1"/>
  <c r="W295" i="9"/>
  <c r="I295" i="9"/>
  <c r="BG295" i="9" s="1"/>
  <c r="P295" i="9"/>
  <c r="Q295" i="9" s="1"/>
  <c r="X296" i="9"/>
  <c r="U297" i="9"/>
  <c r="T297" i="9"/>
  <c r="X297" i="9" s="1"/>
  <c r="P297" i="9"/>
  <c r="Q297" i="9" s="1"/>
  <c r="I299" i="9"/>
  <c r="BG299" i="9" s="1"/>
  <c r="P299" i="9"/>
  <c r="Q299" i="9" s="1"/>
  <c r="W303" i="9"/>
  <c r="I303" i="9"/>
  <c r="BG303" i="9" s="1"/>
  <c r="U303" i="9"/>
  <c r="X303" i="9" s="1"/>
  <c r="P303" i="9"/>
  <c r="Q303" i="9" s="1"/>
  <c r="U309" i="9"/>
  <c r="T309" i="9"/>
  <c r="W309" i="9" s="1"/>
  <c r="P309" i="9"/>
  <c r="Q309" i="9" s="1"/>
  <c r="AE309" i="9"/>
  <c r="BE309" i="9" s="1"/>
  <c r="I309" i="9"/>
  <c r="BG309" i="9" s="1"/>
  <c r="P310" i="9"/>
  <c r="Q310" i="9" s="1"/>
  <c r="T312" i="9"/>
  <c r="W312" i="9" s="1"/>
  <c r="T313" i="9"/>
  <c r="U314" i="9"/>
  <c r="I314" i="9"/>
  <c r="BG314" i="9" s="1"/>
  <c r="U315" i="9"/>
  <c r="T315" i="9"/>
  <c r="W315" i="9" s="1"/>
  <c r="P315" i="9"/>
  <c r="Q315" i="9" s="1"/>
  <c r="AE315" i="9"/>
  <c r="BE315" i="9" s="1"/>
  <c r="I315" i="9"/>
  <c r="BG315" i="9" s="1"/>
  <c r="Z315" i="9"/>
  <c r="T318" i="9"/>
  <c r="V318" i="9" s="1"/>
  <c r="AA318" i="9" s="1"/>
  <c r="Y328" i="9"/>
  <c r="V328" i="9"/>
  <c r="Z328" i="9"/>
  <c r="AE349" i="9"/>
  <c r="BE349" i="9" s="1"/>
  <c r="P208" i="9"/>
  <c r="Q208" i="9" s="1"/>
  <c r="P212" i="9"/>
  <c r="Q212" i="9" s="1"/>
  <c r="P216" i="9"/>
  <c r="Q216" i="9" s="1"/>
  <c r="P220" i="9"/>
  <c r="Q220" i="9" s="1"/>
  <c r="P224" i="9"/>
  <c r="Q224" i="9" s="1"/>
  <c r="P230" i="9"/>
  <c r="Q230" i="9" s="1"/>
  <c r="P234" i="9"/>
  <c r="Q234" i="9" s="1"/>
  <c r="P238" i="9"/>
  <c r="Q238" i="9" s="1"/>
  <c r="P242" i="9"/>
  <c r="Q242" i="9" s="1"/>
  <c r="P248" i="9"/>
  <c r="Q248" i="9" s="1"/>
  <c r="P252" i="9"/>
  <c r="Q252" i="9" s="1"/>
  <c r="P256" i="9"/>
  <c r="Q256" i="9" s="1"/>
  <c r="P260" i="9"/>
  <c r="Q260" i="9" s="1"/>
  <c r="P264" i="9"/>
  <c r="Q264" i="9" s="1"/>
  <c r="P268" i="9"/>
  <c r="Q268" i="9" s="1"/>
  <c r="P274" i="9"/>
  <c r="Q274" i="9" s="1"/>
  <c r="P278" i="9"/>
  <c r="Q278" i="9" s="1"/>
  <c r="P282" i="9"/>
  <c r="Q282" i="9" s="1"/>
  <c r="P286" i="9"/>
  <c r="Q286" i="9" s="1"/>
  <c r="X288" i="9"/>
  <c r="U289" i="9"/>
  <c r="T289" i="9"/>
  <c r="W289" i="9" s="1"/>
  <c r="P289" i="9"/>
  <c r="Q289" i="9" s="1"/>
  <c r="AE294" i="9"/>
  <c r="BE294" i="9" s="1"/>
  <c r="U294" i="9"/>
  <c r="Z294" i="9" s="1"/>
  <c r="AE298" i="9"/>
  <c r="BE298" i="9" s="1"/>
  <c r="U298" i="9"/>
  <c r="Z298" i="9" s="1"/>
  <c r="AE302" i="9"/>
  <c r="BE302" i="9" s="1"/>
  <c r="U302" i="9"/>
  <c r="P302" i="9"/>
  <c r="Q302" i="9" s="1"/>
  <c r="U304" i="9"/>
  <c r="AE304" i="9"/>
  <c r="BE304" i="9" s="1"/>
  <c r="U305" i="9"/>
  <c r="T305" i="9"/>
  <c r="X305" i="9" s="1"/>
  <c r="P305" i="9"/>
  <c r="Q305" i="9" s="1"/>
  <c r="AE305" i="9"/>
  <c r="BE305" i="9" s="1"/>
  <c r="V305" i="9"/>
  <c r="I305" i="9"/>
  <c r="BG305" i="9" s="1"/>
  <c r="Z305" i="9"/>
  <c r="Y312" i="9"/>
  <c r="I316" i="9"/>
  <c r="BG316" i="9" s="1"/>
  <c r="P316" i="9"/>
  <c r="Q316" i="9" s="1"/>
  <c r="W317" i="9"/>
  <c r="I317" i="9"/>
  <c r="BG317" i="9" s="1"/>
  <c r="U317" i="9"/>
  <c r="V317" i="9" s="1"/>
  <c r="P317" i="9"/>
  <c r="Q317" i="9" s="1"/>
  <c r="I324" i="9"/>
  <c r="BG324" i="9" s="1"/>
  <c r="P324" i="9"/>
  <c r="Q324" i="9" s="1"/>
  <c r="W325" i="9"/>
  <c r="I325" i="9"/>
  <c r="BG325" i="9" s="1"/>
  <c r="U325" i="9"/>
  <c r="Y325" i="9" s="1"/>
  <c r="P325" i="9"/>
  <c r="Q325" i="9" s="1"/>
  <c r="X335" i="9"/>
  <c r="AE337" i="9"/>
  <c r="BE337" i="9" s="1"/>
  <c r="AE306" i="9"/>
  <c r="BE306" i="9" s="1"/>
  <c r="V306" i="9"/>
  <c r="U306" i="9"/>
  <c r="Z306" i="9"/>
  <c r="AE310" i="9"/>
  <c r="BE310" i="9" s="1"/>
  <c r="U310" i="9"/>
  <c r="AE312" i="9"/>
  <c r="BE312" i="9" s="1"/>
  <c r="V312" i="9"/>
  <c r="U312" i="9"/>
  <c r="Z312" i="9"/>
  <c r="AE317" i="9"/>
  <c r="BE317" i="9" s="1"/>
  <c r="I321" i="9"/>
  <c r="BG321" i="9" s="1"/>
  <c r="P321" i="9"/>
  <c r="Q321" i="9" s="1"/>
  <c r="AA321" i="9"/>
  <c r="U323" i="9"/>
  <c r="T323" i="9"/>
  <c r="P323" i="9"/>
  <c r="Q323" i="9" s="1"/>
  <c r="AE323" i="9"/>
  <c r="BE323" i="9" s="1"/>
  <c r="Z325" i="9"/>
  <c r="T326" i="9"/>
  <c r="W326" i="9" s="1"/>
  <c r="AE326" i="9"/>
  <c r="BE326" i="9" s="1"/>
  <c r="X328" i="9"/>
  <c r="I329" i="9"/>
  <c r="BG329" i="9" s="1"/>
  <c r="I330" i="9"/>
  <c r="BG330" i="9" s="1"/>
  <c r="P330" i="9"/>
  <c r="Q330" i="9" s="1"/>
  <c r="AE331" i="9"/>
  <c r="BE331" i="9" s="1"/>
  <c r="T332" i="9"/>
  <c r="AE332" i="9"/>
  <c r="BE332" i="9" s="1"/>
  <c r="AE334" i="9"/>
  <c r="BE334" i="9" s="1"/>
  <c r="U334" i="9"/>
  <c r="Y335" i="9"/>
  <c r="I336" i="9"/>
  <c r="I337" i="9"/>
  <c r="BG337" i="9" s="1"/>
  <c r="I339" i="9"/>
  <c r="BG339" i="9" s="1"/>
  <c r="P339" i="9"/>
  <c r="Q339" i="9" s="1"/>
  <c r="U341" i="9"/>
  <c r="T341" i="9"/>
  <c r="P341" i="9"/>
  <c r="Q341" i="9" s="1"/>
  <c r="I343" i="9"/>
  <c r="BG343" i="9" s="1"/>
  <c r="P343" i="9"/>
  <c r="Q343" i="9" s="1"/>
  <c r="I346" i="9"/>
  <c r="BG346" i="9" s="1"/>
  <c r="P346" i="9"/>
  <c r="Q346" i="9" s="1"/>
  <c r="Y347" i="9"/>
  <c r="I348" i="9"/>
  <c r="BG348" i="9" s="1"/>
  <c r="AE350" i="9"/>
  <c r="BE350" i="9" s="1"/>
  <c r="U350" i="9"/>
  <c r="Y351" i="9"/>
  <c r="I352" i="9"/>
  <c r="I368" i="9"/>
  <c r="I376" i="9"/>
  <c r="I384" i="9"/>
  <c r="I392" i="9"/>
  <c r="AZ456" i="9"/>
  <c r="X466" i="9"/>
  <c r="X467" i="9" s="1"/>
  <c r="X464" i="9"/>
  <c r="X465" i="9" s="1"/>
  <c r="G524" i="9"/>
  <c r="H533" i="9" s="1"/>
  <c r="Z462" i="9"/>
  <c r="Z498" i="9"/>
  <c r="M476" i="9"/>
  <c r="S461" i="9"/>
  <c r="L476" i="9"/>
  <c r="Z482" i="9"/>
  <c r="AK503" i="9"/>
  <c r="AK504" i="9" s="1"/>
  <c r="AK501" i="9"/>
  <c r="AK502" i="9" s="1"/>
  <c r="F507" i="9"/>
  <c r="M507" i="9" s="1"/>
  <c r="C514" i="9"/>
  <c r="C534" i="9"/>
  <c r="I147" i="10"/>
  <c r="BG147" i="10" s="1"/>
  <c r="U149" i="10"/>
  <c r="AA152" i="10"/>
  <c r="AB152" i="10" s="1"/>
  <c r="AC152" i="10" s="1"/>
  <c r="I155" i="10"/>
  <c r="I158" i="10"/>
  <c r="BG158" i="10" s="1"/>
  <c r="U158" i="10"/>
  <c r="P158" i="10"/>
  <c r="T159" i="10"/>
  <c r="U160" i="10"/>
  <c r="AE165" i="10"/>
  <c r="BE165" i="10" s="1"/>
  <c r="U165" i="10"/>
  <c r="T165" i="10"/>
  <c r="P165" i="10"/>
  <c r="AF165" i="10"/>
  <c r="BH165" i="10" s="1"/>
  <c r="I166" i="10"/>
  <c r="BG166" i="10" s="1"/>
  <c r="U166" i="10"/>
  <c r="P166" i="10"/>
  <c r="T167" i="10"/>
  <c r="U168" i="10"/>
  <c r="AE173" i="10"/>
  <c r="BE173" i="10" s="1"/>
  <c r="U173" i="10"/>
  <c r="T173" i="10"/>
  <c r="P173" i="10"/>
  <c r="AF173" i="10"/>
  <c r="BH173" i="10" s="1"/>
  <c r="I174" i="10"/>
  <c r="U174" i="10"/>
  <c r="P174" i="10"/>
  <c r="T175" i="10"/>
  <c r="U176" i="10"/>
  <c r="U179" i="10"/>
  <c r="T180" i="10"/>
  <c r="P180" i="10"/>
  <c r="AE180" i="10"/>
  <c r="BE180" i="10" s="1"/>
  <c r="I180" i="10"/>
  <c r="BG180" i="10" s="1"/>
  <c r="U180" i="10"/>
  <c r="T193" i="10"/>
  <c r="I193" i="10"/>
  <c r="BG193" i="10" s="1"/>
  <c r="P193" i="10"/>
  <c r="U329" i="9"/>
  <c r="T329" i="9"/>
  <c r="V329" i="9" s="1"/>
  <c r="P329" i="9"/>
  <c r="Q329" i="9" s="1"/>
  <c r="AE329" i="9"/>
  <c r="BE329" i="9" s="1"/>
  <c r="I331" i="9"/>
  <c r="BG331" i="9" s="1"/>
  <c r="P331" i="9"/>
  <c r="Q331" i="9" s="1"/>
  <c r="P334" i="9"/>
  <c r="Q334" i="9" s="1"/>
  <c r="U337" i="9"/>
  <c r="Y337" i="9" s="1"/>
  <c r="T337" i="9"/>
  <c r="V337" i="9" s="1"/>
  <c r="P337" i="9"/>
  <c r="Q337" i="9" s="1"/>
  <c r="T338" i="9"/>
  <c r="AE342" i="9"/>
  <c r="BE342" i="9" s="1"/>
  <c r="U342" i="9"/>
  <c r="V342" i="9" s="1"/>
  <c r="AE345" i="9"/>
  <c r="BE345" i="9" s="1"/>
  <c r="P350" i="9"/>
  <c r="Q350" i="9" s="1"/>
  <c r="H524" i="9"/>
  <c r="I533" i="9" s="1"/>
  <c r="C515" i="9"/>
  <c r="K486" i="9"/>
  <c r="Y490" i="9"/>
  <c r="Y503" i="9"/>
  <c r="Y501" i="9"/>
  <c r="L5" i="10"/>
  <c r="K5" i="10"/>
  <c r="M23" i="10"/>
  <c r="M24" i="10" s="1"/>
  <c r="M25" i="10" s="1"/>
  <c r="Y144" i="10"/>
  <c r="AF238" i="10"/>
  <c r="BH238" i="10" s="1"/>
  <c r="AF230" i="10"/>
  <c r="BH230" i="10" s="1"/>
  <c r="AF222" i="10"/>
  <c r="BH222" i="10" s="1"/>
  <c r="AF214" i="10"/>
  <c r="BH214" i="10" s="1"/>
  <c r="AF206" i="10"/>
  <c r="BH206" i="10" s="1"/>
  <c r="AB350" i="10"/>
  <c r="AC350" i="10" s="1"/>
  <c r="AB346" i="10"/>
  <c r="AC346" i="10" s="1"/>
  <c r="AB342" i="10"/>
  <c r="AC342" i="10" s="1"/>
  <c r="AB338" i="10"/>
  <c r="AC338" i="10" s="1"/>
  <c r="AB316" i="10"/>
  <c r="AC316" i="10" s="1"/>
  <c r="AB310" i="10"/>
  <c r="AC310" i="10" s="1"/>
  <c r="AB302" i="10"/>
  <c r="AC302" i="10" s="1"/>
  <c r="AB294" i="10"/>
  <c r="AC294" i="10" s="1"/>
  <c r="AB351" i="10"/>
  <c r="AC351" i="10" s="1"/>
  <c r="AB347" i="10"/>
  <c r="AC347" i="10" s="1"/>
  <c r="AB343" i="10"/>
  <c r="AC343" i="10" s="1"/>
  <c r="AB339" i="10"/>
  <c r="AC339" i="10" s="1"/>
  <c r="AB335" i="10"/>
  <c r="AC335" i="10" s="1"/>
  <c r="AB331" i="10"/>
  <c r="AC331" i="10" s="1"/>
  <c r="AB325" i="10"/>
  <c r="AC325" i="10" s="1"/>
  <c r="AB321" i="10"/>
  <c r="AC321" i="10" s="1"/>
  <c r="AB317" i="10"/>
  <c r="AC317" i="10" s="1"/>
  <c r="AB313" i="10"/>
  <c r="AC313" i="10" s="1"/>
  <c r="AB307" i="10"/>
  <c r="AC307" i="10" s="1"/>
  <c r="AB303" i="10"/>
  <c r="AC303" i="10" s="1"/>
  <c r="AB299" i="10"/>
  <c r="AC299" i="10" s="1"/>
  <c r="AB295" i="10"/>
  <c r="AC295" i="10" s="1"/>
  <c r="AB291" i="10"/>
  <c r="AC291" i="10" s="1"/>
  <c r="AB287" i="10"/>
  <c r="AC287" i="10" s="1"/>
  <c r="AB352" i="10"/>
  <c r="AC352" i="10" s="1"/>
  <c r="AB348" i="10"/>
  <c r="AC348" i="10" s="1"/>
  <c r="AB344" i="10"/>
  <c r="AC344" i="10" s="1"/>
  <c r="AB340" i="10"/>
  <c r="AC340" i="10" s="1"/>
  <c r="AB336" i="10"/>
  <c r="AC336" i="10" s="1"/>
  <c r="AB332" i="10"/>
  <c r="AC332" i="10" s="1"/>
  <c r="AB322" i="10"/>
  <c r="AC322" i="10" s="1"/>
  <c r="AB326" i="10"/>
  <c r="AC326" i="10" s="1"/>
  <c r="AB296" i="10"/>
  <c r="AC296" i="10" s="1"/>
  <c r="AB276" i="10"/>
  <c r="AC276" i="10" s="1"/>
  <c r="AB266" i="10"/>
  <c r="AC266" i="10" s="1"/>
  <c r="AB258" i="10"/>
  <c r="AC258" i="10" s="1"/>
  <c r="AB250" i="10"/>
  <c r="AC250" i="10" s="1"/>
  <c r="AB240" i="10"/>
  <c r="AC240" i="10" s="1"/>
  <c r="AB236" i="10"/>
  <c r="AC236" i="10" s="1"/>
  <c r="AB232" i="10"/>
  <c r="AC232" i="10" s="1"/>
  <c r="AB228" i="10"/>
  <c r="AC228" i="10" s="1"/>
  <c r="AB226" i="10"/>
  <c r="AC226" i="10" s="1"/>
  <c r="AB222" i="10"/>
  <c r="AC222" i="10" s="1"/>
  <c r="AB218" i="10"/>
  <c r="AC218" i="10" s="1"/>
  <c r="AB214" i="10"/>
  <c r="AC214" i="10" s="1"/>
  <c r="AB210" i="10"/>
  <c r="AC210" i="10" s="1"/>
  <c r="AB206" i="10"/>
  <c r="AC206" i="10" s="1"/>
  <c r="AB204" i="10"/>
  <c r="AC204" i="10" s="1"/>
  <c r="AB200" i="10"/>
  <c r="AC200" i="10" s="1"/>
  <c r="AB196" i="10"/>
  <c r="AC196" i="10" s="1"/>
  <c r="AB192" i="10"/>
  <c r="AC192" i="10" s="1"/>
  <c r="AB188" i="10"/>
  <c r="AC188" i="10" s="1"/>
  <c r="AB184" i="10"/>
  <c r="AC184" i="10" s="1"/>
  <c r="AB180" i="10"/>
  <c r="AC180" i="10" s="1"/>
  <c r="AB314" i="10"/>
  <c r="AC314" i="10" s="1"/>
  <c r="AB300" i="10"/>
  <c r="AC300" i="10" s="1"/>
  <c r="AB284" i="10"/>
  <c r="AC284" i="10" s="1"/>
  <c r="AB281" i="10"/>
  <c r="AC281" i="10" s="1"/>
  <c r="AB277" i="10"/>
  <c r="AC277" i="10" s="1"/>
  <c r="AB273" i="10"/>
  <c r="AC273" i="10" s="1"/>
  <c r="AB267" i="10"/>
  <c r="AC267" i="10" s="1"/>
  <c r="AB263" i="10"/>
  <c r="AC263" i="10" s="1"/>
  <c r="AB259" i="10"/>
  <c r="AC259" i="10" s="1"/>
  <c r="AB255" i="10"/>
  <c r="AC255" i="10" s="1"/>
  <c r="AB251" i="10"/>
  <c r="AC251" i="10" s="1"/>
  <c r="AB247" i="10"/>
  <c r="AC247" i="10" s="1"/>
  <c r="AB245" i="10"/>
  <c r="AC245" i="10" s="1"/>
  <c r="AB318" i="10"/>
  <c r="AC318" i="10" s="1"/>
  <c r="AB315" i="10"/>
  <c r="AC315" i="10" s="1"/>
  <c r="AB309" i="10"/>
  <c r="AC309" i="10" s="1"/>
  <c r="AB304" i="10"/>
  <c r="AC304" i="10" s="1"/>
  <c r="AB292" i="10"/>
  <c r="AC292" i="10" s="1"/>
  <c r="AB290" i="10"/>
  <c r="AC290" i="10" s="1"/>
  <c r="AB288" i="10"/>
  <c r="AC288" i="10" s="1"/>
  <c r="AB282" i="10"/>
  <c r="AC282" i="10" s="1"/>
  <c r="AB278" i="10"/>
  <c r="AC278" i="10" s="1"/>
  <c r="AB274" i="10"/>
  <c r="AC274" i="10" s="1"/>
  <c r="AB268" i="10"/>
  <c r="AC268" i="10" s="1"/>
  <c r="AB264" i="10"/>
  <c r="AC264" i="10" s="1"/>
  <c r="AB260" i="10"/>
  <c r="AC260" i="10" s="1"/>
  <c r="AB256" i="10"/>
  <c r="AC256" i="10" s="1"/>
  <c r="AB252" i="10"/>
  <c r="AC252" i="10" s="1"/>
  <c r="AB248" i="10"/>
  <c r="AC248" i="10" s="1"/>
  <c r="AB242" i="10"/>
  <c r="AC242" i="10" s="1"/>
  <c r="AB238" i="10"/>
  <c r="AC238" i="10" s="1"/>
  <c r="AB234" i="10"/>
  <c r="AC234" i="10" s="1"/>
  <c r="AB230" i="10"/>
  <c r="AC230" i="10" s="1"/>
  <c r="AB224" i="10"/>
  <c r="AC224" i="10" s="1"/>
  <c r="AB220" i="10"/>
  <c r="AC220" i="10" s="1"/>
  <c r="AB216" i="10"/>
  <c r="AC216" i="10" s="1"/>
  <c r="AB212" i="10"/>
  <c r="AC212" i="10" s="1"/>
  <c r="AB208" i="10"/>
  <c r="AC208" i="10" s="1"/>
  <c r="AB202" i="10"/>
  <c r="AC202" i="10" s="1"/>
  <c r="AB194" i="10"/>
  <c r="AC194" i="10" s="1"/>
  <c r="AB190" i="10"/>
  <c r="AC190" i="10" s="1"/>
  <c r="AB186" i="10"/>
  <c r="AC186" i="10" s="1"/>
  <c r="AB182" i="10"/>
  <c r="AC182" i="10" s="1"/>
  <c r="AB178" i="10"/>
  <c r="AC178" i="10" s="1"/>
  <c r="AB171" i="10"/>
  <c r="AC171" i="10" s="1"/>
  <c r="AB163" i="10"/>
  <c r="AC163" i="10" s="1"/>
  <c r="AB153" i="10"/>
  <c r="AC153" i="10" s="1"/>
  <c r="AB149" i="10"/>
  <c r="AC149" i="10" s="1"/>
  <c r="AB279" i="10"/>
  <c r="AC279" i="10" s="1"/>
  <c r="AB271" i="10"/>
  <c r="AC271" i="10" s="1"/>
  <c r="AB269" i="10"/>
  <c r="AC269" i="10" s="1"/>
  <c r="AB261" i="10"/>
  <c r="AC261" i="10" s="1"/>
  <c r="AB253" i="10"/>
  <c r="AC253" i="10" s="1"/>
  <c r="AB243" i="10"/>
  <c r="AC243" i="10" s="1"/>
  <c r="AB237" i="10"/>
  <c r="AC237" i="10" s="1"/>
  <c r="AB229" i="10"/>
  <c r="AC229" i="10" s="1"/>
  <c r="AB221" i="10"/>
  <c r="AC221" i="10" s="1"/>
  <c r="AB213" i="10"/>
  <c r="AC213" i="10" s="1"/>
  <c r="AB197" i="10"/>
  <c r="AC197" i="10" s="1"/>
  <c r="AB189" i="10"/>
  <c r="AC189" i="10" s="1"/>
  <c r="AB181" i="10"/>
  <c r="AC181" i="10" s="1"/>
  <c r="AB176" i="10"/>
  <c r="AC176" i="10" s="1"/>
  <c r="AB172" i="10"/>
  <c r="AC172" i="10" s="1"/>
  <c r="AB168" i="10"/>
  <c r="AC168" i="10" s="1"/>
  <c r="AB164" i="10"/>
  <c r="AC164" i="10" s="1"/>
  <c r="AB160" i="10"/>
  <c r="AC160" i="10" s="1"/>
  <c r="AB154" i="10"/>
  <c r="AC154" i="10" s="1"/>
  <c r="AB150" i="10"/>
  <c r="AC150" i="10" s="1"/>
  <c r="AB146" i="10"/>
  <c r="AC146" i="10" s="1"/>
  <c r="AB308" i="10"/>
  <c r="AC308" i="10" s="1"/>
  <c r="AB235" i="10"/>
  <c r="AC235" i="10" s="1"/>
  <c r="AB219" i="10"/>
  <c r="AC219" i="10" s="1"/>
  <c r="AB211" i="10"/>
  <c r="AC211" i="10" s="1"/>
  <c r="AB205" i="10"/>
  <c r="AC205" i="10" s="1"/>
  <c r="AB203" i="10"/>
  <c r="AC203" i="10" s="1"/>
  <c r="AB195" i="10"/>
  <c r="AC195" i="10" s="1"/>
  <c r="AB187" i="10"/>
  <c r="AC187" i="10" s="1"/>
  <c r="AB179" i="10"/>
  <c r="AC179" i="10" s="1"/>
  <c r="AB177" i="10"/>
  <c r="AC177" i="10" s="1"/>
  <c r="AB173" i="10"/>
  <c r="AC173" i="10" s="1"/>
  <c r="AB169" i="10"/>
  <c r="AC169" i="10" s="1"/>
  <c r="AB165" i="10"/>
  <c r="AC165" i="10" s="1"/>
  <c r="AB161" i="10"/>
  <c r="AC161" i="10" s="1"/>
  <c r="AB157" i="10"/>
  <c r="AC157" i="10" s="1"/>
  <c r="AB155" i="10"/>
  <c r="AC155" i="10" s="1"/>
  <c r="AB151" i="10"/>
  <c r="AC151" i="10" s="1"/>
  <c r="AB147" i="10"/>
  <c r="AC147" i="10" s="1"/>
  <c r="AB329" i="10"/>
  <c r="AC329" i="10" s="1"/>
  <c r="AB328" i="10"/>
  <c r="AC328" i="10" s="1"/>
  <c r="AB285" i="10"/>
  <c r="AC285" i="10" s="1"/>
  <c r="AE151" i="10"/>
  <c r="BE151" i="10" s="1"/>
  <c r="U151" i="10"/>
  <c r="T151" i="10"/>
  <c r="P151" i="10"/>
  <c r="AF151" i="10"/>
  <c r="BH151" i="10" s="1"/>
  <c r="I152" i="10"/>
  <c r="BG152" i="10" s="1"/>
  <c r="U152" i="10"/>
  <c r="P152" i="10"/>
  <c r="U159" i="10"/>
  <c r="AB162" i="10"/>
  <c r="AC162" i="10" s="1"/>
  <c r="U167" i="10"/>
  <c r="AB170" i="10"/>
  <c r="AC170" i="10" s="1"/>
  <c r="U175" i="10"/>
  <c r="P178" i="10"/>
  <c r="AF182" i="10"/>
  <c r="BH182" i="10" s="1"/>
  <c r="T188" i="10"/>
  <c r="P188" i="10"/>
  <c r="AE188" i="10"/>
  <c r="BE188" i="10" s="1"/>
  <c r="I188" i="10"/>
  <c r="BG188" i="10" s="1"/>
  <c r="U188" i="10"/>
  <c r="T201" i="10"/>
  <c r="I201" i="10"/>
  <c r="P201" i="10"/>
  <c r="X301" i="9"/>
  <c r="I302" i="9"/>
  <c r="BG302" i="9" s="1"/>
  <c r="AE303" i="9"/>
  <c r="BE303" i="9" s="1"/>
  <c r="Z303" i="9"/>
  <c r="T304" i="9"/>
  <c r="Y305" i="9"/>
  <c r="AE307" i="9"/>
  <c r="BE307" i="9" s="1"/>
  <c r="Z307" i="9"/>
  <c r="T308" i="9"/>
  <c r="Z308" i="9" s="1"/>
  <c r="Y309" i="9"/>
  <c r="AE313" i="9"/>
  <c r="BE313" i="9" s="1"/>
  <c r="Z313" i="9"/>
  <c r="AE316" i="9"/>
  <c r="BE316" i="9" s="1"/>
  <c r="V316" i="9"/>
  <c r="U316" i="9"/>
  <c r="Y316" i="9" s="1"/>
  <c r="Z316" i="9"/>
  <c r="AE320" i="9"/>
  <c r="BE320" i="9" s="1"/>
  <c r="U320" i="9"/>
  <c r="W322" i="9"/>
  <c r="AE324" i="9"/>
  <c r="BE324" i="9" s="1"/>
  <c r="U324" i="9"/>
  <c r="W324" i="9" s="1"/>
  <c r="X326" i="9"/>
  <c r="U327" i="9"/>
  <c r="T327" i="9"/>
  <c r="P327" i="9"/>
  <c r="Q327" i="9" s="1"/>
  <c r="X332" i="9"/>
  <c r="U333" i="9"/>
  <c r="T333" i="9"/>
  <c r="Z333" i="9" s="1"/>
  <c r="P333" i="9"/>
  <c r="Q333" i="9" s="1"/>
  <c r="AE333" i="9"/>
  <c r="BE333" i="9" s="1"/>
  <c r="AE335" i="9"/>
  <c r="BE335" i="9" s="1"/>
  <c r="Z335" i="9"/>
  <c r="T336" i="9"/>
  <c r="AE338" i="9"/>
  <c r="BE338" i="9" s="1"/>
  <c r="U338" i="9"/>
  <c r="T339" i="9"/>
  <c r="Y339" i="9" s="1"/>
  <c r="T340" i="9"/>
  <c r="X340" i="9" s="1"/>
  <c r="AE340" i="9"/>
  <c r="BE340" i="9" s="1"/>
  <c r="X341" i="9"/>
  <c r="I342" i="9"/>
  <c r="BG342" i="9" s="1"/>
  <c r="P342" i="9"/>
  <c r="Q342" i="9" s="1"/>
  <c r="T343" i="9"/>
  <c r="Y343" i="9" s="1"/>
  <c r="AA344" i="9"/>
  <c r="U345" i="9"/>
  <c r="T345" i="9"/>
  <c r="X345" i="9" s="1"/>
  <c r="P345" i="9"/>
  <c r="Q345" i="9" s="1"/>
  <c r="AE347" i="9"/>
  <c r="BE347" i="9" s="1"/>
  <c r="Z347" i="9"/>
  <c r="T348" i="9"/>
  <c r="I349" i="9"/>
  <c r="BG349" i="9" s="1"/>
  <c r="AE351" i="9"/>
  <c r="BE351" i="9" s="1"/>
  <c r="Z351" i="9"/>
  <c r="T352" i="9"/>
  <c r="I364" i="9"/>
  <c r="I372" i="9"/>
  <c r="I380" i="9"/>
  <c r="I388" i="9"/>
  <c r="I396" i="9"/>
  <c r="AK455" i="9"/>
  <c r="AK456" i="9" s="1"/>
  <c r="R461" i="9"/>
  <c r="Y473" i="9"/>
  <c r="X472" i="9"/>
  <c r="X473" i="9" s="1"/>
  <c r="X474" i="9"/>
  <c r="X475" i="9" s="1"/>
  <c r="AK487" i="9"/>
  <c r="AK488" i="9" s="1"/>
  <c r="Z490" i="9"/>
  <c r="C537" i="9"/>
  <c r="F533" i="9" s="1"/>
  <c r="C529" i="9"/>
  <c r="K17" i="10"/>
  <c r="B9" i="1" s="1"/>
  <c r="U145" i="10"/>
  <c r="Y357" i="10"/>
  <c r="Y354" i="10"/>
  <c r="Y355" i="10"/>
  <c r="Y356" i="10"/>
  <c r="AA148" i="10"/>
  <c r="AB148" i="10"/>
  <c r="AC148" i="10" s="1"/>
  <c r="I151" i="10"/>
  <c r="T152" i="10"/>
  <c r="U153" i="10"/>
  <c r="AA156" i="10"/>
  <c r="AB156" i="10"/>
  <c r="AC156" i="10" s="1"/>
  <c r="AA159" i="10"/>
  <c r="AB159" i="10" s="1"/>
  <c r="AC159" i="10" s="1"/>
  <c r="AE161" i="10"/>
  <c r="BE161" i="10" s="1"/>
  <c r="U161" i="10"/>
  <c r="T161" i="10"/>
  <c r="P161" i="10"/>
  <c r="AF161" i="10"/>
  <c r="BH161" i="10" s="1"/>
  <c r="I162" i="10"/>
  <c r="U162" i="10"/>
  <c r="P162" i="10"/>
  <c r="T163" i="10"/>
  <c r="U164" i="10"/>
  <c r="AA167" i="10"/>
  <c r="AB167" i="10" s="1"/>
  <c r="AC167" i="10" s="1"/>
  <c r="AE169" i="10"/>
  <c r="BE169" i="10" s="1"/>
  <c r="U169" i="10"/>
  <c r="T169" i="10"/>
  <c r="P169" i="10"/>
  <c r="AF169" i="10"/>
  <c r="BH169" i="10" s="1"/>
  <c r="I170" i="10"/>
  <c r="U170" i="10"/>
  <c r="P170" i="10"/>
  <c r="T171" i="10"/>
  <c r="U172" i="10"/>
  <c r="AA175" i="10"/>
  <c r="AB175" i="10" s="1"/>
  <c r="AC175" i="10" s="1"/>
  <c r="AE177" i="10"/>
  <c r="BE177" i="10" s="1"/>
  <c r="U177" i="10"/>
  <c r="T177" i="10"/>
  <c r="P177" i="10"/>
  <c r="U178" i="10"/>
  <c r="P189" i="10"/>
  <c r="AF190" i="10"/>
  <c r="BH190" i="10" s="1"/>
  <c r="T196" i="10"/>
  <c r="P196" i="10"/>
  <c r="AE196" i="10"/>
  <c r="BE196" i="10" s="1"/>
  <c r="I196" i="10"/>
  <c r="U196" i="10"/>
  <c r="X329" i="9"/>
  <c r="AE330" i="9"/>
  <c r="BE330" i="9" s="1"/>
  <c r="U330" i="9"/>
  <c r="T331" i="9"/>
  <c r="X331" i="9" s="1"/>
  <c r="Y334" i="9"/>
  <c r="T334" i="9"/>
  <c r="X334" i="9" s="1"/>
  <c r="W335" i="9"/>
  <c r="I335" i="9"/>
  <c r="BG335" i="9" s="1"/>
  <c r="P335" i="9"/>
  <c r="Q335" i="9" s="1"/>
  <c r="X337" i="9"/>
  <c r="P338" i="9"/>
  <c r="Q338" i="9" s="1"/>
  <c r="AE339" i="9"/>
  <c r="BE339" i="9" s="1"/>
  <c r="Z339" i="9"/>
  <c r="W340" i="9"/>
  <c r="Y341" i="9"/>
  <c r="AE341" i="9"/>
  <c r="BE341" i="9" s="1"/>
  <c r="AE343" i="9"/>
  <c r="BE343" i="9" s="1"/>
  <c r="Z343" i="9"/>
  <c r="AE346" i="9"/>
  <c r="BE346" i="9" s="1"/>
  <c r="U346" i="9"/>
  <c r="X346" i="9" s="1"/>
  <c r="Z346" i="9"/>
  <c r="W347" i="9"/>
  <c r="I347" i="9"/>
  <c r="BG347" i="9" s="1"/>
  <c r="P347" i="9"/>
  <c r="Q347" i="9" s="1"/>
  <c r="X348" i="9"/>
  <c r="U349" i="9"/>
  <c r="T349" i="9"/>
  <c r="W349" i="9" s="1"/>
  <c r="P349" i="9"/>
  <c r="Q349" i="9" s="1"/>
  <c r="Y350" i="9"/>
  <c r="T350" i="9"/>
  <c r="X350" i="9" s="1"/>
  <c r="W351" i="9"/>
  <c r="I351" i="9"/>
  <c r="P351" i="9"/>
  <c r="Q351" i="9" s="1"/>
  <c r="X352" i="9"/>
  <c r="U353" i="9"/>
  <c r="P353" i="9"/>
  <c r="Q353" i="9" s="1"/>
  <c r="R353" i="9" s="1"/>
  <c r="Z353" i="9"/>
  <c r="AA353" i="9" s="1"/>
  <c r="C509" i="9"/>
  <c r="J468" i="9"/>
  <c r="J469" i="9" s="1"/>
  <c r="R489" i="9"/>
  <c r="Y470" i="9"/>
  <c r="K466" i="9"/>
  <c r="Y454" i="9"/>
  <c r="Y462" i="9"/>
  <c r="K476" i="9"/>
  <c r="Y482" i="9"/>
  <c r="AE495" i="9"/>
  <c r="AE496" i="9" s="1"/>
  <c r="E507" i="9"/>
  <c r="L507" i="9" s="1"/>
  <c r="AE147" i="10"/>
  <c r="BE147" i="10" s="1"/>
  <c r="U147" i="10"/>
  <c r="T147" i="10"/>
  <c r="P147" i="10"/>
  <c r="AF147" i="10"/>
  <c r="BH147" i="10" s="1"/>
  <c r="I148" i="10"/>
  <c r="BG148" i="10" s="1"/>
  <c r="U148" i="10"/>
  <c r="P148" i="10"/>
  <c r="AE155" i="10"/>
  <c r="BE155" i="10" s="1"/>
  <c r="U155" i="10"/>
  <c r="T155" i="10"/>
  <c r="P155" i="10"/>
  <c r="AF155" i="10"/>
  <c r="BH155" i="10" s="1"/>
  <c r="I156" i="10"/>
  <c r="BG156" i="10" s="1"/>
  <c r="U156" i="10"/>
  <c r="P156" i="10"/>
  <c r="AB158" i="10"/>
  <c r="AC158" i="10" s="1"/>
  <c r="U163" i="10"/>
  <c r="AB166" i="10"/>
  <c r="AC166" i="10" s="1"/>
  <c r="U171" i="10"/>
  <c r="AB174" i="10"/>
  <c r="AC174" i="10" s="1"/>
  <c r="I177" i="10"/>
  <c r="BG177" i="10" s="1"/>
  <c r="T185" i="10"/>
  <c r="I185" i="10"/>
  <c r="P185" i="10"/>
  <c r="P197" i="10"/>
  <c r="AA198" i="10"/>
  <c r="AB198" i="10" s="1"/>
  <c r="AC198" i="10" s="1"/>
  <c r="AF198" i="10"/>
  <c r="BH198" i="10" s="1"/>
  <c r="T204" i="10"/>
  <c r="P204" i="10"/>
  <c r="AE204" i="10"/>
  <c r="BE204" i="10" s="1"/>
  <c r="I204" i="10"/>
  <c r="BG204" i="10" s="1"/>
  <c r="P209" i="10"/>
  <c r="AE212" i="10"/>
  <c r="BE212" i="10" s="1"/>
  <c r="I212" i="10"/>
  <c r="BG212" i="10" s="1"/>
  <c r="T212" i="10"/>
  <c r="P212" i="10"/>
  <c r="P217" i="10"/>
  <c r="AE220" i="10"/>
  <c r="BE220" i="10" s="1"/>
  <c r="I220" i="10"/>
  <c r="BG220" i="10" s="1"/>
  <c r="T220" i="10"/>
  <c r="P220" i="10"/>
  <c r="P225" i="10"/>
  <c r="T228" i="10"/>
  <c r="P228" i="10"/>
  <c r="AE228" i="10"/>
  <c r="BE228" i="10" s="1"/>
  <c r="I228" i="10"/>
  <c r="BG228" i="10" s="1"/>
  <c r="P233" i="10"/>
  <c r="T236" i="10"/>
  <c r="P236" i="10"/>
  <c r="AE236" i="10"/>
  <c r="BE236" i="10" s="1"/>
  <c r="I236" i="10"/>
  <c r="P241" i="10"/>
  <c r="T286" i="10"/>
  <c r="I286" i="10"/>
  <c r="BG286" i="10" s="1"/>
  <c r="P286" i="10"/>
  <c r="T290" i="10"/>
  <c r="I290" i="10"/>
  <c r="BG290" i="10" s="1"/>
  <c r="U291" i="10"/>
  <c r="T291" i="10"/>
  <c r="P291" i="10"/>
  <c r="I291" i="10"/>
  <c r="BG291" i="10" s="1"/>
  <c r="AE291" i="10"/>
  <c r="BE291" i="10" s="1"/>
  <c r="U294" i="10"/>
  <c r="I294" i="10"/>
  <c r="BG294" i="10" s="1"/>
  <c r="AE300" i="10"/>
  <c r="BE300" i="10" s="1"/>
  <c r="U300" i="10"/>
  <c r="T300" i="10"/>
  <c r="P300" i="10"/>
  <c r="I304" i="10"/>
  <c r="BG304" i="10" s="1"/>
  <c r="T304" i="10"/>
  <c r="P304" i="10"/>
  <c r="I309" i="10"/>
  <c r="BG309" i="10" s="1"/>
  <c r="U309" i="10"/>
  <c r="T309" i="10"/>
  <c r="P309" i="10"/>
  <c r="U310" i="10"/>
  <c r="I310" i="10"/>
  <c r="BG310" i="10" s="1"/>
  <c r="AF349" i="10"/>
  <c r="BH349" i="10" s="1"/>
  <c r="AF345" i="10"/>
  <c r="BH345" i="10" s="1"/>
  <c r="AF341" i="10"/>
  <c r="BH341" i="10" s="1"/>
  <c r="AF337" i="10"/>
  <c r="BH337" i="10" s="1"/>
  <c r="AF333" i="10"/>
  <c r="BH333" i="10" s="1"/>
  <c r="AF329" i="10"/>
  <c r="BH329" i="10" s="1"/>
  <c r="AE328" i="10"/>
  <c r="BE328" i="10" s="1"/>
  <c r="AF327" i="10"/>
  <c r="BH327" i="10" s="1"/>
  <c r="AF323" i="10"/>
  <c r="BH323" i="10" s="1"/>
  <c r="AF319" i="10"/>
  <c r="BH319" i="10" s="1"/>
  <c r="AF315" i="10"/>
  <c r="BH315" i="10" s="1"/>
  <c r="AF311" i="10"/>
  <c r="BH311" i="10" s="1"/>
  <c r="AF309" i="10"/>
  <c r="BH309" i="10" s="1"/>
  <c r="AF305" i="10"/>
  <c r="BH305" i="10" s="1"/>
  <c r="AF301" i="10"/>
  <c r="BH301" i="10" s="1"/>
  <c r="AF297" i="10"/>
  <c r="BH297" i="10" s="1"/>
  <c r="AF293" i="10"/>
  <c r="BH293" i="10" s="1"/>
  <c r="Q291" i="10"/>
  <c r="AF350" i="10"/>
  <c r="BH350" i="10" s="1"/>
  <c r="AF346" i="10"/>
  <c r="BH346" i="10" s="1"/>
  <c r="AF342" i="10"/>
  <c r="BH342" i="10" s="1"/>
  <c r="AF338" i="10"/>
  <c r="BH338" i="10" s="1"/>
  <c r="AF334" i="10"/>
  <c r="BH334" i="10" s="1"/>
  <c r="AF330" i="10"/>
  <c r="BH330" i="10" s="1"/>
  <c r="Q328" i="10"/>
  <c r="AF324" i="10"/>
  <c r="BH324" i="10" s="1"/>
  <c r="AF320" i="10"/>
  <c r="BH320" i="10" s="1"/>
  <c r="AF316" i="10"/>
  <c r="BH316" i="10" s="1"/>
  <c r="AF312" i="10"/>
  <c r="BH312" i="10" s="1"/>
  <c r="AE311" i="10"/>
  <c r="BE311" i="10" s="1"/>
  <c r="AF310" i="10"/>
  <c r="BH310" i="10" s="1"/>
  <c r="AF306" i="10"/>
  <c r="BH306" i="10" s="1"/>
  <c r="Q304" i="10"/>
  <c r="AF302" i="10"/>
  <c r="BH302" i="10" s="1"/>
  <c r="Q300" i="10"/>
  <c r="AF298" i="10"/>
  <c r="BH298" i="10" s="1"/>
  <c r="AF294" i="10"/>
  <c r="BH294" i="10" s="1"/>
  <c r="AF290" i="10"/>
  <c r="BH290" i="10" s="1"/>
  <c r="AF286" i="10"/>
  <c r="BH286" i="10" s="1"/>
  <c r="AF351" i="10"/>
  <c r="BH351" i="10" s="1"/>
  <c r="AF347" i="10"/>
  <c r="BH347" i="10" s="1"/>
  <c r="AF343" i="10"/>
  <c r="BH343" i="10" s="1"/>
  <c r="AF339" i="10"/>
  <c r="BH339" i="10" s="1"/>
  <c r="AF335" i="10"/>
  <c r="BH335" i="10" s="1"/>
  <c r="AF326" i="10"/>
  <c r="BH326" i="10" s="1"/>
  <c r="AF325" i="10"/>
  <c r="BH325" i="10" s="1"/>
  <c r="AF318" i="10"/>
  <c r="BH318" i="10" s="1"/>
  <c r="AF317" i="10"/>
  <c r="BH317" i="10" s="1"/>
  <c r="AF340" i="10"/>
  <c r="BH340" i="10" s="1"/>
  <c r="AF331" i="10"/>
  <c r="BH331" i="10" s="1"/>
  <c r="AF314" i="10"/>
  <c r="BH314" i="10" s="1"/>
  <c r="AF300" i="10"/>
  <c r="BH300" i="10" s="1"/>
  <c r="AF299" i="10"/>
  <c r="BH299" i="10" s="1"/>
  <c r="AF288" i="10"/>
  <c r="BH288" i="10" s="1"/>
  <c r="AF283" i="10"/>
  <c r="BH283" i="10" s="1"/>
  <c r="AF279" i="10"/>
  <c r="BH279" i="10" s="1"/>
  <c r="AF275" i="10"/>
  <c r="BH275" i="10" s="1"/>
  <c r="AF271" i="10"/>
  <c r="BH271" i="10" s="1"/>
  <c r="AF269" i="10"/>
  <c r="BH269" i="10" s="1"/>
  <c r="AF265" i="10"/>
  <c r="BH265" i="10" s="1"/>
  <c r="AF261" i="10"/>
  <c r="BH261" i="10" s="1"/>
  <c r="AF257" i="10"/>
  <c r="BH257" i="10" s="1"/>
  <c r="AF253" i="10"/>
  <c r="BH253" i="10" s="1"/>
  <c r="AF249" i="10"/>
  <c r="BH249" i="10" s="1"/>
  <c r="AF243" i="10"/>
  <c r="BH243" i="10" s="1"/>
  <c r="Q241" i="10"/>
  <c r="AF239" i="10"/>
  <c r="BH239" i="10" s="1"/>
  <c r="Q237" i="10"/>
  <c r="AF235" i="10"/>
  <c r="BH235" i="10" s="1"/>
  <c r="Q233" i="10"/>
  <c r="AF231" i="10"/>
  <c r="BH231" i="10" s="1"/>
  <c r="Q229" i="10"/>
  <c r="AF227" i="10"/>
  <c r="BH227" i="10" s="1"/>
  <c r="AF225" i="10"/>
  <c r="BH225" i="10" s="1"/>
  <c r="Q223" i="10"/>
  <c r="AF221" i="10"/>
  <c r="BH221" i="10" s="1"/>
  <c r="AF217" i="10"/>
  <c r="BH217" i="10" s="1"/>
  <c r="Q215" i="10"/>
  <c r="AF213" i="10"/>
  <c r="BH213" i="10" s="1"/>
  <c r="AF209" i="10"/>
  <c r="BH209" i="10" s="1"/>
  <c r="Q207" i="10"/>
  <c r="AF205" i="10"/>
  <c r="BH205" i="10" s="1"/>
  <c r="AF203" i="10"/>
  <c r="BH203" i="10" s="1"/>
  <c r="Q201" i="10"/>
  <c r="AF199" i="10"/>
  <c r="BH199" i="10" s="1"/>
  <c r="Q197" i="10"/>
  <c r="AF195" i="10"/>
  <c r="BH195" i="10" s="1"/>
  <c r="Q193" i="10"/>
  <c r="AF191" i="10"/>
  <c r="BH191" i="10" s="1"/>
  <c r="Q189" i="10"/>
  <c r="AF187" i="10"/>
  <c r="BH187" i="10" s="1"/>
  <c r="Q185" i="10"/>
  <c r="AF183" i="10"/>
  <c r="BH183" i="10" s="1"/>
  <c r="Q181" i="10"/>
  <c r="AF179" i="10"/>
  <c r="BH179" i="10" s="1"/>
  <c r="AF352" i="10"/>
  <c r="BH352" i="10" s="1"/>
  <c r="AF336" i="10"/>
  <c r="BH336" i="10" s="1"/>
  <c r="AF322" i="10"/>
  <c r="BH322" i="10" s="1"/>
  <c r="Q311" i="10"/>
  <c r="AF304" i="10"/>
  <c r="BH304" i="10" s="1"/>
  <c r="AF303" i="10"/>
  <c r="BH303" i="10" s="1"/>
  <c r="AF292" i="10"/>
  <c r="BH292" i="10" s="1"/>
  <c r="AF291" i="10"/>
  <c r="BH291" i="10" s="1"/>
  <c r="AF287" i="10"/>
  <c r="BH287" i="10" s="1"/>
  <c r="AF285" i="10"/>
  <c r="BH285" i="10" s="1"/>
  <c r="AF280" i="10"/>
  <c r="BH280" i="10" s="1"/>
  <c r="AF276" i="10"/>
  <c r="BH276" i="10" s="1"/>
  <c r="AF272" i="10"/>
  <c r="BH272" i="10" s="1"/>
  <c r="AE271" i="10"/>
  <c r="BE271" i="10" s="1"/>
  <c r="AF270" i="10"/>
  <c r="BH270" i="10" s="1"/>
  <c r="AF266" i="10"/>
  <c r="BH266" i="10" s="1"/>
  <c r="AF262" i="10"/>
  <c r="BH262" i="10" s="1"/>
  <c r="AF258" i="10"/>
  <c r="BH258" i="10" s="1"/>
  <c r="AF254" i="10"/>
  <c r="BH254" i="10" s="1"/>
  <c r="AF250" i="10"/>
  <c r="BH250" i="10" s="1"/>
  <c r="AF246" i="10"/>
  <c r="BH246" i="10" s="1"/>
  <c r="AF244" i="10"/>
  <c r="BH244" i="10" s="1"/>
  <c r="AF348" i="10"/>
  <c r="BH348" i="10" s="1"/>
  <c r="AF332" i="10"/>
  <c r="BH332" i="10" s="1"/>
  <c r="AF328" i="10"/>
  <c r="BH328" i="10" s="1"/>
  <c r="AF313" i="10"/>
  <c r="BH313" i="10" s="1"/>
  <c r="Q309" i="10"/>
  <c r="AF308" i="10"/>
  <c r="BH308" i="10" s="1"/>
  <c r="AF307" i="10"/>
  <c r="BH307" i="10" s="1"/>
  <c r="AF289" i="10"/>
  <c r="BH289" i="10" s="1"/>
  <c r="Q286" i="10"/>
  <c r="AF281" i="10"/>
  <c r="BH281" i="10" s="1"/>
  <c r="AF277" i="10"/>
  <c r="BH277" i="10" s="1"/>
  <c r="AF273" i="10"/>
  <c r="BH273" i="10" s="1"/>
  <c r="Q271" i="10"/>
  <c r="AF267" i="10"/>
  <c r="BH267" i="10" s="1"/>
  <c r="AF263" i="10"/>
  <c r="BH263" i="10" s="1"/>
  <c r="AF259" i="10"/>
  <c r="BH259" i="10" s="1"/>
  <c r="AF255" i="10"/>
  <c r="BH255" i="10" s="1"/>
  <c r="AF251" i="10"/>
  <c r="BH251" i="10" s="1"/>
  <c r="AF247" i="10"/>
  <c r="BH247" i="10" s="1"/>
  <c r="AE246" i="10"/>
  <c r="BE246" i="10" s="1"/>
  <c r="AF245" i="10"/>
  <c r="BH245" i="10" s="1"/>
  <c r="AF241" i="10"/>
  <c r="BH241" i="10" s="1"/>
  <c r="Q239" i="10"/>
  <c r="AF237" i="10"/>
  <c r="BH237" i="10" s="1"/>
  <c r="AF233" i="10"/>
  <c r="BH233" i="10" s="1"/>
  <c r="Q231" i="10"/>
  <c r="AF229" i="10"/>
  <c r="BH229" i="10" s="1"/>
  <c r="Q227" i="10"/>
  <c r="Q225" i="10"/>
  <c r="AF223" i="10"/>
  <c r="BH223" i="10" s="1"/>
  <c r="Q221" i="10"/>
  <c r="AF219" i="10"/>
  <c r="BH219" i="10" s="1"/>
  <c r="Q217" i="10"/>
  <c r="AF215" i="10"/>
  <c r="BH215" i="10" s="1"/>
  <c r="Q213" i="10"/>
  <c r="AF211" i="10"/>
  <c r="BH211" i="10" s="1"/>
  <c r="Q209" i="10"/>
  <c r="AF207" i="10"/>
  <c r="BH207" i="10" s="1"/>
  <c r="Q205" i="10"/>
  <c r="AF201" i="10"/>
  <c r="BH201" i="10" s="1"/>
  <c r="Q199" i="10"/>
  <c r="AF197" i="10"/>
  <c r="BH197" i="10" s="1"/>
  <c r="AF193" i="10"/>
  <c r="BH193" i="10" s="1"/>
  <c r="AF189" i="10"/>
  <c r="BH189" i="10" s="1"/>
  <c r="AF185" i="10"/>
  <c r="BH185" i="10" s="1"/>
  <c r="AF181" i="10"/>
  <c r="BH181" i="10" s="1"/>
  <c r="V354" i="10"/>
  <c r="V355" i="10"/>
  <c r="V356" i="10"/>
  <c r="V358" i="10" s="1"/>
  <c r="Z354" i="10"/>
  <c r="Z355" i="10"/>
  <c r="Z356" i="10"/>
  <c r="Z357" i="10"/>
  <c r="AF146" i="10"/>
  <c r="BH146" i="10" s="1"/>
  <c r="Q148" i="10"/>
  <c r="AF150" i="10"/>
  <c r="BH150" i="10" s="1"/>
  <c r="Q152" i="10"/>
  <c r="AF154" i="10"/>
  <c r="BH154" i="10" s="1"/>
  <c r="Q156" i="10"/>
  <c r="Q158" i="10"/>
  <c r="AF160" i="10"/>
  <c r="BH160" i="10" s="1"/>
  <c r="Q162" i="10"/>
  <c r="AF164" i="10"/>
  <c r="BH164" i="10" s="1"/>
  <c r="Q166" i="10"/>
  <c r="AF168" i="10"/>
  <c r="BH168" i="10" s="1"/>
  <c r="Q170" i="10"/>
  <c r="AF172" i="10"/>
  <c r="BH172" i="10" s="1"/>
  <c r="Q174" i="10"/>
  <c r="AF176" i="10"/>
  <c r="BH176" i="10" s="1"/>
  <c r="Q178" i="10"/>
  <c r="AF178" i="10"/>
  <c r="BH178" i="10" s="1"/>
  <c r="Q180" i="10"/>
  <c r="U181" i="10"/>
  <c r="AE182" i="10"/>
  <c r="BE182" i="10" s="1"/>
  <c r="T182" i="10"/>
  <c r="P182" i="10"/>
  <c r="AF184" i="10"/>
  <c r="BH184" i="10" s="1"/>
  <c r="P187" i="10"/>
  <c r="Q187" i="10" s="1"/>
  <c r="Q188" i="10"/>
  <c r="U189" i="10"/>
  <c r="AE190" i="10"/>
  <c r="BE190" i="10" s="1"/>
  <c r="T190" i="10"/>
  <c r="P190" i="10"/>
  <c r="AF192" i="10"/>
  <c r="BH192" i="10" s="1"/>
  <c r="P195" i="10"/>
  <c r="Q195" i="10" s="1"/>
  <c r="Q196" i="10"/>
  <c r="U197" i="10"/>
  <c r="AE198" i="10"/>
  <c r="BE198" i="10" s="1"/>
  <c r="T198" i="10"/>
  <c r="P198" i="10"/>
  <c r="AF200" i="10"/>
  <c r="BH200" i="10" s="1"/>
  <c r="P203" i="10"/>
  <c r="Q203" i="10" s="1"/>
  <c r="Q204" i="10"/>
  <c r="T206" i="10"/>
  <c r="P206" i="10"/>
  <c r="AE206" i="10"/>
  <c r="BE206" i="10" s="1"/>
  <c r="I206" i="10"/>
  <c r="BG206" i="10" s="1"/>
  <c r="AF208" i="10"/>
  <c r="BH208" i="10" s="1"/>
  <c r="P211" i="10"/>
  <c r="Q211" i="10" s="1"/>
  <c r="Q212" i="10"/>
  <c r="U213" i="10"/>
  <c r="T214" i="10"/>
  <c r="P214" i="10"/>
  <c r="AE214" i="10"/>
  <c r="BE214" i="10" s="1"/>
  <c r="I214" i="10"/>
  <c r="BG214" i="10" s="1"/>
  <c r="AF216" i="10"/>
  <c r="BH216" i="10" s="1"/>
  <c r="P219" i="10"/>
  <c r="Q219" i="10" s="1"/>
  <c r="Q220" i="10"/>
  <c r="U221" i="10"/>
  <c r="T222" i="10"/>
  <c r="P222" i="10"/>
  <c r="AE222" i="10"/>
  <c r="BE222" i="10" s="1"/>
  <c r="I222" i="10"/>
  <c r="BG222" i="10" s="1"/>
  <c r="AF224" i="10"/>
  <c r="BH224" i="10" s="1"/>
  <c r="AE227" i="10"/>
  <c r="BE227" i="10" s="1"/>
  <c r="Q228" i="10"/>
  <c r="U229" i="10"/>
  <c r="AE230" i="10"/>
  <c r="BE230" i="10" s="1"/>
  <c r="I230" i="10"/>
  <c r="BG230" i="10" s="1"/>
  <c r="T230" i="10"/>
  <c r="P230" i="10"/>
  <c r="AF232" i="10"/>
  <c r="BH232" i="10" s="1"/>
  <c r="P235" i="10"/>
  <c r="Q235" i="10" s="1"/>
  <c r="Q236" i="10"/>
  <c r="U237" i="10"/>
  <c r="AE238" i="10"/>
  <c r="BE238" i="10" s="1"/>
  <c r="I238" i="10"/>
  <c r="BG238" i="10" s="1"/>
  <c r="T238" i="10"/>
  <c r="P238" i="10"/>
  <c r="AF240" i="10"/>
  <c r="BH240" i="10" s="1"/>
  <c r="AE248" i="10"/>
  <c r="BE248" i="10" s="1"/>
  <c r="I248" i="10"/>
  <c r="BG248" i="10" s="1"/>
  <c r="U248" i="10"/>
  <c r="T248" i="10"/>
  <c r="P248" i="10"/>
  <c r="Q248" i="10" s="1"/>
  <c r="AF248" i="10"/>
  <c r="BH248" i="10" s="1"/>
  <c r="P249" i="10"/>
  <c r="Q249" i="10" s="1"/>
  <c r="U251" i="10"/>
  <c r="AE256" i="10"/>
  <c r="BE256" i="10" s="1"/>
  <c r="I256" i="10"/>
  <c r="BG256" i="10" s="1"/>
  <c r="U256" i="10"/>
  <c r="T256" i="10"/>
  <c r="P256" i="10"/>
  <c r="Q256" i="10" s="1"/>
  <c r="AF256" i="10"/>
  <c r="BH256" i="10" s="1"/>
  <c r="P257" i="10"/>
  <c r="Q257" i="10" s="1"/>
  <c r="U259" i="10"/>
  <c r="AE264" i="10"/>
  <c r="BE264" i="10" s="1"/>
  <c r="I264" i="10"/>
  <c r="BG264" i="10" s="1"/>
  <c r="U264" i="10"/>
  <c r="T264" i="10"/>
  <c r="P264" i="10"/>
  <c r="Q264" i="10" s="1"/>
  <c r="AF264" i="10"/>
  <c r="BH264" i="10" s="1"/>
  <c r="P265" i="10"/>
  <c r="Q265" i="10" s="1"/>
  <c r="U267" i="10"/>
  <c r="AE274" i="10"/>
  <c r="BE274" i="10" s="1"/>
  <c r="I274" i="10"/>
  <c r="BG274" i="10" s="1"/>
  <c r="U274" i="10"/>
  <c r="T274" i="10"/>
  <c r="P274" i="10"/>
  <c r="Q274" i="10" s="1"/>
  <c r="AF274" i="10"/>
  <c r="BH274" i="10" s="1"/>
  <c r="P275" i="10"/>
  <c r="Q275" i="10" s="1"/>
  <c r="U277" i="10"/>
  <c r="AE282" i="10"/>
  <c r="BE282" i="10" s="1"/>
  <c r="I282" i="10"/>
  <c r="BG282" i="10" s="1"/>
  <c r="U282" i="10"/>
  <c r="T282" i="10"/>
  <c r="P282" i="10"/>
  <c r="Q282" i="10" s="1"/>
  <c r="AF282" i="10"/>
  <c r="BH282" i="10" s="1"/>
  <c r="P283" i="10"/>
  <c r="Q283" i="10" s="1"/>
  <c r="P284" i="10"/>
  <c r="Q284" i="10" s="1"/>
  <c r="AE285" i="10"/>
  <c r="BE285" i="10" s="1"/>
  <c r="U285" i="10"/>
  <c r="P285" i="10"/>
  <c r="Q285" i="10" s="1"/>
  <c r="U286" i="10"/>
  <c r="I292" i="10"/>
  <c r="BG292" i="10" s="1"/>
  <c r="T292" i="10"/>
  <c r="P292" i="10"/>
  <c r="Q292" i="10" s="1"/>
  <c r="U325" i="10"/>
  <c r="T325" i="10"/>
  <c r="P325" i="10"/>
  <c r="Q325" i="10" s="1"/>
  <c r="AE325" i="10"/>
  <c r="BE325" i="10" s="1"/>
  <c r="I325" i="10"/>
  <c r="BG325" i="10" s="1"/>
  <c r="I353" i="10"/>
  <c r="U353" i="10"/>
  <c r="P353" i="10"/>
  <c r="Q353" i="10" s="1"/>
  <c r="R353" i="10" s="1"/>
  <c r="V287" i="9"/>
  <c r="V291" i="9"/>
  <c r="V295" i="9"/>
  <c r="W300" i="9"/>
  <c r="V303" i="9"/>
  <c r="W304" i="9"/>
  <c r="V307" i="9"/>
  <c r="AA307" i="9" s="1"/>
  <c r="W308" i="9"/>
  <c r="X311" i="9"/>
  <c r="AA311" i="9" s="1"/>
  <c r="V313" i="9"/>
  <c r="W328" i="9"/>
  <c r="V331" i="9"/>
  <c r="V335" i="9"/>
  <c r="AA335" i="9" s="1"/>
  <c r="V339" i="9"/>
  <c r="V343" i="9"/>
  <c r="V347" i="9"/>
  <c r="AA347" i="9" s="1"/>
  <c r="W348" i="9"/>
  <c r="V351" i="9"/>
  <c r="AA351" i="9" s="1"/>
  <c r="W352" i="9"/>
  <c r="AA482" i="9"/>
  <c r="M486" i="9"/>
  <c r="AA490" i="9"/>
  <c r="G507" i="9"/>
  <c r="N507" i="9" s="1"/>
  <c r="W355" i="10"/>
  <c r="W356" i="10"/>
  <c r="W358" i="10" s="1"/>
  <c r="W357" i="10"/>
  <c r="W354" i="10"/>
  <c r="AA145" i="10"/>
  <c r="AB145" i="10" s="1"/>
  <c r="AC145" i="10" s="1"/>
  <c r="AF145" i="10"/>
  <c r="BH145" i="10" s="1"/>
  <c r="P146" i="10"/>
  <c r="T146" i="10"/>
  <c r="Q147" i="10"/>
  <c r="AF149" i="10"/>
  <c r="BH149" i="10" s="1"/>
  <c r="P150" i="10"/>
  <c r="T150" i="10"/>
  <c r="Q151" i="10"/>
  <c r="AF153" i="10"/>
  <c r="BH153" i="10" s="1"/>
  <c r="P154" i="10"/>
  <c r="T154" i="10"/>
  <c r="Q155" i="10"/>
  <c r="Q157" i="10"/>
  <c r="AF159" i="10"/>
  <c r="BH159" i="10" s="1"/>
  <c r="P160" i="10"/>
  <c r="T160" i="10"/>
  <c r="Q161" i="10"/>
  <c r="AF163" i="10"/>
  <c r="BH163" i="10" s="1"/>
  <c r="P164" i="10"/>
  <c r="T164" i="10"/>
  <c r="Q165" i="10"/>
  <c r="AF167" i="10"/>
  <c r="BH167" i="10" s="1"/>
  <c r="P168" i="10"/>
  <c r="T168" i="10"/>
  <c r="Q169" i="10"/>
  <c r="AF171" i="10"/>
  <c r="BH171" i="10" s="1"/>
  <c r="P172" i="10"/>
  <c r="T172" i="10"/>
  <c r="Q173" i="10"/>
  <c r="AF175" i="10"/>
  <c r="BH175" i="10" s="1"/>
  <c r="P176" i="10"/>
  <c r="T176" i="10"/>
  <c r="Q177" i="10"/>
  <c r="T179" i="10"/>
  <c r="I182" i="10"/>
  <c r="BG182" i="10" s="1"/>
  <c r="Q182" i="10"/>
  <c r="AA183" i="10"/>
  <c r="AB183" i="10" s="1"/>
  <c r="AC183" i="10" s="1"/>
  <c r="T184" i="10"/>
  <c r="P184" i="10"/>
  <c r="AE184" i="10"/>
  <c r="BE184" i="10" s="1"/>
  <c r="I184" i="10"/>
  <c r="BG184" i="10" s="1"/>
  <c r="AF186" i="10"/>
  <c r="BH186" i="10" s="1"/>
  <c r="I190" i="10"/>
  <c r="BG190" i="10" s="1"/>
  <c r="Q190" i="10"/>
  <c r="AA191" i="10"/>
  <c r="AB191" i="10" s="1"/>
  <c r="AC191" i="10" s="1"/>
  <c r="T192" i="10"/>
  <c r="P192" i="10"/>
  <c r="AE192" i="10"/>
  <c r="BE192" i="10" s="1"/>
  <c r="I192" i="10"/>
  <c r="BG192" i="10" s="1"/>
  <c r="AF194" i="10"/>
  <c r="BH194" i="10" s="1"/>
  <c r="I198" i="10"/>
  <c r="BG198" i="10" s="1"/>
  <c r="Q198" i="10"/>
  <c r="U199" i="10"/>
  <c r="AA199" i="10"/>
  <c r="AB199" i="10" s="1"/>
  <c r="AC199" i="10" s="1"/>
  <c r="T200" i="10"/>
  <c r="P200" i="10"/>
  <c r="AE200" i="10"/>
  <c r="BE200" i="10" s="1"/>
  <c r="I200" i="10"/>
  <c r="BG200" i="10" s="1"/>
  <c r="AF202" i="10"/>
  <c r="BH202" i="10" s="1"/>
  <c r="AE205" i="10"/>
  <c r="BE205" i="10" s="1"/>
  <c r="Q206" i="10"/>
  <c r="U207" i="10"/>
  <c r="AA207" i="10"/>
  <c r="AB207" i="10" s="1"/>
  <c r="AC207" i="10" s="1"/>
  <c r="AE208" i="10"/>
  <c r="BE208" i="10" s="1"/>
  <c r="T208" i="10"/>
  <c r="P208" i="10"/>
  <c r="I209" i="10"/>
  <c r="AF210" i="10"/>
  <c r="BH210" i="10" s="1"/>
  <c r="Q214" i="10"/>
  <c r="U215" i="10"/>
  <c r="AA215" i="10"/>
  <c r="AB215" i="10" s="1"/>
  <c r="AC215" i="10" s="1"/>
  <c r="AE216" i="10"/>
  <c r="BE216" i="10" s="1"/>
  <c r="I216" i="10"/>
  <c r="BG216" i="10" s="1"/>
  <c r="T216" i="10"/>
  <c r="P216" i="10"/>
  <c r="I217" i="10"/>
  <c r="BG217" i="10" s="1"/>
  <c r="AF218" i="10"/>
  <c r="BH218" i="10" s="1"/>
  <c r="Q222" i="10"/>
  <c r="U223" i="10"/>
  <c r="AA223" i="10"/>
  <c r="AB223" i="10" s="1"/>
  <c r="AC223" i="10" s="1"/>
  <c r="AE224" i="10"/>
  <c r="BE224" i="10" s="1"/>
  <c r="I224" i="10"/>
  <c r="BG224" i="10" s="1"/>
  <c r="T224" i="10"/>
  <c r="P224" i="10"/>
  <c r="I225" i="10"/>
  <c r="BG225" i="10" s="1"/>
  <c r="AF226" i="10"/>
  <c r="BH226" i="10" s="1"/>
  <c r="Q230" i="10"/>
  <c r="U231" i="10"/>
  <c r="AA231" i="10"/>
  <c r="AB231" i="10" s="1"/>
  <c r="AC231" i="10" s="1"/>
  <c r="T232" i="10"/>
  <c r="P232" i="10"/>
  <c r="AE232" i="10"/>
  <c r="BE232" i="10" s="1"/>
  <c r="I232" i="10"/>
  <c r="BG232" i="10" s="1"/>
  <c r="I233" i="10"/>
  <c r="BG233" i="10" s="1"/>
  <c r="AF234" i="10"/>
  <c r="BH234" i="10" s="1"/>
  <c r="Q238" i="10"/>
  <c r="U239" i="10"/>
  <c r="AA239" i="10"/>
  <c r="AB239" i="10" s="1"/>
  <c r="AC239" i="10" s="1"/>
  <c r="T240" i="10"/>
  <c r="P240" i="10"/>
  <c r="AE240" i="10"/>
  <c r="BE240" i="10" s="1"/>
  <c r="I240" i="10"/>
  <c r="BG240" i="10" s="1"/>
  <c r="I241" i="10"/>
  <c r="BG241" i="10" s="1"/>
  <c r="U243" i="10"/>
  <c r="Q246" i="10"/>
  <c r="AA246" i="10"/>
  <c r="AB246" i="10" s="1"/>
  <c r="AC246" i="10" s="1"/>
  <c r="T249" i="10"/>
  <c r="T251" i="10"/>
  <c r="U253" i="10"/>
  <c r="T257" i="10"/>
  <c r="T259" i="10"/>
  <c r="U261" i="10"/>
  <c r="T265" i="10"/>
  <c r="T267" i="10"/>
  <c r="U269" i="10"/>
  <c r="T275" i="10"/>
  <c r="T277" i="10"/>
  <c r="U279" i="10"/>
  <c r="T283" i="10"/>
  <c r="T285" i="10"/>
  <c r="AA289" i="10"/>
  <c r="AB289" i="10" s="1"/>
  <c r="AC289" i="10" s="1"/>
  <c r="AF295" i="10"/>
  <c r="BH295" i="10" s="1"/>
  <c r="T297" i="10"/>
  <c r="AF321" i="10"/>
  <c r="BH321" i="10" s="1"/>
  <c r="I337" i="10"/>
  <c r="BG337" i="10" s="1"/>
  <c r="U337" i="10"/>
  <c r="T337" i="10"/>
  <c r="P337" i="10"/>
  <c r="Q337" i="10" s="1"/>
  <c r="AE352" i="10"/>
  <c r="BE352" i="10" s="1"/>
  <c r="U352" i="10"/>
  <c r="T352" i="10"/>
  <c r="P352" i="10"/>
  <c r="Q352" i="10" s="1"/>
  <c r="P288" i="9"/>
  <c r="Q288" i="9" s="1"/>
  <c r="P292" i="9"/>
  <c r="Q292" i="9" s="1"/>
  <c r="P296" i="9"/>
  <c r="Q296" i="9" s="1"/>
  <c r="P300" i="9"/>
  <c r="Q300" i="9" s="1"/>
  <c r="P304" i="9"/>
  <c r="Q304" i="9" s="1"/>
  <c r="P308" i="9"/>
  <c r="Q308" i="9" s="1"/>
  <c r="P314" i="9"/>
  <c r="Q314" i="9" s="1"/>
  <c r="P318" i="9"/>
  <c r="Q318" i="9" s="1"/>
  <c r="P322" i="9"/>
  <c r="Q322" i="9" s="1"/>
  <c r="P326" i="9"/>
  <c r="Q326" i="9" s="1"/>
  <c r="P332" i="9"/>
  <c r="Q332" i="9" s="1"/>
  <c r="P336" i="9"/>
  <c r="Q336" i="9" s="1"/>
  <c r="P340" i="9"/>
  <c r="Q340" i="9" s="1"/>
  <c r="P344" i="9"/>
  <c r="Q344" i="9" s="1"/>
  <c r="P348" i="9"/>
  <c r="Q348" i="9" s="1"/>
  <c r="P352" i="9"/>
  <c r="Q352" i="9" s="1"/>
  <c r="T461" i="9"/>
  <c r="AK464" i="9"/>
  <c r="AK465" i="9" s="1"/>
  <c r="N476" i="9"/>
  <c r="X482" i="9"/>
  <c r="AB482" i="9"/>
  <c r="J486" i="9"/>
  <c r="N486" i="9"/>
  <c r="X490" i="9"/>
  <c r="AB490" i="9"/>
  <c r="P145" i="10"/>
  <c r="Q145" i="10" s="1"/>
  <c r="X356" i="10"/>
  <c r="X358" i="10" s="1"/>
  <c r="X357" i="10"/>
  <c r="X354" i="10"/>
  <c r="X355" i="10"/>
  <c r="Q146" i="10"/>
  <c r="AF148" i="10"/>
  <c r="BH148" i="10" s="1"/>
  <c r="P149" i="10"/>
  <c r="Q149" i="10" s="1"/>
  <c r="Q150" i="10"/>
  <c r="AF152" i="10"/>
  <c r="BH152" i="10" s="1"/>
  <c r="P153" i="10"/>
  <c r="Q153" i="10" s="1"/>
  <c r="Q154" i="10"/>
  <c r="AF156" i="10"/>
  <c r="BH156" i="10" s="1"/>
  <c r="AE157" i="10"/>
  <c r="BE157" i="10" s="1"/>
  <c r="AF158" i="10"/>
  <c r="BH158" i="10" s="1"/>
  <c r="P159" i="10"/>
  <c r="Q159" i="10" s="1"/>
  <c r="Q160" i="10"/>
  <c r="AF162" i="10"/>
  <c r="BH162" i="10" s="1"/>
  <c r="P163" i="10"/>
  <c r="Q163" i="10" s="1"/>
  <c r="Q164" i="10"/>
  <c r="AF166" i="10"/>
  <c r="BH166" i="10" s="1"/>
  <c r="P167" i="10"/>
  <c r="Q167" i="10" s="1"/>
  <c r="Q168" i="10"/>
  <c r="AF170" i="10"/>
  <c r="BH170" i="10" s="1"/>
  <c r="P171" i="10"/>
  <c r="Q171" i="10" s="1"/>
  <c r="Q172" i="10"/>
  <c r="AF174" i="10"/>
  <c r="BH174" i="10" s="1"/>
  <c r="P175" i="10"/>
  <c r="Q175" i="10" s="1"/>
  <c r="Q176" i="10"/>
  <c r="AF177" i="10"/>
  <c r="BH177" i="10" s="1"/>
  <c r="T178" i="10"/>
  <c r="P179" i="10"/>
  <c r="Q179" i="10" s="1"/>
  <c r="AF180" i="10"/>
  <c r="BH180" i="10" s="1"/>
  <c r="U183" i="10"/>
  <c r="P183" i="10"/>
  <c r="Q183" i="10" s="1"/>
  <c r="Q184" i="10"/>
  <c r="U185" i="10"/>
  <c r="AA185" i="10"/>
  <c r="AB185" i="10" s="1"/>
  <c r="AC185" i="10" s="1"/>
  <c r="AE186" i="10"/>
  <c r="BE186" i="10" s="1"/>
  <c r="T186" i="10"/>
  <c r="P186" i="10"/>
  <c r="Q186" i="10" s="1"/>
  <c r="I187" i="10"/>
  <c r="T187" i="10"/>
  <c r="AF188" i="10"/>
  <c r="BH188" i="10" s="1"/>
  <c r="U191" i="10"/>
  <c r="P191" i="10"/>
  <c r="Q191" i="10" s="1"/>
  <c r="Q192" i="10"/>
  <c r="U193" i="10"/>
  <c r="AA193" i="10"/>
  <c r="AB193" i="10" s="1"/>
  <c r="AC193" i="10" s="1"/>
  <c r="AE194" i="10"/>
  <c r="BE194" i="10" s="1"/>
  <c r="T194" i="10"/>
  <c r="P194" i="10"/>
  <c r="Q194" i="10" s="1"/>
  <c r="I195" i="10"/>
  <c r="AF196" i="10"/>
  <c r="BH196" i="10" s="1"/>
  <c r="Q200" i="10"/>
  <c r="U201" i="10"/>
  <c r="AA201" i="10"/>
  <c r="AB201" i="10" s="1"/>
  <c r="AC201" i="10" s="1"/>
  <c r="AE202" i="10"/>
  <c r="BE202" i="10" s="1"/>
  <c r="T202" i="10"/>
  <c r="P202" i="10"/>
  <c r="Q202" i="10" s="1"/>
  <c r="I203" i="10"/>
  <c r="T203" i="10"/>
  <c r="U204" i="10"/>
  <c r="AF204" i="10"/>
  <c r="BH204" i="10" s="1"/>
  <c r="I208" i="10"/>
  <c r="BG208" i="10" s="1"/>
  <c r="Q208" i="10"/>
  <c r="U209" i="10"/>
  <c r="AA209" i="10"/>
  <c r="AB209" i="10" s="1"/>
  <c r="AC209" i="10" s="1"/>
  <c r="T210" i="10"/>
  <c r="P210" i="10"/>
  <c r="Q210" i="10" s="1"/>
  <c r="AE210" i="10"/>
  <c r="BE210" i="10" s="1"/>
  <c r="I210" i="10"/>
  <c r="BG210" i="10" s="1"/>
  <c r="I211" i="10"/>
  <c r="BG211" i="10" s="1"/>
  <c r="U212" i="10"/>
  <c r="AF212" i="10"/>
  <c r="BH212" i="10" s="1"/>
  <c r="Q216" i="10"/>
  <c r="U217" i="10"/>
  <c r="AA217" i="10"/>
  <c r="AB217" i="10" s="1"/>
  <c r="AC217" i="10" s="1"/>
  <c r="T218" i="10"/>
  <c r="P218" i="10"/>
  <c r="Q218" i="10" s="1"/>
  <c r="AE218" i="10"/>
  <c r="BE218" i="10" s="1"/>
  <c r="I219" i="10"/>
  <c r="BG219" i="10" s="1"/>
  <c r="U220" i="10"/>
  <c r="AF220" i="10"/>
  <c r="BH220" i="10" s="1"/>
  <c r="Q224" i="10"/>
  <c r="U225" i="10"/>
  <c r="AA225" i="10"/>
  <c r="AB225" i="10" s="1"/>
  <c r="AC225" i="10" s="1"/>
  <c r="T226" i="10"/>
  <c r="P226" i="10"/>
  <c r="Q226" i="10" s="1"/>
  <c r="AE226" i="10"/>
  <c r="BE226" i="10" s="1"/>
  <c r="I226" i="10"/>
  <c r="BG226" i="10" s="1"/>
  <c r="AA227" i="10"/>
  <c r="AB227" i="10" s="1"/>
  <c r="AC227" i="10" s="1"/>
  <c r="U228" i="10"/>
  <c r="AF228" i="10"/>
  <c r="BH228" i="10" s="1"/>
  <c r="Q232" i="10"/>
  <c r="U233" i="10"/>
  <c r="AA233" i="10"/>
  <c r="AB233" i="10" s="1"/>
  <c r="AC233" i="10" s="1"/>
  <c r="AE234" i="10"/>
  <c r="BE234" i="10" s="1"/>
  <c r="I234" i="10"/>
  <c r="BG234" i="10" s="1"/>
  <c r="T234" i="10"/>
  <c r="P234" i="10"/>
  <c r="Q234" i="10" s="1"/>
  <c r="I235" i="10"/>
  <c r="U236" i="10"/>
  <c r="AF236" i="10"/>
  <c r="BH236" i="10" s="1"/>
  <c r="Q240" i="10"/>
  <c r="U241" i="10"/>
  <c r="AA241" i="10"/>
  <c r="AB241" i="10" s="1"/>
  <c r="AC241" i="10" s="1"/>
  <c r="AE242" i="10"/>
  <c r="BE242" i="10" s="1"/>
  <c r="I242" i="10"/>
  <c r="BG242" i="10" s="1"/>
  <c r="U242" i="10"/>
  <c r="T242" i="10"/>
  <c r="P242" i="10"/>
  <c r="Q242" i="10" s="1"/>
  <c r="AF242" i="10"/>
  <c r="BH242" i="10" s="1"/>
  <c r="P243" i="10"/>
  <c r="Q243" i="10" s="1"/>
  <c r="T244" i="10"/>
  <c r="AA244" i="10"/>
  <c r="AB244" i="10" s="1"/>
  <c r="AC244" i="10" s="1"/>
  <c r="AA249" i="10"/>
  <c r="AB249" i="10" s="1"/>
  <c r="AC249" i="10" s="1"/>
  <c r="AE252" i="10"/>
  <c r="BE252" i="10" s="1"/>
  <c r="I252" i="10"/>
  <c r="BG252" i="10" s="1"/>
  <c r="U252" i="10"/>
  <c r="T252" i="10"/>
  <c r="P252" i="10"/>
  <c r="Q252" i="10" s="1"/>
  <c r="AF252" i="10"/>
  <c r="BH252" i="10" s="1"/>
  <c r="P253" i="10"/>
  <c r="Q253" i="10" s="1"/>
  <c r="T254" i="10"/>
  <c r="AA254" i="10"/>
  <c r="AB254" i="10" s="1"/>
  <c r="AC254" i="10" s="1"/>
  <c r="AA257" i="10"/>
  <c r="AB257" i="10" s="1"/>
  <c r="AC257" i="10" s="1"/>
  <c r="AE260" i="10"/>
  <c r="BE260" i="10" s="1"/>
  <c r="I260" i="10"/>
  <c r="BG260" i="10" s="1"/>
  <c r="U260" i="10"/>
  <c r="T260" i="10"/>
  <c r="P260" i="10"/>
  <c r="Q260" i="10" s="1"/>
  <c r="AF260" i="10"/>
  <c r="BH260" i="10" s="1"/>
  <c r="P261" i="10"/>
  <c r="Q261" i="10" s="1"/>
  <c r="T262" i="10"/>
  <c r="AA262" i="10"/>
  <c r="AB262" i="10" s="1"/>
  <c r="AC262" i="10" s="1"/>
  <c r="AA265" i="10"/>
  <c r="AB265" i="10" s="1"/>
  <c r="AC265" i="10" s="1"/>
  <c r="AE268" i="10"/>
  <c r="BE268" i="10" s="1"/>
  <c r="I268" i="10"/>
  <c r="BG268" i="10" s="1"/>
  <c r="U268" i="10"/>
  <c r="T268" i="10"/>
  <c r="P268" i="10"/>
  <c r="Q268" i="10" s="1"/>
  <c r="AF268" i="10"/>
  <c r="BH268" i="10" s="1"/>
  <c r="P269" i="10"/>
  <c r="Q269" i="10" s="1"/>
  <c r="T270" i="10"/>
  <c r="AA270" i="10"/>
  <c r="AB270" i="10" s="1"/>
  <c r="AC270" i="10" s="1"/>
  <c r="T272" i="10"/>
  <c r="AA272" i="10"/>
  <c r="AB272" i="10" s="1"/>
  <c r="AC272" i="10" s="1"/>
  <c r="AA275" i="10"/>
  <c r="AB275" i="10" s="1"/>
  <c r="AC275" i="10" s="1"/>
  <c r="AE278" i="10"/>
  <c r="BE278" i="10" s="1"/>
  <c r="I278" i="10"/>
  <c r="BG278" i="10" s="1"/>
  <c r="U278" i="10"/>
  <c r="T278" i="10"/>
  <c r="P278" i="10"/>
  <c r="Q278" i="10" s="1"/>
  <c r="AF278" i="10"/>
  <c r="BH278" i="10" s="1"/>
  <c r="P279" i="10"/>
  <c r="Q279" i="10" s="1"/>
  <c r="T280" i="10"/>
  <c r="AA280" i="10"/>
  <c r="AB280" i="10" s="1"/>
  <c r="AC280" i="10" s="1"/>
  <c r="AA283" i="10"/>
  <c r="AB283" i="10" s="1"/>
  <c r="AC283" i="10" s="1"/>
  <c r="AF284" i="10"/>
  <c r="BH284" i="10" s="1"/>
  <c r="P289" i="10"/>
  <c r="Q289" i="10" s="1"/>
  <c r="U290" i="10"/>
  <c r="AF296" i="10"/>
  <c r="BH296" i="10" s="1"/>
  <c r="U303" i="10"/>
  <c r="T303" i="10"/>
  <c r="P303" i="10"/>
  <c r="Q303" i="10" s="1"/>
  <c r="I303" i="10"/>
  <c r="BG303" i="10" s="1"/>
  <c r="AE303" i="10"/>
  <c r="BE303" i="10" s="1"/>
  <c r="AE336" i="10"/>
  <c r="BE336" i="10" s="1"/>
  <c r="U336" i="10"/>
  <c r="T336" i="10"/>
  <c r="P336" i="10"/>
  <c r="Q336" i="10" s="1"/>
  <c r="AF344" i="10"/>
  <c r="BH344" i="10" s="1"/>
  <c r="I244" i="10"/>
  <c r="BG244" i="10" s="1"/>
  <c r="AE244" i="10"/>
  <c r="BE244" i="10" s="1"/>
  <c r="I250" i="10"/>
  <c r="BG250" i="10" s="1"/>
  <c r="AE250" i="10"/>
  <c r="BE250" i="10" s="1"/>
  <c r="I254" i="10"/>
  <c r="BG254" i="10" s="1"/>
  <c r="AE254" i="10"/>
  <c r="BE254" i="10" s="1"/>
  <c r="I258" i="10"/>
  <c r="BG258" i="10" s="1"/>
  <c r="AE258" i="10"/>
  <c r="BE258" i="10" s="1"/>
  <c r="I262" i="10"/>
  <c r="BG262" i="10" s="1"/>
  <c r="AE262" i="10"/>
  <c r="BE262" i="10" s="1"/>
  <c r="I266" i="10"/>
  <c r="BG266" i="10" s="1"/>
  <c r="AE266" i="10"/>
  <c r="BE266" i="10" s="1"/>
  <c r="I270" i="10"/>
  <c r="BG270" i="10" s="1"/>
  <c r="AE270" i="10"/>
  <c r="BE270" i="10" s="1"/>
  <c r="I272" i="10"/>
  <c r="BG272" i="10" s="1"/>
  <c r="AE272" i="10"/>
  <c r="BE272" i="10" s="1"/>
  <c r="I276" i="10"/>
  <c r="BG276" i="10" s="1"/>
  <c r="AE276" i="10"/>
  <c r="BE276" i="10" s="1"/>
  <c r="I280" i="10"/>
  <c r="BG280" i="10" s="1"/>
  <c r="AE280" i="10"/>
  <c r="BE280" i="10" s="1"/>
  <c r="I285" i="10"/>
  <c r="BG285" i="10" s="1"/>
  <c r="AA286" i="10"/>
  <c r="AB286" i="10" s="1"/>
  <c r="AC286" i="10" s="1"/>
  <c r="T287" i="10"/>
  <c r="P287" i="10"/>
  <c r="Q287" i="10" s="1"/>
  <c r="U287" i="10"/>
  <c r="AE287" i="10"/>
  <c r="BE287" i="10" s="1"/>
  <c r="I293" i="10"/>
  <c r="BG293" i="10" s="1"/>
  <c r="P293" i="10"/>
  <c r="Q293" i="10" s="1"/>
  <c r="AA293" i="10"/>
  <c r="AB293" i="10" s="1"/>
  <c r="AC293" i="10" s="1"/>
  <c r="AE296" i="10"/>
  <c r="BE296" i="10" s="1"/>
  <c r="U296" i="10"/>
  <c r="T298" i="10"/>
  <c r="AA298" i="10"/>
  <c r="AB298" i="10" s="1"/>
  <c r="AC298" i="10" s="1"/>
  <c r="U299" i="10"/>
  <c r="T299" i="10"/>
  <c r="P299" i="10"/>
  <c r="Q299" i="10" s="1"/>
  <c r="I300" i="10"/>
  <c r="BG300" i="10" s="1"/>
  <c r="U301" i="10"/>
  <c r="I305" i="10"/>
  <c r="BG305" i="10" s="1"/>
  <c r="P305" i="10"/>
  <c r="Q305" i="10" s="1"/>
  <c r="AA305" i="10"/>
  <c r="AB305" i="10" s="1"/>
  <c r="AC305" i="10" s="1"/>
  <c r="AA311" i="10"/>
  <c r="AB311" i="10" s="1"/>
  <c r="AC311" i="10" s="1"/>
  <c r="I315" i="10"/>
  <c r="BG315" i="10" s="1"/>
  <c r="U315" i="10"/>
  <c r="P315" i="10"/>
  <c r="Q315" i="10" s="1"/>
  <c r="U317" i="10"/>
  <c r="T317" i="10"/>
  <c r="P317" i="10"/>
  <c r="Q317" i="10" s="1"/>
  <c r="AE317" i="10"/>
  <c r="BE317" i="10" s="1"/>
  <c r="P318" i="10"/>
  <c r="Q318" i="10" s="1"/>
  <c r="I319" i="10"/>
  <c r="BG319" i="10" s="1"/>
  <c r="T319" i="10"/>
  <c r="P319" i="10"/>
  <c r="Q319" i="10" s="1"/>
  <c r="T324" i="10"/>
  <c r="AE326" i="10"/>
  <c r="BE326" i="10" s="1"/>
  <c r="U326" i="10"/>
  <c r="T326" i="10"/>
  <c r="I329" i="10"/>
  <c r="BG329" i="10" s="1"/>
  <c r="U329" i="10"/>
  <c r="T329" i="10"/>
  <c r="P329" i="10"/>
  <c r="Q329" i="10" s="1"/>
  <c r="AE340" i="10"/>
  <c r="BE340" i="10" s="1"/>
  <c r="U340" i="10"/>
  <c r="T340" i="10"/>
  <c r="P340" i="10"/>
  <c r="Q340" i="10" s="1"/>
  <c r="I341" i="10"/>
  <c r="BG341" i="10" s="1"/>
  <c r="U341" i="10"/>
  <c r="T341" i="10"/>
  <c r="P341" i="10"/>
  <c r="Q341" i="10" s="1"/>
  <c r="P245" i="10"/>
  <c r="Q245" i="10" s="1"/>
  <c r="P247" i="10"/>
  <c r="Q247" i="10" s="1"/>
  <c r="P251" i="10"/>
  <c r="Q251" i="10" s="1"/>
  <c r="P255" i="10"/>
  <c r="Q255" i="10" s="1"/>
  <c r="P259" i="10"/>
  <c r="Q259" i="10" s="1"/>
  <c r="P263" i="10"/>
  <c r="Q263" i="10" s="1"/>
  <c r="P267" i="10"/>
  <c r="Q267" i="10" s="1"/>
  <c r="P273" i="10"/>
  <c r="Q273" i="10" s="1"/>
  <c r="P277" i="10"/>
  <c r="Q277" i="10" s="1"/>
  <c r="P281" i="10"/>
  <c r="Q281" i="10" s="1"/>
  <c r="T288" i="10"/>
  <c r="AE288" i="10"/>
  <c r="BE288" i="10" s="1"/>
  <c r="T294" i="10"/>
  <c r="U295" i="10"/>
  <c r="T295" i="10"/>
  <c r="P295" i="10"/>
  <c r="Q295" i="10" s="1"/>
  <c r="P296" i="10"/>
  <c r="Q296" i="10" s="1"/>
  <c r="P301" i="10"/>
  <c r="Q301" i="10" s="1"/>
  <c r="AA301" i="10"/>
  <c r="AB301" i="10" s="1"/>
  <c r="AC301" i="10" s="1"/>
  <c r="AE308" i="10"/>
  <c r="BE308" i="10" s="1"/>
  <c r="U308" i="10"/>
  <c r="T310" i="10"/>
  <c r="AE314" i="10"/>
  <c r="BE314" i="10" s="1"/>
  <c r="U314" i="10"/>
  <c r="P314" i="10"/>
  <c r="Q314" i="10" s="1"/>
  <c r="U320" i="10"/>
  <c r="P326" i="10"/>
  <c r="Q326" i="10" s="1"/>
  <c r="AE332" i="10"/>
  <c r="BE332" i="10" s="1"/>
  <c r="U332" i="10"/>
  <c r="P332" i="10"/>
  <c r="Q332" i="10" s="1"/>
  <c r="AE344" i="10"/>
  <c r="BE344" i="10" s="1"/>
  <c r="U344" i="10"/>
  <c r="T344" i="10"/>
  <c r="P344" i="10"/>
  <c r="Q344" i="10" s="1"/>
  <c r="I345" i="10"/>
  <c r="BG345" i="10" s="1"/>
  <c r="U345" i="10"/>
  <c r="T345" i="10"/>
  <c r="P345" i="10"/>
  <c r="Q345" i="10" s="1"/>
  <c r="E524" i="10"/>
  <c r="AZ457" i="10"/>
  <c r="P244" i="10"/>
  <c r="Q244" i="10" s="1"/>
  <c r="P250" i="10"/>
  <c r="Q250" i="10" s="1"/>
  <c r="P254" i="10"/>
  <c r="Q254" i="10" s="1"/>
  <c r="P258" i="10"/>
  <c r="Q258" i="10" s="1"/>
  <c r="P262" i="10"/>
  <c r="Q262" i="10" s="1"/>
  <c r="P266" i="10"/>
  <c r="Q266" i="10" s="1"/>
  <c r="P270" i="10"/>
  <c r="Q270" i="10" s="1"/>
  <c r="P272" i="10"/>
  <c r="Q272" i="10" s="1"/>
  <c r="P276" i="10"/>
  <c r="Q276" i="10" s="1"/>
  <c r="P280" i="10"/>
  <c r="Q280" i="10" s="1"/>
  <c r="U284" i="10"/>
  <c r="T284" i="10"/>
  <c r="AE284" i="10"/>
  <c r="BE284" i="10" s="1"/>
  <c r="P288" i="10"/>
  <c r="Q288" i="10" s="1"/>
  <c r="T289" i="10"/>
  <c r="P290" i="10"/>
  <c r="Q290" i="10" s="1"/>
  <c r="AE292" i="10"/>
  <c r="BE292" i="10" s="1"/>
  <c r="U292" i="10"/>
  <c r="T293" i="10"/>
  <c r="AE295" i="10"/>
  <c r="BE295" i="10" s="1"/>
  <c r="I297" i="10"/>
  <c r="BG297" i="10" s="1"/>
  <c r="P297" i="10"/>
  <c r="Q297" i="10" s="1"/>
  <c r="AA297" i="10"/>
  <c r="AB297" i="10" s="1"/>
  <c r="AC297" i="10" s="1"/>
  <c r="I302" i="10"/>
  <c r="BG302" i="10" s="1"/>
  <c r="AE304" i="10"/>
  <c r="BE304" i="10" s="1"/>
  <c r="U304" i="10"/>
  <c r="T305" i="10"/>
  <c r="T306" i="10"/>
  <c r="AA306" i="10"/>
  <c r="AB306" i="10" s="1"/>
  <c r="AC306" i="10" s="1"/>
  <c r="U307" i="10"/>
  <c r="T307" i="10"/>
  <c r="P307" i="10"/>
  <c r="Q307" i="10" s="1"/>
  <c r="I308" i="10"/>
  <c r="BG308" i="10" s="1"/>
  <c r="P308" i="10"/>
  <c r="Q308" i="10" s="1"/>
  <c r="T312" i="10"/>
  <c r="AA312" i="10"/>
  <c r="AB312" i="10" s="1"/>
  <c r="AC312" i="10" s="1"/>
  <c r="U313" i="10"/>
  <c r="T313" i="10"/>
  <c r="P313" i="10"/>
  <c r="Q313" i="10" s="1"/>
  <c r="I314" i="10"/>
  <c r="BG314" i="10" s="1"/>
  <c r="T315" i="10"/>
  <c r="T316" i="10"/>
  <c r="AA319" i="10"/>
  <c r="AB319" i="10" s="1"/>
  <c r="AC319" i="10" s="1"/>
  <c r="AE322" i="10"/>
  <c r="BE322" i="10" s="1"/>
  <c r="U322" i="10"/>
  <c r="P322" i="10"/>
  <c r="Q322" i="10" s="1"/>
  <c r="U323" i="10"/>
  <c r="AA324" i="10"/>
  <c r="AB324" i="10" s="1"/>
  <c r="AC324" i="10" s="1"/>
  <c r="T332" i="10"/>
  <c r="AE348" i="10"/>
  <c r="BE348" i="10" s="1"/>
  <c r="U348" i="10"/>
  <c r="T348" i="10"/>
  <c r="P348" i="10"/>
  <c r="Q348" i="10" s="1"/>
  <c r="I349" i="10"/>
  <c r="BG349" i="10" s="1"/>
  <c r="U349" i="10"/>
  <c r="T349" i="10"/>
  <c r="P349" i="10"/>
  <c r="Q349" i="10" s="1"/>
  <c r="T334" i="10"/>
  <c r="AA334" i="10"/>
  <c r="AB334" i="10" s="1"/>
  <c r="AC334" i="10" s="1"/>
  <c r="U335" i="10"/>
  <c r="T335" i="10"/>
  <c r="P335" i="10"/>
  <c r="Q335" i="10" s="1"/>
  <c r="I336" i="10"/>
  <c r="I340" i="10"/>
  <c r="BG340" i="10" s="1"/>
  <c r="I344" i="10"/>
  <c r="BG344" i="10" s="1"/>
  <c r="I348" i="10"/>
  <c r="BG348" i="10" s="1"/>
  <c r="I352" i="10"/>
  <c r="AM499" i="10"/>
  <c r="AM491" i="10"/>
  <c r="AG491" i="10"/>
  <c r="AM473" i="10"/>
  <c r="S471" i="10"/>
  <c r="AM483" i="10"/>
  <c r="S480" i="10"/>
  <c r="AM462" i="10"/>
  <c r="AG462" i="10"/>
  <c r="J488" i="10"/>
  <c r="J489" i="10" s="1"/>
  <c r="C510" i="10"/>
  <c r="C527" i="10" s="1"/>
  <c r="D533" i="10" s="1"/>
  <c r="J490" i="10"/>
  <c r="J491" i="10" s="1"/>
  <c r="T320" i="10"/>
  <c r="AA320" i="10"/>
  <c r="AB320" i="10" s="1"/>
  <c r="AC320" i="10" s="1"/>
  <c r="U321" i="10"/>
  <c r="T321" i="10"/>
  <c r="P321" i="10"/>
  <c r="Q321" i="10" s="1"/>
  <c r="I322" i="10"/>
  <c r="BG322" i="10" s="1"/>
  <c r="I327" i="10"/>
  <c r="BG327" i="10" s="1"/>
  <c r="P327" i="10"/>
  <c r="Q327" i="10" s="1"/>
  <c r="AA327" i="10"/>
  <c r="AB327" i="10" s="1"/>
  <c r="AC327" i="10" s="1"/>
  <c r="T330" i="10"/>
  <c r="AA330" i="10"/>
  <c r="AB330" i="10" s="1"/>
  <c r="AC330" i="10" s="1"/>
  <c r="U331" i="10"/>
  <c r="T331" i="10"/>
  <c r="P331" i="10"/>
  <c r="Q331" i="10" s="1"/>
  <c r="I332" i="10"/>
  <c r="BG332" i="10" s="1"/>
  <c r="AE335" i="10"/>
  <c r="BE335" i="10" s="1"/>
  <c r="AA337" i="10"/>
  <c r="AB337" i="10" s="1"/>
  <c r="AC337" i="10" s="1"/>
  <c r="U339" i="10"/>
  <c r="AA341" i="10"/>
  <c r="AB341" i="10" s="1"/>
  <c r="AC341" i="10" s="1"/>
  <c r="U343" i="10"/>
  <c r="AA345" i="10"/>
  <c r="AB345" i="10" s="1"/>
  <c r="AC345" i="10" s="1"/>
  <c r="U347" i="10"/>
  <c r="AA349" i="10"/>
  <c r="AB349" i="10" s="1"/>
  <c r="AC349" i="10" s="1"/>
  <c r="U351" i="10"/>
  <c r="AA353" i="10"/>
  <c r="AB353" i="10" s="1"/>
  <c r="AC353" i="10" s="1"/>
  <c r="I356" i="10"/>
  <c r="Y457" i="10"/>
  <c r="AK477" i="10"/>
  <c r="AK478" i="10" s="1"/>
  <c r="AK475" i="10"/>
  <c r="AK476" i="10" s="1"/>
  <c r="M486" i="10"/>
  <c r="C537" i="10"/>
  <c r="F533" i="10" s="1"/>
  <c r="AE318" i="10"/>
  <c r="BE318" i="10" s="1"/>
  <c r="U318" i="10"/>
  <c r="I323" i="10"/>
  <c r="BG323" i="10" s="1"/>
  <c r="P323" i="10"/>
  <c r="Q323" i="10" s="1"/>
  <c r="AA323" i="10"/>
  <c r="AB323" i="10" s="1"/>
  <c r="AC323" i="10" s="1"/>
  <c r="I333" i="10"/>
  <c r="BG333" i="10" s="1"/>
  <c r="P333" i="10"/>
  <c r="Q333" i="10" s="1"/>
  <c r="AA333" i="10"/>
  <c r="AB333" i="10" s="1"/>
  <c r="AC333" i="10" s="1"/>
  <c r="U338" i="10"/>
  <c r="U342" i="10"/>
  <c r="U346" i="10"/>
  <c r="U350" i="10"/>
  <c r="T353" i="10"/>
  <c r="AE466" i="10"/>
  <c r="AE467" i="10" s="1"/>
  <c r="AE464" i="10"/>
  <c r="AE465" i="10" s="1"/>
  <c r="T489" i="10"/>
  <c r="AA470" i="10"/>
  <c r="M466" i="10"/>
  <c r="AA454" i="10"/>
  <c r="AA462" i="10"/>
  <c r="AA498" i="10"/>
  <c r="N476" i="10"/>
  <c r="T461" i="10"/>
  <c r="AA482" i="10"/>
  <c r="G507" i="10"/>
  <c r="N507" i="10" s="1"/>
  <c r="AZ456" i="10"/>
  <c r="D524" i="10"/>
  <c r="L24" i="11"/>
  <c r="J24" i="11"/>
  <c r="L26" i="11"/>
  <c r="J26" i="11"/>
  <c r="L28" i="11"/>
  <c r="J28" i="11"/>
  <c r="L32" i="11"/>
  <c r="J32" i="11"/>
  <c r="AM453" i="10"/>
  <c r="Y473" i="10"/>
  <c r="C534" i="10"/>
  <c r="C525" i="10"/>
  <c r="Y467" i="10"/>
  <c r="Y465" i="10"/>
  <c r="I524" i="10"/>
  <c r="J533" i="10" s="1"/>
  <c r="C516" i="10"/>
  <c r="X486" i="10"/>
  <c r="X487" i="10" s="1"/>
  <c r="C526" i="10"/>
  <c r="C535" i="10"/>
  <c r="V151" i="11"/>
  <c r="AA151" i="11" s="1"/>
  <c r="U148" i="11"/>
  <c r="T148" i="11"/>
  <c r="P148" i="11"/>
  <c r="P149" i="11"/>
  <c r="AE150" i="11"/>
  <c r="BE150" i="11" s="1"/>
  <c r="I150" i="11"/>
  <c r="BG150" i="11" s="1"/>
  <c r="P150" i="11"/>
  <c r="Q150" i="11" s="1"/>
  <c r="AE152" i="11"/>
  <c r="BE152" i="11" s="1"/>
  <c r="U152" i="11"/>
  <c r="T152" i="11"/>
  <c r="P152" i="11"/>
  <c r="V160" i="11"/>
  <c r="AA160" i="11" s="1"/>
  <c r="AE162" i="11"/>
  <c r="BE162" i="11" s="1"/>
  <c r="V162" i="11"/>
  <c r="AA162" i="11" s="1"/>
  <c r="I162" i="11"/>
  <c r="U162" i="11"/>
  <c r="T162" i="11"/>
  <c r="P162" i="11"/>
  <c r="AE174" i="11"/>
  <c r="BE174" i="11" s="1"/>
  <c r="I174" i="11"/>
  <c r="U174" i="11"/>
  <c r="T174" i="11"/>
  <c r="P174" i="11"/>
  <c r="AF174" i="11"/>
  <c r="BH174" i="11" s="1"/>
  <c r="P175" i="11"/>
  <c r="BG203" i="11"/>
  <c r="K37" i="11"/>
  <c r="AE226" i="11"/>
  <c r="BE226" i="11" s="1"/>
  <c r="I226" i="11"/>
  <c r="BG226" i="11" s="1"/>
  <c r="U226" i="11"/>
  <c r="T226" i="11"/>
  <c r="P226" i="11"/>
  <c r="I249" i="11"/>
  <c r="BG249" i="11" s="1"/>
  <c r="U249" i="11"/>
  <c r="T249" i="11"/>
  <c r="P249" i="11"/>
  <c r="AK464" i="10"/>
  <c r="AK465" i="10" s="1"/>
  <c r="D478" i="10"/>
  <c r="D479" i="10" s="1"/>
  <c r="X482" i="10"/>
  <c r="AB482" i="10"/>
  <c r="J486" i="10"/>
  <c r="N486" i="10"/>
  <c r="X490" i="10"/>
  <c r="AB490" i="10"/>
  <c r="Q493" i="10"/>
  <c r="Q494" i="10" s="1"/>
  <c r="X494" i="10"/>
  <c r="X495" i="10" s="1"/>
  <c r="X500" i="10"/>
  <c r="X501" i="10" s="1"/>
  <c r="D507" i="10"/>
  <c r="K507" i="10" s="1"/>
  <c r="H507" i="10"/>
  <c r="O507" i="10" s="1"/>
  <c r="H524" i="10"/>
  <c r="I533" i="10" s="1"/>
  <c r="I93" i="11"/>
  <c r="I101" i="11"/>
  <c r="I109" i="11"/>
  <c r="I117" i="11"/>
  <c r="I125" i="11"/>
  <c r="I133" i="11"/>
  <c r="I141" i="11"/>
  <c r="AE148" i="11"/>
  <c r="BE148" i="11" s="1"/>
  <c r="AF149" i="11"/>
  <c r="BH149" i="11" s="1"/>
  <c r="AF152" i="11"/>
  <c r="BH152" i="11" s="1"/>
  <c r="P153" i="11"/>
  <c r="P159" i="11"/>
  <c r="T169" i="11"/>
  <c r="AA172" i="11"/>
  <c r="T175" i="11"/>
  <c r="AE178" i="11"/>
  <c r="BE178" i="11" s="1"/>
  <c r="I178" i="11"/>
  <c r="U178" i="11"/>
  <c r="T178" i="11"/>
  <c r="P178" i="11"/>
  <c r="AF178" i="11"/>
  <c r="BH178" i="11" s="1"/>
  <c r="P179" i="11"/>
  <c r="AE185" i="11"/>
  <c r="BE185" i="11" s="1"/>
  <c r="U185" i="11"/>
  <c r="T185" i="11"/>
  <c r="P185" i="11"/>
  <c r="I239" i="11"/>
  <c r="BG239" i="11" s="1"/>
  <c r="U239" i="11"/>
  <c r="T239" i="11"/>
  <c r="P239" i="11"/>
  <c r="AE248" i="11"/>
  <c r="BE248" i="11" s="1"/>
  <c r="U248" i="11"/>
  <c r="T248" i="11"/>
  <c r="P248" i="11"/>
  <c r="P339" i="10"/>
  <c r="Q339" i="10" s="1"/>
  <c r="T339" i="10"/>
  <c r="P343" i="10"/>
  <c r="Q343" i="10" s="1"/>
  <c r="T343" i="10"/>
  <c r="P347" i="10"/>
  <c r="Q347" i="10" s="1"/>
  <c r="T347" i="10"/>
  <c r="P351" i="10"/>
  <c r="Q351" i="10" s="1"/>
  <c r="T351" i="10"/>
  <c r="AK455" i="10"/>
  <c r="AK456" i="10" s="1"/>
  <c r="X456" i="10"/>
  <c r="X457" i="10" s="1"/>
  <c r="X458" i="10"/>
  <c r="X459" i="10" s="1"/>
  <c r="Q461" i="10"/>
  <c r="U461" i="10"/>
  <c r="X472" i="10"/>
  <c r="X473" i="10" s="1"/>
  <c r="K476" i="10"/>
  <c r="D480" i="10"/>
  <c r="D481" i="10" s="1"/>
  <c r="Y482" i="10"/>
  <c r="Q484" i="10"/>
  <c r="Q485" i="10" s="1"/>
  <c r="K486" i="10"/>
  <c r="S489" i="10"/>
  <c r="Y490" i="10"/>
  <c r="Q491" i="10"/>
  <c r="Q492" i="10" s="1"/>
  <c r="X498" i="10"/>
  <c r="AB498" i="10"/>
  <c r="E507" i="10"/>
  <c r="L507" i="10" s="1"/>
  <c r="C518" i="10"/>
  <c r="T24" i="11"/>
  <c r="T26" i="11"/>
  <c r="T28" i="11"/>
  <c r="T32" i="11"/>
  <c r="I61" i="11"/>
  <c r="I91" i="11"/>
  <c r="I99" i="11"/>
  <c r="I107" i="11"/>
  <c r="I115" i="11"/>
  <c r="I123" i="11"/>
  <c r="I131" i="11"/>
  <c r="I139" i="11"/>
  <c r="W144" i="11"/>
  <c r="I144" i="11"/>
  <c r="AE145" i="11"/>
  <c r="BE145" i="11" s="1"/>
  <c r="V145" i="11"/>
  <c r="U145" i="11"/>
  <c r="W354" i="11"/>
  <c r="W355" i="11"/>
  <c r="W356" i="11"/>
  <c r="W358" i="11" s="1"/>
  <c r="W357" i="11"/>
  <c r="AF148" i="11"/>
  <c r="BH148" i="11" s="1"/>
  <c r="T149" i="11"/>
  <c r="T150" i="11"/>
  <c r="T153" i="11"/>
  <c r="AA154" i="11"/>
  <c r="AE156" i="11"/>
  <c r="BE156" i="11" s="1"/>
  <c r="I156" i="11"/>
  <c r="BG156" i="11" s="1"/>
  <c r="U156" i="11"/>
  <c r="T156" i="11"/>
  <c r="V156" i="11" s="1"/>
  <c r="AA156" i="11" s="1"/>
  <c r="P156" i="11"/>
  <c r="AE157" i="11"/>
  <c r="BE157" i="11" s="1"/>
  <c r="AE158" i="11"/>
  <c r="BE158" i="11" s="1"/>
  <c r="I158" i="11"/>
  <c r="BG158" i="11" s="1"/>
  <c r="U158" i="11"/>
  <c r="V158" i="11" s="1"/>
  <c r="AA158" i="11" s="1"/>
  <c r="T158" i="11"/>
  <c r="P158" i="11"/>
  <c r="T159" i="11"/>
  <c r="T161" i="11"/>
  <c r="V161" i="11" s="1"/>
  <c r="AA161" i="11" s="1"/>
  <c r="AF163" i="11"/>
  <c r="BH163" i="11" s="1"/>
  <c r="AE166" i="11"/>
  <c r="BE166" i="11" s="1"/>
  <c r="I166" i="11"/>
  <c r="BG166" i="11" s="1"/>
  <c r="U166" i="11"/>
  <c r="T166" i="11"/>
  <c r="P166" i="11"/>
  <c r="AF166" i="11"/>
  <c r="BH166" i="11" s="1"/>
  <c r="P167" i="11"/>
  <c r="AF171" i="11"/>
  <c r="BH171" i="11" s="1"/>
  <c r="T173" i="11"/>
  <c r="AA176" i="11"/>
  <c r="T179" i="11"/>
  <c r="AE182" i="11"/>
  <c r="BE182" i="11" s="1"/>
  <c r="I182" i="11"/>
  <c r="BG182" i="11" s="1"/>
  <c r="U182" i="11"/>
  <c r="T182" i="11"/>
  <c r="P182" i="11"/>
  <c r="AF182" i="11"/>
  <c r="BH182" i="11" s="1"/>
  <c r="P183" i="11"/>
  <c r="AE192" i="11"/>
  <c r="BE192" i="11" s="1"/>
  <c r="I192" i="11"/>
  <c r="BG192" i="11" s="1"/>
  <c r="U192" i="11"/>
  <c r="T192" i="11"/>
  <c r="P192" i="11"/>
  <c r="I193" i="11"/>
  <c r="BG193" i="11" s="1"/>
  <c r="T193" i="11"/>
  <c r="P193" i="11"/>
  <c r="AE210" i="11"/>
  <c r="BE210" i="11" s="1"/>
  <c r="I210" i="11"/>
  <c r="BG210" i="11" s="1"/>
  <c r="U210" i="11"/>
  <c r="T210" i="11"/>
  <c r="P210" i="11"/>
  <c r="I211" i="11"/>
  <c r="BG211" i="11" s="1"/>
  <c r="T211" i="11"/>
  <c r="P211" i="11"/>
  <c r="AF226" i="11"/>
  <c r="BH226" i="11" s="1"/>
  <c r="AE238" i="11"/>
  <c r="BE238" i="11" s="1"/>
  <c r="U238" i="11"/>
  <c r="T238" i="11"/>
  <c r="P238" i="11"/>
  <c r="AF264" i="11"/>
  <c r="BH264" i="11" s="1"/>
  <c r="P294" i="10"/>
  <c r="Q294" i="10" s="1"/>
  <c r="P298" i="10"/>
  <c r="Q298" i="10" s="1"/>
  <c r="P302" i="10"/>
  <c r="Q302" i="10" s="1"/>
  <c r="P306" i="10"/>
  <c r="Q306" i="10" s="1"/>
  <c r="P310" i="10"/>
  <c r="Q310" i="10" s="1"/>
  <c r="P312" i="10"/>
  <c r="Q312" i="10" s="1"/>
  <c r="P316" i="10"/>
  <c r="Q316" i="10" s="1"/>
  <c r="P320" i="10"/>
  <c r="Q320" i="10" s="1"/>
  <c r="P324" i="10"/>
  <c r="Q324" i="10" s="1"/>
  <c r="P330" i="10"/>
  <c r="Q330" i="10" s="1"/>
  <c r="P334" i="10"/>
  <c r="Q334" i="10" s="1"/>
  <c r="P338" i="10"/>
  <c r="Q338" i="10" s="1"/>
  <c r="P342" i="10"/>
  <c r="Q342" i="10" s="1"/>
  <c r="P346" i="10"/>
  <c r="Q346" i="10" s="1"/>
  <c r="P350" i="10"/>
  <c r="Q350" i="10" s="1"/>
  <c r="L476" i="10"/>
  <c r="Z482" i="10"/>
  <c r="L486" i="10"/>
  <c r="Z490" i="10"/>
  <c r="X492" i="10"/>
  <c r="X493" i="10" s="1"/>
  <c r="I145" i="11"/>
  <c r="P145" i="11"/>
  <c r="X355" i="11"/>
  <c r="X356" i="11"/>
  <c r="X358" i="11" s="1"/>
  <c r="X357" i="11"/>
  <c r="X354" i="11"/>
  <c r="I146" i="11"/>
  <c r="P146" i="11"/>
  <c r="Q146" i="11" s="1"/>
  <c r="I147" i="11"/>
  <c r="BG147" i="11" s="1"/>
  <c r="I148" i="11"/>
  <c r="BG148" i="11" s="1"/>
  <c r="V148" i="11"/>
  <c r="AA148" i="11" s="1"/>
  <c r="AE149" i="11"/>
  <c r="BE149" i="11" s="1"/>
  <c r="U149" i="11"/>
  <c r="V149" i="11" s="1"/>
  <c r="AA149" i="11" s="1"/>
  <c r="U150" i="11"/>
  <c r="I151" i="11"/>
  <c r="I152" i="11"/>
  <c r="BG152" i="11" s="1"/>
  <c r="V152" i="11"/>
  <c r="AA152" i="11" s="1"/>
  <c r="AF162" i="11"/>
  <c r="BH162" i="11" s="1"/>
  <c r="P163" i="11"/>
  <c r="T167" i="11"/>
  <c r="U169" i="11"/>
  <c r="AE170" i="11"/>
  <c r="BE170" i="11" s="1"/>
  <c r="I170" i="11"/>
  <c r="U170" i="11"/>
  <c r="T170" i="11"/>
  <c r="P170" i="11"/>
  <c r="AF170" i="11"/>
  <c r="BH170" i="11" s="1"/>
  <c r="P171" i="11"/>
  <c r="T172" i="11"/>
  <c r="AF175" i="11"/>
  <c r="BH175" i="11" s="1"/>
  <c r="AA175" i="11"/>
  <c r="T177" i="11"/>
  <c r="T183" i="11"/>
  <c r="AE230" i="11"/>
  <c r="BE230" i="11" s="1"/>
  <c r="T230" i="11"/>
  <c r="P230" i="11"/>
  <c r="U230" i="11"/>
  <c r="V144" i="11"/>
  <c r="Q145" i="11"/>
  <c r="Y356" i="11"/>
  <c r="Y358" i="11" s="1"/>
  <c r="Y357" i="11"/>
  <c r="Y354" i="11"/>
  <c r="Y355" i="11"/>
  <c r="AF147" i="11"/>
  <c r="BH147" i="11" s="1"/>
  <c r="Q149" i="11"/>
  <c r="AF151" i="11"/>
  <c r="BH151" i="11" s="1"/>
  <c r="Q153" i="11"/>
  <c r="U153" i="11"/>
  <c r="I154" i="11"/>
  <c r="AF155" i="11"/>
  <c r="BH155" i="11" s="1"/>
  <c r="S157" i="11"/>
  <c r="AZ157" i="11" s="1"/>
  <c r="AF157" i="11"/>
  <c r="BH157" i="11" s="1"/>
  <c r="Q159" i="11"/>
  <c r="U159" i="11"/>
  <c r="I160" i="11"/>
  <c r="BG160" i="11" s="1"/>
  <c r="AE160" i="11"/>
  <c r="BE160" i="11" s="1"/>
  <c r="AF161" i="11"/>
  <c r="BH161" i="11" s="1"/>
  <c r="Q163" i="11"/>
  <c r="U163" i="11"/>
  <c r="I164" i="11"/>
  <c r="BG164" i="11" s="1"/>
  <c r="V164" i="11"/>
  <c r="AA164" i="11" s="1"/>
  <c r="AF165" i="11"/>
  <c r="BH165" i="11" s="1"/>
  <c r="Q167" i="11"/>
  <c r="U167" i="11"/>
  <c r="I168" i="11"/>
  <c r="BG168" i="11" s="1"/>
  <c r="AF169" i="11"/>
  <c r="BH169" i="11" s="1"/>
  <c r="Q171" i="11"/>
  <c r="U171" i="11"/>
  <c r="I172" i="11"/>
  <c r="AF173" i="11"/>
  <c r="BH173" i="11" s="1"/>
  <c r="Q175" i="11"/>
  <c r="U175" i="11"/>
  <c r="I176" i="11"/>
  <c r="BG176" i="11" s="1"/>
  <c r="AF177" i="11"/>
  <c r="BH177" i="11" s="1"/>
  <c r="Q179" i="11"/>
  <c r="U179" i="11"/>
  <c r="I180" i="11"/>
  <c r="BG180" i="11" s="1"/>
  <c r="AF181" i="11"/>
  <c r="BH181" i="11" s="1"/>
  <c r="Q183" i="11"/>
  <c r="U183" i="11"/>
  <c r="U184" i="11"/>
  <c r="T184" i="11"/>
  <c r="P184" i="11"/>
  <c r="I185" i="11"/>
  <c r="AF188" i="11"/>
  <c r="BH188" i="11" s="1"/>
  <c r="AA190" i="11"/>
  <c r="U195" i="11"/>
  <c r="AE196" i="11"/>
  <c r="BE196" i="11" s="1"/>
  <c r="I196" i="11"/>
  <c r="U196" i="11"/>
  <c r="T196" i="11"/>
  <c r="P196" i="11"/>
  <c r="AF196" i="11"/>
  <c r="BH196" i="11" s="1"/>
  <c r="P197" i="11"/>
  <c r="T198" i="11"/>
  <c r="AA201" i="11"/>
  <c r="T203" i="11"/>
  <c r="U213" i="11"/>
  <c r="AE214" i="11"/>
  <c r="BE214" i="11" s="1"/>
  <c r="I214" i="11"/>
  <c r="BG214" i="11" s="1"/>
  <c r="U214" i="11"/>
  <c r="T214" i="11"/>
  <c r="P214" i="11"/>
  <c r="AF214" i="11"/>
  <c r="BH214" i="11" s="1"/>
  <c r="P215" i="11"/>
  <c r="T216" i="11"/>
  <c r="T217" i="11"/>
  <c r="AA219" i="11"/>
  <c r="AA220" i="11"/>
  <c r="AF228" i="11"/>
  <c r="BH228" i="11" s="1"/>
  <c r="AA232" i="11"/>
  <c r="AF232" i="11"/>
  <c r="BH232" i="11" s="1"/>
  <c r="AF352" i="11"/>
  <c r="BH352" i="11" s="1"/>
  <c r="AF350" i="11"/>
  <c r="BH350" i="11" s="1"/>
  <c r="AF346" i="11"/>
  <c r="BH346" i="11" s="1"/>
  <c r="AF344" i="11"/>
  <c r="BH344" i="11" s="1"/>
  <c r="AF340" i="11"/>
  <c r="BH340" i="11" s="1"/>
  <c r="AF336" i="11"/>
  <c r="BH336" i="11" s="1"/>
  <c r="AF332" i="11"/>
  <c r="BH332" i="11" s="1"/>
  <c r="AF328" i="11"/>
  <c r="BH328" i="11" s="1"/>
  <c r="AF326" i="11"/>
  <c r="BH326" i="11" s="1"/>
  <c r="AF322" i="11"/>
  <c r="BH322" i="11" s="1"/>
  <c r="AF348" i="11"/>
  <c r="BH348" i="11" s="1"/>
  <c r="AF341" i="11"/>
  <c r="BH341" i="11" s="1"/>
  <c r="AF337" i="11"/>
  <c r="BH337" i="11" s="1"/>
  <c r="AF333" i="11"/>
  <c r="BH333" i="11" s="1"/>
  <c r="AF329" i="11"/>
  <c r="BH329" i="11" s="1"/>
  <c r="AF351" i="11"/>
  <c r="BH351" i="11" s="1"/>
  <c r="AF347" i="11"/>
  <c r="BH347" i="11" s="1"/>
  <c r="AF345" i="11"/>
  <c r="BH345" i="11" s="1"/>
  <c r="AF342" i="11"/>
  <c r="BH342" i="11" s="1"/>
  <c r="AF338" i="11"/>
  <c r="BH338" i="11" s="1"/>
  <c r="AF334" i="11"/>
  <c r="BH334" i="11" s="1"/>
  <c r="AF330" i="11"/>
  <c r="BH330" i="11" s="1"/>
  <c r="Q328" i="11"/>
  <c r="AF324" i="11"/>
  <c r="BH324" i="11" s="1"/>
  <c r="Q322" i="11"/>
  <c r="AF339" i="11"/>
  <c r="BH339" i="11" s="1"/>
  <c r="AF331" i="11"/>
  <c r="BH331" i="11" s="1"/>
  <c r="AF327" i="11"/>
  <c r="BH327" i="11" s="1"/>
  <c r="AF320" i="11"/>
  <c r="BH320" i="11" s="1"/>
  <c r="AE328" i="11"/>
  <c r="BE328" i="11" s="1"/>
  <c r="AF325" i="11"/>
  <c r="BH325" i="11" s="1"/>
  <c r="AF317" i="11"/>
  <c r="BH317" i="11" s="1"/>
  <c r="AF313" i="11"/>
  <c r="BH313" i="11" s="1"/>
  <c r="Q311" i="11"/>
  <c r="AF307" i="11"/>
  <c r="BH307" i="11" s="1"/>
  <c r="AF303" i="11"/>
  <c r="BH303" i="11" s="1"/>
  <c r="AF349" i="11"/>
  <c r="BH349" i="11" s="1"/>
  <c r="AF343" i="11"/>
  <c r="BH343" i="11" s="1"/>
  <c r="AF335" i="11"/>
  <c r="BH335" i="11" s="1"/>
  <c r="AF323" i="11"/>
  <c r="BH323" i="11" s="1"/>
  <c r="AF318" i="11"/>
  <c r="BH318" i="11" s="1"/>
  <c r="AF314" i="11"/>
  <c r="BH314" i="11" s="1"/>
  <c r="AF308" i="11"/>
  <c r="BH308" i="11" s="1"/>
  <c r="AF304" i="11"/>
  <c r="BH304" i="11" s="1"/>
  <c r="AE311" i="11"/>
  <c r="BE311" i="11" s="1"/>
  <c r="AF300" i="11"/>
  <c r="BH300" i="11" s="1"/>
  <c r="AF296" i="11"/>
  <c r="BH296" i="11" s="1"/>
  <c r="AF292" i="11"/>
  <c r="BH292" i="11" s="1"/>
  <c r="AF288" i="11"/>
  <c r="BH288" i="11" s="1"/>
  <c r="AF316" i="11"/>
  <c r="BH316" i="11" s="1"/>
  <c r="AF315" i="11"/>
  <c r="BH315" i="11" s="1"/>
  <c r="AF310" i="11"/>
  <c r="BH310" i="11" s="1"/>
  <c r="AF309" i="11"/>
  <c r="BH309" i="11" s="1"/>
  <c r="AF301" i="11"/>
  <c r="BH301" i="11" s="1"/>
  <c r="AF297" i="11"/>
  <c r="BH297" i="11" s="1"/>
  <c r="AF293" i="11"/>
  <c r="BH293" i="11" s="1"/>
  <c r="AF289" i="11"/>
  <c r="BH289" i="11" s="1"/>
  <c r="AF285" i="11"/>
  <c r="BH285" i="11" s="1"/>
  <c r="AF321" i="11"/>
  <c r="BH321" i="11" s="1"/>
  <c r="AF298" i="11"/>
  <c r="BH298" i="11" s="1"/>
  <c r="AF294" i="11"/>
  <c r="BH294" i="11" s="1"/>
  <c r="AF290" i="11"/>
  <c r="BH290" i="11" s="1"/>
  <c r="AF286" i="11"/>
  <c r="BH286" i="11" s="1"/>
  <c r="AF282" i="11"/>
  <c r="BH282" i="11" s="1"/>
  <c r="AF312" i="11"/>
  <c r="BH312" i="11" s="1"/>
  <c r="AF305" i="11"/>
  <c r="BH305" i="11" s="1"/>
  <c r="AF291" i="11"/>
  <c r="BH291" i="11" s="1"/>
  <c r="AF279" i="11"/>
  <c r="BH279" i="11" s="1"/>
  <c r="AF275" i="11"/>
  <c r="BH275" i="11" s="1"/>
  <c r="AF271" i="11"/>
  <c r="BH271" i="11" s="1"/>
  <c r="AF269" i="11"/>
  <c r="BH269" i="11" s="1"/>
  <c r="AF265" i="11"/>
  <c r="BH265" i="11" s="1"/>
  <c r="AF261" i="11"/>
  <c r="BH261" i="11" s="1"/>
  <c r="AF257" i="11"/>
  <c r="BH257" i="11" s="1"/>
  <c r="AF253" i="11"/>
  <c r="BH253" i="11" s="1"/>
  <c r="AF249" i="11"/>
  <c r="BH249" i="11" s="1"/>
  <c r="AF243" i="11"/>
  <c r="BH243" i="11" s="1"/>
  <c r="AF239" i="11"/>
  <c r="BH239" i="11" s="1"/>
  <c r="AF235" i="11"/>
  <c r="BH235" i="11" s="1"/>
  <c r="Q233" i="11"/>
  <c r="AF231" i="11"/>
  <c r="BH231" i="11" s="1"/>
  <c r="Q229" i="11"/>
  <c r="AF227" i="11"/>
  <c r="BH227" i="11" s="1"/>
  <c r="AF311" i="11"/>
  <c r="BH311" i="11" s="1"/>
  <c r="AF302" i="11"/>
  <c r="BH302" i="11" s="1"/>
  <c r="AF287" i="11"/>
  <c r="BH287" i="11" s="1"/>
  <c r="AF280" i="11"/>
  <c r="BH280" i="11" s="1"/>
  <c r="AF276" i="11"/>
  <c r="BH276" i="11" s="1"/>
  <c r="AF272" i="11"/>
  <c r="BH272" i="11" s="1"/>
  <c r="AE271" i="11"/>
  <c r="BE271" i="11" s="1"/>
  <c r="AF270" i="11"/>
  <c r="BH270" i="11" s="1"/>
  <c r="AF266" i="11"/>
  <c r="BH266" i="11" s="1"/>
  <c r="AF262" i="11"/>
  <c r="BH262" i="11" s="1"/>
  <c r="AF258" i="11"/>
  <c r="BH258" i="11" s="1"/>
  <c r="AF254" i="11"/>
  <c r="BH254" i="11" s="1"/>
  <c r="AF250" i="11"/>
  <c r="BH250" i="11" s="1"/>
  <c r="Q248" i="11"/>
  <c r="AF246" i="11"/>
  <c r="BH246" i="11" s="1"/>
  <c r="AF244" i="11"/>
  <c r="BH244" i="11" s="1"/>
  <c r="AF240" i="11"/>
  <c r="BH240" i="11" s="1"/>
  <c r="Q238" i="11"/>
  <c r="AF236" i="11"/>
  <c r="BH236" i="11" s="1"/>
  <c r="AF299" i="11"/>
  <c r="BH299" i="11" s="1"/>
  <c r="AF284" i="11"/>
  <c r="BH284" i="11" s="1"/>
  <c r="AF283" i="11"/>
  <c r="BH283" i="11" s="1"/>
  <c r="AF281" i="11"/>
  <c r="BH281" i="11" s="1"/>
  <c r="AF277" i="11"/>
  <c r="BH277" i="11" s="1"/>
  <c r="AF273" i="11"/>
  <c r="BH273" i="11" s="1"/>
  <c r="Q271" i="11"/>
  <c r="AF267" i="11"/>
  <c r="BH267" i="11" s="1"/>
  <c r="AF263" i="11"/>
  <c r="BH263" i="11" s="1"/>
  <c r="AF259" i="11"/>
  <c r="BH259" i="11" s="1"/>
  <c r="AF255" i="11"/>
  <c r="BH255" i="11" s="1"/>
  <c r="AF251" i="11"/>
  <c r="BH251" i="11" s="1"/>
  <c r="Q249" i="11"/>
  <c r="AF247" i="11"/>
  <c r="BH247" i="11" s="1"/>
  <c r="AE246" i="11"/>
  <c r="BE246" i="11" s="1"/>
  <c r="AF245" i="11"/>
  <c r="BH245" i="11" s="1"/>
  <c r="AF241" i="11"/>
  <c r="BH241" i="11" s="1"/>
  <c r="Q239" i="11"/>
  <c r="AF237" i="11"/>
  <c r="BH237" i="11" s="1"/>
  <c r="AF233" i="11"/>
  <c r="BH233" i="11" s="1"/>
  <c r="AF229" i="11"/>
  <c r="BH229" i="11" s="1"/>
  <c r="AF295" i="11"/>
  <c r="BH295" i="11" s="1"/>
  <c r="AF230" i="11"/>
  <c r="BH230" i="11" s="1"/>
  <c r="AF223" i="11"/>
  <c r="BH223" i="11" s="1"/>
  <c r="AF219" i="11"/>
  <c r="BH219" i="11" s="1"/>
  <c r="AF215" i="11"/>
  <c r="BH215" i="11" s="1"/>
  <c r="AF211" i="11"/>
  <c r="BH211" i="11" s="1"/>
  <c r="AF207" i="11"/>
  <c r="BH207" i="11" s="1"/>
  <c r="Q205" i="11"/>
  <c r="AF201" i="11"/>
  <c r="BH201" i="11" s="1"/>
  <c r="AF197" i="11"/>
  <c r="BH197" i="11" s="1"/>
  <c r="AF193" i="11"/>
  <c r="BH193" i="11" s="1"/>
  <c r="AF189" i="11"/>
  <c r="BH189" i="11" s="1"/>
  <c r="AF278" i="11"/>
  <c r="BH278" i="11" s="1"/>
  <c r="AF268" i="11"/>
  <c r="BH268" i="11" s="1"/>
  <c r="AF260" i="11"/>
  <c r="BH260" i="11" s="1"/>
  <c r="AF252" i="11"/>
  <c r="BH252" i="11" s="1"/>
  <c r="AF242" i="11"/>
  <c r="BH242" i="11" s="1"/>
  <c r="AF234" i="11"/>
  <c r="BH234" i="11" s="1"/>
  <c r="Q227" i="11"/>
  <c r="Q226" i="11"/>
  <c r="AF224" i="11"/>
  <c r="BH224" i="11" s="1"/>
  <c r="AF220" i="11"/>
  <c r="BH220" i="11" s="1"/>
  <c r="AF216" i="11"/>
  <c r="BH216" i="11" s="1"/>
  <c r="Q214" i="11"/>
  <c r="AF212" i="11"/>
  <c r="BH212" i="11" s="1"/>
  <c r="Q210" i="11"/>
  <c r="AF208" i="11"/>
  <c r="BH208" i="11" s="1"/>
  <c r="AF202" i="11"/>
  <c r="BH202" i="11" s="1"/>
  <c r="AF198" i="11"/>
  <c r="BH198" i="11" s="1"/>
  <c r="Q196" i="11"/>
  <c r="AF194" i="11"/>
  <c r="BH194" i="11" s="1"/>
  <c r="Q192" i="11"/>
  <c r="AF190" i="11"/>
  <c r="BH190" i="11" s="1"/>
  <c r="AF186" i="11"/>
  <c r="BH186" i="11" s="1"/>
  <c r="Q184" i="11"/>
  <c r="Q246" i="11"/>
  <c r="Q230" i="11"/>
  <c r="AE227" i="11"/>
  <c r="BE227" i="11" s="1"/>
  <c r="AF225" i="11"/>
  <c r="BH225" i="11" s="1"/>
  <c r="AF221" i="11"/>
  <c r="BH221" i="11" s="1"/>
  <c r="AF217" i="11"/>
  <c r="BH217" i="11" s="1"/>
  <c r="Q215" i="11"/>
  <c r="AF213" i="11"/>
  <c r="BH213" i="11" s="1"/>
  <c r="Q211" i="11"/>
  <c r="AF209" i="11"/>
  <c r="BH209" i="11" s="1"/>
  <c r="AF205" i="11"/>
  <c r="BH205" i="11" s="1"/>
  <c r="AF203" i="11"/>
  <c r="BH203" i="11" s="1"/>
  <c r="AF199" i="11"/>
  <c r="BH199" i="11" s="1"/>
  <c r="Q197" i="11"/>
  <c r="AF195" i="11"/>
  <c r="BH195" i="11" s="1"/>
  <c r="Q193" i="11"/>
  <c r="AF191" i="11"/>
  <c r="BH191" i="11" s="1"/>
  <c r="AF187" i="11"/>
  <c r="BH187" i="11" s="1"/>
  <c r="Q185" i="11"/>
  <c r="Z357" i="11"/>
  <c r="Z354" i="11"/>
  <c r="Z355" i="11"/>
  <c r="Z356" i="11"/>
  <c r="Z358" i="11" s="1"/>
  <c r="AF146" i="11"/>
  <c r="BH146" i="11" s="1"/>
  <c r="P147" i="11"/>
  <c r="Q147" i="11" s="1"/>
  <c r="Q148" i="11"/>
  <c r="AF150" i="11"/>
  <c r="BH150" i="11" s="1"/>
  <c r="P151" i="11"/>
  <c r="Q151" i="11" s="1"/>
  <c r="Q152" i="11"/>
  <c r="V153" i="11"/>
  <c r="AA153" i="11" s="1"/>
  <c r="AE153" i="11"/>
  <c r="BE153" i="11" s="1"/>
  <c r="AF154" i="11"/>
  <c r="BH154" i="11" s="1"/>
  <c r="P155" i="11"/>
  <c r="Q155" i="11" s="1"/>
  <c r="Q156" i="11"/>
  <c r="Q158" i="11"/>
  <c r="V159" i="11"/>
  <c r="AA159" i="11" s="1"/>
  <c r="AE159" i="11"/>
  <c r="BE159" i="11" s="1"/>
  <c r="AF160" i="11"/>
  <c r="BH160" i="11" s="1"/>
  <c r="P161" i="11"/>
  <c r="Q161" i="11" s="1"/>
  <c r="Q162" i="11"/>
  <c r="V163" i="11"/>
  <c r="AA163" i="11" s="1"/>
  <c r="AE163" i="11"/>
  <c r="BE163" i="11" s="1"/>
  <c r="AF164" i="11"/>
  <c r="BH164" i="11" s="1"/>
  <c r="P165" i="11"/>
  <c r="Q165" i="11" s="1"/>
  <c r="Q166" i="11"/>
  <c r="AE167" i="11"/>
  <c r="BE167" i="11" s="1"/>
  <c r="AF168" i="11"/>
  <c r="BH168" i="11" s="1"/>
  <c r="P169" i="11"/>
  <c r="Q169" i="11" s="1"/>
  <c r="Q170" i="11"/>
  <c r="AE171" i="11"/>
  <c r="BE171" i="11" s="1"/>
  <c r="AF172" i="11"/>
  <c r="BH172" i="11" s="1"/>
  <c r="P173" i="11"/>
  <c r="Q173" i="11" s="1"/>
  <c r="Q174" i="11"/>
  <c r="AE175" i="11"/>
  <c r="BE175" i="11" s="1"/>
  <c r="AF176" i="11"/>
  <c r="BH176" i="11" s="1"/>
  <c r="P177" i="11"/>
  <c r="Q177" i="11" s="1"/>
  <c r="Q178" i="11"/>
  <c r="AE179" i="11"/>
  <c r="BE179" i="11" s="1"/>
  <c r="AF180" i="11"/>
  <c r="BH180" i="11" s="1"/>
  <c r="P181" i="11"/>
  <c r="Q181" i="11" s="1"/>
  <c r="Q182" i="11"/>
  <c r="I186" i="11"/>
  <c r="P186" i="11"/>
  <c r="AA186" i="11"/>
  <c r="AA189" i="11"/>
  <c r="U199" i="11"/>
  <c r="AE200" i="11"/>
  <c r="BE200" i="11" s="1"/>
  <c r="I200" i="11"/>
  <c r="BG200" i="11" s="1"/>
  <c r="U200" i="11"/>
  <c r="T200" i="11"/>
  <c r="P200" i="11"/>
  <c r="Q200" i="11" s="1"/>
  <c r="AF200" i="11"/>
  <c r="BH200" i="11" s="1"/>
  <c r="P201" i="11"/>
  <c r="Q201" i="11" s="1"/>
  <c r="T202" i="11"/>
  <c r="AA207" i="11"/>
  <c r="AA208" i="11"/>
  <c r="U217" i="11"/>
  <c r="AE218" i="11"/>
  <c r="BE218" i="11" s="1"/>
  <c r="I218" i="11"/>
  <c r="BG218" i="11" s="1"/>
  <c r="U218" i="11"/>
  <c r="T218" i="11"/>
  <c r="P218" i="11"/>
  <c r="Q218" i="11" s="1"/>
  <c r="AF218" i="11"/>
  <c r="BH218" i="11" s="1"/>
  <c r="P219" i="11"/>
  <c r="Q219" i="11" s="1"/>
  <c r="T220" i="11"/>
  <c r="T221" i="11"/>
  <c r="AA223" i="11"/>
  <c r="AA224" i="11"/>
  <c r="AF238" i="11"/>
  <c r="BH238" i="11" s="1"/>
  <c r="AF248" i="11"/>
  <c r="BH248" i="11" s="1"/>
  <c r="AE264" i="11"/>
  <c r="BE264" i="11" s="1"/>
  <c r="U264" i="11"/>
  <c r="T264" i="11"/>
  <c r="P264" i="11"/>
  <c r="Q264" i="11" s="1"/>
  <c r="I265" i="11"/>
  <c r="BG265" i="11" s="1"/>
  <c r="U265" i="11"/>
  <c r="T265" i="11"/>
  <c r="P265" i="11"/>
  <c r="Q265" i="11" s="1"/>
  <c r="AE274" i="11"/>
  <c r="BE274" i="11" s="1"/>
  <c r="U274" i="11"/>
  <c r="T274" i="11"/>
  <c r="P274" i="11"/>
  <c r="Q274" i="11" s="1"/>
  <c r="I275" i="11"/>
  <c r="BG275" i="11" s="1"/>
  <c r="U275" i="11"/>
  <c r="T275" i="11"/>
  <c r="P275" i="11"/>
  <c r="Q275" i="11" s="1"/>
  <c r="AF319" i="11"/>
  <c r="BH319" i="11" s="1"/>
  <c r="P154" i="11"/>
  <c r="Q154" i="11" s="1"/>
  <c r="P160" i="11"/>
  <c r="Q160" i="11" s="1"/>
  <c r="P164" i="11"/>
  <c r="Q164" i="11" s="1"/>
  <c r="P168" i="11"/>
  <c r="Q168" i="11" s="1"/>
  <c r="P172" i="11"/>
  <c r="Q172" i="11" s="1"/>
  <c r="P176" i="11"/>
  <c r="Q176" i="11" s="1"/>
  <c r="P180" i="11"/>
  <c r="Q180" i="11" s="1"/>
  <c r="AF183" i="11"/>
  <c r="BH183" i="11" s="1"/>
  <c r="AF184" i="11"/>
  <c r="BH184" i="11" s="1"/>
  <c r="AF185" i="11"/>
  <c r="BH185" i="11" s="1"/>
  <c r="Q186" i="11"/>
  <c r="U188" i="11"/>
  <c r="T188" i="11"/>
  <c r="P188" i="11"/>
  <c r="Q188" i="11" s="1"/>
  <c r="P189" i="11"/>
  <c r="Q189" i="11" s="1"/>
  <c r="T190" i="11"/>
  <c r="AA193" i="11"/>
  <c r="U203" i="11"/>
  <c r="AE204" i="11"/>
  <c r="BE204" i="11" s="1"/>
  <c r="I204" i="11"/>
  <c r="BG204" i="11" s="1"/>
  <c r="U204" i="11"/>
  <c r="T204" i="11"/>
  <c r="P204" i="11"/>
  <c r="Q204" i="11" s="1"/>
  <c r="AF204" i="11"/>
  <c r="BH204" i="11" s="1"/>
  <c r="AE205" i="11"/>
  <c r="BE205" i="11" s="1"/>
  <c r="AE206" i="11"/>
  <c r="BE206" i="11" s="1"/>
  <c r="I206" i="11"/>
  <c r="BG206" i="11" s="1"/>
  <c r="U206" i="11"/>
  <c r="T206" i="11"/>
  <c r="P206" i="11"/>
  <c r="Q206" i="11" s="1"/>
  <c r="AF206" i="11"/>
  <c r="BH206" i="11" s="1"/>
  <c r="P207" i="11"/>
  <c r="Q207" i="11" s="1"/>
  <c r="T208" i="11"/>
  <c r="AA211" i="11"/>
  <c r="U221" i="11"/>
  <c r="AE222" i="11"/>
  <c r="BE222" i="11" s="1"/>
  <c r="I222" i="11"/>
  <c r="BG222" i="11" s="1"/>
  <c r="U222" i="11"/>
  <c r="T222" i="11"/>
  <c r="P222" i="11"/>
  <c r="Q222" i="11" s="1"/>
  <c r="AF222" i="11"/>
  <c r="BH222" i="11" s="1"/>
  <c r="P223" i="11"/>
  <c r="Q223" i="11" s="1"/>
  <c r="T224" i="11"/>
  <c r="AE256" i="11"/>
  <c r="BE256" i="11" s="1"/>
  <c r="U256" i="11"/>
  <c r="T256" i="11"/>
  <c r="P256" i="11"/>
  <c r="Q256" i="11" s="1"/>
  <c r="I257" i="11"/>
  <c r="BG257" i="11" s="1"/>
  <c r="U257" i="11"/>
  <c r="T257" i="11"/>
  <c r="P257" i="11"/>
  <c r="Q257" i="11" s="1"/>
  <c r="AF306" i="11"/>
  <c r="BH306" i="11" s="1"/>
  <c r="U315" i="11"/>
  <c r="T315" i="11"/>
  <c r="P315" i="11"/>
  <c r="Q315" i="11" s="1"/>
  <c r="I315" i="11"/>
  <c r="BG315" i="11" s="1"/>
  <c r="AE315" i="11"/>
  <c r="BE315" i="11" s="1"/>
  <c r="U189" i="11"/>
  <c r="I190" i="11"/>
  <c r="BG190" i="11" s="1"/>
  <c r="U193" i="11"/>
  <c r="I194" i="11"/>
  <c r="BG194" i="11" s="1"/>
  <c r="U197" i="11"/>
  <c r="I198" i="11"/>
  <c r="BG198" i="11" s="1"/>
  <c r="U201" i="11"/>
  <c r="I202" i="11"/>
  <c r="U207" i="11"/>
  <c r="I208" i="11"/>
  <c r="BG208" i="11" s="1"/>
  <c r="U211" i="11"/>
  <c r="I212" i="11"/>
  <c r="BG212" i="11" s="1"/>
  <c r="U215" i="11"/>
  <c r="I216" i="11"/>
  <c r="BG216" i="11" s="1"/>
  <c r="U219" i="11"/>
  <c r="I220" i="11"/>
  <c r="BG220" i="11" s="1"/>
  <c r="U223" i="11"/>
  <c r="I224" i="11"/>
  <c r="BG224" i="11" s="1"/>
  <c r="I230" i="11"/>
  <c r="BG230" i="11" s="1"/>
  <c r="AA231" i="11"/>
  <c r="T232" i="11"/>
  <c r="P232" i="11"/>
  <c r="Q232" i="11" s="1"/>
  <c r="AE232" i="11"/>
  <c r="BE232" i="11" s="1"/>
  <c r="I232" i="11"/>
  <c r="BG232" i="11" s="1"/>
  <c r="I233" i="11"/>
  <c r="BG233" i="11" s="1"/>
  <c r="T233" i="11"/>
  <c r="I238" i="11"/>
  <c r="BG238" i="11" s="1"/>
  <c r="T241" i="11"/>
  <c r="AA246" i="11"/>
  <c r="I248" i="11"/>
  <c r="BG248" i="11" s="1"/>
  <c r="T251" i="11"/>
  <c r="I256" i="11"/>
  <c r="BG256" i="11" s="1"/>
  <c r="T259" i="11"/>
  <c r="I264" i="11"/>
  <c r="BG264" i="11" s="1"/>
  <c r="T267" i="11"/>
  <c r="I274" i="11"/>
  <c r="BG274" i="11" s="1"/>
  <c r="T277" i="11"/>
  <c r="AE295" i="11"/>
  <c r="BE295" i="11" s="1"/>
  <c r="I295" i="11"/>
  <c r="BG295" i="11" s="1"/>
  <c r="U295" i="11"/>
  <c r="T295" i="11"/>
  <c r="P295" i="11"/>
  <c r="Q295" i="11" s="1"/>
  <c r="I296" i="11"/>
  <c r="BG296" i="11" s="1"/>
  <c r="T296" i="11"/>
  <c r="P296" i="11"/>
  <c r="Q296" i="11" s="1"/>
  <c r="P187" i="11"/>
  <c r="Q187" i="11" s="1"/>
  <c r="P191" i="11"/>
  <c r="Q191" i="11" s="1"/>
  <c r="P195" i="11"/>
  <c r="Q195" i="11" s="1"/>
  <c r="P199" i="11"/>
  <c r="Q199" i="11" s="1"/>
  <c r="P203" i="11"/>
  <c r="Q203" i="11" s="1"/>
  <c r="P209" i="11"/>
  <c r="Q209" i="11" s="1"/>
  <c r="P213" i="11"/>
  <c r="Q213" i="11" s="1"/>
  <c r="P217" i="11"/>
  <c r="Q217" i="11" s="1"/>
  <c r="P221" i="11"/>
  <c r="Q221" i="11" s="1"/>
  <c r="P225" i="11"/>
  <c r="Q225" i="11" s="1"/>
  <c r="AA227" i="11"/>
  <c r="U231" i="11"/>
  <c r="P231" i="11"/>
  <c r="Q231" i="11" s="1"/>
  <c r="U233" i="11"/>
  <c r="AE234" i="11"/>
  <c r="BE234" i="11" s="1"/>
  <c r="U234" i="11"/>
  <c r="T234" i="11"/>
  <c r="P234" i="11"/>
  <c r="Q234" i="11" s="1"/>
  <c r="I235" i="11"/>
  <c r="U235" i="11"/>
  <c r="P235" i="11"/>
  <c r="Q235" i="11" s="1"/>
  <c r="T236" i="11"/>
  <c r="AA236" i="11"/>
  <c r="AA239" i="11"/>
  <c r="AE242" i="11"/>
  <c r="BE242" i="11" s="1"/>
  <c r="U242" i="11"/>
  <c r="T242" i="11"/>
  <c r="P242" i="11"/>
  <c r="Q242" i="11" s="1"/>
  <c r="I243" i="11"/>
  <c r="BG243" i="11" s="1"/>
  <c r="U243" i="11"/>
  <c r="P243" i="11"/>
  <c r="Q243" i="11" s="1"/>
  <c r="T244" i="11"/>
  <c r="AA244" i="11"/>
  <c r="AA249" i="11"/>
  <c r="AE252" i="11"/>
  <c r="BE252" i="11" s="1"/>
  <c r="U252" i="11"/>
  <c r="T252" i="11"/>
  <c r="P252" i="11"/>
  <c r="Q252" i="11" s="1"/>
  <c r="I253" i="11"/>
  <c r="BG253" i="11" s="1"/>
  <c r="U253" i="11"/>
  <c r="P253" i="11"/>
  <c r="Q253" i="11" s="1"/>
  <c r="T254" i="11"/>
  <c r="AA254" i="11"/>
  <c r="AA257" i="11"/>
  <c r="AE260" i="11"/>
  <c r="BE260" i="11" s="1"/>
  <c r="U260" i="11"/>
  <c r="T260" i="11"/>
  <c r="P260" i="11"/>
  <c r="Q260" i="11" s="1"/>
  <c r="I261" i="11"/>
  <c r="BG261" i="11" s="1"/>
  <c r="U261" i="11"/>
  <c r="P261" i="11"/>
  <c r="Q261" i="11" s="1"/>
  <c r="T262" i="11"/>
  <c r="AA262" i="11"/>
  <c r="AA265" i="11"/>
  <c r="AE268" i="11"/>
  <c r="BE268" i="11" s="1"/>
  <c r="U268" i="11"/>
  <c r="T268" i="11"/>
  <c r="P268" i="11"/>
  <c r="Q268" i="11" s="1"/>
  <c r="I269" i="11"/>
  <c r="BG269" i="11" s="1"/>
  <c r="U269" i="11"/>
  <c r="P269" i="11"/>
  <c r="Q269" i="11" s="1"/>
  <c r="T270" i="11"/>
  <c r="AA270" i="11"/>
  <c r="T272" i="11"/>
  <c r="AA272" i="11"/>
  <c r="U273" i="11"/>
  <c r="AA275" i="11"/>
  <c r="AE278" i="11"/>
  <c r="BE278" i="11" s="1"/>
  <c r="U278" i="11"/>
  <c r="T278" i="11"/>
  <c r="P278" i="11"/>
  <c r="Q278" i="11" s="1"/>
  <c r="I279" i="11"/>
  <c r="U279" i="11"/>
  <c r="P279" i="11"/>
  <c r="Q279" i="11" s="1"/>
  <c r="T280" i="11"/>
  <c r="AA280" i="11"/>
  <c r="U281" i="11"/>
  <c r="P302" i="11"/>
  <c r="Q302" i="11" s="1"/>
  <c r="P190" i="11"/>
  <c r="Q190" i="11" s="1"/>
  <c r="P194" i="11"/>
  <c r="Q194" i="11" s="1"/>
  <c r="P198" i="11"/>
  <c r="Q198" i="11" s="1"/>
  <c r="P202" i="11"/>
  <c r="Q202" i="11" s="1"/>
  <c r="P208" i="11"/>
  <c r="Q208" i="11" s="1"/>
  <c r="P212" i="11"/>
  <c r="Q212" i="11" s="1"/>
  <c r="P216" i="11"/>
  <c r="Q216" i="11" s="1"/>
  <c r="P220" i="11"/>
  <c r="Q220" i="11" s="1"/>
  <c r="P224" i="11"/>
  <c r="Q224" i="11" s="1"/>
  <c r="T228" i="11"/>
  <c r="P228" i="11"/>
  <c r="Q228" i="11" s="1"/>
  <c r="U228" i="11"/>
  <c r="AE228" i="11"/>
  <c r="BE228" i="11" s="1"/>
  <c r="I285" i="11"/>
  <c r="BG285" i="11" s="1"/>
  <c r="U285" i="11"/>
  <c r="T285" i="11"/>
  <c r="P285" i="11"/>
  <c r="Q285" i="11" s="1"/>
  <c r="U304" i="11"/>
  <c r="I304" i="11"/>
  <c r="BG304" i="11" s="1"/>
  <c r="I236" i="11"/>
  <c r="AE236" i="11"/>
  <c r="BE236" i="11" s="1"/>
  <c r="I240" i="11"/>
  <c r="BG240" i="11" s="1"/>
  <c r="AE240" i="11"/>
  <c r="BE240" i="11" s="1"/>
  <c r="I244" i="11"/>
  <c r="BG244" i="11" s="1"/>
  <c r="AE244" i="11"/>
  <c r="BE244" i="11" s="1"/>
  <c r="I250" i="11"/>
  <c r="BG250" i="11" s="1"/>
  <c r="AE250" i="11"/>
  <c r="BE250" i="11" s="1"/>
  <c r="I254" i="11"/>
  <c r="BG254" i="11" s="1"/>
  <c r="AE254" i="11"/>
  <c r="BE254" i="11" s="1"/>
  <c r="I258" i="11"/>
  <c r="BG258" i="11" s="1"/>
  <c r="AE258" i="11"/>
  <c r="BE258" i="11" s="1"/>
  <c r="I262" i="11"/>
  <c r="BG262" i="11" s="1"/>
  <c r="AE262" i="11"/>
  <c r="BE262" i="11" s="1"/>
  <c r="I266" i="11"/>
  <c r="BG266" i="11" s="1"/>
  <c r="AE266" i="11"/>
  <c r="BE266" i="11" s="1"/>
  <c r="I270" i="11"/>
  <c r="BG270" i="11" s="1"/>
  <c r="AE270" i="11"/>
  <c r="BE270" i="11" s="1"/>
  <c r="I272" i="11"/>
  <c r="BG272" i="11" s="1"/>
  <c r="AE272" i="11"/>
  <c r="BE272" i="11" s="1"/>
  <c r="I276" i="11"/>
  <c r="BG276" i="11" s="1"/>
  <c r="AE276" i="11"/>
  <c r="BE276" i="11" s="1"/>
  <c r="I280" i="11"/>
  <c r="BG280" i="11" s="1"/>
  <c r="AE280" i="11"/>
  <c r="BE280" i="11" s="1"/>
  <c r="T286" i="11"/>
  <c r="AA286" i="11"/>
  <c r="T290" i="11"/>
  <c r="AA293" i="11"/>
  <c r="AE299" i="11"/>
  <c r="BE299" i="11" s="1"/>
  <c r="I299" i="11"/>
  <c r="BG299" i="11" s="1"/>
  <c r="U299" i="11"/>
  <c r="T299" i="11"/>
  <c r="P299" i="11"/>
  <c r="Q299" i="11" s="1"/>
  <c r="P300" i="11"/>
  <c r="Q300" i="11" s="1"/>
  <c r="T301" i="11"/>
  <c r="U309" i="11"/>
  <c r="T309" i="11"/>
  <c r="P309" i="11"/>
  <c r="Q309" i="11" s="1"/>
  <c r="I309" i="11"/>
  <c r="BG309" i="11" s="1"/>
  <c r="AE309" i="11"/>
  <c r="BE309" i="11" s="1"/>
  <c r="T310" i="11"/>
  <c r="P316" i="11"/>
  <c r="Q316" i="11" s="1"/>
  <c r="U318" i="11"/>
  <c r="I318" i="11"/>
  <c r="BG318" i="11" s="1"/>
  <c r="P237" i="11"/>
  <c r="Q237" i="11" s="1"/>
  <c r="P241" i="11"/>
  <c r="Q241" i="11" s="1"/>
  <c r="P245" i="11"/>
  <c r="Q245" i="11" s="1"/>
  <c r="P247" i="11"/>
  <c r="Q247" i="11" s="1"/>
  <c r="P251" i="11"/>
  <c r="Q251" i="11" s="1"/>
  <c r="P255" i="11"/>
  <c r="Q255" i="11" s="1"/>
  <c r="P259" i="11"/>
  <c r="Q259" i="11" s="1"/>
  <c r="P263" i="11"/>
  <c r="Q263" i="11" s="1"/>
  <c r="P267" i="11"/>
  <c r="Q267" i="11" s="1"/>
  <c r="P273" i="11"/>
  <c r="Q273" i="11" s="1"/>
  <c r="P277" i="11"/>
  <c r="Q277" i="11" s="1"/>
  <c r="P281" i="11"/>
  <c r="Q281" i="11" s="1"/>
  <c r="AE284" i="11"/>
  <c r="BE284" i="11" s="1"/>
  <c r="U284" i="11"/>
  <c r="AE287" i="11"/>
  <c r="BE287" i="11" s="1"/>
  <c r="I287" i="11"/>
  <c r="BG287" i="11" s="1"/>
  <c r="U287" i="11"/>
  <c r="T287" i="11"/>
  <c r="P287" i="11"/>
  <c r="Q287" i="11" s="1"/>
  <c r="P288" i="11"/>
  <c r="Q288" i="11" s="1"/>
  <c r="T294" i="11"/>
  <c r="AA297" i="11"/>
  <c r="P310" i="11"/>
  <c r="Q310" i="11" s="1"/>
  <c r="P236" i="11"/>
  <c r="Q236" i="11" s="1"/>
  <c r="P240" i="11"/>
  <c r="Q240" i="11" s="1"/>
  <c r="P244" i="11"/>
  <c r="Q244" i="11" s="1"/>
  <c r="P250" i="11"/>
  <c r="Q250" i="11" s="1"/>
  <c r="P254" i="11"/>
  <c r="Q254" i="11" s="1"/>
  <c r="P258" i="11"/>
  <c r="Q258" i="11" s="1"/>
  <c r="P262" i="11"/>
  <c r="Q262" i="11" s="1"/>
  <c r="P266" i="11"/>
  <c r="Q266" i="11" s="1"/>
  <c r="P270" i="11"/>
  <c r="Q270" i="11" s="1"/>
  <c r="P272" i="11"/>
  <c r="Q272" i="11" s="1"/>
  <c r="P276" i="11"/>
  <c r="Q276" i="11" s="1"/>
  <c r="P280" i="11"/>
  <c r="Q280" i="11" s="1"/>
  <c r="T282" i="11"/>
  <c r="AA282" i="11"/>
  <c r="U283" i="11"/>
  <c r="T283" i="11"/>
  <c r="P283" i="11"/>
  <c r="Q283" i="11" s="1"/>
  <c r="I284" i="11"/>
  <c r="BG284" i="11" s="1"/>
  <c r="P284" i="11"/>
  <c r="Q284" i="11" s="1"/>
  <c r="T288" i="11"/>
  <c r="U290" i="11"/>
  <c r="AE291" i="11"/>
  <c r="BE291" i="11" s="1"/>
  <c r="I291" i="11"/>
  <c r="BG291" i="11" s="1"/>
  <c r="U291" i="11"/>
  <c r="T291" i="11"/>
  <c r="P291" i="11"/>
  <c r="Q291" i="11" s="1"/>
  <c r="P292" i="11"/>
  <c r="Q292" i="11" s="1"/>
  <c r="T293" i="11"/>
  <c r="AA296" i="11"/>
  <c r="U307" i="11"/>
  <c r="U288" i="11"/>
  <c r="I289" i="11"/>
  <c r="BG289" i="11" s="1"/>
  <c r="U292" i="11"/>
  <c r="I293" i="11"/>
  <c r="BG293" i="11" s="1"/>
  <c r="U296" i="11"/>
  <c r="I297" i="11"/>
  <c r="BG297" i="11" s="1"/>
  <c r="U300" i="11"/>
  <c r="I301" i="11"/>
  <c r="BG301" i="11" s="1"/>
  <c r="I303" i="11"/>
  <c r="BG303" i="11" s="1"/>
  <c r="P303" i="11"/>
  <c r="Q303" i="11" s="1"/>
  <c r="AE306" i="11"/>
  <c r="BE306" i="11" s="1"/>
  <c r="U306" i="11"/>
  <c r="T307" i="11"/>
  <c r="T308" i="11"/>
  <c r="AE312" i="11"/>
  <c r="BE312" i="11" s="1"/>
  <c r="U312" i="11"/>
  <c r="T313" i="11"/>
  <c r="T314" i="11"/>
  <c r="P317" i="11"/>
  <c r="Q317" i="11" s="1"/>
  <c r="AA321" i="11"/>
  <c r="U323" i="11"/>
  <c r="P282" i="11"/>
  <c r="Q282" i="11" s="1"/>
  <c r="P286" i="11"/>
  <c r="Q286" i="11" s="1"/>
  <c r="P290" i="11"/>
  <c r="Q290" i="11" s="1"/>
  <c r="P294" i="11"/>
  <c r="Q294" i="11" s="1"/>
  <c r="P298" i="11"/>
  <c r="Q298" i="11" s="1"/>
  <c r="AA303" i="11"/>
  <c r="U305" i="11"/>
  <c r="T305" i="11"/>
  <c r="P305" i="11"/>
  <c r="Q305" i="11" s="1"/>
  <c r="P306" i="11"/>
  <c r="Q306" i="11" s="1"/>
  <c r="I312" i="11"/>
  <c r="BG312" i="11" s="1"/>
  <c r="P312" i="11"/>
  <c r="Q312" i="11" s="1"/>
  <c r="AA317" i="11"/>
  <c r="U319" i="11"/>
  <c r="T319" i="11"/>
  <c r="P319" i="11"/>
  <c r="Q319" i="11" s="1"/>
  <c r="P320" i="11"/>
  <c r="Q320" i="11" s="1"/>
  <c r="T321" i="11"/>
  <c r="T327" i="11"/>
  <c r="P327" i="11"/>
  <c r="Q327" i="11" s="1"/>
  <c r="AE327" i="11"/>
  <c r="BE327" i="11" s="1"/>
  <c r="I327" i="11"/>
  <c r="BG327" i="11" s="1"/>
  <c r="U327" i="11"/>
  <c r="P289" i="11"/>
  <c r="Q289" i="11" s="1"/>
  <c r="P293" i="11"/>
  <c r="Q293" i="11" s="1"/>
  <c r="P297" i="11"/>
  <c r="Q297" i="11" s="1"/>
  <c r="P301" i="11"/>
  <c r="Q301" i="11" s="1"/>
  <c r="U302" i="11"/>
  <c r="T302" i="11"/>
  <c r="AE302" i="11"/>
  <c r="BE302" i="11" s="1"/>
  <c r="T304" i="11"/>
  <c r="I307" i="11"/>
  <c r="BG307" i="11" s="1"/>
  <c r="P307" i="11"/>
  <c r="Q307" i="11" s="1"/>
  <c r="AE310" i="11"/>
  <c r="BE310" i="11" s="1"/>
  <c r="U310" i="11"/>
  <c r="I313" i="11"/>
  <c r="BG313" i="11" s="1"/>
  <c r="P313" i="11"/>
  <c r="Q313" i="11" s="1"/>
  <c r="AE316" i="11"/>
  <c r="BE316" i="11" s="1"/>
  <c r="U316" i="11"/>
  <c r="T318" i="11"/>
  <c r="T324" i="11"/>
  <c r="I324" i="11"/>
  <c r="BG324" i="11" s="1"/>
  <c r="P324" i="11"/>
  <c r="Q324" i="11" s="1"/>
  <c r="U320" i="11"/>
  <c r="I321" i="11"/>
  <c r="BG321" i="11" s="1"/>
  <c r="I322" i="11"/>
  <c r="BG322" i="11" s="1"/>
  <c r="T322" i="11"/>
  <c r="U326" i="11"/>
  <c r="P326" i="11"/>
  <c r="Q326" i="11" s="1"/>
  <c r="T329" i="11"/>
  <c r="P329" i="11"/>
  <c r="Q329" i="11" s="1"/>
  <c r="AE329" i="11"/>
  <c r="BE329" i="11" s="1"/>
  <c r="I329" i="11"/>
  <c r="BG329" i="11" s="1"/>
  <c r="AA329" i="11"/>
  <c r="U330" i="11"/>
  <c r="AA332" i="11"/>
  <c r="AE335" i="11"/>
  <c r="BE335" i="11" s="1"/>
  <c r="U335" i="11"/>
  <c r="T335" i="11"/>
  <c r="P335" i="11"/>
  <c r="Q335" i="11" s="1"/>
  <c r="I336" i="11"/>
  <c r="U336" i="11"/>
  <c r="P336" i="11"/>
  <c r="Q336" i="11" s="1"/>
  <c r="T337" i="11"/>
  <c r="AA337" i="11"/>
  <c r="U338" i="11"/>
  <c r="AA340" i="11"/>
  <c r="AE343" i="11"/>
  <c r="BE343" i="11" s="1"/>
  <c r="U343" i="11"/>
  <c r="T343" i="11"/>
  <c r="P343" i="11"/>
  <c r="Q343" i="11" s="1"/>
  <c r="I344" i="11"/>
  <c r="BG344" i="11" s="1"/>
  <c r="U344" i="11"/>
  <c r="P344" i="11"/>
  <c r="Q344" i="11" s="1"/>
  <c r="AA345" i="11"/>
  <c r="U346" i="11"/>
  <c r="AA347" i="11"/>
  <c r="P348" i="11"/>
  <c r="Q348" i="11" s="1"/>
  <c r="U351" i="11"/>
  <c r="P304" i="11"/>
  <c r="Q304" i="11" s="1"/>
  <c r="P308" i="11"/>
  <c r="Q308" i="11" s="1"/>
  <c r="P314" i="11"/>
  <c r="Q314" i="11" s="1"/>
  <c r="P318" i="11"/>
  <c r="Q318" i="11" s="1"/>
  <c r="U322" i="11"/>
  <c r="AA322" i="11"/>
  <c r="T323" i="11"/>
  <c r="P323" i="11"/>
  <c r="Q323" i="11" s="1"/>
  <c r="AE323" i="11"/>
  <c r="BE323" i="11" s="1"/>
  <c r="I323" i="11"/>
  <c r="BG323" i="11" s="1"/>
  <c r="T330" i="11"/>
  <c r="I335" i="11"/>
  <c r="BG335" i="11" s="1"/>
  <c r="T338" i="11"/>
  <c r="T346" i="11"/>
  <c r="I346" i="11"/>
  <c r="BG346" i="11" s="1"/>
  <c r="T347" i="11"/>
  <c r="P347" i="11"/>
  <c r="Q347" i="11" s="1"/>
  <c r="I347" i="11"/>
  <c r="BG347" i="11" s="1"/>
  <c r="AA348" i="11"/>
  <c r="C511" i="11"/>
  <c r="Q465" i="11"/>
  <c r="Q466" i="11" s="1"/>
  <c r="Q463" i="11"/>
  <c r="Q464" i="11" s="1"/>
  <c r="AK466" i="11"/>
  <c r="AK467" i="11" s="1"/>
  <c r="AK464" i="11"/>
  <c r="AK465" i="11" s="1"/>
  <c r="P321" i="11"/>
  <c r="Q321" i="11" s="1"/>
  <c r="U324" i="11"/>
  <c r="AE325" i="11"/>
  <c r="BE325" i="11" s="1"/>
  <c r="T325" i="11"/>
  <c r="P325" i="11"/>
  <c r="Q325" i="11" s="1"/>
  <c r="AE331" i="11"/>
  <c r="BE331" i="11" s="1"/>
  <c r="U331" i="11"/>
  <c r="T331" i="11"/>
  <c r="P331" i="11"/>
  <c r="Q331" i="11" s="1"/>
  <c r="I332" i="11"/>
  <c r="BG332" i="11" s="1"/>
  <c r="U332" i="11"/>
  <c r="P332" i="11"/>
  <c r="Q332" i="11" s="1"/>
  <c r="AE339" i="11"/>
  <c r="BE339" i="11" s="1"/>
  <c r="U339" i="11"/>
  <c r="T339" i="11"/>
  <c r="P339" i="11"/>
  <c r="Q339" i="11" s="1"/>
  <c r="I340" i="11"/>
  <c r="BG340" i="11" s="1"/>
  <c r="U340" i="11"/>
  <c r="P340" i="11"/>
  <c r="Q340" i="11" s="1"/>
  <c r="T352" i="11"/>
  <c r="I352" i="11"/>
  <c r="P352" i="11"/>
  <c r="Q352" i="11" s="1"/>
  <c r="I333" i="11"/>
  <c r="BG333" i="11" s="1"/>
  <c r="AE333" i="11"/>
  <c r="BE333" i="11" s="1"/>
  <c r="I337" i="11"/>
  <c r="BG337" i="11" s="1"/>
  <c r="AE337" i="11"/>
  <c r="BE337" i="11" s="1"/>
  <c r="I341" i="11"/>
  <c r="BG341" i="11" s="1"/>
  <c r="AE341" i="11"/>
  <c r="BE341" i="11" s="1"/>
  <c r="I345" i="11"/>
  <c r="BG345" i="11" s="1"/>
  <c r="U348" i="11"/>
  <c r="T348" i="11"/>
  <c r="AE348" i="11"/>
  <c r="BE348" i="11" s="1"/>
  <c r="I357" i="11"/>
  <c r="I396" i="11"/>
  <c r="AL491" i="11"/>
  <c r="AL473" i="11"/>
  <c r="R471" i="11"/>
  <c r="AL499" i="11"/>
  <c r="AL483" i="11"/>
  <c r="R480" i="11"/>
  <c r="AF491" i="11"/>
  <c r="AL453" i="11"/>
  <c r="P330" i="11"/>
  <c r="Q330" i="11" s="1"/>
  <c r="P334" i="11"/>
  <c r="Q334" i="11" s="1"/>
  <c r="P338" i="11"/>
  <c r="Q338" i="11" s="1"/>
  <c r="P342" i="11"/>
  <c r="Q342" i="11" s="1"/>
  <c r="T349" i="11"/>
  <c r="AA350" i="11"/>
  <c r="AE351" i="11"/>
  <c r="BE351" i="11" s="1"/>
  <c r="I351" i="11"/>
  <c r="T351" i="11"/>
  <c r="P351" i="11"/>
  <c r="Q351" i="11" s="1"/>
  <c r="AA353" i="11"/>
  <c r="C509" i="11"/>
  <c r="J468" i="11"/>
  <c r="J469" i="11" s="1"/>
  <c r="J470" i="11"/>
  <c r="J471" i="11" s="1"/>
  <c r="P333" i="11"/>
  <c r="Q333" i="11" s="1"/>
  <c r="P337" i="11"/>
  <c r="Q337" i="11" s="1"/>
  <c r="P341" i="11"/>
  <c r="Q341" i="11" s="1"/>
  <c r="P345" i="11"/>
  <c r="Q345" i="11" s="1"/>
  <c r="T345" i="11"/>
  <c r="P346" i="11"/>
  <c r="Q346" i="11" s="1"/>
  <c r="I349" i="11"/>
  <c r="BG349" i="11" s="1"/>
  <c r="P349" i="11"/>
  <c r="Q349" i="11" s="1"/>
  <c r="U349" i="11"/>
  <c r="U350" i="11"/>
  <c r="P350" i="11"/>
  <c r="Q350" i="11" s="1"/>
  <c r="U352" i="11"/>
  <c r="AA352" i="11"/>
  <c r="U353" i="11"/>
  <c r="P353" i="11"/>
  <c r="Q353" i="11" s="1"/>
  <c r="R353" i="11" s="1"/>
  <c r="I360" i="11"/>
  <c r="I394" i="11"/>
  <c r="I395" i="11"/>
  <c r="I398" i="11"/>
  <c r="I399" i="11"/>
  <c r="F524" i="11"/>
  <c r="G533" i="11" s="1"/>
  <c r="C513" i="11"/>
  <c r="X458" i="11"/>
  <c r="X459" i="11" s="1"/>
  <c r="X456" i="11"/>
  <c r="X457" i="11" s="1"/>
  <c r="AF462" i="11"/>
  <c r="Q473" i="11"/>
  <c r="Q474" i="11" s="1"/>
  <c r="Q475" i="11"/>
  <c r="Q476" i="11" s="1"/>
  <c r="AK455" i="11"/>
  <c r="AK456" i="11" s="1"/>
  <c r="Y465" i="11"/>
  <c r="Y475" i="11"/>
  <c r="F507" i="11"/>
  <c r="M507" i="11" s="1"/>
  <c r="Z470" i="11"/>
  <c r="S489" i="11"/>
  <c r="Z490" i="11"/>
  <c r="M476" i="11"/>
  <c r="L486" i="11"/>
  <c r="G524" i="11"/>
  <c r="H533" i="11" s="1"/>
  <c r="X466" i="11"/>
  <c r="X467" i="11" s="1"/>
  <c r="X464" i="11"/>
  <c r="X465" i="11" s="1"/>
  <c r="AK495" i="11"/>
  <c r="AK496" i="11" s="1"/>
  <c r="AK493" i="11"/>
  <c r="AK494" i="11" s="1"/>
  <c r="C534" i="11"/>
  <c r="C525" i="11"/>
  <c r="Z482" i="11"/>
  <c r="AA482" i="11"/>
  <c r="X484" i="11"/>
  <c r="X485" i="11" s="1"/>
  <c r="M486" i="11"/>
  <c r="D507" i="11"/>
  <c r="K507" i="11" s="1"/>
  <c r="X490" i="11"/>
  <c r="H507" i="11"/>
  <c r="O507" i="11" s="1"/>
  <c r="AB490" i="11"/>
  <c r="N476" i="11"/>
  <c r="D478" i="11"/>
  <c r="D479" i="11" s="1"/>
  <c r="K478" i="11"/>
  <c r="K479" i="11" s="1"/>
  <c r="X482" i="11"/>
  <c r="AB482" i="11"/>
  <c r="J486" i="11"/>
  <c r="N486" i="11"/>
  <c r="AA490" i="11"/>
  <c r="Q491" i="11"/>
  <c r="Q492" i="11" s="1"/>
  <c r="C512" i="11"/>
  <c r="X472" i="11"/>
  <c r="X473" i="11" s="1"/>
  <c r="R489" i="11"/>
  <c r="Y498" i="11"/>
  <c r="K476" i="11"/>
  <c r="Y482" i="11"/>
  <c r="K486" i="11"/>
  <c r="X486" i="11"/>
  <c r="X487" i="11" s="1"/>
  <c r="T489" i="11"/>
  <c r="AE493" i="11"/>
  <c r="AE494" i="11" s="1"/>
  <c r="AE495" i="11"/>
  <c r="AE496" i="11" s="1"/>
  <c r="X498" i="11"/>
  <c r="G507" i="11"/>
  <c r="N507" i="11" s="1"/>
  <c r="C515" i="11"/>
  <c r="X492" i="11"/>
  <c r="X493" i="11" s="1"/>
  <c r="X502" i="11"/>
  <c r="X503" i="11" s="1"/>
  <c r="J524" i="11"/>
  <c r="K533" i="11" s="1"/>
  <c r="C517" i="11"/>
  <c r="AK501" i="11"/>
  <c r="AK502" i="11" s="1"/>
  <c r="I69" i="9" l="1"/>
  <c r="I69" i="10"/>
  <c r="I69" i="11"/>
  <c r="I69" i="3"/>
  <c r="R349" i="11"/>
  <c r="S349" i="11" s="1"/>
  <c r="AZ349" i="11" s="1"/>
  <c r="R345" i="11"/>
  <c r="S345" i="11" s="1"/>
  <c r="AZ345" i="11" s="1"/>
  <c r="R338" i="11"/>
  <c r="S338" i="11" s="1"/>
  <c r="AZ338" i="11" s="1"/>
  <c r="R331" i="11"/>
  <c r="S331" i="11" s="1"/>
  <c r="AZ331" i="11"/>
  <c r="R325" i="11"/>
  <c r="S325" i="11" s="1"/>
  <c r="AZ325" i="11"/>
  <c r="R321" i="11"/>
  <c r="S321" i="11" s="1"/>
  <c r="AZ321" i="11" s="1"/>
  <c r="R347" i="11"/>
  <c r="S347" i="11" s="1"/>
  <c r="AZ347" i="11" s="1"/>
  <c r="R304" i="11"/>
  <c r="S304" i="11" s="1"/>
  <c r="AZ304" i="11" s="1"/>
  <c r="R335" i="11"/>
  <c r="S335" i="11" s="1"/>
  <c r="AZ335" i="11"/>
  <c r="R289" i="11"/>
  <c r="S289" i="11" s="1"/>
  <c r="AZ289" i="11" s="1"/>
  <c r="R327" i="11"/>
  <c r="S327" i="11" s="1"/>
  <c r="AZ327" i="11" s="1"/>
  <c r="R319" i="11"/>
  <c r="S319" i="11" s="1"/>
  <c r="AZ319" i="11" s="1"/>
  <c r="R312" i="11"/>
  <c r="S312" i="11" s="1"/>
  <c r="AZ312" i="11"/>
  <c r="R294" i="11"/>
  <c r="S294" i="11" s="1"/>
  <c r="AZ294" i="11" s="1"/>
  <c r="R292" i="11"/>
  <c r="S292" i="11" s="1"/>
  <c r="AZ292" i="11"/>
  <c r="R284" i="11"/>
  <c r="S284" i="11" s="1"/>
  <c r="AZ284" i="11"/>
  <c r="R276" i="11"/>
  <c r="S276" i="11" s="1"/>
  <c r="AZ276" i="11" s="1"/>
  <c r="R262" i="11"/>
  <c r="S262" i="11" s="1"/>
  <c r="AZ262" i="11" s="1"/>
  <c r="R244" i="11"/>
  <c r="S244" i="11" s="1"/>
  <c r="AZ244" i="11" s="1"/>
  <c r="R273" i="11"/>
  <c r="S273" i="11" s="1"/>
  <c r="AZ273" i="11" s="1"/>
  <c r="R255" i="11"/>
  <c r="S255" i="11" s="1"/>
  <c r="AZ255" i="11" s="1"/>
  <c r="R241" i="11"/>
  <c r="S241" i="11" s="1"/>
  <c r="AZ241" i="11" s="1"/>
  <c r="R316" i="11"/>
  <c r="S316" i="11" s="1"/>
  <c r="AZ316" i="11"/>
  <c r="R309" i="11"/>
  <c r="S309" i="11" s="1"/>
  <c r="AZ309" i="11" s="1"/>
  <c r="R300" i="11"/>
  <c r="S300" i="11" s="1"/>
  <c r="AZ300" i="11"/>
  <c r="R285" i="11"/>
  <c r="S285" i="11" s="1"/>
  <c r="AZ285" i="11"/>
  <c r="R224" i="11"/>
  <c r="S224" i="11" s="1"/>
  <c r="AZ224" i="11" s="1"/>
  <c r="R208" i="11"/>
  <c r="S208" i="11" s="1"/>
  <c r="AZ208" i="11" s="1"/>
  <c r="R190" i="11"/>
  <c r="S190" i="11" s="1"/>
  <c r="AZ190" i="11" s="1"/>
  <c r="R278" i="11"/>
  <c r="S278" i="11" s="1"/>
  <c r="AZ278" i="11"/>
  <c r="R261" i="11"/>
  <c r="S261" i="11" s="1"/>
  <c r="AZ261" i="11"/>
  <c r="R243" i="11"/>
  <c r="S243" i="11" s="1"/>
  <c r="AZ243" i="11"/>
  <c r="R213" i="11"/>
  <c r="S213" i="11" s="1"/>
  <c r="AZ213" i="11" s="1"/>
  <c r="R195" i="11"/>
  <c r="S195" i="11" s="1"/>
  <c r="AZ195" i="11" s="1"/>
  <c r="R219" i="11"/>
  <c r="S219" i="11" s="1"/>
  <c r="AZ219" i="11"/>
  <c r="R346" i="10"/>
  <c r="S346" i="10" s="1"/>
  <c r="AZ346" i="10" s="1"/>
  <c r="R330" i="10"/>
  <c r="S330" i="10" s="1"/>
  <c r="AZ330" i="10" s="1"/>
  <c r="R312" i="10"/>
  <c r="S312" i="10" s="1"/>
  <c r="AZ312" i="10" s="1"/>
  <c r="R298" i="10"/>
  <c r="S298" i="10" s="1"/>
  <c r="AZ298" i="10" s="1"/>
  <c r="R333" i="10"/>
  <c r="S333" i="10" s="1"/>
  <c r="AZ333" i="10"/>
  <c r="R313" i="10"/>
  <c r="S313" i="10" s="1"/>
  <c r="AZ313" i="10" s="1"/>
  <c r="R326" i="10"/>
  <c r="S326" i="10" s="1"/>
  <c r="AZ326" i="10"/>
  <c r="R267" i="10"/>
  <c r="S267" i="10" s="1"/>
  <c r="AZ267" i="10" s="1"/>
  <c r="R251" i="10"/>
  <c r="S251" i="10" s="1"/>
  <c r="AZ251" i="10" s="1"/>
  <c r="R317" i="10"/>
  <c r="S317" i="10" s="1"/>
  <c r="AZ317" i="10" s="1"/>
  <c r="R305" i="10"/>
  <c r="S305" i="10" s="1"/>
  <c r="AZ305" i="10"/>
  <c r="R299" i="10"/>
  <c r="S299" i="10" s="1"/>
  <c r="AZ299" i="10" s="1"/>
  <c r="R293" i="10"/>
  <c r="S293" i="10" s="1"/>
  <c r="AZ293" i="10"/>
  <c r="R287" i="10"/>
  <c r="S287" i="10" s="1"/>
  <c r="AZ287" i="10" s="1"/>
  <c r="R289" i="10"/>
  <c r="S289" i="10" s="1"/>
  <c r="AZ289" i="10"/>
  <c r="R344" i="9"/>
  <c r="S344" i="9" s="1"/>
  <c r="AZ344" i="9" s="1"/>
  <c r="R326" i="9"/>
  <c r="S326" i="9" s="1"/>
  <c r="AZ326" i="9" s="1"/>
  <c r="R308" i="9"/>
  <c r="S308" i="9" s="1"/>
  <c r="AZ308" i="9" s="1"/>
  <c r="R292" i="9"/>
  <c r="S292" i="9" s="1"/>
  <c r="AZ292" i="9" s="1"/>
  <c r="R282" i="10"/>
  <c r="S282" i="10" s="1"/>
  <c r="AZ282" i="10"/>
  <c r="R274" i="10"/>
  <c r="S274" i="10" s="1"/>
  <c r="AZ274" i="10"/>
  <c r="R264" i="10"/>
  <c r="S264" i="10" s="1"/>
  <c r="AZ264" i="10"/>
  <c r="R256" i="10"/>
  <c r="S256" i="10" s="1"/>
  <c r="AZ256" i="10"/>
  <c r="R248" i="10"/>
  <c r="S248" i="10" s="1"/>
  <c r="AZ248" i="10"/>
  <c r="R235" i="10"/>
  <c r="S235" i="10" s="1"/>
  <c r="AZ235" i="10" s="1"/>
  <c r="R219" i="10"/>
  <c r="S219" i="10" s="1"/>
  <c r="AZ219" i="10" s="1"/>
  <c r="R211" i="10"/>
  <c r="S211" i="10" s="1"/>
  <c r="AZ211" i="10" s="1"/>
  <c r="R345" i="9"/>
  <c r="S345" i="9" s="1"/>
  <c r="AZ345" i="9" s="1"/>
  <c r="R350" i="9"/>
  <c r="S350" i="9" s="1"/>
  <c r="AZ350" i="9"/>
  <c r="R334" i="9"/>
  <c r="S334" i="9" s="1"/>
  <c r="AZ334" i="9"/>
  <c r="R329" i="9"/>
  <c r="S329" i="9" s="1"/>
  <c r="AZ329" i="9" s="1"/>
  <c r="R343" i="9"/>
  <c r="S343" i="9" s="1"/>
  <c r="AZ343" i="9"/>
  <c r="R317" i="9"/>
  <c r="S317" i="9" s="1"/>
  <c r="AZ317" i="9"/>
  <c r="R316" i="9"/>
  <c r="S316" i="9" s="1"/>
  <c r="AZ316" i="9"/>
  <c r="R302" i="9"/>
  <c r="S302" i="9" s="1"/>
  <c r="AZ302" i="9"/>
  <c r="R282" i="9"/>
  <c r="S282" i="9" s="1"/>
  <c r="AZ282" i="9" s="1"/>
  <c r="R264" i="9"/>
  <c r="S264" i="9" s="1"/>
  <c r="AZ264" i="9" s="1"/>
  <c r="R248" i="9"/>
  <c r="S248" i="9" s="1"/>
  <c r="AZ248" i="9" s="1"/>
  <c r="R230" i="9"/>
  <c r="S230" i="9" s="1"/>
  <c r="AZ230" i="9" s="1"/>
  <c r="R212" i="9"/>
  <c r="S212" i="9" s="1"/>
  <c r="AZ212" i="9" s="1"/>
  <c r="R303" i="9"/>
  <c r="S303" i="9" s="1"/>
  <c r="AZ303" i="9"/>
  <c r="R299" i="9"/>
  <c r="S299" i="9" s="1"/>
  <c r="AZ299" i="9"/>
  <c r="AZ209" i="9"/>
  <c r="R209" i="9"/>
  <c r="S209" i="9" s="1"/>
  <c r="AZ199" i="9"/>
  <c r="R199" i="9"/>
  <c r="S199" i="9" s="1"/>
  <c r="R313" i="9"/>
  <c r="S313" i="9" s="1"/>
  <c r="AZ313" i="9" s="1"/>
  <c r="R276" i="9"/>
  <c r="S276" i="9" s="1"/>
  <c r="AZ276" i="9" s="1"/>
  <c r="R266" i="9"/>
  <c r="S266" i="9" s="1"/>
  <c r="AZ266" i="9" s="1"/>
  <c r="R262" i="9"/>
  <c r="S262" i="9" s="1"/>
  <c r="AZ262" i="9" s="1"/>
  <c r="R250" i="9"/>
  <c r="S250" i="9" s="1"/>
  <c r="AZ250" i="9" s="1"/>
  <c r="R232" i="9"/>
  <c r="S232" i="9" s="1"/>
  <c r="AZ232" i="9"/>
  <c r="R226" i="9"/>
  <c r="S226" i="9" s="1"/>
  <c r="AZ226" i="9"/>
  <c r="R222" i="9"/>
  <c r="S222" i="9" s="1"/>
  <c r="AZ222" i="9"/>
  <c r="R255" i="9"/>
  <c r="S255" i="9" s="1"/>
  <c r="AZ255" i="9"/>
  <c r="R245" i="9"/>
  <c r="S245" i="9" s="1"/>
  <c r="AZ245" i="9"/>
  <c r="R215" i="9"/>
  <c r="S215" i="9" s="1"/>
  <c r="AZ215" i="9"/>
  <c r="R174" i="9"/>
  <c r="S174" i="9" s="1"/>
  <c r="AZ174" i="9" s="1"/>
  <c r="R158" i="9"/>
  <c r="S158" i="9" s="1"/>
  <c r="AZ158" i="9" s="1"/>
  <c r="R343" i="8"/>
  <c r="S343" i="8" s="1"/>
  <c r="AZ343" i="8" s="1"/>
  <c r="R331" i="8"/>
  <c r="S331" i="8" s="1"/>
  <c r="AZ331" i="8" s="1"/>
  <c r="R313" i="8"/>
  <c r="S313" i="8" s="1"/>
  <c r="AZ313" i="8" s="1"/>
  <c r="R352" i="8"/>
  <c r="S352" i="8" s="1"/>
  <c r="AZ352" i="8" s="1"/>
  <c r="R326" i="8"/>
  <c r="S326" i="8" s="1"/>
  <c r="AZ326" i="8" s="1"/>
  <c r="R341" i="8"/>
  <c r="S341" i="8" s="1"/>
  <c r="AZ341" i="8"/>
  <c r="R333" i="8"/>
  <c r="S333" i="8" s="1"/>
  <c r="AZ333" i="8"/>
  <c r="R196" i="9"/>
  <c r="S196" i="9" s="1"/>
  <c r="AZ196" i="9" s="1"/>
  <c r="R346" i="8"/>
  <c r="S346" i="8" s="1"/>
  <c r="AZ346" i="8" s="1"/>
  <c r="R338" i="8"/>
  <c r="S338" i="8" s="1"/>
  <c r="AZ338" i="8" s="1"/>
  <c r="R334" i="8"/>
  <c r="S334" i="8" s="1"/>
  <c r="AZ334" i="8" s="1"/>
  <c r="R330" i="8"/>
  <c r="S330" i="8" s="1"/>
  <c r="AZ330" i="8" s="1"/>
  <c r="R323" i="8"/>
  <c r="S323" i="8" s="1"/>
  <c r="AZ323" i="8" s="1"/>
  <c r="AZ294" i="8"/>
  <c r="R294" i="8"/>
  <c r="S294" i="8" s="1"/>
  <c r="AZ290" i="8"/>
  <c r="R290" i="8"/>
  <c r="S290" i="8" s="1"/>
  <c r="AZ274" i="8"/>
  <c r="R274" i="8"/>
  <c r="S274" i="8" s="1"/>
  <c r="AZ268" i="8"/>
  <c r="R268" i="8"/>
  <c r="S268" i="8" s="1"/>
  <c r="AZ252" i="8"/>
  <c r="R252" i="8"/>
  <c r="S252" i="8" s="1"/>
  <c r="AZ242" i="8"/>
  <c r="R242" i="8"/>
  <c r="S242" i="8" s="1"/>
  <c r="AZ220" i="8"/>
  <c r="R220" i="8"/>
  <c r="S220" i="8" s="1"/>
  <c r="AZ198" i="8"/>
  <c r="R198" i="8"/>
  <c r="S198" i="8" s="1"/>
  <c r="AZ182" i="8"/>
  <c r="R182" i="8"/>
  <c r="S182" i="8" s="1"/>
  <c r="AZ166" i="8"/>
  <c r="R166" i="8"/>
  <c r="S166" i="8" s="1"/>
  <c r="AZ156" i="8"/>
  <c r="R156" i="8"/>
  <c r="S156" i="8" s="1"/>
  <c r="AZ351" i="7"/>
  <c r="R351" i="7"/>
  <c r="S351" i="7" s="1"/>
  <c r="R298" i="8"/>
  <c r="S298" i="8" s="1"/>
  <c r="AZ298" i="8" s="1"/>
  <c r="R320" i="8"/>
  <c r="S320" i="8" s="1"/>
  <c r="AZ320" i="8" s="1"/>
  <c r="R302" i="8"/>
  <c r="S302" i="8" s="1"/>
  <c r="AZ302" i="8" s="1"/>
  <c r="R292" i="8"/>
  <c r="S292" i="8" s="1"/>
  <c r="AZ292" i="8" s="1"/>
  <c r="R350" i="7"/>
  <c r="S350" i="7" s="1"/>
  <c r="AZ350" i="7" s="1"/>
  <c r="R343" i="7"/>
  <c r="S343" i="7" s="1"/>
  <c r="AZ343" i="7" s="1"/>
  <c r="AZ301" i="7"/>
  <c r="R301" i="7"/>
  <c r="S301" i="7" s="1"/>
  <c r="BC157" i="7"/>
  <c r="BD157" i="7" s="1"/>
  <c r="BA157" i="7"/>
  <c r="BB157" i="7" s="1"/>
  <c r="AZ350" i="6"/>
  <c r="R350" i="6"/>
  <c r="S350" i="6" s="1"/>
  <c r="AZ324" i="6"/>
  <c r="R324" i="6"/>
  <c r="S324" i="6" s="1"/>
  <c r="AZ312" i="6"/>
  <c r="R312" i="6"/>
  <c r="S312" i="6" s="1"/>
  <c r="R302" i="6"/>
  <c r="S302" i="6" s="1"/>
  <c r="AZ302" i="6" s="1"/>
  <c r="AZ294" i="6"/>
  <c r="R294" i="6"/>
  <c r="S294" i="6" s="1"/>
  <c r="R286" i="6"/>
  <c r="S286" i="6" s="1"/>
  <c r="AZ286" i="6" s="1"/>
  <c r="AZ268" i="6"/>
  <c r="R268" i="6"/>
  <c r="S268" i="6" s="1"/>
  <c r="R260" i="6"/>
  <c r="S260" i="6" s="1"/>
  <c r="AZ260" i="6" s="1"/>
  <c r="AZ230" i="6"/>
  <c r="R230" i="6"/>
  <c r="S230" i="6" s="1"/>
  <c r="R208" i="6"/>
  <c r="S208" i="6" s="1"/>
  <c r="AZ208" i="6" s="1"/>
  <c r="R190" i="6"/>
  <c r="S190" i="6" s="1"/>
  <c r="AZ190" i="6" s="1"/>
  <c r="R174" i="6"/>
  <c r="S174" i="6" s="1"/>
  <c r="AZ174" i="6" s="1"/>
  <c r="R158" i="6"/>
  <c r="S158" i="6" s="1"/>
  <c r="AZ158" i="6" s="1"/>
  <c r="R351" i="6"/>
  <c r="S351" i="6" s="1"/>
  <c r="AZ351" i="6" s="1"/>
  <c r="R335" i="6"/>
  <c r="S335" i="6" s="1"/>
  <c r="AZ335" i="6" s="1"/>
  <c r="R317" i="6"/>
  <c r="S317" i="6" s="1"/>
  <c r="AZ317" i="6" s="1"/>
  <c r="R313" i="6"/>
  <c r="S313" i="6" s="1"/>
  <c r="AZ313" i="6" s="1"/>
  <c r="R303" i="6"/>
  <c r="S303" i="6" s="1"/>
  <c r="AZ303" i="6" s="1"/>
  <c r="R283" i="6"/>
  <c r="S283" i="6" s="1"/>
  <c r="AZ283" i="6" s="1"/>
  <c r="R275" i="6"/>
  <c r="S275" i="6" s="1"/>
  <c r="AZ275" i="6" s="1"/>
  <c r="R269" i="6"/>
  <c r="S269" i="6" s="1"/>
  <c r="AZ269" i="6" s="1"/>
  <c r="R261" i="6"/>
  <c r="S261" i="6" s="1"/>
  <c r="AZ261" i="6" s="1"/>
  <c r="R243" i="6"/>
  <c r="S243" i="6" s="1"/>
  <c r="AZ243" i="6" s="1"/>
  <c r="R235" i="6"/>
  <c r="S235" i="6" s="1"/>
  <c r="AZ235" i="6" s="1"/>
  <c r="R225" i="6"/>
  <c r="S225" i="6" s="1"/>
  <c r="AZ225" i="6" s="1"/>
  <c r="R199" i="6"/>
  <c r="S199" i="6" s="1"/>
  <c r="AZ199" i="6" s="1"/>
  <c r="R191" i="6"/>
  <c r="S191" i="6" s="1"/>
  <c r="AZ191" i="6" s="1"/>
  <c r="R183" i="6"/>
  <c r="S183" i="6" s="1"/>
  <c r="AZ183" i="6" s="1"/>
  <c r="R175" i="6"/>
  <c r="S175" i="6" s="1"/>
  <c r="AZ175" i="6" s="1"/>
  <c r="R276" i="6"/>
  <c r="S276" i="6" s="1"/>
  <c r="AZ276" i="6"/>
  <c r="R258" i="6"/>
  <c r="S258" i="6" s="1"/>
  <c r="AZ258" i="6"/>
  <c r="R240" i="6"/>
  <c r="S240" i="6" s="1"/>
  <c r="AZ240" i="6"/>
  <c r="R222" i="6"/>
  <c r="S222" i="6" s="1"/>
  <c r="AZ222" i="6"/>
  <c r="R333" i="6"/>
  <c r="S333" i="6" s="1"/>
  <c r="AZ333" i="6"/>
  <c r="R323" i="6"/>
  <c r="S323" i="6" s="1"/>
  <c r="AZ323" i="6"/>
  <c r="R309" i="6"/>
  <c r="S309" i="6" s="1"/>
  <c r="AZ309" i="6"/>
  <c r="R305" i="6"/>
  <c r="S305" i="6" s="1"/>
  <c r="AZ305" i="6"/>
  <c r="R301" i="6"/>
  <c r="S301" i="6" s="1"/>
  <c r="AZ301" i="6"/>
  <c r="R277" i="6"/>
  <c r="S277" i="6" s="1"/>
  <c r="AZ277" i="6"/>
  <c r="R247" i="6"/>
  <c r="S247" i="6" s="1"/>
  <c r="AZ247" i="6"/>
  <c r="R165" i="6"/>
  <c r="S165" i="6" s="1"/>
  <c r="AZ165" i="6" s="1"/>
  <c r="R154" i="6"/>
  <c r="S154" i="6" s="1"/>
  <c r="AZ154" i="6" s="1"/>
  <c r="R150" i="6"/>
  <c r="S150" i="6" s="1"/>
  <c r="AZ150" i="6" s="1"/>
  <c r="AZ324" i="5"/>
  <c r="R324" i="5"/>
  <c r="S324" i="5" s="1"/>
  <c r="AZ320" i="5"/>
  <c r="R320" i="5"/>
  <c r="S320" i="5" s="1"/>
  <c r="AZ316" i="5"/>
  <c r="R316" i="5"/>
  <c r="S316" i="5" s="1"/>
  <c r="AZ312" i="5"/>
  <c r="R312" i="5"/>
  <c r="S312" i="5" s="1"/>
  <c r="AZ268" i="5"/>
  <c r="R268" i="5"/>
  <c r="S268" i="5" s="1"/>
  <c r="AZ264" i="5"/>
  <c r="R264" i="5"/>
  <c r="S264" i="5" s="1"/>
  <c r="AZ260" i="5"/>
  <c r="R260" i="5"/>
  <c r="S260" i="5" s="1"/>
  <c r="R256" i="5"/>
  <c r="S256" i="5" s="1"/>
  <c r="AZ256" i="5" s="1"/>
  <c r="AZ252" i="5"/>
  <c r="R252" i="5"/>
  <c r="S252" i="5" s="1"/>
  <c r="R248" i="5"/>
  <c r="S248" i="5" s="1"/>
  <c r="AZ248" i="5" s="1"/>
  <c r="R224" i="5"/>
  <c r="S224" i="5" s="1"/>
  <c r="AZ224" i="5" s="1"/>
  <c r="R220" i="5"/>
  <c r="S220" i="5" s="1"/>
  <c r="AZ220" i="5" s="1"/>
  <c r="R216" i="5"/>
  <c r="S216" i="5" s="1"/>
  <c r="AZ216" i="5" s="1"/>
  <c r="R212" i="5"/>
  <c r="S212" i="5" s="1"/>
  <c r="AZ212" i="5" s="1"/>
  <c r="R208" i="5"/>
  <c r="S208" i="5" s="1"/>
  <c r="AZ208" i="5" s="1"/>
  <c r="R156" i="5"/>
  <c r="S156" i="5" s="1"/>
  <c r="AZ156" i="5" s="1"/>
  <c r="R152" i="5"/>
  <c r="S152" i="5" s="1"/>
  <c r="AZ152" i="5" s="1"/>
  <c r="R148" i="5"/>
  <c r="S148" i="5" s="1"/>
  <c r="AZ148" i="5" s="1"/>
  <c r="R184" i="6"/>
  <c r="S184" i="6" s="1"/>
  <c r="AZ184" i="6"/>
  <c r="R207" i="6"/>
  <c r="S207" i="6" s="1"/>
  <c r="AZ207" i="6"/>
  <c r="R177" i="6"/>
  <c r="S177" i="6" s="1"/>
  <c r="AZ177" i="6"/>
  <c r="R164" i="6"/>
  <c r="S164" i="6" s="1"/>
  <c r="AZ164" i="6" s="1"/>
  <c r="AZ153" i="6"/>
  <c r="R153" i="6"/>
  <c r="S153" i="6" s="1"/>
  <c r="AZ313" i="4"/>
  <c r="R313" i="4"/>
  <c r="S313" i="4" s="1"/>
  <c r="AZ249" i="4"/>
  <c r="R249" i="4"/>
  <c r="S249" i="4" s="1"/>
  <c r="R235" i="4"/>
  <c r="S235" i="4" s="1"/>
  <c r="AZ235" i="4" s="1"/>
  <c r="AZ225" i="4"/>
  <c r="R225" i="4"/>
  <c r="S225" i="4" s="1"/>
  <c r="R179" i="4"/>
  <c r="S179" i="4" s="1"/>
  <c r="AZ179" i="4" s="1"/>
  <c r="AZ175" i="4"/>
  <c r="R175" i="4"/>
  <c r="S175" i="4" s="1"/>
  <c r="R344" i="3"/>
  <c r="S344" i="3" s="1"/>
  <c r="AZ344" i="3" s="1"/>
  <c r="AZ336" i="3"/>
  <c r="R336" i="3"/>
  <c r="S336" i="3" s="1"/>
  <c r="AC336" i="3" s="1"/>
  <c r="R322" i="3"/>
  <c r="S322" i="3" s="1"/>
  <c r="AZ322" i="3" s="1"/>
  <c r="AZ300" i="3"/>
  <c r="R300" i="3"/>
  <c r="S300" i="3" s="1"/>
  <c r="R292" i="3"/>
  <c r="S292" i="3" s="1"/>
  <c r="AZ292" i="3" s="1"/>
  <c r="AZ280" i="3"/>
  <c r="R280" i="3"/>
  <c r="S280" i="3" s="1"/>
  <c r="R270" i="3"/>
  <c r="S270" i="3" s="1"/>
  <c r="AZ270" i="3" s="1"/>
  <c r="AZ262" i="3"/>
  <c r="R262" i="3"/>
  <c r="S262" i="3" s="1"/>
  <c r="R254" i="3"/>
  <c r="S254" i="3" s="1"/>
  <c r="AZ254" i="3" s="1"/>
  <c r="R345" i="3"/>
  <c r="S345" i="3" s="1"/>
  <c r="AZ345" i="3" s="1"/>
  <c r="R327" i="3"/>
  <c r="S327" i="3" s="1"/>
  <c r="AZ327" i="3" s="1"/>
  <c r="AZ323" i="3"/>
  <c r="R323" i="3"/>
  <c r="S323" i="3" s="1"/>
  <c r="R319" i="3"/>
  <c r="S319" i="3" s="1"/>
  <c r="AZ319" i="3" s="1"/>
  <c r="AC262" i="3"/>
  <c r="R241" i="3"/>
  <c r="S241" i="3" s="1"/>
  <c r="AZ241" i="3" s="1"/>
  <c r="R211" i="3"/>
  <c r="S211" i="3" s="1"/>
  <c r="AZ211" i="3" s="1"/>
  <c r="AZ234" i="3"/>
  <c r="R234" i="3"/>
  <c r="S234" i="3" s="1"/>
  <c r="R220" i="3"/>
  <c r="S220" i="3" s="1"/>
  <c r="AZ220" i="3" s="1"/>
  <c r="AZ212" i="3"/>
  <c r="R212" i="3"/>
  <c r="S212" i="3" s="1"/>
  <c r="R343" i="3"/>
  <c r="S343" i="3" s="1"/>
  <c r="AZ343" i="3"/>
  <c r="R295" i="3"/>
  <c r="S295" i="3" s="1"/>
  <c r="AZ295" i="3" s="1"/>
  <c r="R265" i="3"/>
  <c r="S265" i="3" s="1"/>
  <c r="AZ265" i="3"/>
  <c r="R257" i="3"/>
  <c r="S257" i="3" s="1"/>
  <c r="AZ257" i="3" s="1"/>
  <c r="R253" i="3"/>
  <c r="S253" i="3" s="1"/>
  <c r="AZ253" i="3"/>
  <c r="R239" i="3"/>
  <c r="S239" i="3" s="1"/>
  <c r="AZ239" i="3"/>
  <c r="R231" i="3"/>
  <c r="S231" i="3" s="1"/>
  <c r="AZ231" i="3" s="1"/>
  <c r="R217" i="3"/>
  <c r="S217" i="3" s="1"/>
  <c r="AZ217" i="3"/>
  <c r="AZ197" i="3"/>
  <c r="R197" i="3"/>
  <c r="S197" i="3" s="1"/>
  <c r="R192" i="3"/>
  <c r="S192" i="3" s="1"/>
  <c r="AZ192" i="3" s="1"/>
  <c r="R166" i="3"/>
  <c r="S166" i="3" s="1"/>
  <c r="AZ166" i="3" s="1"/>
  <c r="R162" i="3"/>
  <c r="S162" i="3" s="1"/>
  <c r="AZ162" i="3" s="1"/>
  <c r="R351" i="2"/>
  <c r="S351" i="2" s="1"/>
  <c r="AZ351" i="2" s="1"/>
  <c r="R335" i="2"/>
  <c r="S335" i="2" s="1"/>
  <c r="AZ335" i="2" s="1"/>
  <c r="R313" i="2"/>
  <c r="S313" i="2" s="1"/>
  <c r="AZ313" i="2" s="1"/>
  <c r="R303" i="2"/>
  <c r="S303" i="2" s="1"/>
  <c r="AZ303" i="2" s="1"/>
  <c r="R287" i="2"/>
  <c r="S287" i="2" s="1"/>
  <c r="AZ287" i="2" s="1"/>
  <c r="R265" i="2"/>
  <c r="S265" i="2" s="1"/>
  <c r="AZ265" i="2" s="1"/>
  <c r="R249" i="2"/>
  <c r="S249" i="2" s="1"/>
  <c r="AZ249" i="2" s="1"/>
  <c r="R243" i="2"/>
  <c r="S243" i="2" s="1"/>
  <c r="AZ243" i="2" s="1"/>
  <c r="R221" i="2"/>
  <c r="S221" i="2" s="1"/>
  <c r="AZ221" i="2" s="1"/>
  <c r="R199" i="2"/>
  <c r="S199" i="2" s="1"/>
  <c r="AZ199" i="2" s="1"/>
  <c r="R179" i="2"/>
  <c r="S179" i="2" s="1"/>
  <c r="AZ179" i="2" s="1"/>
  <c r="R163" i="2"/>
  <c r="S163" i="2" s="1"/>
  <c r="AZ163" i="2" s="1"/>
  <c r="R145" i="2"/>
  <c r="S145" i="2" s="1"/>
  <c r="AZ145" i="2" s="1"/>
  <c r="R209" i="3"/>
  <c r="S209" i="3" s="1"/>
  <c r="AZ209" i="3"/>
  <c r="R190" i="3"/>
  <c r="S190" i="3" s="1"/>
  <c r="AZ190" i="3"/>
  <c r="R352" i="2"/>
  <c r="S352" i="2" s="1"/>
  <c r="AZ352" i="2" s="1"/>
  <c r="R244" i="3"/>
  <c r="S244" i="3" s="1"/>
  <c r="AZ244" i="3"/>
  <c r="R243" i="3"/>
  <c r="S243" i="3" s="1"/>
  <c r="AZ243" i="3"/>
  <c r="R235" i="3"/>
  <c r="S235" i="3" s="1"/>
  <c r="AZ235" i="3"/>
  <c r="R226" i="3"/>
  <c r="S226" i="3" s="1"/>
  <c r="AZ226" i="3"/>
  <c r="R178" i="3"/>
  <c r="S178" i="3" s="1"/>
  <c r="AZ178" i="3"/>
  <c r="F74" i="11"/>
  <c r="F85" i="11"/>
  <c r="L74" i="11"/>
  <c r="R350" i="11"/>
  <c r="S350" i="11" s="1"/>
  <c r="AZ350" i="11" s="1"/>
  <c r="R341" i="11"/>
  <c r="S341" i="11" s="1"/>
  <c r="AZ341" i="11" s="1"/>
  <c r="R351" i="11"/>
  <c r="S351" i="11" s="1"/>
  <c r="AZ351" i="11"/>
  <c r="R334" i="11"/>
  <c r="S334" i="11" s="1"/>
  <c r="AZ334" i="11" s="1"/>
  <c r="R339" i="11"/>
  <c r="S339" i="11" s="1"/>
  <c r="AZ339" i="11"/>
  <c r="R332" i="11"/>
  <c r="S332" i="11" s="1"/>
  <c r="AZ332" i="11"/>
  <c r="R323" i="11"/>
  <c r="S323" i="11" s="1"/>
  <c r="AZ323" i="11" s="1"/>
  <c r="R318" i="11"/>
  <c r="S318" i="11" s="1"/>
  <c r="AZ318" i="11" s="1"/>
  <c r="R343" i="11"/>
  <c r="S343" i="11" s="1"/>
  <c r="AZ343" i="11"/>
  <c r="R336" i="11"/>
  <c r="S336" i="11" s="1"/>
  <c r="AZ336" i="11"/>
  <c r="R329" i="11"/>
  <c r="S329" i="11" s="1"/>
  <c r="AZ329" i="11" s="1"/>
  <c r="R324" i="11"/>
  <c r="S324" i="11" s="1"/>
  <c r="AZ324" i="11" s="1"/>
  <c r="R301" i="11"/>
  <c r="S301" i="11" s="1"/>
  <c r="AZ301" i="11" s="1"/>
  <c r="R290" i="11"/>
  <c r="S290" i="11" s="1"/>
  <c r="AZ290" i="11" s="1"/>
  <c r="R291" i="11"/>
  <c r="S291" i="11" s="1"/>
  <c r="AZ291" i="11"/>
  <c r="R272" i="11"/>
  <c r="S272" i="11" s="1"/>
  <c r="AZ272" i="11" s="1"/>
  <c r="R258" i="11"/>
  <c r="S258" i="11" s="1"/>
  <c r="AZ258" i="11" s="1"/>
  <c r="R240" i="11"/>
  <c r="S240" i="11" s="1"/>
  <c r="AZ240" i="11" s="1"/>
  <c r="R267" i="11"/>
  <c r="S267" i="11" s="1"/>
  <c r="AZ267" i="11" s="1"/>
  <c r="R251" i="11"/>
  <c r="S251" i="11" s="1"/>
  <c r="AZ251" i="11" s="1"/>
  <c r="R237" i="11"/>
  <c r="S237" i="11" s="1"/>
  <c r="AZ237" i="11" s="1"/>
  <c r="R299" i="11"/>
  <c r="S299" i="11" s="1"/>
  <c r="AZ299" i="11"/>
  <c r="R220" i="11"/>
  <c r="S220" i="11" s="1"/>
  <c r="AZ220" i="11" s="1"/>
  <c r="R202" i="11"/>
  <c r="S202" i="11" s="1"/>
  <c r="AZ202" i="11" s="1"/>
  <c r="R302" i="11"/>
  <c r="S302" i="11" s="1"/>
  <c r="AZ302" i="11" s="1"/>
  <c r="R279" i="11"/>
  <c r="S279" i="11" s="1"/>
  <c r="AZ279" i="11"/>
  <c r="R268" i="11"/>
  <c r="S268" i="11" s="1"/>
  <c r="AZ268" i="11"/>
  <c r="R252" i="11"/>
  <c r="S252" i="11" s="1"/>
  <c r="AZ252" i="11"/>
  <c r="R234" i="11"/>
  <c r="S234" i="11" s="1"/>
  <c r="AZ234" i="11"/>
  <c r="R225" i="11"/>
  <c r="S225" i="11" s="1"/>
  <c r="AZ225" i="11" s="1"/>
  <c r="R209" i="11"/>
  <c r="S209" i="11" s="1"/>
  <c r="AZ209" i="11" s="1"/>
  <c r="R191" i="11"/>
  <c r="S191" i="11" s="1"/>
  <c r="AZ191" i="11" s="1"/>
  <c r="R222" i="11"/>
  <c r="S222" i="11" s="1"/>
  <c r="AZ222" i="11"/>
  <c r="R207" i="11"/>
  <c r="S207" i="11" s="1"/>
  <c r="AZ207" i="11"/>
  <c r="R200" i="11"/>
  <c r="S200" i="11" s="1"/>
  <c r="AZ200" i="11"/>
  <c r="R342" i="10"/>
  <c r="S342" i="10" s="1"/>
  <c r="AZ342" i="10" s="1"/>
  <c r="R324" i="10"/>
  <c r="S324" i="10" s="1"/>
  <c r="AZ324" i="10" s="1"/>
  <c r="R310" i="10"/>
  <c r="S310" i="10" s="1"/>
  <c r="AZ310" i="10" s="1"/>
  <c r="R294" i="10"/>
  <c r="S294" i="10" s="1"/>
  <c r="AZ294" i="10" s="1"/>
  <c r="R351" i="10"/>
  <c r="S351" i="10" s="1"/>
  <c r="AZ351" i="10" s="1"/>
  <c r="R343" i="10"/>
  <c r="S343" i="10" s="1"/>
  <c r="AZ343" i="10" s="1"/>
  <c r="R331" i="10"/>
  <c r="S331" i="10" s="1"/>
  <c r="AZ331" i="10" s="1"/>
  <c r="R335" i="10"/>
  <c r="S335" i="10" s="1"/>
  <c r="AZ335" i="10" s="1"/>
  <c r="R322" i="10"/>
  <c r="S322" i="10" s="1"/>
  <c r="AZ322" i="10"/>
  <c r="R308" i="10"/>
  <c r="S308" i="10" s="1"/>
  <c r="AZ308" i="10"/>
  <c r="R297" i="10"/>
  <c r="S297" i="10" s="1"/>
  <c r="AZ297" i="10"/>
  <c r="R288" i="10"/>
  <c r="S288" i="10" s="1"/>
  <c r="AZ288" i="10"/>
  <c r="R266" i="10"/>
  <c r="S266" i="10" s="1"/>
  <c r="AZ266" i="10" s="1"/>
  <c r="R250" i="10"/>
  <c r="S250" i="10" s="1"/>
  <c r="AZ250" i="10" s="1"/>
  <c r="R345" i="10"/>
  <c r="S345" i="10" s="1"/>
  <c r="AZ345" i="10"/>
  <c r="R344" i="10"/>
  <c r="S344" i="10" s="1"/>
  <c r="AZ344" i="10"/>
  <c r="R332" i="10"/>
  <c r="S332" i="10" s="1"/>
  <c r="AZ332" i="10"/>
  <c r="R301" i="10"/>
  <c r="S301" i="10" s="1"/>
  <c r="AZ301" i="10"/>
  <c r="R281" i="10"/>
  <c r="S281" i="10" s="1"/>
  <c r="AZ281" i="10" s="1"/>
  <c r="R263" i="10"/>
  <c r="S263" i="10" s="1"/>
  <c r="AZ263" i="10" s="1"/>
  <c r="R247" i="10"/>
  <c r="S247" i="10" s="1"/>
  <c r="AZ247" i="10" s="1"/>
  <c r="R336" i="10"/>
  <c r="S336" i="10" s="1"/>
  <c r="AZ336" i="10"/>
  <c r="R279" i="10"/>
  <c r="S279" i="10" s="1"/>
  <c r="AZ279" i="10"/>
  <c r="R269" i="10"/>
  <c r="S269" i="10" s="1"/>
  <c r="AZ269" i="10"/>
  <c r="R260" i="10"/>
  <c r="S260" i="10" s="1"/>
  <c r="AZ260" i="10"/>
  <c r="R253" i="10"/>
  <c r="S253" i="10" s="1"/>
  <c r="AZ253" i="10"/>
  <c r="R242" i="10"/>
  <c r="S242" i="10" s="1"/>
  <c r="AZ242" i="10"/>
  <c r="R340" i="9"/>
  <c r="S340" i="9" s="1"/>
  <c r="AZ340" i="9" s="1"/>
  <c r="R322" i="9"/>
  <c r="S322" i="9" s="1"/>
  <c r="AZ322" i="9" s="1"/>
  <c r="R304" i="9"/>
  <c r="S304" i="9" s="1"/>
  <c r="AZ304" i="9" s="1"/>
  <c r="R288" i="9"/>
  <c r="S288" i="9" s="1"/>
  <c r="AZ288" i="9" s="1"/>
  <c r="R284" i="10"/>
  <c r="S284" i="10" s="1"/>
  <c r="AZ284" i="10" s="1"/>
  <c r="R187" i="10"/>
  <c r="S187" i="10" s="1"/>
  <c r="AZ187" i="10" s="1"/>
  <c r="R351" i="9"/>
  <c r="S351" i="9" s="1"/>
  <c r="AZ351" i="9"/>
  <c r="R335" i="9"/>
  <c r="S335" i="9" s="1"/>
  <c r="AZ335" i="9"/>
  <c r="R342" i="9"/>
  <c r="S342" i="9" s="1"/>
  <c r="AZ342" i="9"/>
  <c r="R333" i="9"/>
  <c r="S333" i="9" s="1"/>
  <c r="AZ333" i="9" s="1"/>
  <c r="R327" i="9"/>
  <c r="S327" i="9" s="1"/>
  <c r="AZ327" i="9" s="1"/>
  <c r="R337" i="9"/>
  <c r="S337" i="9" s="1"/>
  <c r="AZ337" i="9" s="1"/>
  <c r="R331" i="9"/>
  <c r="S331" i="9" s="1"/>
  <c r="AZ331" i="9"/>
  <c r="R339" i="9"/>
  <c r="S339" i="9" s="1"/>
  <c r="AZ339" i="9" s="1"/>
  <c r="AZ278" i="9"/>
  <c r="R278" i="9"/>
  <c r="S278" i="9" s="1"/>
  <c r="AZ260" i="9"/>
  <c r="R260" i="9"/>
  <c r="S260" i="9" s="1"/>
  <c r="AZ242" i="9"/>
  <c r="R242" i="9"/>
  <c r="S242" i="9" s="1"/>
  <c r="AZ224" i="9"/>
  <c r="R224" i="9"/>
  <c r="S224" i="9" s="1"/>
  <c r="AZ208" i="9"/>
  <c r="R208" i="9"/>
  <c r="S208" i="9" s="1"/>
  <c r="AZ309" i="9"/>
  <c r="R309" i="9"/>
  <c r="S309" i="9" s="1"/>
  <c r="AZ293" i="9"/>
  <c r="R293" i="9"/>
  <c r="S293" i="9" s="1"/>
  <c r="R291" i="9"/>
  <c r="S291" i="9" s="1"/>
  <c r="AZ291" i="9" s="1"/>
  <c r="AZ257" i="9"/>
  <c r="R257" i="9"/>
  <c r="S257" i="9" s="1"/>
  <c r="AZ253" i="9"/>
  <c r="R253" i="9"/>
  <c r="S253" i="9" s="1"/>
  <c r="AZ249" i="9"/>
  <c r="R249" i="9"/>
  <c r="S249" i="9" s="1"/>
  <c r="AZ235" i="9"/>
  <c r="R235" i="9"/>
  <c r="S235" i="9" s="1"/>
  <c r="AZ231" i="9"/>
  <c r="R231" i="9"/>
  <c r="S231" i="9" s="1"/>
  <c r="AZ225" i="9"/>
  <c r="R225" i="9"/>
  <c r="S225" i="9" s="1"/>
  <c r="AZ195" i="9"/>
  <c r="R195" i="9"/>
  <c r="S195" i="9" s="1"/>
  <c r="AZ301" i="9"/>
  <c r="R301" i="9"/>
  <c r="S301" i="9" s="1"/>
  <c r="R272" i="9"/>
  <c r="S272" i="9" s="1"/>
  <c r="AZ272" i="9" s="1"/>
  <c r="R258" i="9"/>
  <c r="S258" i="9" s="1"/>
  <c r="AZ258" i="9" s="1"/>
  <c r="R244" i="9"/>
  <c r="S244" i="9" s="1"/>
  <c r="AZ244" i="9" s="1"/>
  <c r="R228" i="9"/>
  <c r="S228" i="9" s="1"/>
  <c r="AZ228" i="9" s="1"/>
  <c r="R218" i="9"/>
  <c r="S218" i="9" s="1"/>
  <c r="AZ218" i="9" s="1"/>
  <c r="R214" i="9"/>
  <c r="S214" i="9" s="1"/>
  <c r="AZ214" i="9" s="1"/>
  <c r="AZ204" i="9"/>
  <c r="R204" i="9"/>
  <c r="S204" i="9" s="1"/>
  <c r="R251" i="9"/>
  <c r="S251" i="9" s="1"/>
  <c r="AZ251" i="9" s="1"/>
  <c r="R241" i="9"/>
  <c r="S241" i="9" s="1"/>
  <c r="AZ241" i="9" s="1"/>
  <c r="R211" i="9"/>
  <c r="S211" i="9" s="1"/>
  <c r="AZ211" i="9" s="1"/>
  <c r="R207" i="9"/>
  <c r="S207" i="9" s="1"/>
  <c r="AZ207" i="9" s="1"/>
  <c r="AZ170" i="9"/>
  <c r="R170" i="9"/>
  <c r="S170" i="9" s="1"/>
  <c r="AZ347" i="8"/>
  <c r="R347" i="8"/>
  <c r="S347" i="8" s="1"/>
  <c r="AZ325" i="8"/>
  <c r="R325" i="8"/>
  <c r="S325" i="8" s="1"/>
  <c r="R197" i="9"/>
  <c r="S197" i="9" s="1"/>
  <c r="AZ197" i="9" s="1"/>
  <c r="AZ344" i="8"/>
  <c r="R344" i="8"/>
  <c r="S344" i="8" s="1"/>
  <c r="AZ336" i="8"/>
  <c r="R336" i="8"/>
  <c r="S336" i="8" s="1"/>
  <c r="AZ332" i="8"/>
  <c r="R332" i="8"/>
  <c r="S332" i="8" s="1"/>
  <c r="AZ322" i="8"/>
  <c r="R322" i="8"/>
  <c r="S322" i="8" s="1"/>
  <c r="R337" i="8"/>
  <c r="S337" i="8" s="1"/>
  <c r="AZ337" i="8" s="1"/>
  <c r="R202" i="9"/>
  <c r="S202" i="9" s="1"/>
  <c r="AZ202" i="9" s="1"/>
  <c r="R324" i="8"/>
  <c r="S324" i="8" s="1"/>
  <c r="AZ324" i="8"/>
  <c r="R306" i="8"/>
  <c r="S306" i="8" s="1"/>
  <c r="AZ306" i="8" s="1"/>
  <c r="R278" i="8"/>
  <c r="S278" i="8" s="1"/>
  <c r="AZ278" i="8" s="1"/>
  <c r="R256" i="8"/>
  <c r="S256" i="8" s="1"/>
  <c r="AZ256" i="8" s="1"/>
  <c r="R230" i="8"/>
  <c r="S230" i="8" s="1"/>
  <c r="AZ230" i="8" s="1"/>
  <c r="R224" i="8"/>
  <c r="S224" i="8" s="1"/>
  <c r="AZ224" i="8" s="1"/>
  <c r="R208" i="8"/>
  <c r="S208" i="8" s="1"/>
  <c r="AZ208" i="8" s="1"/>
  <c r="R202" i="8"/>
  <c r="S202" i="8" s="1"/>
  <c r="AZ202" i="8" s="1"/>
  <c r="R186" i="8"/>
  <c r="S186" i="8" s="1"/>
  <c r="AZ186" i="8" s="1"/>
  <c r="R170" i="8"/>
  <c r="S170" i="8" s="1"/>
  <c r="AZ170" i="8" s="1"/>
  <c r="R347" i="7"/>
  <c r="S347" i="7" s="1"/>
  <c r="AZ347" i="7" s="1"/>
  <c r="R310" i="8"/>
  <c r="S310" i="8" s="1"/>
  <c r="AZ310" i="8"/>
  <c r="AZ352" i="7"/>
  <c r="R352" i="7"/>
  <c r="S352" i="7" s="1"/>
  <c r="R327" i="8"/>
  <c r="S327" i="8" s="1"/>
  <c r="AZ327" i="8" s="1"/>
  <c r="R308" i="8"/>
  <c r="S308" i="8" s="1"/>
  <c r="AZ308" i="8" s="1"/>
  <c r="R349" i="7"/>
  <c r="S349" i="7" s="1"/>
  <c r="AZ349" i="7" s="1"/>
  <c r="AZ345" i="7"/>
  <c r="R345" i="7"/>
  <c r="S345" i="7" s="1"/>
  <c r="R346" i="7"/>
  <c r="S346" i="7" s="1"/>
  <c r="AZ346" i="7" s="1"/>
  <c r="AZ327" i="7"/>
  <c r="R327" i="7"/>
  <c r="S327" i="7" s="1"/>
  <c r="AZ323" i="7"/>
  <c r="R323" i="7"/>
  <c r="S323" i="7" s="1"/>
  <c r="AZ319" i="7"/>
  <c r="R319" i="7"/>
  <c r="S319" i="7" s="1"/>
  <c r="AZ315" i="7"/>
  <c r="R315" i="7"/>
  <c r="S315" i="7" s="1"/>
  <c r="AZ305" i="7"/>
  <c r="R305" i="7"/>
  <c r="S305" i="7" s="1"/>
  <c r="AZ338" i="6"/>
  <c r="R338" i="6"/>
  <c r="S338" i="6" s="1"/>
  <c r="AZ330" i="6"/>
  <c r="R330" i="6"/>
  <c r="S330" i="6" s="1"/>
  <c r="AZ320" i="6"/>
  <c r="R320" i="6"/>
  <c r="S320" i="6" s="1"/>
  <c r="AZ310" i="6"/>
  <c r="R310" i="6"/>
  <c r="S310" i="6" s="1"/>
  <c r="AZ274" i="6"/>
  <c r="R274" i="6"/>
  <c r="S274" i="6" s="1"/>
  <c r="AZ248" i="6"/>
  <c r="R248" i="6"/>
  <c r="S248" i="6" s="1"/>
  <c r="AZ238" i="6"/>
  <c r="R238" i="6"/>
  <c r="S238" i="6" s="1"/>
  <c r="AZ216" i="6"/>
  <c r="R216" i="6"/>
  <c r="S216" i="6" s="1"/>
  <c r="AZ202" i="6"/>
  <c r="R202" i="6"/>
  <c r="S202" i="6" s="1"/>
  <c r="AZ186" i="6"/>
  <c r="R186" i="6"/>
  <c r="S186" i="6" s="1"/>
  <c r="AZ170" i="6"/>
  <c r="R170" i="6"/>
  <c r="S170" i="6" s="1"/>
  <c r="AZ347" i="6"/>
  <c r="R347" i="6"/>
  <c r="S347" i="6" s="1"/>
  <c r="AZ325" i="6"/>
  <c r="R325" i="6"/>
  <c r="S325" i="6" s="1"/>
  <c r="AZ321" i="6"/>
  <c r="R321" i="6"/>
  <c r="S321" i="6" s="1"/>
  <c r="AZ299" i="6"/>
  <c r="R299" i="6"/>
  <c r="S299" i="6" s="1"/>
  <c r="AZ265" i="6"/>
  <c r="R265" i="6"/>
  <c r="S265" i="6" s="1"/>
  <c r="AZ257" i="6"/>
  <c r="R257" i="6"/>
  <c r="S257" i="6" s="1"/>
  <c r="AZ239" i="6"/>
  <c r="R239" i="6"/>
  <c r="S239" i="6" s="1"/>
  <c r="AZ231" i="6"/>
  <c r="R231" i="6"/>
  <c r="S231" i="6" s="1"/>
  <c r="AZ221" i="6"/>
  <c r="R221" i="6"/>
  <c r="S221" i="6" s="1"/>
  <c r="AZ213" i="6"/>
  <c r="R213" i="6"/>
  <c r="S213" i="6" s="1"/>
  <c r="R352" i="6"/>
  <c r="S352" i="6" s="1"/>
  <c r="AZ352" i="6" s="1"/>
  <c r="R308" i="6"/>
  <c r="S308" i="6" s="1"/>
  <c r="AZ308" i="6" s="1"/>
  <c r="R300" i="6"/>
  <c r="S300" i="6" s="1"/>
  <c r="AZ300" i="6" s="1"/>
  <c r="R270" i="6"/>
  <c r="S270" i="6" s="1"/>
  <c r="AZ270" i="6" s="1"/>
  <c r="R254" i="6"/>
  <c r="S254" i="6" s="1"/>
  <c r="AZ254" i="6" s="1"/>
  <c r="R236" i="6"/>
  <c r="S236" i="6" s="1"/>
  <c r="AZ236" i="6" s="1"/>
  <c r="R228" i="6"/>
  <c r="S228" i="6" s="1"/>
  <c r="AZ228" i="6" s="1"/>
  <c r="R218" i="6"/>
  <c r="S218" i="6" s="1"/>
  <c r="AZ218" i="6" s="1"/>
  <c r="R214" i="6"/>
  <c r="S214" i="6" s="1"/>
  <c r="AZ214" i="6" s="1"/>
  <c r="R341" i="6"/>
  <c r="S341" i="6" s="1"/>
  <c r="AZ341" i="6" s="1"/>
  <c r="R337" i="6"/>
  <c r="S337" i="6" s="1"/>
  <c r="AZ337" i="6" s="1"/>
  <c r="R327" i="6"/>
  <c r="S327" i="6" s="1"/>
  <c r="AZ327" i="6" s="1"/>
  <c r="R281" i="6"/>
  <c r="S281" i="6" s="1"/>
  <c r="AZ281" i="6"/>
  <c r="R259" i="6"/>
  <c r="S259" i="6" s="1"/>
  <c r="AZ259" i="6" s="1"/>
  <c r="R255" i="6"/>
  <c r="S255" i="6" s="1"/>
  <c r="AZ255" i="6"/>
  <c r="R251" i="6"/>
  <c r="S251" i="6" s="1"/>
  <c r="AZ251" i="6" s="1"/>
  <c r="R233" i="6"/>
  <c r="S233" i="6" s="1"/>
  <c r="AZ233" i="6"/>
  <c r="R229" i="6"/>
  <c r="S229" i="6" s="1"/>
  <c r="AZ229" i="6" s="1"/>
  <c r="R223" i="6"/>
  <c r="S223" i="6" s="1"/>
  <c r="AZ223" i="6"/>
  <c r="R219" i="6"/>
  <c r="S219" i="6" s="1"/>
  <c r="AZ219" i="6" s="1"/>
  <c r="R215" i="6"/>
  <c r="S215" i="6" s="1"/>
  <c r="AZ215" i="6"/>
  <c r="R204" i="6"/>
  <c r="S204" i="6" s="1"/>
  <c r="AZ204" i="6" s="1"/>
  <c r="R146" i="6"/>
  <c r="S146" i="6" s="1"/>
  <c r="AZ146" i="6" s="1"/>
  <c r="R193" i="6"/>
  <c r="S193" i="6" s="1"/>
  <c r="AZ193" i="6"/>
  <c r="R192" i="6"/>
  <c r="S192" i="6" s="1"/>
  <c r="AZ192" i="6" s="1"/>
  <c r="R149" i="6"/>
  <c r="S149" i="6" s="1"/>
  <c r="AZ149" i="6" s="1"/>
  <c r="AZ344" i="5"/>
  <c r="R344" i="5"/>
  <c r="S344" i="5" s="1"/>
  <c r="R351" i="4"/>
  <c r="S351" i="4" s="1"/>
  <c r="AZ351" i="4" s="1"/>
  <c r="AZ347" i="4"/>
  <c r="R347" i="4"/>
  <c r="S347" i="4" s="1"/>
  <c r="R343" i="4"/>
  <c r="S343" i="4" s="1"/>
  <c r="AZ343" i="4" s="1"/>
  <c r="AZ339" i="4"/>
  <c r="R339" i="4"/>
  <c r="S339" i="4" s="1"/>
  <c r="R335" i="4"/>
  <c r="S335" i="4" s="1"/>
  <c r="AZ335" i="4" s="1"/>
  <c r="R331" i="4"/>
  <c r="S331" i="4" s="1"/>
  <c r="AZ331" i="4" s="1"/>
  <c r="R317" i="4"/>
  <c r="S317" i="4" s="1"/>
  <c r="AZ317" i="4" s="1"/>
  <c r="R279" i="4"/>
  <c r="S279" i="4" s="1"/>
  <c r="AZ279" i="4" s="1"/>
  <c r="R275" i="4"/>
  <c r="S275" i="4" s="1"/>
  <c r="AZ275" i="4" s="1"/>
  <c r="R269" i="4"/>
  <c r="S269" i="4" s="1"/>
  <c r="AZ269" i="4" s="1"/>
  <c r="R265" i="4"/>
  <c r="S265" i="4" s="1"/>
  <c r="AZ265" i="4" s="1"/>
  <c r="R261" i="4"/>
  <c r="S261" i="4" s="1"/>
  <c r="AZ261" i="4" s="1"/>
  <c r="R257" i="4"/>
  <c r="S257" i="4" s="1"/>
  <c r="AZ257" i="4" s="1"/>
  <c r="R253" i="4"/>
  <c r="S253" i="4" s="1"/>
  <c r="AZ253" i="4" s="1"/>
  <c r="R243" i="4"/>
  <c r="S243" i="4" s="1"/>
  <c r="AZ243" i="4" s="1"/>
  <c r="R239" i="4"/>
  <c r="S239" i="4" s="1"/>
  <c r="AZ239" i="4" s="1"/>
  <c r="R213" i="4"/>
  <c r="S213" i="4" s="1"/>
  <c r="AZ213" i="4" s="1"/>
  <c r="R209" i="4"/>
  <c r="S209" i="4" s="1"/>
  <c r="AZ209" i="4" s="1"/>
  <c r="R191" i="4"/>
  <c r="S191" i="4" s="1"/>
  <c r="AZ191" i="4" s="1"/>
  <c r="R187" i="4"/>
  <c r="S187" i="4" s="1"/>
  <c r="AZ187" i="4" s="1"/>
  <c r="R183" i="4"/>
  <c r="S183" i="4" s="1"/>
  <c r="AZ183" i="4" s="1"/>
  <c r="R159" i="4"/>
  <c r="S159" i="4" s="1"/>
  <c r="AZ159" i="4" s="1"/>
  <c r="R352" i="3"/>
  <c r="S352" i="3" s="1"/>
  <c r="AZ352" i="3" s="1"/>
  <c r="R332" i="3"/>
  <c r="S332" i="3" s="1"/>
  <c r="AZ332" i="3" s="1"/>
  <c r="R318" i="3"/>
  <c r="S318" i="3" s="1"/>
  <c r="AZ318" i="3" s="1"/>
  <c r="R308" i="3"/>
  <c r="S308" i="3" s="1"/>
  <c r="AZ308" i="3" s="1"/>
  <c r="R288" i="3"/>
  <c r="S288" i="3" s="1"/>
  <c r="AZ288" i="3" s="1"/>
  <c r="AZ349" i="3"/>
  <c r="R349" i="3"/>
  <c r="S349" i="3" s="1"/>
  <c r="R329" i="3"/>
  <c r="S329" i="3" s="1"/>
  <c r="AZ329" i="3" s="1"/>
  <c r="R315" i="3"/>
  <c r="S315" i="3" s="1"/>
  <c r="AZ315" i="3" s="1"/>
  <c r="R305" i="3"/>
  <c r="S305" i="3" s="1"/>
  <c r="AZ305" i="3" s="1"/>
  <c r="R293" i="3"/>
  <c r="S293" i="3" s="1"/>
  <c r="AZ293" i="3" s="1"/>
  <c r="R281" i="3"/>
  <c r="S281" i="3" s="1"/>
  <c r="AZ281" i="3" s="1"/>
  <c r="R277" i="3"/>
  <c r="S277" i="3" s="1"/>
  <c r="AZ277" i="3" s="1"/>
  <c r="R273" i="3"/>
  <c r="S273" i="3" s="1"/>
  <c r="AZ273" i="3" s="1"/>
  <c r="R255" i="3"/>
  <c r="S255" i="3" s="1"/>
  <c r="AZ255" i="3" s="1"/>
  <c r="R237" i="3"/>
  <c r="S237" i="3" s="1"/>
  <c r="AZ237" i="3" s="1"/>
  <c r="R223" i="3"/>
  <c r="S223" i="3" s="1"/>
  <c r="AZ223" i="3" s="1"/>
  <c r="R207" i="3"/>
  <c r="S207" i="3" s="1"/>
  <c r="AZ207" i="3" s="1"/>
  <c r="R346" i="3"/>
  <c r="S346" i="3" s="1"/>
  <c r="AZ346" i="3"/>
  <c r="R338" i="3"/>
  <c r="S338" i="3" s="1"/>
  <c r="AZ338" i="3"/>
  <c r="R330" i="3"/>
  <c r="S330" i="3" s="1"/>
  <c r="AZ330" i="3"/>
  <c r="R320" i="3"/>
  <c r="S320" i="3" s="1"/>
  <c r="AZ320" i="3"/>
  <c r="R312" i="3"/>
  <c r="S312" i="3" s="1"/>
  <c r="AZ312" i="3"/>
  <c r="R306" i="3"/>
  <c r="S306" i="3" s="1"/>
  <c r="AZ306" i="3"/>
  <c r="R298" i="3"/>
  <c r="S298" i="3" s="1"/>
  <c r="AZ298" i="3"/>
  <c r="R290" i="3"/>
  <c r="S290" i="3" s="1"/>
  <c r="AZ290" i="3"/>
  <c r="R282" i="3"/>
  <c r="S282" i="3" s="1"/>
  <c r="AZ282" i="3"/>
  <c r="R274" i="3"/>
  <c r="S274" i="3" s="1"/>
  <c r="AZ274" i="3"/>
  <c r="R264" i="3"/>
  <c r="S264" i="3" s="1"/>
  <c r="AZ264" i="3"/>
  <c r="R256" i="3"/>
  <c r="S256" i="3" s="1"/>
  <c r="AZ256" i="3"/>
  <c r="R248" i="3"/>
  <c r="S248" i="3" s="1"/>
  <c r="AZ248" i="3" s="1"/>
  <c r="R230" i="3"/>
  <c r="S230" i="3" s="1"/>
  <c r="AZ230" i="3" s="1"/>
  <c r="R202" i="3"/>
  <c r="S202" i="3" s="1"/>
  <c r="AZ202" i="3" s="1"/>
  <c r="R351" i="3"/>
  <c r="S351" i="3" s="1"/>
  <c r="AZ351" i="3"/>
  <c r="R339" i="3"/>
  <c r="S339" i="3" s="1"/>
  <c r="AZ339" i="3"/>
  <c r="R325" i="3"/>
  <c r="S325" i="3" s="1"/>
  <c r="AZ325" i="3"/>
  <c r="R317" i="3"/>
  <c r="S317" i="3" s="1"/>
  <c r="AZ317" i="3"/>
  <c r="R307" i="3"/>
  <c r="S307" i="3" s="1"/>
  <c r="AZ307" i="3"/>
  <c r="R291" i="3"/>
  <c r="S291" i="3" s="1"/>
  <c r="AZ291" i="3"/>
  <c r="R279" i="3"/>
  <c r="S279" i="3" s="1"/>
  <c r="AZ279" i="3" s="1"/>
  <c r="R261" i="3"/>
  <c r="S261" i="3" s="1"/>
  <c r="AZ261" i="3" s="1"/>
  <c r="R249" i="3"/>
  <c r="S249" i="3" s="1"/>
  <c r="AZ249" i="3" s="1"/>
  <c r="R199" i="3"/>
  <c r="S199" i="3" s="1"/>
  <c r="AZ199" i="3"/>
  <c r="AZ181" i="3"/>
  <c r="R181" i="3"/>
  <c r="S181" i="3" s="1"/>
  <c r="AZ175" i="3"/>
  <c r="R175" i="3"/>
  <c r="S175" i="3" s="1"/>
  <c r="AZ170" i="3"/>
  <c r="R170" i="3"/>
  <c r="S170" i="3" s="1"/>
  <c r="AZ156" i="3"/>
  <c r="R156" i="3"/>
  <c r="S156" i="3" s="1"/>
  <c r="AZ339" i="2"/>
  <c r="R339" i="2"/>
  <c r="S339" i="2" s="1"/>
  <c r="AZ317" i="2"/>
  <c r="R317" i="2"/>
  <c r="S317" i="2" s="1"/>
  <c r="AZ307" i="2"/>
  <c r="R307" i="2"/>
  <c r="S307" i="2" s="1"/>
  <c r="AZ291" i="2"/>
  <c r="R291" i="2"/>
  <c r="S291" i="2" s="1"/>
  <c r="AZ275" i="2"/>
  <c r="R275" i="2"/>
  <c r="S275" i="2" s="1"/>
  <c r="AZ269" i="2"/>
  <c r="R269" i="2"/>
  <c r="S269" i="2" s="1"/>
  <c r="AZ253" i="2"/>
  <c r="R253" i="2"/>
  <c r="S253" i="2" s="1"/>
  <c r="AZ231" i="2"/>
  <c r="R231" i="2"/>
  <c r="S231" i="2" s="1"/>
  <c r="AZ225" i="2"/>
  <c r="R225" i="2"/>
  <c r="S225" i="2" s="1"/>
  <c r="AZ209" i="2"/>
  <c r="R209" i="2"/>
  <c r="S209" i="2" s="1"/>
  <c r="AZ203" i="2"/>
  <c r="R203" i="2"/>
  <c r="S203" i="2" s="1"/>
  <c r="AZ191" i="2"/>
  <c r="R191" i="2"/>
  <c r="S191" i="2" s="1"/>
  <c r="R175" i="2"/>
  <c r="S175" i="2" s="1"/>
  <c r="AZ175" i="2" s="1"/>
  <c r="AZ159" i="2"/>
  <c r="R159" i="2"/>
  <c r="S159" i="2" s="1"/>
  <c r="R228" i="3"/>
  <c r="S228" i="3" s="1"/>
  <c r="AZ228" i="3" s="1"/>
  <c r="R196" i="3"/>
  <c r="S196" i="3" s="1"/>
  <c r="AZ196" i="3" s="1"/>
  <c r="R222" i="3"/>
  <c r="S222" i="3" s="1"/>
  <c r="AZ222" i="3" s="1"/>
  <c r="R213" i="3"/>
  <c r="S213" i="3" s="1"/>
  <c r="AZ213" i="3" s="1"/>
  <c r="R182" i="3"/>
  <c r="S182" i="3" s="1"/>
  <c r="AZ182" i="3" s="1"/>
  <c r="R236" i="3"/>
  <c r="S236" i="3" s="1"/>
  <c r="AZ236" i="3" s="1"/>
  <c r="R225" i="3"/>
  <c r="S225" i="3" s="1"/>
  <c r="AZ225" i="3" s="1"/>
  <c r="R206" i="3"/>
  <c r="S206" i="3" s="1"/>
  <c r="AZ206" i="3" s="1"/>
  <c r="F71" i="10"/>
  <c r="F82" i="10"/>
  <c r="L71" i="10"/>
  <c r="F84" i="6"/>
  <c r="L73" i="6"/>
  <c r="F73" i="6"/>
  <c r="F84" i="5"/>
  <c r="L73" i="5"/>
  <c r="F73" i="5"/>
  <c r="F71" i="4"/>
  <c r="F82" i="4"/>
  <c r="L71" i="4"/>
  <c r="R346" i="11"/>
  <c r="S346" i="11" s="1"/>
  <c r="AZ346" i="11" s="1"/>
  <c r="AZ337" i="11"/>
  <c r="R337" i="11"/>
  <c r="S337" i="11" s="1"/>
  <c r="AZ330" i="11"/>
  <c r="R330" i="11"/>
  <c r="S330" i="11" s="1"/>
  <c r="R340" i="11"/>
  <c r="S340" i="11" s="1"/>
  <c r="AZ340" i="11" s="1"/>
  <c r="AZ314" i="11"/>
  <c r="R314" i="11"/>
  <c r="S314" i="11" s="1"/>
  <c r="AZ348" i="11"/>
  <c r="R348" i="11"/>
  <c r="S348" i="11" s="1"/>
  <c r="R344" i="11"/>
  <c r="S344" i="11" s="1"/>
  <c r="AZ344" i="11" s="1"/>
  <c r="AZ297" i="11"/>
  <c r="R297" i="11"/>
  <c r="S297" i="11" s="1"/>
  <c r="R306" i="11"/>
  <c r="S306" i="11" s="1"/>
  <c r="AZ306" i="11" s="1"/>
  <c r="AZ286" i="11"/>
  <c r="R286" i="11"/>
  <c r="S286" i="11" s="1"/>
  <c r="R317" i="11"/>
  <c r="S317" i="11" s="1"/>
  <c r="AZ317" i="11" s="1"/>
  <c r="AZ283" i="11"/>
  <c r="R283" i="11"/>
  <c r="S283" i="11" s="1"/>
  <c r="AZ270" i="11"/>
  <c r="R270" i="11"/>
  <c r="S270" i="11" s="1"/>
  <c r="AZ254" i="11"/>
  <c r="R254" i="11"/>
  <c r="S254" i="11" s="1"/>
  <c r="AZ236" i="11"/>
  <c r="R236" i="11"/>
  <c r="S236" i="11" s="1"/>
  <c r="R288" i="11"/>
  <c r="S288" i="11" s="1"/>
  <c r="AZ288" i="11" s="1"/>
  <c r="AZ281" i="11"/>
  <c r="R281" i="11"/>
  <c r="S281" i="11" s="1"/>
  <c r="AZ263" i="11"/>
  <c r="R263" i="11"/>
  <c r="S263" i="11" s="1"/>
  <c r="AZ247" i="11"/>
  <c r="R247" i="11"/>
  <c r="S247" i="11" s="1"/>
  <c r="AZ228" i="11"/>
  <c r="R228" i="11"/>
  <c r="S228" i="11" s="1"/>
  <c r="R216" i="11"/>
  <c r="S216" i="11" s="1"/>
  <c r="AZ216" i="11" s="1"/>
  <c r="AZ198" i="11"/>
  <c r="R198" i="11"/>
  <c r="S198" i="11" s="1"/>
  <c r="R269" i="11"/>
  <c r="S269" i="11" s="1"/>
  <c r="AZ269" i="11" s="1"/>
  <c r="R253" i="11"/>
  <c r="S253" i="11" s="1"/>
  <c r="AZ253" i="11" s="1"/>
  <c r="R235" i="11"/>
  <c r="S235" i="11" s="1"/>
  <c r="AZ235" i="11" s="1"/>
  <c r="R231" i="11"/>
  <c r="S231" i="11" s="1"/>
  <c r="AZ231" i="11" s="1"/>
  <c r="AZ221" i="11"/>
  <c r="R221" i="11"/>
  <c r="S221" i="11" s="1"/>
  <c r="AZ203" i="11"/>
  <c r="R203" i="11"/>
  <c r="S203" i="11" s="1"/>
  <c r="R295" i="11"/>
  <c r="S295" i="11" s="1"/>
  <c r="AZ295" i="11" s="1"/>
  <c r="AZ232" i="11"/>
  <c r="R232" i="11"/>
  <c r="S232" i="11" s="1"/>
  <c r="AZ315" i="11"/>
  <c r="R315" i="11"/>
  <c r="S315" i="11" s="1"/>
  <c r="R257" i="11"/>
  <c r="S257" i="11" s="1"/>
  <c r="AZ257" i="11" s="1"/>
  <c r="R256" i="11"/>
  <c r="S256" i="11" s="1"/>
  <c r="AZ256" i="11" s="1"/>
  <c r="R204" i="11"/>
  <c r="S204" i="11" s="1"/>
  <c r="AZ204" i="11" s="1"/>
  <c r="R189" i="11"/>
  <c r="S189" i="11" s="1"/>
  <c r="AZ189" i="11" s="1"/>
  <c r="R275" i="11"/>
  <c r="S275" i="11" s="1"/>
  <c r="AZ275" i="11" s="1"/>
  <c r="R274" i="11"/>
  <c r="S274" i="11" s="1"/>
  <c r="AZ274" i="11" s="1"/>
  <c r="R265" i="11"/>
  <c r="S265" i="11" s="1"/>
  <c r="AZ265" i="11" s="1"/>
  <c r="R264" i="11"/>
  <c r="S264" i="11" s="1"/>
  <c r="AZ264" i="11" s="1"/>
  <c r="R218" i="11"/>
  <c r="S218" i="11" s="1"/>
  <c r="AZ218" i="11" s="1"/>
  <c r="AZ338" i="10"/>
  <c r="R338" i="10"/>
  <c r="S338" i="10" s="1"/>
  <c r="AZ320" i="10"/>
  <c r="R320" i="10"/>
  <c r="S320" i="10" s="1"/>
  <c r="AZ306" i="10"/>
  <c r="R306" i="10"/>
  <c r="S306" i="10" s="1"/>
  <c r="AZ321" i="10"/>
  <c r="R321" i="10"/>
  <c r="S321" i="10" s="1"/>
  <c r="R349" i="10"/>
  <c r="S349" i="10" s="1"/>
  <c r="AZ349" i="10" s="1"/>
  <c r="R348" i="10"/>
  <c r="S348" i="10" s="1"/>
  <c r="AZ348" i="10" s="1"/>
  <c r="AZ276" i="10"/>
  <c r="R276" i="10"/>
  <c r="S276" i="10" s="1"/>
  <c r="R314" i="10"/>
  <c r="S314" i="10" s="1"/>
  <c r="AZ314" i="10" s="1"/>
  <c r="R296" i="10"/>
  <c r="S296" i="10" s="1"/>
  <c r="AZ296" i="10" s="1"/>
  <c r="AZ277" i="10"/>
  <c r="R277" i="10"/>
  <c r="S277" i="10" s="1"/>
  <c r="AZ259" i="10"/>
  <c r="R259" i="10"/>
  <c r="S259" i="10" s="1"/>
  <c r="AZ245" i="10"/>
  <c r="R245" i="10"/>
  <c r="S245" i="10" s="1"/>
  <c r="R318" i="10"/>
  <c r="S318" i="10" s="1"/>
  <c r="AZ318" i="10" s="1"/>
  <c r="AZ183" i="10"/>
  <c r="R183" i="10"/>
  <c r="S183" i="10" s="1"/>
  <c r="AZ352" i="9"/>
  <c r="R352" i="9"/>
  <c r="S352" i="9" s="1"/>
  <c r="AZ336" i="9"/>
  <c r="R336" i="9"/>
  <c r="S336" i="9" s="1"/>
  <c r="AZ318" i="9"/>
  <c r="R318" i="9"/>
  <c r="S318" i="9" s="1"/>
  <c r="AZ300" i="9"/>
  <c r="R300" i="9"/>
  <c r="S300" i="9" s="1"/>
  <c r="R352" i="10"/>
  <c r="S352" i="10" s="1"/>
  <c r="AZ352" i="10" s="1"/>
  <c r="R337" i="10"/>
  <c r="S337" i="10" s="1"/>
  <c r="AZ337" i="10" s="1"/>
  <c r="R292" i="10"/>
  <c r="S292" i="10" s="1"/>
  <c r="AZ292" i="10"/>
  <c r="R285" i="10"/>
  <c r="S285" i="10" s="1"/>
  <c r="AZ285" i="10" s="1"/>
  <c r="R283" i="10"/>
  <c r="S283" i="10" s="1"/>
  <c r="AZ283" i="10" s="1"/>
  <c r="R275" i="10"/>
  <c r="S275" i="10" s="1"/>
  <c r="AZ275" i="10" s="1"/>
  <c r="R265" i="10"/>
  <c r="S265" i="10" s="1"/>
  <c r="AZ265" i="10"/>
  <c r="R257" i="10"/>
  <c r="S257" i="10" s="1"/>
  <c r="AZ257" i="10" s="1"/>
  <c r="R249" i="10"/>
  <c r="S249" i="10" s="1"/>
  <c r="AZ249" i="10"/>
  <c r="AZ195" i="10"/>
  <c r="R195" i="10"/>
  <c r="S195" i="10" s="1"/>
  <c r="AZ349" i="9"/>
  <c r="R349" i="9"/>
  <c r="S349" i="9" s="1"/>
  <c r="R347" i="9"/>
  <c r="S347" i="9" s="1"/>
  <c r="AZ347" i="9" s="1"/>
  <c r="R346" i="9"/>
  <c r="S346" i="9" s="1"/>
  <c r="AZ346" i="9" s="1"/>
  <c r="AZ341" i="9"/>
  <c r="R341" i="9"/>
  <c r="S341" i="9" s="1"/>
  <c r="R325" i="9"/>
  <c r="S325" i="9" s="1"/>
  <c r="AZ325" i="9" s="1"/>
  <c r="R324" i="9"/>
  <c r="S324" i="9" s="1"/>
  <c r="AZ324" i="9" s="1"/>
  <c r="AZ274" i="9"/>
  <c r="R274" i="9"/>
  <c r="S274" i="9" s="1"/>
  <c r="AZ256" i="9"/>
  <c r="R256" i="9"/>
  <c r="S256" i="9" s="1"/>
  <c r="AZ238" i="9"/>
  <c r="R238" i="9"/>
  <c r="S238" i="9" s="1"/>
  <c r="AZ220" i="9"/>
  <c r="R220" i="9"/>
  <c r="S220" i="9" s="1"/>
  <c r="R310" i="9"/>
  <c r="S310" i="9" s="1"/>
  <c r="AZ310" i="9" s="1"/>
  <c r="AZ297" i="9"/>
  <c r="R297" i="9"/>
  <c r="S297" i="9" s="1"/>
  <c r="R295" i="9"/>
  <c r="S295" i="9" s="1"/>
  <c r="AZ295" i="9" s="1"/>
  <c r="AZ287" i="9"/>
  <c r="R287" i="9"/>
  <c r="S287" i="9" s="1"/>
  <c r="AZ279" i="9"/>
  <c r="R279" i="9"/>
  <c r="S279" i="9" s="1"/>
  <c r="AZ265" i="9"/>
  <c r="R265" i="9"/>
  <c r="S265" i="9" s="1"/>
  <c r="AZ221" i="9"/>
  <c r="R221" i="9"/>
  <c r="S221" i="9" s="1"/>
  <c r="R240" i="9"/>
  <c r="S240" i="9" s="1"/>
  <c r="AZ240" i="9" s="1"/>
  <c r="R210" i="9"/>
  <c r="S210" i="9" s="1"/>
  <c r="AZ210" i="9"/>
  <c r="R206" i="9"/>
  <c r="S206" i="9" s="1"/>
  <c r="AZ206" i="9" s="1"/>
  <c r="R319" i="9"/>
  <c r="S319" i="9" s="1"/>
  <c r="AZ319" i="9" s="1"/>
  <c r="R285" i="9"/>
  <c r="S285" i="9" s="1"/>
  <c r="AZ285" i="9" s="1"/>
  <c r="R281" i="9"/>
  <c r="S281" i="9" s="1"/>
  <c r="AZ281" i="9"/>
  <c r="R277" i="9"/>
  <c r="S277" i="9" s="1"/>
  <c r="AZ277" i="9" s="1"/>
  <c r="R247" i="9"/>
  <c r="S247" i="9" s="1"/>
  <c r="AZ247" i="9" s="1"/>
  <c r="R237" i="9"/>
  <c r="S237" i="9" s="1"/>
  <c r="AZ237" i="9" s="1"/>
  <c r="R233" i="9"/>
  <c r="S233" i="9" s="1"/>
  <c r="AZ233" i="9" s="1"/>
  <c r="R223" i="9"/>
  <c r="S223" i="9" s="1"/>
  <c r="AZ223" i="9" s="1"/>
  <c r="R190" i="9"/>
  <c r="S190" i="9" s="1"/>
  <c r="AZ190" i="9" s="1"/>
  <c r="AZ186" i="9"/>
  <c r="R186" i="9"/>
  <c r="S186" i="9" s="1"/>
  <c r="R166" i="9"/>
  <c r="S166" i="9" s="1"/>
  <c r="AZ166" i="9" s="1"/>
  <c r="R156" i="9"/>
  <c r="S156" i="9" s="1"/>
  <c r="AZ156" i="9" s="1"/>
  <c r="R152" i="9"/>
  <c r="S152" i="9" s="1"/>
  <c r="AZ152" i="9" s="1"/>
  <c r="R351" i="8"/>
  <c r="S351" i="8" s="1"/>
  <c r="AZ351" i="8" s="1"/>
  <c r="R339" i="8"/>
  <c r="S339" i="8" s="1"/>
  <c r="AZ339" i="8" s="1"/>
  <c r="R321" i="8"/>
  <c r="S321" i="8" s="1"/>
  <c r="AZ321" i="8" s="1"/>
  <c r="R318" i="8"/>
  <c r="S318" i="8" s="1"/>
  <c r="AZ318" i="8" s="1"/>
  <c r="R349" i="8"/>
  <c r="S349" i="8" s="1"/>
  <c r="AZ349" i="8"/>
  <c r="R345" i="8"/>
  <c r="S345" i="8" s="1"/>
  <c r="AZ345" i="8"/>
  <c r="R201" i="9"/>
  <c r="S201" i="9" s="1"/>
  <c r="AZ201" i="9"/>
  <c r="R350" i="8"/>
  <c r="S350" i="8" s="1"/>
  <c r="AZ350" i="8"/>
  <c r="R342" i="8"/>
  <c r="S342" i="8" s="1"/>
  <c r="AZ342" i="8" s="1"/>
  <c r="AZ296" i="8"/>
  <c r="R296" i="8"/>
  <c r="S296" i="8" s="1"/>
  <c r="R291" i="8"/>
  <c r="S291" i="8" s="1"/>
  <c r="AZ291" i="8" s="1"/>
  <c r="AZ282" i="8"/>
  <c r="R282" i="8"/>
  <c r="S282" i="8" s="1"/>
  <c r="R260" i="8"/>
  <c r="S260" i="8" s="1"/>
  <c r="AZ260" i="8" s="1"/>
  <c r="AZ234" i="8"/>
  <c r="R234" i="8"/>
  <c r="S234" i="8" s="1"/>
  <c r="R212" i="8"/>
  <c r="S212" i="8" s="1"/>
  <c r="AZ212" i="8" s="1"/>
  <c r="AZ190" i="8"/>
  <c r="R190" i="8"/>
  <c r="S190" i="8" s="1"/>
  <c r="R174" i="8"/>
  <c r="S174" i="8" s="1"/>
  <c r="AZ174" i="8" s="1"/>
  <c r="AZ158" i="8"/>
  <c r="R158" i="8"/>
  <c r="S158" i="8" s="1"/>
  <c r="R148" i="8"/>
  <c r="S148" i="8" s="1"/>
  <c r="AZ148" i="8" s="1"/>
  <c r="R309" i="8"/>
  <c r="S309" i="8" s="1"/>
  <c r="AZ309" i="8" s="1"/>
  <c r="AZ348" i="7"/>
  <c r="R348" i="7"/>
  <c r="S348" i="7" s="1"/>
  <c r="R341" i="7"/>
  <c r="S341" i="7" s="1"/>
  <c r="AZ341" i="7" s="1"/>
  <c r="R300" i="8"/>
  <c r="S300" i="8" s="1"/>
  <c r="AZ300" i="8" s="1"/>
  <c r="R342" i="7"/>
  <c r="S342" i="7" s="1"/>
  <c r="AZ342" i="7"/>
  <c r="AZ309" i="7"/>
  <c r="R309" i="7"/>
  <c r="S309" i="7" s="1"/>
  <c r="R293" i="7"/>
  <c r="S293" i="7" s="1"/>
  <c r="AZ293" i="7" s="1"/>
  <c r="AZ346" i="6"/>
  <c r="R346" i="6"/>
  <c r="S346" i="6" s="1"/>
  <c r="R306" i="6"/>
  <c r="S306" i="6" s="1"/>
  <c r="AZ306" i="6" s="1"/>
  <c r="AZ298" i="6"/>
  <c r="R298" i="6"/>
  <c r="S298" i="6" s="1"/>
  <c r="R290" i="6"/>
  <c r="S290" i="6" s="1"/>
  <c r="AZ290" i="6" s="1"/>
  <c r="R282" i="6"/>
  <c r="S282" i="6" s="1"/>
  <c r="AZ282" i="6" s="1"/>
  <c r="R264" i="6"/>
  <c r="S264" i="6" s="1"/>
  <c r="AZ264" i="6" s="1"/>
  <c r="R256" i="6"/>
  <c r="S256" i="6" s="1"/>
  <c r="AZ256" i="6" s="1"/>
  <c r="R234" i="6"/>
  <c r="S234" i="6" s="1"/>
  <c r="AZ234" i="6" s="1"/>
  <c r="R224" i="6"/>
  <c r="S224" i="6" s="1"/>
  <c r="AZ224" i="6" s="1"/>
  <c r="R198" i="6"/>
  <c r="S198" i="6" s="1"/>
  <c r="AZ198" i="6" s="1"/>
  <c r="R182" i="6"/>
  <c r="S182" i="6" s="1"/>
  <c r="AZ182" i="6" s="1"/>
  <c r="R166" i="6"/>
  <c r="S166" i="6" s="1"/>
  <c r="AZ166" i="6" s="1"/>
  <c r="R343" i="6"/>
  <c r="S343" i="6" s="1"/>
  <c r="AZ343" i="6" s="1"/>
  <c r="R295" i="6"/>
  <c r="S295" i="6" s="1"/>
  <c r="AZ295" i="6" s="1"/>
  <c r="R291" i="6"/>
  <c r="S291" i="6" s="1"/>
  <c r="AZ291" i="6" s="1"/>
  <c r="R253" i="6"/>
  <c r="S253" i="6" s="1"/>
  <c r="AZ253" i="6" s="1"/>
  <c r="R249" i="6"/>
  <c r="S249" i="6" s="1"/>
  <c r="AZ249" i="6" s="1"/>
  <c r="R217" i="6"/>
  <c r="S217" i="6" s="1"/>
  <c r="AZ217" i="6" s="1"/>
  <c r="R203" i="6"/>
  <c r="S203" i="6" s="1"/>
  <c r="AZ203" i="6" s="1"/>
  <c r="R195" i="6"/>
  <c r="S195" i="6" s="1"/>
  <c r="AZ195" i="6" s="1"/>
  <c r="R187" i="6"/>
  <c r="S187" i="6" s="1"/>
  <c r="AZ187" i="6" s="1"/>
  <c r="R179" i="6"/>
  <c r="S179" i="6" s="1"/>
  <c r="AZ179" i="6" s="1"/>
  <c r="R348" i="6"/>
  <c r="S348" i="6" s="1"/>
  <c r="AZ348" i="6"/>
  <c r="R344" i="6"/>
  <c r="S344" i="6" s="1"/>
  <c r="AZ344" i="6"/>
  <c r="R336" i="6"/>
  <c r="S336" i="6" s="1"/>
  <c r="AZ336" i="6"/>
  <c r="R326" i="6"/>
  <c r="S326" i="6" s="1"/>
  <c r="AZ326" i="6"/>
  <c r="R318" i="6"/>
  <c r="S318" i="6" s="1"/>
  <c r="AZ318" i="6"/>
  <c r="R304" i="6"/>
  <c r="S304" i="6" s="1"/>
  <c r="AZ304" i="6"/>
  <c r="R296" i="6"/>
  <c r="S296" i="6" s="1"/>
  <c r="AZ296" i="6"/>
  <c r="R288" i="6"/>
  <c r="S288" i="6" s="1"/>
  <c r="AZ288" i="6"/>
  <c r="R280" i="6"/>
  <c r="S280" i="6" s="1"/>
  <c r="AZ280" i="6"/>
  <c r="R266" i="6"/>
  <c r="S266" i="6" s="1"/>
  <c r="AZ266" i="6"/>
  <c r="R250" i="6"/>
  <c r="S250" i="6" s="1"/>
  <c r="AZ250" i="6"/>
  <c r="R349" i="6"/>
  <c r="S349" i="6" s="1"/>
  <c r="AZ349" i="6"/>
  <c r="R345" i="6"/>
  <c r="S345" i="6" s="1"/>
  <c r="AZ345" i="6"/>
  <c r="R315" i="6"/>
  <c r="S315" i="6" s="1"/>
  <c r="AZ315" i="6"/>
  <c r="R285" i="6"/>
  <c r="S285" i="6" s="1"/>
  <c r="AZ285" i="6"/>
  <c r="R267" i="6"/>
  <c r="S267" i="6" s="1"/>
  <c r="AZ267" i="6" s="1"/>
  <c r="R263" i="6"/>
  <c r="S263" i="6" s="1"/>
  <c r="AZ263" i="6" s="1"/>
  <c r="R245" i="6"/>
  <c r="S245" i="6" s="1"/>
  <c r="AZ245" i="6" s="1"/>
  <c r="R241" i="6"/>
  <c r="S241" i="6" s="1"/>
  <c r="AZ241" i="6" s="1"/>
  <c r="R237" i="6"/>
  <c r="S237" i="6" s="1"/>
  <c r="AZ237" i="6" s="1"/>
  <c r="AZ163" i="6"/>
  <c r="R163" i="6"/>
  <c r="S163" i="6" s="1"/>
  <c r="AZ159" i="6"/>
  <c r="R159" i="6"/>
  <c r="S159" i="6" s="1"/>
  <c r="R350" i="5"/>
  <c r="S350" i="5" s="1"/>
  <c r="AZ350" i="5" s="1"/>
  <c r="R334" i="5"/>
  <c r="S334" i="5" s="1"/>
  <c r="AZ334" i="5" s="1"/>
  <c r="AZ330" i="5"/>
  <c r="R330" i="5"/>
  <c r="S330" i="5" s="1"/>
  <c r="AZ310" i="5"/>
  <c r="R310" i="5"/>
  <c r="S310" i="5" s="1"/>
  <c r="AZ306" i="5"/>
  <c r="R306" i="5"/>
  <c r="S306" i="5" s="1"/>
  <c r="AZ302" i="5"/>
  <c r="R302" i="5"/>
  <c r="S302" i="5" s="1"/>
  <c r="AZ298" i="5"/>
  <c r="R298" i="5"/>
  <c r="S298" i="5" s="1"/>
  <c r="AZ294" i="5"/>
  <c r="R294" i="5"/>
  <c r="S294" i="5" s="1"/>
  <c r="AZ290" i="5"/>
  <c r="R290" i="5"/>
  <c r="S290" i="5" s="1"/>
  <c r="AZ286" i="5"/>
  <c r="R286" i="5"/>
  <c r="S286" i="5" s="1"/>
  <c r="AZ282" i="5"/>
  <c r="R282" i="5"/>
  <c r="S282" i="5" s="1"/>
  <c r="AZ278" i="5"/>
  <c r="R278" i="5"/>
  <c r="S278" i="5" s="1"/>
  <c r="AZ274" i="5"/>
  <c r="R274" i="5"/>
  <c r="S274" i="5" s="1"/>
  <c r="AZ242" i="5"/>
  <c r="R242" i="5"/>
  <c r="S242" i="5" s="1"/>
  <c r="AZ238" i="5"/>
  <c r="R238" i="5"/>
  <c r="S238" i="5" s="1"/>
  <c r="R234" i="5"/>
  <c r="S234" i="5" s="1"/>
  <c r="AZ234" i="5" s="1"/>
  <c r="AZ230" i="5"/>
  <c r="R230" i="5"/>
  <c r="S230" i="5" s="1"/>
  <c r="R202" i="5"/>
  <c r="S202" i="5" s="1"/>
  <c r="AZ202" i="5" s="1"/>
  <c r="R198" i="5"/>
  <c r="S198" i="5" s="1"/>
  <c r="AZ198" i="5" s="1"/>
  <c r="R194" i="5"/>
  <c r="S194" i="5" s="1"/>
  <c r="AZ194" i="5" s="1"/>
  <c r="R190" i="5"/>
  <c r="S190" i="5" s="1"/>
  <c r="AZ190" i="5" s="1"/>
  <c r="R186" i="5"/>
  <c r="S186" i="5" s="1"/>
  <c r="AZ186" i="5" s="1"/>
  <c r="R182" i="5"/>
  <c r="S182" i="5" s="1"/>
  <c r="AZ182" i="5" s="1"/>
  <c r="R178" i="5"/>
  <c r="S178" i="5" s="1"/>
  <c r="AZ178" i="5" s="1"/>
  <c r="R174" i="5"/>
  <c r="S174" i="5" s="1"/>
  <c r="AZ174" i="5" s="1"/>
  <c r="R170" i="5"/>
  <c r="S170" i="5" s="1"/>
  <c r="AZ170" i="5" s="1"/>
  <c r="R166" i="5"/>
  <c r="S166" i="5" s="1"/>
  <c r="AZ166" i="5" s="1"/>
  <c r="R162" i="5"/>
  <c r="S162" i="5" s="1"/>
  <c r="AZ162" i="5" s="1"/>
  <c r="R158" i="5"/>
  <c r="S158" i="5" s="1"/>
  <c r="AZ158" i="5" s="1"/>
  <c r="R352" i="5"/>
  <c r="S352" i="5" s="1"/>
  <c r="AZ352" i="5" s="1"/>
  <c r="R206" i="6"/>
  <c r="S206" i="6" s="1"/>
  <c r="AZ206" i="6"/>
  <c r="R189" i="6"/>
  <c r="S189" i="6" s="1"/>
  <c r="AZ189" i="6"/>
  <c r="R188" i="6"/>
  <c r="S188" i="6" s="1"/>
  <c r="AZ188" i="6"/>
  <c r="R340" i="5"/>
  <c r="S340" i="5" s="1"/>
  <c r="AZ340" i="5" s="1"/>
  <c r="R325" i="4"/>
  <c r="S325" i="4" s="1"/>
  <c r="AZ325" i="4" s="1"/>
  <c r="R321" i="4"/>
  <c r="S321" i="4" s="1"/>
  <c r="AZ321" i="4" s="1"/>
  <c r="R291" i="4"/>
  <c r="S291" i="4" s="1"/>
  <c r="AZ291" i="4" s="1"/>
  <c r="R287" i="4"/>
  <c r="S287" i="4" s="1"/>
  <c r="AZ287" i="4" s="1"/>
  <c r="R283" i="4"/>
  <c r="S283" i="4" s="1"/>
  <c r="AZ283" i="4" s="1"/>
  <c r="R217" i="4"/>
  <c r="S217" i="4" s="1"/>
  <c r="AZ217" i="4" s="1"/>
  <c r="R203" i="4"/>
  <c r="S203" i="4" s="1"/>
  <c r="AZ203" i="4" s="1"/>
  <c r="R199" i="4"/>
  <c r="S199" i="4" s="1"/>
  <c r="AZ199" i="4" s="1"/>
  <c r="R195" i="4"/>
  <c r="S195" i="4" s="1"/>
  <c r="AZ195" i="4" s="1"/>
  <c r="R167" i="4"/>
  <c r="S167" i="4" s="1"/>
  <c r="AZ167" i="4" s="1"/>
  <c r="R163" i="4"/>
  <c r="S163" i="4" s="1"/>
  <c r="AZ163" i="4" s="1"/>
  <c r="R340" i="3"/>
  <c r="S340" i="3" s="1"/>
  <c r="AZ340" i="3" s="1"/>
  <c r="R296" i="3"/>
  <c r="S296" i="3" s="1"/>
  <c r="AZ296" i="3" s="1"/>
  <c r="R276" i="3"/>
  <c r="S276" i="3" s="1"/>
  <c r="AZ276" i="3" s="1"/>
  <c r="R266" i="3"/>
  <c r="S266" i="3" s="1"/>
  <c r="AZ266" i="3" s="1"/>
  <c r="R258" i="3"/>
  <c r="S258" i="3" s="1"/>
  <c r="AZ258" i="3" s="1"/>
  <c r="R250" i="3"/>
  <c r="S250" i="3" s="1"/>
  <c r="AZ250" i="3" s="1"/>
  <c r="R333" i="3"/>
  <c r="S333" i="3" s="1"/>
  <c r="AZ333" i="3" s="1"/>
  <c r="R267" i="3"/>
  <c r="S267" i="3" s="1"/>
  <c r="AZ267" i="3" s="1"/>
  <c r="R251" i="3"/>
  <c r="S251" i="3" s="1"/>
  <c r="AZ251" i="3" s="1"/>
  <c r="R247" i="3"/>
  <c r="S247" i="3" s="1"/>
  <c r="AZ247" i="3" s="1"/>
  <c r="R233" i="3"/>
  <c r="S233" i="3" s="1"/>
  <c r="AZ233" i="3" s="1"/>
  <c r="R219" i="3"/>
  <c r="S219" i="3" s="1"/>
  <c r="AZ219" i="3" s="1"/>
  <c r="R242" i="3"/>
  <c r="S242" i="3" s="1"/>
  <c r="AZ242" i="3" s="1"/>
  <c r="R224" i="3"/>
  <c r="S224" i="3" s="1"/>
  <c r="AZ224" i="3" s="1"/>
  <c r="R216" i="3"/>
  <c r="S216" i="3" s="1"/>
  <c r="AZ216" i="3" s="1"/>
  <c r="R208" i="3"/>
  <c r="S208" i="3" s="1"/>
  <c r="AZ208" i="3" s="1"/>
  <c r="R335" i="3"/>
  <c r="S335" i="3" s="1"/>
  <c r="AZ335" i="3"/>
  <c r="R321" i="3"/>
  <c r="S321" i="3" s="1"/>
  <c r="AZ321" i="3" s="1"/>
  <c r="R313" i="3"/>
  <c r="S313" i="3" s="1"/>
  <c r="AZ313" i="3" s="1"/>
  <c r="R303" i="3"/>
  <c r="S303" i="3" s="1"/>
  <c r="AZ303" i="3" s="1"/>
  <c r="R287" i="3"/>
  <c r="S287" i="3" s="1"/>
  <c r="AZ287" i="3" s="1"/>
  <c r="R218" i="3"/>
  <c r="S218" i="3" s="1"/>
  <c r="AZ218" i="3" s="1"/>
  <c r="R210" i="3"/>
  <c r="S210" i="3" s="1"/>
  <c r="AZ210" i="3" s="1"/>
  <c r="R203" i="3"/>
  <c r="S203" i="3" s="1"/>
  <c r="AZ203" i="3" s="1"/>
  <c r="R152" i="3"/>
  <c r="S152" i="3" s="1"/>
  <c r="AZ152" i="3" s="1"/>
  <c r="R343" i="2"/>
  <c r="S343" i="2" s="1"/>
  <c r="AZ343" i="2" s="1"/>
  <c r="R321" i="2"/>
  <c r="S321" i="2" s="1"/>
  <c r="AZ321" i="2" s="1"/>
  <c r="R295" i="2"/>
  <c r="S295" i="2" s="1"/>
  <c r="AZ295" i="2" s="1"/>
  <c r="R279" i="2"/>
  <c r="S279" i="2" s="1"/>
  <c r="AZ279" i="2" s="1"/>
  <c r="R257" i="2"/>
  <c r="S257" i="2" s="1"/>
  <c r="AZ257" i="2" s="1"/>
  <c r="R235" i="2"/>
  <c r="S235" i="2" s="1"/>
  <c r="AZ235" i="2" s="1"/>
  <c r="R213" i="2"/>
  <c r="S213" i="2" s="1"/>
  <c r="AZ213" i="2" s="1"/>
  <c r="R187" i="2"/>
  <c r="S187" i="2" s="1"/>
  <c r="AZ187" i="2" s="1"/>
  <c r="R171" i="2"/>
  <c r="S171" i="2" s="1"/>
  <c r="AZ171" i="2" s="1"/>
  <c r="R153" i="2"/>
  <c r="S153" i="2" s="1"/>
  <c r="AZ153" i="2" s="1"/>
  <c r="R204" i="3"/>
  <c r="S204" i="3" s="1"/>
  <c r="AZ204" i="3" s="1"/>
  <c r="R198" i="3"/>
  <c r="S198" i="3" s="1"/>
  <c r="AZ198" i="3" s="1"/>
  <c r="F72" i="11"/>
  <c r="F83" i="11"/>
  <c r="L72" i="11"/>
  <c r="F82" i="6"/>
  <c r="L71" i="6"/>
  <c r="F71" i="6"/>
  <c r="F73" i="2"/>
  <c r="F84" i="2"/>
  <c r="L73" i="2"/>
  <c r="L70" i="2"/>
  <c r="F70" i="2"/>
  <c r="F81" i="2"/>
  <c r="R333" i="11"/>
  <c r="S333" i="11" s="1"/>
  <c r="AZ333" i="11" s="1"/>
  <c r="R342" i="11"/>
  <c r="S342" i="11" s="1"/>
  <c r="AZ342" i="11" s="1"/>
  <c r="R352" i="11"/>
  <c r="S352" i="11" s="1"/>
  <c r="AZ352" i="11" s="1"/>
  <c r="R308" i="11"/>
  <c r="S308" i="11" s="1"/>
  <c r="AZ308" i="11" s="1"/>
  <c r="R326" i="11"/>
  <c r="S326" i="11" s="1"/>
  <c r="AZ326" i="11" s="1"/>
  <c r="R313" i="11"/>
  <c r="S313" i="11" s="1"/>
  <c r="AZ313" i="11"/>
  <c r="R307" i="11"/>
  <c r="S307" i="11" s="1"/>
  <c r="AZ307" i="11"/>
  <c r="R293" i="11"/>
  <c r="S293" i="11" s="1"/>
  <c r="AZ293" i="11" s="1"/>
  <c r="R320" i="11"/>
  <c r="S320" i="11" s="1"/>
  <c r="AZ320" i="11"/>
  <c r="R305" i="11"/>
  <c r="S305" i="11" s="1"/>
  <c r="AZ305" i="11" s="1"/>
  <c r="R298" i="11"/>
  <c r="S298" i="11" s="1"/>
  <c r="AZ298" i="11" s="1"/>
  <c r="R282" i="11"/>
  <c r="S282" i="11" s="1"/>
  <c r="AZ282" i="11" s="1"/>
  <c r="R303" i="11"/>
  <c r="S303" i="11" s="1"/>
  <c r="AZ303" i="11"/>
  <c r="R280" i="11"/>
  <c r="S280" i="11" s="1"/>
  <c r="AZ280" i="11" s="1"/>
  <c r="R266" i="11"/>
  <c r="S266" i="11" s="1"/>
  <c r="AZ266" i="11" s="1"/>
  <c r="R250" i="11"/>
  <c r="S250" i="11" s="1"/>
  <c r="AZ250" i="11" s="1"/>
  <c r="R310" i="11"/>
  <c r="S310" i="11" s="1"/>
  <c r="AZ310" i="11"/>
  <c r="R287" i="11"/>
  <c r="S287" i="11" s="1"/>
  <c r="AZ287" i="11"/>
  <c r="R277" i="11"/>
  <c r="S277" i="11" s="1"/>
  <c r="AZ277" i="11" s="1"/>
  <c r="R259" i="11"/>
  <c r="S259" i="11" s="1"/>
  <c r="AZ259" i="11" s="1"/>
  <c r="R245" i="11"/>
  <c r="S245" i="11" s="1"/>
  <c r="AZ245" i="11" s="1"/>
  <c r="R260" i="11"/>
  <c r="S260" i="11" s="1"/>
  <c r="AZ260" i="11"/>
  <c r="R242" i="11"/>
  <c r="S242" i="11" s="1"/>
  <c r="AZ242" i="11"/>
  <c r="R217" i="11"/>
  <c r="S217" i="11" s="1"/>
  <c r="AZ217" i="11" s="1"/>
  <c r="R199" i="11"/>
  <c r="S199" i="11" s="1"/>
  <c r="AZ199" i="11" s="1"/>
  <c r="R296" i="11"/>
  <c r="S296" i="11" s="1"/>
  <c r="AZ296" i="11"/>
  <c r="R223" i="11"/>
  <c r="S223" i="11" s="1"/>
  <c r="AZ223" i="11"/>
  <c r="R206" i="11"/>
  <c r="S206" i="11" s="1"/>
  <c r="AZ206" i="11"/>
  <c r="R188" i="11"/>
  <c r="S188" i="11" s="1"/>
  <c r="AZ188" i="11" s="1"/>
  <c r="R201" i="11"/>
  <c r="S201" i="11" s="1"/>
  <c r="AZ201" i="11"/>
  <c r="BA157" i="11"/>
  <c r="BB157" i="11" s="1"/>
  <c r="BC157" i="11"/>
  <c r="BD157" i="11" s="1"/>
  <c r="R350" i="10"/>
  <c r="S350" i="10" s="1"/>
  <c r="AZ350" i="10" s="1"/>
  <c r="R334" i="10"/>
  <c r="S334" i="10" s="1"/>
  <c r="AZ334" i="10" s="1"/>
  <c r="R302" i="10"/>
  <c r="S302" i="10" s="1"/>
  <c r="AZ302" i="10" s="1"/>
  <c r="R347" i="10"/>
  <c r="S347" i="10" s="1"/>
  <c r="AZ347" i="10" s="1"/>
  <c r="R339" i="10"/>
  <c r="S339" i="10" s="1"/>
  <c r="AZ339" i="10" s="1"/>
  <c r="R323" i="10"/>
  <c r="S323" i="10" s="1"/>
  <c r="AZ323" i="10"/>
  <c r="R327" i="10"/>
  <c r="S327" i="10" s="1"/>
  <c r="AZ327" i="10"/>
  <c r="R307" i="10"/>
  <c r="S307" i="10" s="1"/>
  <c r="AZ307" i="10" s="1"/>
  <c r="R290" i="10"/>
  <c r="S290" i="10" s="1"/>
  <c r="AZ290" i="10"/>
  <c r="R258" i="10"/>
  <c r="S258" i="10" s="1"/>
  <c r="AZ258" i="10" s="1"/>
  <c r="R295" i="10"/>
  <c r="S295" i="10" s="1"/>
  <c r="AZ295" i="10" s="1"/>
  <c r="R273" i="10"/>
  <c r="S273" i="10" s="1"/>
  <c r="AZ273" i="10" s="1"/>
  <c r="R255" i="10"/>
  <c r="S255" i="10" s="1"/>
  <c r="AZ255" i="10" s="1"/>
  <c r="R341" i="10"/>
  <c r="S341" i="10" s="1"/>
  <c r="AZ341" i="10"/>
  <c r="R340" i="10"/>
  <c r="S340" i="10" s="1"/>
  <c r="AZ340" i="10"/>
  <c r="R329" i="10"/>
  <c r="S329" i="10" s="1"/>
  <c r="AZ329" i="10"/>
  <c r="R319" i="10"/>
  <c r="S319" i="10" s="1"/>
  <c r="AZ319" i="10"/>
  <c r="R315" i="10"/>
  <c r="S315" i="10" s="1"/>
  <c r="AZ315" i="10"/>
  <c r="R303" i="10"/>
  <c r="S303" i="10" s="1"/>
  <c r="AZ303" i="10" s="1"/>
  <c r="R278" i="10"/>
  <c r="S278" i="10" s="1"/>
  <c r="AZ278" i="10"/>
  <c r="R268" i="10"/>
  <c r="S268" i="10" s="1"/>
  <c r="AZ268" i="10"/>
  <c r="R261" i="10"/>
  <c r="S261" i="10" s="1"/>
  <c r="AZ261" i="10"/>
  <c r="R252" i="10"/>
  <c r="S252" i="10" s="1"/>
  <c r="AZ252" i="10"/>
  <c r="R243" i="10"/>
  <c r="S243" i="10" s="1"/>
  <c r="AZ243" i="10"/>
  <c r="R191" i="10"/>
  <c r="S191" i="10" s="1"/>
  <c r="AZ191" i="10" s="1"/>
  <c r="R348" i="9"/>
  <c r="S348" i="9" s="1"/>
  <c r="AZ348" i="9" s="1"/>
  <c r="R332" i="9"/>
  <c r="S332" i="9" s="1"/>
  <c r="AZ332" i="9" s="1"/>
  <c r="R314" i="9"/>
  <c r="S314" i="9" s="1"/>
  <c r="AZ314" i="9" s="1"/>
  <c r="R296" i="9"/>
  <c r="S296" i="9" s="1"/>
  <c r="AZ296" i="9" s="1"/>
  <c r="AZ325" i="10"/>
  <c r="R325" i="10"/>
  <c r="S325" i="10" s="1"/>
  <c r="AZ203" i="10"/>
  <c r="R203" i="10"/>
  <c r="S203" i="10" s="1"/>
  <c r="R338" i="9"/>
  <c r="S338" i="9" s="1"/>
  <c r="AZ338" i="9" s="1"/>
  <c r="R330" i="9"/>
  <c r="S330" i="9" s="1"/>
  <c r="AZ330" i="9" s="1"/>
  <c r="AZ323" i="9"/>
  <c r="R323" i="9"/>
  <c r="S323" i="9" s="1"/>
  <c r="R321" i="9"/>
  <c r="S321" i="9" s="1"/>
  <c r="AZ321" i="9" s="1"/>
  <c r="AZ305" i="9"/>
  <c r="R305" i="9"/>
  <c r="S305" i="9" s="1"/>
  <c r="AZ289" i="9"/>
  <c r="R289" i="9"/>
  <c r="S289" i="9" s="1"/>
  <c r="AZ286" i="9"/>
  <c r="R286" i="9"/>
  <c r="S286" i="9" s="1"/>
  <c r="AZ268" i="9"/>
  <c r="R268" i="9"/>
  <c r="S268" i="9" s="1"/>
  <c r="AZ252" i="9"/>
  <c r="R252" i="9"/>
  <c r="S252" i="9" s="1"/>
  <c r="AZ234" i="9"/>
  <c r="R234" i="9"/>
  <c r="S234" i="9" s="1"/>
  <c r="AZ216" i="9"/>
  <c r="R216" i="9"/>
  <c r="S216" i="9" s="1"/>
  <c r="AZ315" i="9"/>
  <c r="R315" i="9"/>
  <c r="S315" i="9" s="1"/>
  <c r="AZ283" i="9"/>
  <c r="R283" i="9"/>
  <c r="S283" i="9" s="1"/>
  <c r="AZ275" i="9"/>
  <c r="R275" i="9"/>
  <c r="S275" i="9" s="1"/>
  <c r="AZ269" i="9"/>
  <c r="R269" i="9"/>
  <c r="S269" i="9" s="1"/>
  <c r="AZ261" i="9"/>
  <c r="R261" i="9"/>
  <c r="S261" i="9" s="1"/>
  <c r="AZ243" i="9"/>
  <c r="R243" i="9"/>
  <c r="S243" i="9" s="1"/>
  <c r="AZ239" i="9"/>
  <c r="R239" i="9"/>
  <c r="S239" i="9" s="1"/>
  <c r="AZ217" i="9"/>
  <c r="R217" i="9"/>
  <c r="S217" i="9" s="1"/>
  <c r="AZ213" i="9"/>
  <c r="R213" i="9"/>
  <c r="S213" i="9" s="1"/>
  <c r="AZ203" i="9"/>
  <c r="R203" i="9"/>
  <c r="S203" i="9" s="1"/>
  <c r="R312" i="9"/>
  <c r="S312" i="9" s="1"/>
  <c r="AZ312" i="9" s="1"/>
  <c r="R290" i="9"/>
  <c r="S290" i="9" s="1"/>
  <c r="AZ290" i="9" s="1"/>
  <c r="R284" i="9"/>
  <c r="S284" i="9" s="1"/>
  <c r="AZ284" i="9" s="1"/>
  <c r="R280" i="9"/>
  <c r="S280" i="9" s="1"/>
  <c r="AZ280" i="9" s="1"/>
  <c r="R270" i="9"/>
  <c r="S270" i="9" s="1"/>
  <c r="AZ270" i="9" s="1"/>
  <c r="R254" i="9"/>
  <c r="S254" i="9" s="1"/>
  <c r="AZ254" i="9" s="1"/>
  <c r="R236" i="9"/>
  <c r="S236" i="9" s="1"/>
  <c r="AZ236" i="9" s="1"/>
  <c r="AZ200" i="9"/>
  <c r="R200" i="9"/>
  <c r="S200" i="9" s="1"/>
  <c r="R320" i="9"/>
  <c r="S320" i="9" s="1"/>
  <c r="AZ320" i="9" s="1"/>
  <c r="R307" i="9"/>
  <c r="S307" i="9" s="1"/>
  <c r="AZ307" i="9" s="1"/>
  <c r="R306" i="9"/>
  <c r="S306" i="9" s="1"/>
  <c r="AZ306" i="9" s="1"/>
  <c r="R298" i="9"/>
  <c r="S298" i="9" s="1"/>
  <c r="AZ298" i="9" s="1"/>
  <c r="R294" i="9"/>
  <c r="S294" i="9" s="1"/>
  <c r="AZ294" i="9" s="1"/>
  <c r="R273" i="9"/>
  <c r="S273" i="9" s="1"/>
  <c r="AZ273" i="9" s="1"/>
  <c r="R267" i="9"/>
  <c r="S267" i="9" s="1"/>
  <c r="AZ267" i="9" s="1"/>
  <c r="R263" i="9"/>
  <c r="S263" i="9" s="1"/>
  <c r="AZ263" i="9" s="1"/>
  <c r="R259" i="9"/>
  <c r="S259" i="9" s="1"/>
  <c r="AZ259" i="9" s="1"/>
  <c r="R229" i="9"/>
  <c r="S229" i="9" s="1"/>
  <c r="AZ229" i="9" s="1"/>
  <c r="R219" i="9"/>
  <c r="S219" i="9" s="1"/>
  <c r="AZ219" i="9" s="1"/>
  <c r="AZ182" i="9"/>
  <c r="R182" i="9"/>
  <c r="S182" i="9" s="1"/>
  <c r="AZ178" i="9"/>
  <c r="R178" i="9"/>
  <c r="S178" i="9" s="1"/>
  <c r="AZ162" i="9"/>
  <c r="R162" i="9"/>
  <c r="S162" i="9" s="1"/>
  <c r="AZ148" i="9"/>
  <c r="R148" i="9"/>
  <c r="S148" i="9" s="1"/>
  <c r="AZ335" i="8"/>
  <c r="R335" i="8"/>
  <c r="S335" i="8" s="1"/>
  <c r="AZ317" i="8"/>
  <c r="R317" i="8"/>
  <c r="S317" i="8" s="1"/>
  <c r="R348" i="8"/>
  <c r="S348" i="8" s="1"/>
  <c r="AZ348" i="8" s="1"/>
  <c r="R340" i="8"/>
  <c r="S340" i="8" s="1"/>
  <c r="AZ340" i="8" s="1"/>
  <c r="R314" i="8"/>
  <c r="S314" i="8" s="1"/>
  <c r="AZ314" i="8" s="1"/>
  <c r="R198" i="9"/>
  <c r="S198" i="9" s="1"/>
  <c r="AZ198" i="9"/>
  <c r="R316" i="8"/>
  <c r="S316" i="8" s="1"/>
  <c r="AZ316" i="8"/>
  <c r="R286" i="8"/>
  <c r="S286" i="8" s="1"/>
  <c r="AZ286" i="8" s="1"/>
  <c r="R264" i="8"/>
  <c r="S264" i="8" s="1"/>
  <c r="AZ264" i="8" s="1"/>
  <c r="R248" i="8"/>
  <c r="S248" i="8" s="1"/>
  <c r="AZ248" i="8" s="1"/>
  <c r="R238" i="8"/>
  <c r="S238" i="8" s="1"/>
  <c r="AZ238" i="8" s="1"/>
  <c r="R216" i="8"/>
  <c r="S216" i="8" s="1"/>
  <c r="AZ216" i="8" s="1"/>
  <c r="R194" i="8"/>
  <c r="S194" i="8" s="1"/>
  <c r="AZ194" i="8" s="1"/>
  <c r="R178" i="8"/>
  <c r="S178" i="8" s="1"/>
  <c r="AZ178" i="8" s="1"/>
  <c r="R162" i="8"/>
  <c r="S162" i="8" s="1"/>
  <c r="AZ162" i="8" s="1"/>
  <c r="R152" i="8"/>
  <c r="S152" i="8" s="1"/>
  <c r="AZ152" i="8" s="1"/>
  <c r="R319" i="8"/>
  <c r="S319" i="8" s="1"/>
  <c r="AZ319" i="8"/>
  <c r="R315" i="8"/>
  <c r="S315" i="8" s="1"/>
  <c r="AZ315" i="8"/>
  <c r="AZ344" i="7"/>
  <c r="R344" i="7"/>
  <c r="S344" i="7" s="1"/>
  <c r="R329" i="8"/>
  <c r="S329" i="8" s="1"/>
  <c r="AZ329" i="8" s="1"/>
  <c r="R312" i="8"/>
  <c r="S312" i="8" s="1"/>
  <c r="AZ312" i="8" s="1"/>
  <c r="AZ337" i="7"/>
  <c r="R337" i="7"/>
  <c r="S337" i="7" s="1"/>
  <c r="AZ333" i="7"/>
  <c r="R333" i="7"/>
  <c r="S333" i="7" s="1"/>
  <c r="AZ329" i="7"/>
  <c r="R329" i="7"/>
  <c r="S329" i="7" s="1"/>
  <c r="AZ297" i="7"/>
  <c r="R297" i="7"/>
  <c r="S297" i="7" s="1"/>
  <c r="AZ342" i="6"/>
  <c r="R342" i="6"/>
  <c r="S342" i="6" s="1"/>
  <c r="AZ334" i="6"/>
  <c r="R334" i="6"/>
  <c r="S334" i="6" s="1"/>
  <c r="AZ316" i="6"/>
  <c r="R316" i="6"/>
  <c r="S316" i="6" s="1"/>
  <c r="AZ278" i="6"/>
  <c r="R278" i="6"/>
  <c r="S278" i="6" s="1"/>
  <c r="AZ252" i="6"/>
  <c r="R252" i="6"/>
  <c r="S252" i="6" s="1"/>
  <c r="AZ242" i="6"/>
  <c r="R242" i="6"/>
  <c r="S242" i="6" s="1"/>
  <c r="AZ220" i="6"/>
  <c r="R220" i="6"/>
  <c r="S220" i="6" s="1"/>
  <c r="AZ212" i="6"/>
  <c r="R212" i="6"/>
  <c r="S212" i="6" s="1"/>
  <c r="AZ194" i="6"/>
  <c r="R194" i="6"/>
  <c r="S194" i="6" s="1"/>
  <c r="AZ178" i="6"/>
  <c r="R178" i="6"/>
  <c r="S178" i="6" s="1"/>
  <c r="AZ339" i="6"/>
  <c r="R339" i="6"/>
  <c r="S339" i="6" s="1"/>
  <c r="AZ331" i="6"/>
  <c r="R331" i="6"/>
  <c r="S331" i="6" s="1"/>
  <c r="AZ307" i="6"/>
  <c r="R307" i="6"/>
  <c r="S307" i="6" s="1"/>
  <c r="AZ287" i="6"/>
  <c r="R287" i="6"/>
  <c r="S287" i="6" s="1"/>
  <c r="AZ279" i="6"/>
  <c r="R279" i="6"/>
  <c r="S279" i="6" s="1"/>
  <c r="AZ209" i="6"/>
  <c r="R209" i="6"/>
  <c r="S209" i="6" s="1"/>
  <c r="R340" i="6"/>
  <c r="S340" i="6" s="1"/>
  <c r="AZ340" i="6" s="1"/>
  <c r="R332" i="6"/>
  <c r="S332" i="6" s="1"/>
  <c r="AZ332" i="6" s="1"/>
  <c r="R322" i="6"/>
  <c r="S322" i="6" s="1"/>
  <c r="AZ322" i="6" s="1"/>
  <c r="R314" i="6"/>
  <c r="S314" i="6" s="1"/>
  <c r="AZ314" i="6" s="1"/>
  <c r="R292" i="6"/>
  <c r="S292" i="6" s="1"/>
  <c r="AZ292" i="6" s="1"/>
  <c r="R284" i="6"/>
  <c r="S284" i="6" s="1"/>
  <c r="AZ284" i="6" s="1"/>
  <c r="R272" i="6"/>
  <c r="S272" i="6" s="1"/>
  <c r="AZ272" i="6" s="1"/>
  <c r="R262" i="6"/>
  <c r="S262" i="6" s="1"/>
  <c r="AZ262" i="6" s="1"/>
  <c r="R244" i="6"/>
  <c r="S244" i="6" s="1"/>
  <c r="AZ244" i="6" s="1"/>
  <c r="R232" i="6"/>
  <c r="S232" i="6" s="1"/>
  <c r="AZ232" i="6" s="1"/>
  <c r="R226" i="6"/>
  <c r="S226" i="6" s="1"/>
  <c r="AZ226" i="6" s="1"/>
  <c r="R329" i="6"/>
  <c r="S329" i="6" s="1"/>
  <c r="AZ329" i="6" s="1"/>
  <c r="R319" i="6"/>
  <c r="S319" i="6" s="1"/>
  <c r="AZ319" i="6" s="1"/>
  <c r="R297" i="6"/>
  <c r="S297" i="6" s="1"/>
  <c r="AZ297" i="6" s="1"/>
  <c r="R293" i="6"/>
  <c r="S293" i="6" s="1"/>
  <c r="AZ293" i="6" s="1"/>
  <c r="R289" i="6"/>
  <c r="S289" i="6" s="1"/>
  <c r="AZ289" i="6" s="1"/>
  <c r="R273" i="6"/>
  <c r="S273" i="6" s="1"/>
  <c r="AZ273" i="6" s="1"/>
  <c r="R339" i="5"/>
  <c r="S339" i="5" s="1"/>
  <c r="AZ339" i="5" s="1"/>
  <c r="R337" i="5"/>
  <c r="S337" i="5" s="1"/>
  <c r="AZ337" i="5"/>
  <c r="R197" i="6"/>
  <c r="S197" i="6" s="1"/>
  <c r="AZ197" i="6"/>
  <c r="R185" i="6"/>
  <c r="S185" i="6" s="1"/>
  <c r="AZ185" i="6"/>
  <c r="R196" i="6"/>
  <c r="S196" i="6" s="1"/>
  <c r="AZ196" i="6"/>
  <c r="R181" i="6"/>
  <c r="S181" i="6" s="1"/>
  <c r="AZ181" i="6"/>
  <c r="R180" i="6"/>
  <c r="S180" i="6" s="1"/>
  <c r="AZ180" i="6"/>
  <c r="R160" i="6"/>
  <c r="S160" i="6" s="1"/>
  <c r="AZ160" i="6"/>
  <c r="R307" i="4"/>
  <c r="S307" i="4" s="1"/>
  <c r="AZ307" i="4" s="1"/>
  <c r="R303" i="4"/>
  <c r="S303" i="4" s="1"/>
  <c r="AZ303" i="4" s="1"/>
  <c r="R299" i="4"/>
  <c r="S299" i="4" s="1"/>
  <c r="AZ299" i="4" s="1"/>
  <c r="R295" i="4"/>
  <c r="S295" i="4" s="1"/>
  <c r="AZ295" i="4" s="1"/>
  <c r="R231" i="4"/>
  <c r="S231" i="4" s="1"/>
  <c r="AZ231" i="4" s="1"/>
  <c r="R221" i="4"/>
  <c r="S221" i="4" s="1"/>
  <c r="AZ221" i="4" s="1"/>
  <c r="R171" i="4"/>
  <c r="S171" i="4" s="1"/>
  <c r="AZ171" i="4" s="1"/>
  <c r="R153" i="4"/>
  <c r="S153" i="4" s="1"/>
  <c r="AZ153" i="4" s="1"/>
  <c r="R149" i="4"/>
  <c r="S149" i="4" s="1"/>
  <c r="AZ149" i="4" s="1"/>
  <c r="R145" i="4"/>
  <c r="S145" i="4" s="1"/>
  <c r="AZ145" i="4" s="1"/>
  <c r="R348" i="3"/>
  <c r="S348" i="3" s="1"/>
  <c r="AZ348" i="3" s="1"/>
  <c r="R326" i="3"/>
  <c r="S326" i="3" s="1"/>
  <c r="AZ326" i="3" s="1"/>
  <c r="R314" i="3"/>
  <c r="S314" i="3" s="1"/>
  <c r="AZ314" i="3" s="1"/>
  <c r="R304" i="3"/>
  <c r="S304" i="3" s="1"/>
  <c r="AZ304" i="3" s="1"/>
  <c r="R284" i="3"/>
  <c r="S284" i="3" s="1"/>
  <c r="AZ284" i="3" s="1"/>
  <c r="R272" i="3"/>
  <c r="S272" i="3" s="1"/>
  <c r="AZ272" i="3" s="1"/>
  <c r="AZ341" i="3"/>
  <c r="R341" i="3"/>
  <c r="S341" i="3" s="1"/>
  <c r="AZ337" i="3"/>
  <c r="R337" i="3"/>
  <c r="S337" i="3" s="1"/>
  <c r="R309" i="3"/>
  <c r="S309" i="3" s="1"/>
  <c r="AZ309" i="3" s="1"/>
  <c r="R301" i="3"/>
  <c r="S301" i="3" s="1"/>
  <c r="AZ301" i="3" s="1"/>
  <c r="R297" i="3"/>
  <c r="S297" i="3" s="1"/>
  <c r="AZ297" i="3" s="1"/>
  <c r="R289" i="3"/>
  <c r="S289" i="3" s="1"/>
  <c r="AZ289" i="3" s="1"/>
  <c r="R285" i="3"/>
  <c r="S285" i="3" s="1"/>
  <c r="AZ285" i="3" s="1"/>
  <c r="R263" i="3"/>
  <c r="S263" i="3" s="1"/>
  <c r="AZ263" i="3" s="1"/>
  <c r="R259" i="3"/>
  <c r="S259" i="3" s="1"/>
  <c r="AZ259" i="3" s="1"/>
  <c r="R245" i="3"/>
  <c r="S245" i="3" s="1"/>
  <c r="AZ245" i="3" s="1"/>
  <c r="R229" i="3"/>
  <c r="S229" i="3" s="1"/>
  <c r="AZ229" i="3" s="1"/>
  <c r="R215" i="3"/>
  <c r="S215" i="3" s="1"/>
  <c r="AZ215" i="3" s="1"/>
  <c r="R201" i="3"/>
  <c r="S201" i="3" s="1"/>
  <c r="AZ201" i="3" s="1"/>
  <c r="R350" i="3"/>
  <c r="S350" i="3" s="1"/>
  <c r="AZ350" i="3" s="1"/>
  <c r="R342" i="3"/>
  <c r="S342" i="3" s="1"/>
  <c r="AZ342" i="3" s="1"/>
  <c r="R334" i="3"/>
  <c r="S334" i="3" s="1"/>
  <c r="AZ334" i="3" s="1"/>
  <c r="R324" i="3"/>
  <c r="S324" i="3" s="1"/>
  <c r="AZ324" i="3" s="1"/>
  <c r="R316" i="3"/>
  <c r="S316" i="3" s="1"/>
  <c r="AZ316" i="3" s="1"/>
  <c r="R310" i="3"/>
  <c r="S310" i="3" s="1"/>
  <c r="AZ310" i="3" s="1"/>
  <c r="R302" i="3"/>
  <c r="S302" i="3" s="1"/>
  <c r="AZ302" i="3" s="1"/>
  <c r="R294" i="3"/>
  <c r="S294" i="3" s="1"/>
  <c r="AZ294" i="3" s="1"/>
  <c r="R286" i="3"/>
  <c r="S286" i="3" s="1"/>
  <c r="AZ286" i="3" s="1"/>
  <c r="R278" i="3"/>
  <c r="S278" i="3" s="1"/>
  <c r="AZ278" i="3" s="1"/>
  <c r="R268" i="3"/>
  <c r="S268" i="3" s="1"/>
  <c r="AZ268" i="3" s="1"/>
  <c r="R260" i="3"/>
  <c r="S260" i="3" s="1"/>
  <c r="AZ260" i="3" s="1"/>
  <c r="R252" i="3"/>
  <c r="S252" i="3" s="1"/>
  <c r="AZ252" i="3" s="1"/>
  <c r="AZ238" i="3"/>
  <c r="R238" i="3"/>
  <c r="S238" i="3" s="1"/>
  <c r="R347" i="3"/>
  <c r="S347" i="3" s="1"/>
  <c r="AZ347" i="3" s="1"/>
  <c r="R331" i="3"/>
  <c r="S331" i="3" s="1"/>
  <c r="AZ331" i="3"/>
  <c r="R299" i="3"/>
  <c r="S299" i="3" s="1"/>
  <c r="AZ299" i="3"/>
  <c r="R283" i="3"/>
  <c r="S283" i="3" s="1"/>
  <c r="AZ283" i="3"/>
  <c r="R275" i="3"/>
  <c r="S275" i="3" s="1"/>
  <c r="AZ275" i="3"/>
  <c r="R269" i="3"/>
  <c r="S269" i="3" s="1"/>
  <c r="AZ269" i="3" s="1"/>
  <c r="R240" i="3"/>
  <c r="S240" i="3" s="1"/>
  <c r="AZ240" i="3"/>
  <c r="R232" i="3"/>
  <c r="S232" i="3" s="1"/>
  <c r="AZ232" i="3"/>
  <c r="R200" i="3"/>
  <c r="S200" i="3" s="1"/>
  <c r="AZ200" i="3" s="1"/>
  <c r="R195" i="3"/>
  <c r="S195" i="3" s="1"/>
  <c r="AZ195" i="3"/>
  <c r="R186" i="3"/>
  <c r="S186" i="3" s="1"/>
  <c r="AZ186" i="3" s="1"/>
  <c r="R171" i="3"/>
  <c r="S171" i="3" s="1"/>
  <c r="AZ171" i="3" s="1"/>
  <c r="R158" i="3"/>
  <c r="S158" i="3" s="1"/>
  <c r="AZ158" i="3" s="1"/>
  <c r="R148" i="3"/>
  <c r="S148" i="3" s="1"/>
  <c r="AZ148" i="3" s="1"/>
  <c r="R347" i="2"/>
  <c r="S347" i="2" s="1"/>
  <c r="AZ347" i="2" s="1"/>
  <c r="R331" i="2"/>
  <c r="S331" i="2" s="1"/>
  <c r="AZ331" i="2" s="1"/>
  <c r="R325" i="2"/>
  <c r="S325" i="2" s="1"/>
  <c r="AZ325" i="2" s="1"/>
  <c r="R299" i="2"/>
  <c r="S299" i="2" s="1"/>
  <c r="AZ299" i="2" s="1"/>
  <c r="R283" i="2"/>
  <c r="S283" i="2" s="1"/>
  <c r="AZ283" i="2" s="1"/>
  <c r="R261" i="2"/>
  <c r="S261" i="2" s="1"/>
  <c r="AZ261" i="2" s="1"/>
  <c r="R239" i="2"/>
  <c r="S239" i="2" s="1"/>
  <c r="AZ239" i="2" s="1"/>
  <c r="R217" i="2"/>
  <c r="S217" i="2" s="1"/>
  <c r="AZ217" i="2" s="1"/>
  <c r="R195" i="2"/>
  <c r="S195" i="2" s="1"/>
  <c r="AZ195" i="2" s="1"/>
  <c r="R183" i="2"/>
  <c r="S183" i="2" s="1"/>
  <c r="AZ183" i="2" s="1"/>
  <c r="R167" i="2"/>
  <c r="S167" i="2" s="1"/>
  <c r="AZ167" i="2" s="1"/>
  <c r="R149" i="2"/>
  <c r="S149" i="2" s="1"/>
  <c r="AZ149" i="2" s="1"/>
  <c r="R194" i="3"/>
  <c r="S194" i="3" s="1"/>
  <c r="AZ194" i="3"/>
  <c r="R221" i="3"/>
  <c r="S221" i="3" s="1"/>
  <c r="AZ221" i="3"/>
  <c r="R214" i="3"/>
  <c r="S214" i="3" s="1"/>
  <c r="AC214" i="3" s="1"/>
  <c r="AZ214" i="3"/>
  <c r="R180" i="3"/>
  <c r="S180" i="3" s="1"/>
  <c r="AZ180" i="3" s="1"/>
  <c r="R172" i="3"/>
  <c r="S172" i="3" s="1"/>
  <c r="AZ172" i="3"/>
  <c r="F84" i="9"/>
  <c r="L73" i="9"/>
  <c r="F73" i="9"/>
  <c r="F82" i="8"/>
  <c r="L71" i="8"/>
  <c r="F71" i="8"/>
  <c r="F82" i="3"/>
  <c r="L71" i="3"/>
  <c r="F71" i="3"/>
  <c r="Y487" i="11"/>
  <c r="Y485" i="11"/>
  <c r="AN499" i="11"/>
  <c r="AH491" i="11"/>
  <c r="AN473" i="11"/>
  <c r="T471" i="11"/>
  <c r="AN491" i="11"/>
  <c r="AN462" i="11"/>
  <c r="AH462" i="11"/>
  <c r="T480" i="11"/>
  <c r="AN483" i="11"/>
  <c r="AN453" i="11"/>
  <c r="AZ168" i="11"/>
  <c r="R168" i="11"/>
  <c r="S168" i="11" s="1"/>
  <c r="R173" i="11"/>
  <c r="S173" i="11" s="1"/>
  <c r="AZ173" i="11" s="1"/>
  <c r="R170" i="11"/>
  <c r="S170" i="11" s="1"/>
  <c r="AZ170" i="11"/>
  <c r="AZ161" i="11"/>
  <c r="R161" i="11"/>
  <c r="S161" i="11" s="1"/>
  <c r="AZ152" i="11"/>
  <c r="R152" i="11"/>
  <c r="S152" i="11" s="1"/>
  <c r="AZ148" i="11"/>
  <c r="R148" i="11"/>
  <c r="S148" i="11" s="1"/>
  <c r="R185" i="11"/>
  <c r="S185" i="11" s="1"/>
  <c r="AZ185" i="11" s="1"/>
  <c r="R211" i="11"/>
  <c r="S211" i="11" s="1"/>
  <c r="AZ211" i="11" s="1"/>
  <c r="R246" i="11"/>
  <c r="S246" i="11" s="1"/>
  <c r="AZ246" i="11" s="1"/>
  <c r="R196" i="11"/>
  <c r="S196" i="11" s="1"/>
  <c r="AZ196" i="11"/>
  <c r="R205" i="11"/>
  <c r="S205" i="11" s="1"/>
  <c r="AZ205" i="11" s="1"/>
  <c r="R239" i="11"/>
  <c r="S239" i="11" s="1"/>
  <c r="AZ239" i="11"/>
  <c r="R233" i="11"/>
  <c r="S233" i="11" s="1"/>
  <c r="AZ233" i="11" s="1"/>
  <c r="R311" i="11"/>
  <c r="S311" i="11" s="1"/>
  <c r="AZ311" i="11" s="1"/>
  <c r="R322" i="11"/>
  <c r="S322" i="11" s="1"/>
  <c r="AZ322" i="11" s="1"/>
  <c r="R328" i="11"/>
  <c r="S328" i="11" s="1"/>
  <c r="AZ328" i="11" s="1"/>
  <c r="R175" i="11"/>
  <c r="S175" i="11" s="1"/>
  <c r="AZ175" i="11"/>
  <c r="R163" i="11"/>
  <c r="S163" i="11" s="1"/>
  <c r="AZ163" i="11"/>
  <c r="R149" i="11"/>
  <c r="S149" i="11" s="1"/>
  <c r="AZ149" i="11"/>
  <c r="AB351" i="11"/>
  <c r="AC351" i="11" s="1"/>
  <c r="AB347" i="11"/>
  <c r="AC347" i="11" s="1"/>
  <c r="AB353" i="11"/>
  <c r="AC353" i="11" s="1"/>
  <c r="AB350" i="11"/>
  <c r="AC350" i="11" s="1"/>
  <c r="AB345" i="11"/>
  <c r="AC345" i="11" s="1"/>
  <c r="AB341" i="11"/>
  <c r="AC341" i="11" s="1"/>
  <c r="AB337" i="11"/>
  <c r="AC337" i="11" s="1"/>
  <c r="AB333" i="11"/>
  <c r="AC333" i="11" s="1"/>
  <c r="AB329" i="11"/>
  <c r="AC329" i="11" s="1"/>
  <c r="AB327" i="11"/>
  <c r="AC327" i="11" s="1"/>
  <c r="AB323" i="11"/>
  <c r="AC323" i="11" s="1"/>
  <c r="AB349" i="11"/>
  <c r="AC349" i="11" s="1"/>
  <c r="AB342" i="11"/>
  <c r="AC342" i="11" s="1"/>
  <c r="AB338" i="11"/>
  <c r="AC338" i="11" s="1"/>
  <c r="AB334" i="11"/>
  <c r="AC334" i="11" s="1"/>
  <c r="AB330" i="11"/>
  <c r="AC330" i="11" s="1"/>
  <c r="AB346" i="11"/>
  <c r="AC346" i="11" s="1"/>
  <c r="AB343" i="11"/>
  <c r="AC343" i="11" s="1"/>
  <c r="AB339" i="11"/>
  <c r="AC339" i="11" s="1"/>
  <c r="AB335" i="11"/>
  <c r="AC335" i="11" s="1"/>
  <c r="AB331" i="11"/>
  <c r="AC331" i="11" s="1"/>
  <c r="AB325" i="11"/>
  <c r="AC325" i="11" s="1"/>
  <c r="AB321" i="11"/>
  <c r="AC321" i="11" s="1"/>
  <c r="AB348" i="11"/>
  <c r="AC348" i="11" s="1"/>
  <c r="AB322" i="11"/>
  <c r="AC322" i="11" s="1"/>
  <c r="AB340" i="11"/>
  <c r="AC340" i="11" s="1"/>
  <c r="AB332" i="11"/>
  <c r="AC332" i="11" s="1"/>
  <c r="AB318" i="11"/>
  <c r="AC318" i="11" s="1"/>
  <c r="AB314" i="11"/>
  <c r="AC314" i="11" s="1"/>
  <c r="AB308" i="11"/>
  <c r="AC308" i="11" s="1"/>
  <c r="AB304" i="11"/>
  <c r="AC304" i="11" s="1"/>
  <c r="AB352" i="11"/>
  <c r="AC352" i="11" s="1"/>
  <c r="AB328" i="11"/>
  <c r="AC328" i="11" s="1"/>
  <c r="AB326" i="11"/>
  <c r="AC326" i="11" s="1"/>
  <c r="AB319" i="11"/>
  <c r="AC319" i="11" s="1"/>
  <c r="AB315" i="11"/>
  <c r="AC315" i="11" s="1"/>
  <c r="AB311" i="11"/>
  <c r="AC311" i="11" s="1"/>
  <c r="AB309" i="11"/>
  <c r="AC309" i="11" s="1"/>
  <c r="AB305" i="11"/>
  <c r="AC305" i="11" s="1"/>
  <c r="AB336" i="11"/>
  <c r="AC336" i="11" s="1"/>
  <c r="AB312" i="11"/>
  <c r="AC312" i="11" s="1"/>
  <c r="AB306" i="11"/>
  <c r="AC306" i="11" s="1"/>
  <c r="AB301" i="11"/>
  <c r="AC301" i="11" s="1"/>
  <c r="AB297" i="11"/>
  <c r="AC297" i="11" s="1"/>
  <c r="AB293" i="11"/>
  <c r="AC293" i="11" s="1"/>
  <c r="AB289" i="11"/>
  <c r="AC289" i="11" s="1"/>
  <c r="AB344" i="11"/>
  <c r="AC344" i="11" s="1"/>
  <c r="AB317" i="11"/>
  <c r="AC317" i="11" s="1"/>
  <c r="AB303" i="11"/>
  <c r="AC303" i="11" s="1"/>
  <c r="AB302" i="11"/>
  <c r="AC302" i="11" s="1"/>
  <c r="AB298" i="11"/>
  <c r="AC298" i="11" s="1"/>
  <c r="AB294" i="11"/>
  <c r="AC294" i="11" s="1"/>
  <c r="AB290" i="11"/>
  <c r="AC290" i="11" s="1"/>
  <c r="AB286" i="11"/>
  <c r="AC286" i="11" s="1"/>
  <c r="AB282" i="11"/>
  <c r="AC282" i="11" s="1"/>
  <c r="AB324" i="11"/>
  <c r="AC324" i="11" s="1"/>
  <c r="AB320" i="11"/>
  <c r="AC320" i="11" s="1"/>
  <c r="AB316" i="11"/>
  <c r="AC316" i="11" s="1"/>
  <c r="AB310" i="11"/>
  <c r="AC310" i="11" s="1"/>
  <c r="AB299" i="11"/>
  <c r="AC299" i="11" s="1"/>
  <c r="AB295" i="11"/>
  <c r="AC295" i="11" s="1"/>
  <c r="AB291" i="11"/>
  <c r="AC291" i="11" s="1"/>
  <c r="AB287" i="11"/>
  <c r="AC287" i="11" s="1"/>
  <c r="AB283" i="11"/>
  <c r="AC283" i="11" s="1"/>
  <c r="AB296" i="11"/>
  <c r="AC296" i="11" s="1"/>
  <c r="AB280" i="11"/>
  <c r="AC280" i="11" s="1"/>
  <c r="AB276" i="11"/>
  <c r="AC276" i="11" s="1"/>
  <c r="AB272" i="11"/>
  <c r="AC272" i="11" s="1"/>
  <c r="AB270" i="11"/>
  <c r="AC270" i="11" s="1"/>
  <c r="AB266" i="11"/>
  <c r="AC266" i="11" s="1"/>
  <c r="AB262" i="11"/>
  <c r="AC262" i="11" s="1"/>
  <c r="AB258" i="11"/>
  <c r="AC258" i="11" s="1"/>
  <c r="AB254" i="11"/>
  <c r="AC254" i="11" s="1"/>
  <c r="AB250" i="11"/>
  <c r="AC250" i="11" s="1"/>
  <c r="AB246" i="11"/>
  <c r="AC246" i="11" s="1"/>
  <c r="AB244" i="11"/>
  <c r="AC244" i="11" s="1"/>
  <c r="AB240" i="11"/>
  <c r="AC240" i="11" s="1"/>
  <c r="AB236" i="11"/>
  <c r="AC236" i="11" s="1"/>
  <c r="AB232" i="11"/>
  <c r="AC232" i="11" s="1"/>
  <c r="AB228" i="11"/>
  <c r="AC228" i="11" s="1"/>
  <c r="AB292" i="11"/>
  <c r="AC292" i="11" s="1"/>
  <c r="AB281" i="11"/>
  <c r="AC281" i="11" s="1"/>
  <c r="AB277" i="11"/>
  <c r="AC277" i="11" s="1"/>
  <c r="AB273" i="11"/>
  <c r="AC273" i="11" s="1"/>
  <c r="AB267" i="11"/>
  <c r="AC267" i="11" s="1"/>
  <c r="AB263" i="11"/>
  <c r="AC263" i="11" s="1"/>
  <c r="AB259" i="11"/>
  <c r="AC259" i="11" s="1"/>
  <c r="AB255" i="11"/>
  <c r="AC255" i="11" s="1"/>
  <c r="AB251" i="11"/>
  <c r="AC251" i="11" s="1"/>
  <c r="AB247" i="11"/>
  <c r="AC247" i="11" s="1"/>
  <c r="AB245" i="11"/>
  <c r="AC245" i="11" s="1"/>
  <c r="AB241" i="11"/>
  <c r="AC241" i="11" s="1"/>
  <c r="AB237" i="11"/>
  <c r="AC237" i="11" s="1"/>
  <c r="AB233" i="11"/>
  <c r="AC233" i="11" s="1"/>
  <c r="AB307" i="11"/>
  <c r="AC307" i="11" s="1"/>
  <c r="AB288" i="11"/>
  <c r="AC288" i="11" s="1"/>
  <c r="AB285" i="11"/>
  <c r="AC285" i="11" s="1"/>
  <c r="AB278" i="11"/>
  <c r="AC278" i="11" s="1"/>
  <c r="AB274" i="11"/>
  <c r="AC274" i="11" s="1"/>
  <c r="AB268" i="11"/>
  <c r="AC268" i="11" s="1"/>
  <c r="AB264" i="11"/>
  <c r="AC264" i="11" s="1"/>
  <c r="AB260" i="11"/>
  <c r="AC260" i="11" s="1"/>
  <c r="AB256" i="11"/>
  <c r="AC256" i="11" s="1"/>
  <c r="AB252" i="11"/>
  <c r="AC252" i="11" s="1"/>
  <c r="AB248" i="11"/>
  <c r="AC248" i="11" s="1"/>
  <c r="AB242" i="11"/>
  <c r="AC242" i="11" s="1"/>
  <c r="AB238" i="11"/>
  <c r="AC238" i="11" s="1"/>
  <c r="AB234" i="11"/>
  <c r="AC234" i="11" s="1"/>
  <c r="AB230" i="11"/>
  <c r="AC230" i="11" s="1"/>
  <c r="AB275" i="11"/>
  <c r="AC275" i="11" s="1"/>
  <c r="AB265" i="11"/>
  <c r="AC265" i="11" s="1"/>
  <c r="AB257" i="11"/>
  <c r="AC257" i="11" s="1"/>
  <c r="AB249" i="11"/>
  <c r="AC249" i="11" s="1"/>
  <c r="AB239" i="11"/>
  <c r="AC239" i="11" s="1"/>
  <c r="AB227" i="11"/>
  <c r="AC227" i="11" s="1"/>
  <c r="AB224" i="11"/>
  <c r="AC224" i="11" s="1"/>
  <c r="AB220" i="11"/>
  <c r="AC220" i="11" s="1"/>
  <c r="AB216" i="11"/>
  <c r="AC216" i="11" s="1"/>
  <c r="AB212" i="11"/>
  <c r="AC212" i="11" s="1"/>
  <c r="AB208" i="11"/>
  <c r="AC208" i="11" s="1"/>
  <c r="AB202" i="11"/>
  <c r="AC202" i="11" s="1"/>
  <c r="AB198" i="11"/>
  <c r="AC198" i="11" s="1"/>
  <c r="AB194" i="11"/>
  <c r="AC194" i="11" s="1"/>
  <c r="AB190" i="11"/>
  <c r="AC190" i="11" s="1"/>
  <c r="AB313" i="11"/>
  <c r="AC313" i="11" s="1"/>
  <c r="AB231" i="11"/>
  <c r="AC231" i="11" s="1"/>
  <c r="AB225" i="11"/>
  <c r="AC225" i="11" s="1"/>
  <c r="AB221" i="11"/>
  <c r="AC221" i="11" s="1"/>
  <c r="AB217" i="11"/>
  <c r="AC217" i="11" s="1"/>
  <c r="AB213" i="11"/>
  <c r="AC213" i="11" s="1"/>
  <c r="AB209" i="11"/>
  <c r="AC209" i="11" s="1"/>
  <c r="AB205" i="11"/>
  <c r="AC205" i="11" s="1"/>
  <c r="AB203" i="11"/>
  <c r="AC203" i="11" s="1"/>
  <c r="AB199" i="11"/>
  <c r="AC199" i="11" s="1"/>
  <c r="AB195" i="11"/>
  <c r="AC195" i="11" s="1"/>
  <c r="AB191" i="11"/>
  <c r="AC191" i="11" s="1"/>
  <c r="AB187" i="11"/>
  <c r="AC187" i="11" s="1"/>
  <c r="AB300" i="11"/>
  <c r="AC300" i="11" s="1"/>
  <c r="AB279" i="11"/>
  <c r="AC279" i="11" s="1"/>
  <c r="AB271" i="11"/>
  <c r="AC271" i="11" s="1"/>
  <c r="AB269" i="11"/>
  <c r="AC269" i="11" s="1"/>
  <c r="AB261" i="11"/>
  <c r="AC261" i="11" s="1"/>
  <c r="AB253" i="11"/>
  <c r="AC253" i="11" s="1"/>
  <c r="AB243" i="11"/>
  <c r="AC243" i="11" s="1"/>
  <c r="AB235" i="11"/>
  <c r="AC235" i="11" s="1"/>
  <c r="AB229" i="11"/>
  <c r="AC229" i="11" s="1"/>
  <c r="AB226" i="11"/>
  <c r="AC226" i="11" s="1"/>
  <c r="AB222" i="11"/>
  <c r="AC222" i="11" s="1"/>
  <c r="AB218" i="11"/>
  <c r="AC218" i="11" s="1"/>
  <c r="AB214" i="11"/>
  <c r="AC214" i="11" s="1"/>
  <c r="AB210" i="11"/>
  <c r="AC210" i="11" s="1"/>
  <c r="AB206" i="11"/>
  <c r="AC206" i="11" s="1"/>
  <c r="AB204" i="11"/>
  <c r="AC204" i="11" s="1"/>
  <c r="AB200" i="11"/>
  <c r="AC200" i="11" s="1"/>
  <c r="AB196" i="11"/>
  <c r="AC196" i="11" s="1"/>
  <c r="AB192" i="11"/>
  <c r="AC192" i="11" s="1"/>
  <c r="AB188" i="11"/>
  <c r="AC188" i="11" s="1"/>
  <c r="AB184" i="11"/>
  <c r="AC184" i="11" s="1"/>
  <c r="AB211" i="11"/>
  <c r="AC211" i="11" s="1"/>
  <c r="AB193" i="11"/>
  <c r="AC193" i="11" s="1"/>
  <c r="AB186" i="11"/>
  <c r="AC186" i="11" s="1"/>
  <c r="AB180" i="11"/>
  <c r="AC180" i="11" s="1"/>
  <c r="AB176" i="11"/>
  <c r="AC176" i="11" s="1"/>
  <c r="AB172" i="11"/>
  <c r="AC172" i="11" s="1"/>
  <c r="AB168" i="11"/>
  <c r="AC168" i="11" s="1"/>
  <c r="AB164" i="11"/>
  <c r="AC164" i="11" s="1"/>
  <c r="AB160" i="11"/>
  <c r="AC160" i="11" s="1"/>
  <c r="AB154" i="11"/>
  <c r="AC154" i="11" s="1"/>
  <c r="AB284" i="11"/>
  <c r="AC284" i="11" s="1"/>
  <c r="AB223" i="11"/>
  <c r="AC223" i="11" s="1"/>
  <c r="AB207" i="11"/>
  <c r="AC207" i="11" s="1"/>
  <c r="AB189" i="11"/>
  <c r="AC189" i="11" s="1"/>
  <c r="AB185" i="11"/>
  <c r="AC185" i="11" s="1"/>
  <c r="AB181" i="11"/>
  <c r="AC181" i="11" s="1"/>
  <c r="AB177" i="11"/>
  <c r="AC177" i="11" s="1"/>
  <c r="AB173" i="11"/>
  <c r="AC173" i="11" s="1"/>
  <c r="AB169" i="11"/>
  <c r="AC169" i="11" s="1"/>
  <c r="AB165" i="11"/>
  <c r="AC165" i="11" s="1"/>
  <c r="AB161" i="11"/>
  <c r="AC161" i="11" s="1"/>
  <c r="AB157" i="11"/>
  <c r="AC157" i="11" s="1"/>
  <c r="AB155" i="11"/>
  <c r="AC155" i="11" s="1"/>
  <c r="AB151" i="11"/>
  <c r="AC151" i="11" s="1"/>
  <c r="AB147" i="11"/>
  <c r="AC147" i="11" s="1"/>
  <c r="AB219" i="11"/>
  <c r="AC219" i="11" s="1"/>
  <c r="AB201" i="11"/>
  <c r="AC201" i="11" s="1"/>
  <c r="AB182" i="11"/>
  <c r="AC182" i="11" s="1"/>
  <c r="AB178" i="11"/>
  <c r="AC178" i="11" s="1"/>
  <c r="AB174" i="11"/>
  <c r="AC174" i="11" s="1"/>
  <c r="AB170" i="11"/>
  <c r="AC170" i="11" s="1"/>
  <c r="AB166" i="11"/>
  <c r="AC166" i="11" s="1"/>
  <c r="AB162" i="11"/>
  <c r="AC162" i="11" s="1"/>
  <c r="AB158" i="11"/>
  <c r="AC158" i="11" s="1"/>
  <c r="AB156" i="11"/>
  <c r="AC156" i="11" s="1"/>
  <c r="AB152" i="11"/>
  <c r="AC152" i="11" s="1"/>
  <c r="AB148" i="11"/>
  <c r="AC148" i="11" s="1"/>
  <c r="AB175" i="11"/>
  <c r="AC175" i="11" s="1"/>
  <c r="AB159" i="11"/>
  <c r="AC159" i="11" s="1"/>
  <c r="AB153" i="11"/>
  <c r="AC153" i="11" s="1"/>
  <c r="AB146" i="11"/>
  <c r="AC146" i="11" s="1"/>
  <c r="AB171" i="11"/>
  <c r="AC171" i="11" s="1"/>
  <c r="AB215" i="11"/>
  <c r="AC215" i="11" s="1"/>
  <c r="AB197" i="11"/>
  <c r="AC197" i="11" s="1"/>
  <c r="AB183" i="11"/>
  <c r="AC183" i="11" s="1"/>
  <c r="AB167" i="11"/>
  <c r="AC167" i="11" s="1"/>
  <c r="AB163" i="11"/>
  <c r="AC163" i="11" s="1"/>
  <c r="AB179" i="11"/>
  <c r="AC179" i="11" s="1"/>
  <c r="AB149" i="11"/>
  <c r="AC149" i="11" s="1"/>
  <c r="BG170" i="11"/>
  <c r="U27" i="11"/>
  <c r="BG151" i="11"/>
  <c r="U23" i="11"/>
  <c r="R146" i="11"/>
  <c r="S146" i="11" s="1"/>
  <c r="AZ146" i="11" s="1"/>
  <c r="AL453" i="10"/>
  <c r="AL499" i="10"/>
  <c r="AL491" i="10"/>
  <c r="AF491" i="10"/>
  <c r="AL473" i="10"/>
  <c r="R471" i="10"/>
  <c r="AL483" i="10"/>
  <c r="R480" i="10"/>
  <c r="AL462" i="10"/>
  <c r="AF462" i="10"/>
  <c r="V150" i="11"/>
  <c r="AA150" i="11" s="1"/>
  <c r="AB150" i="11" s="1"/>
  <c r="AC150" i="11" s="1"/>
  <c r="V357" i="11"/>
  <c r="V355" i="11"/>
  <c r="V356" i="11"/>
  <c r="AA145" i="11"/>
  <c r="AB145" i="11" s="1"/>
  <c r="AC145" i="11" s="1"/>
  <c r="AK453" i="10"/>
  <c r="AK499" i="10"/>
  <c r="AK491" i="10"/>
  <c r="AE491" i="10"/>
  <c r="AK473" i="10"/>
  <c r="Q471" i="10"/>
  <c r="AK483" i="10"/>
  <c r="AE462" i="10"/>
  <c r="Q480" i="10"/>
  <c r="AK462" i="10"/>
  <c r="K489" i="10"/>
  <c r="K491" i="10"/>
  <c r="AZ262" i="10"/>
  <c r="R262" i="10"/>
  <c r="S262" i="10" s="1"/>
  <c r="AZ244" i="10"/>
  <c r="R244" i="10"/>
  <c r="S244" i="10" s="1"/>
  <c r="AZ226" i="10"/>
  <c r="R226" i="10"/>
  <c r="S226" i="10" s="1"/>
  <c r="R224" i="10"/>
  <c r="S224" i="10" s="1"/>
  <c r="AZ224" i="10" s="1"/>
  <c r="R202" i="10"/>
  <c r="S202" i="10" s="1"/>
  <c r="AZ202" i="10"/>
  <c r="BG195" i="10"/>
  <c r="K33" i="10"/>
  <c r="BG187" i="10"/>
  <c r="K32" i="10"/>
  <c r="Y493" i="9"/>
  <c r="Y495" i="9"/>
  <c r="Y485" i="9"/>
  <c r="Y487" i="9"/>
  <c r="BG209" i="10"/>
  <c r="U32" i="10"/>
  <c r="R198" i="10"/>
  <c r="S198" i="10" s="1"/>
  <c r="AZ198" i="10" s="1"/>
  <c r="R173" i="10"/>
  <c r="S173" i="10" s="1"/>
  <c r="AZ173" i="10" s="1"/>
  <c r="R157" i="10"/>
  <c r="S157" i="10" s="1"/>
  <c r="AZ157" i="10" s="1"/>
  <c r="R236" i="10"/>
  <c r="S236" i="10" s="1"/>
  <c r="AZ236" i="10" s="1"/>
  <c r="R174" i="10"/>
  <c r="S174" i="10" s="1"/>
  <c r="AZ174" i="10" s="1"/>
  <c r="R158" i="10"/>
  <c r="S158" i="10" s="1"/>
  <c r="AZ158" i="10" s="1"/>
  <c r="R152" i="10"/>
  <c r="S152" i="10" s="1"/>
  <c r="AZ152" i="10" s="1"/>
  <c r="AZ217" i="10"/>
  <c r="R217" i="10"/>
  <c r="S217" i="10" s="1"/>
  <c r="AZ239" i="10"/>
  <c r="R239" i="10"/>
  <c r="S239" i="10" s="1"/>
  <c r="AZ193" i="10"/>
  <c r="R193" i="10"/>
  <c r="S193" i="10" s="1"/>
  <c r="R229" i="10"/>
  <c r="S229" i="10" s="1"/>
  <c r="AZ229" i="10" s="1"/>
  <c r="R300" i="10"/>
  <c r="S300" i="10" s="1"/>
  <c r="AZ300" i="10" s="1"/>
  <c r="AK499" i="9"/>
  <c r="AK491" i="9"/>
  <c r="AE491" i="9"/>
  <c r="AK473" i="9"/>
  <c r="Q471" i="9"/>
  <c r="AK483" i="9"/>
  <c r="Q480" i="9"/>
  <c r="AK462" i="9"/>
  <c r="AE462" i="9"/>
  <c r="AK453" i="9"/>
  <c r="BG196" i="10"/>
  <c r="K34" i="10"/>
  <c r="BG170" i="10"/>
  <c r="U27" i="10"/>
  <c r="BG162" i="10"/>
  <c r="U25" i="10"/>
  <c r="AZ457" i="9"/>
  <c r="E524" i="9"/>
  <c r="Z352" i="9"/>
  <c r="Y352" i="9"/>
  <c r="AA352" i="9" s="1"/>
  <c r="AB352" i="9" s="1"/>
  <c r="AC352" i="9" s="1"/>
  <c r="Y349" i="9"/>
  <c r="Y345" i="9"/>
  <c r="AM453" i="9"/>
  <c r="AM491" i="9"/>
  <c r="AM483" i="9"/>
  <c r="AM462" i="9"/>
  <c r="AG491" i="9"/>
  <c r="S480" i="9"/>
  <c r="S471" i="9"/>
  <c r="AG462" i="9"/>
  <c r="AM499" i="9"/>
  <c r="AM473" i="9"/>
  <c r="BG352" i="9"/>
  <c r="K39" i="9"/>
  <c r="Y342" i="9"/>
  <c r="W339" i="9"/>
  <c r="BG336" i="9"/>
  <c r="U36" i="9"/>
  <c r="Z332" i="9"/>
  <c r="Y332" i="9"/>
  <c r="V332" i="9"/>
  <c r="Y308" i="9"/>
  <c r="Y298" i="9"/>
  <c r="Y294" i="9"/>
  <c r="V289" i="9"/>
  <c r="AA273" i="9"/>
  <c r="X306" i="9"/>
  <c r="Z280" i="9"/>
  <c r="V280" i="9"/>
  <c r="W280" i="9"/>
  <c r="Z270" i="9"/>
  <c r="V270" i="9"/>
  <c r="W270" i="9"/>
  <c r="Z210" i="9"/>
  <c r="V210" i="9"/>
  <c r="W210" i="9"/>
  <c r="Z206" i="9"/>
  <c r="V206" i="9"/>
  <c r="W206" i="9"/>
  <c r="X315" i="9"/>
  <c r="V300" i="9"/>
  <c r="Z300" i="9"/>
  <c r="W273" i="9"/>
  <c r="W267" i="9"/>
  <c r="X267" i="9"/>
  <c r="W259" i="9"/>
  <c r="X259" i="9"/>
  <c r="W229" i="9"/>
  <c r="X229" i="9"/>
  <c r="W219" i="9"/>
  <c r="X219" i="9"/>
  <c r="AA219" i="9" s="1"/>
  <c r="AB219" i="9" s="1"/>
  <c r="AC219" i="9" s="1"/>
  <c r="BG209" i="9"/>
  <c r="U32" i="9"/>
  <c r="X316" i="9"/>
  <c r="Y286" i="9"/>
  <c r="Z256" i="9"/>
  <c r="Z234" i="9"/>
  <c r="Y229" i="9"/>
  <c r="X210" i="9"/>
  <c r="X200" i="9"/>
  <c r="R191" i="9"/>
  <c r="S191" i="9" s="1"/>
  <c r="AZ191" i="9" s="1"/>
  <c r="R179" i="9"/>
  <c r="S179" i="9" s="1"/>
  <c r="AZ179" i="9" s="1"/>
  <c r="AZ171" i="9"/>
  <c r="R171" i="9"/>
  <c r="S171" i="9" s="1"/>
  <c r="R163" i="9"/>
  <c r="S163" i="9" s="1"/>
  <c r="AZ163" i="9" s="1"/>
  <c r="AZ149" i="9"/>
  <c r="R149" i="9"/>
  <c r="S149" i="9" s="1"/>
  <c r="K23" i="9"/>
  <c r="BG146" i="9"/>
  <c r="AK453" i="8"/>
  <c r="AK499" i="8"/>
  <c r="AK491" i="8"/>
  <c r="AE491" i="8"/>
  <c r="AK473" i="8"/>
  <c r="Q471" i="8"/>
  <c r="AK483" i="8"/>
  <c r="Q480" i="8"/>
  <c r="AK462" i="8"/>
  <c r="AE462" i="8"/>
  <c r="Y285" i="9"/>
  <c r="Y259" i="9"/>
  <c r="AA231" i="9"/>
  <c r="X230" i="9"/>
  <c r="Z219" i="9"/>
  <c r="X216" i="9"/>
  <c r="AA216" i="9" s="1"/>
  <c r="AB216" i="9" s="1"/>
  <c r="AC216" i="9" s="1"/>
  <c r="X206" i="9"/>
  <c r="BG185" i="9"/>
  <c r="K30" i="9"/>
  <c r="Z163" i="9"/>
  <c r="V163" i="9"/>
  <c r="BG161" i="9"/>
  <c r="U24" i="9"/>
  <c r="R150" i="9"/>
  <c r="S150" i="9" s="1"/>
  <c r="AZ150" i="9"/>
  <c r="Y495" i="8"/>
  <c r="Y493" i="8"/>
  <c r="AN453" i="8"/>
  <c r="AN499" i="8"/>
  <c r="AN491" i="8"/>
  <c r="AH491" i="8"/>
  <c r="AN473" i="8"/>
  <c r="T471" i="8"/>
  <c r="AN483" i="8"/>
  <c r="T480" i="8"/>
  <c r="AN462" i="8"/>
  <c r="AH462" i="8"/>
  <c r="X298" i="9"/>
  <c r="X286" i="9"/>
  <c r="Y267" i="9"/>
  <c r="X260" i="9"/>
  <c r="AA205" i="9"/>
  <c r="R189" i="9"/>
  <c r="S189" i="9" s="1"/>
  <c r="AZ189" i="9"/>
  <c r="W184" i="9"/>
  <c r="R173" i="9"/>
  <c r="S173" i="9" s="1"/>
  <c r="AZ173" i="9" s="1"/>
  <c r="Y475" i="8"/>
  <c r="Y473" i="8"/>
  <c r="BG351" i="8"/>
  <c r="K38" i="8"/>
  <c r="Y337" i="8"/>
  <c r="W337" i="8"/>
  <c r="Z317" i="9"/>
  <c r="X294" i="9"/>
  <c r="Y256" i="9"/>
  <c r="AA221" i="9"/>
  <c r="X220" i="9"/>
  <c r="AA220" i="9" s="1"/>
  <c r="AB220" i="9" s="1"/>
  <c r="AC220" i="9" s="1"/>
  <c r="X201" i="9"/>
  <c r="W201" i="9"/>
  <c r="Y197" i="9"/>
  <c r="X185" i="9"/>
  <c r="X161" i="9"/>
  <c r="Z151" i="9"/>
  <c r="V151" i="9"/>
  <c r="X151" i="9"/>
  <c r="AZ227" i="9"/>
  <c r="R227" i="9"/>
  <c r="S227" i="9" s="1"/>
  <c r="R311" i="9"/>
  <c r="S311" i="9" s="1"/>
  <c r="AZ311" i="9" s="1"/>
  <c r="Z178" i="9"/>
  <c r="X170" i="9"/>
  <c r="X160" i="9"/>
  <c r="Y148" i="9"/>
  <c r="AZ203" i="8"/>
  <c r="R203" i="8"/>
  <c r="S203" i="8" s="1"/>
  <c r="AZ199" i="8"/>
  <c r="R199" i="8"/>
  <c r="S199" i="8" s="1"/>
  <c r="AZ195" i="8"/>
  <c r="R195" i="8"/>
  <c r="S195" i="8" s="1"/>
  <c r="AZ191" i="8"/>
  <c r="R191" i="8"/>
  <c r="S191" i="8" s="1"/>
  <c r="AZ187" i="8"/>
  <c r="R187" i="8"/>
  <c r="S187" i="8" s="1"/>
  <c r="AZ183" i="8"/>
  <c r="R183" i="8"/>
  <c r="S183" i="8" s="1"/>
  <c r="AZ179" i="8"/>
  <c r="R179" i="8"/>
  <c r="S179" i="8" s="1"/>
  <c r="AZ175" i="8"/>
  <c r="R175" i="8"/>
  <c r="S175" i="8" s="1"/>
  <c r="AZ171" i="8"/>
  <c r="R171" i="8"/>
  <c r="S171" i="8" s="1"/>
  <c r="AZ167" i="8"/>
  <c r="R167" i="8"/>
  <c r="S167" i="8" s="1"/>
  <c r="AZ163" i="8"/>
  <c r="R163" i="8"/>
  <c r="S163" i="8" s="1"/>
  <c r="AZ159" i="8"/>
  <c r="R159" i="8"/>
  <c r="S159" i="8" s="1"/>
  <c r="AB351" i="8"/>
  <c r="AC351" i="8" s="1"/>
  <c r="AB347" i="8"/>
  <c r="AC347" i="8" s="1"/>
  <c r="AB343" i="8"/>
  <c r="AC343" i="8" s="1"/>
  <c r="AB339" i="8"/>
  <c r="AC339" i="8" s="1"/>
  <c r="AB325" i="8"/>
  <c r="AC325" i="8" s="1"/>
  <c r="AB321" i="8"/>
  <c r="AC321" i="8" s="1"/>
  <c r="AB317" i="8"/>
  <c r="AC317" i="8" s="1"/>
  <c r="AB352" i="8"/>
  <c r="AC352" i="8" s="1"/>
  <c r="AB348" i="8"/>
  <c r="AC348" i="8" s="1"/>
  <c r="AB344" i="8"/>
  <c r="AC344" i="8" s="1"/>
  <c r="AB340" i="8"/>
  <c r="AC340" i="8" s="1"/>
  <c r="AB328" i="8"/>
  <c r="AC328" i="8" s="1"/>
  <c r="AB349" i="8"/>
  <c r="AC349" i="8" s="1"/>
  <c r="AB345" i="8"/>
  <c r="AC345" i="8" s="1"/>
  <c r="AB341" i="8"/>
  <c r="AC341" i="8" s="1"/>
  <c r="AB333" i="8"/>
  <c r="AC333" i="8" s="1"/>
  <c r="AB329" i="8"/>
  <c r="AC329" i="8" s="1"/>
  <c r="AB327" i="8"/>
  <c r="AC327" i="8" s="1"/>
  <c r="AB311" i="8"/>
  <c r="AC311" i="8" s="1"/>
  <c r="AB305" i="8"/>
  <c r="AC305" i="8" s="1"/>
  <c r="AB297" i="8"/>
  <c r="AC297" i="8" s="1"/>
  <c r="AB293" i="8"/>
  <c r="AC293" i="8" s="1"/>
  <c r="AB353" i="8"/>
  <c r="AC353" i="8" s="1"/>
  <c r="AB350" i="8"/>
  <c r="AC350" i="8" s="1"/>
  <c r="AB346" i="8"/>
  <c r="AC346" i="8" s="1"/>
  <c r="AB306" i="8"/>
  <c r="AC306" i="8" s="1"/>
  <c r="AB304" i="8"/>
  <c r="AB290" i="8"/>
  <c r="AC290" i="8" s="1"/>
  <c r="AB278" i="8"/>
  <c r="AC278" i="8" s="1"/>
  <c r="AB274" i="8"/>
  <c r="AC274" i="8" s="1"/>
  <c r="AB242" i="8"/>
  <c r="AC242" i="8" s="1"/>
  <c r="AB238" i="8"/>
  <c r="AC238" i="8" s="1"/>
  <c r="AB220" i="8"/>
  <c r="AC220" i="8" s="1"/>
  <c r="AB202" i="8"/>
  <c r="AC202" i="8" s="1"/>
  <c r="AB198" i="8"/>
  <c r="AC198" i="8" s="1"/>
  <c r="AB194" i="8"/>
  <c r="AC194" i="8" s="1"/>
  <c r="AB182" i="8"/>
  <c r="AC182" i="8" s="1"/>
  <c r="AB170" i="8"/>
  <c r="AC170" i="8" s="1"/>
  <c r="AB156" i="8"/>
  <c r="AC156" i="8" s="1"/>
  <c r="AB148" i="8"/>
  <c r="AC148" i="8" s="1"/>
  <c r="AB298" i="8"/>
  <c r="AC298" i="8" s="1"/>
  <c r="AB283" i="8"/>
  <c r="AC283" i="8" s="1"/>
  <c r="AB253" i="8"/>
  <c r="AC253" i="8" s="1"/>
  <c r="AB243" i="8"/>
  <c r="AB239" i="8"/>
  <c r="AC239" i="8" s="1"/>
  <c r="AB225" i="8"/>
  <c r="AB221" i="8"/>
  <c r="AC221" i="8" s="1"/>
  <c r="AB213" i="8"/>
  <c r="AB205" i="8"/>
  <c r="AC205" i="8" s="1"/>
  <c r="AB203" i="8"/>
  <c r="AC203" i="8" s="1"/>
  <c r="AB195" i="8"/>
  <c r="AC195" i="8" s="1"/>
  <c r="AB191" i="8"/>
  <c r="AC191" i="8" s="1"/>
  <c r="AB183" i="8"/>
  <c r="AC183" i="8" s="1"/>
  <c r="AB167" i="8"/>
  <c r="AC167" i="8" s="1"/>
  <c r="AB159" i="8"/>
  <c r="AC159" i="8" s="1"/>
  <c r="AB149" i="8"/>
  <c r="AC149" i="8" s="1"/>
  <c r="AB320" i="8"/>
  <c r="AC320" i="8" s="1"/>
  <c r="AB316" i="8"/>
  <c r="AC316" i="8" s="1"/>
  <c r="AB310" i="8"/>
  <c r="AC310" i="8" s="1"/>
  <c r="AB280" i="8"/>
  <c r="AC280" i="8" s="1"/>
  <c r="AB254" i="8"/>
  <c r="AC254" i="8" s="1"/>
  <c r="AB246" i="8"/>
  <c r="AC246" i="8" s="1"/>
  <c r="AB244" i="8"/>
  <c r="AC244" i="8" s="1"/>
  <c r="AB240" i="8"/>
  <c r="AC240" i="8" s="1"/>
  <c r="AB236" i="8"/>
  <c r="AC236" i="8" s="1"/>
  <c r="AB222" i="8"/>
  <c r="AC222" i="8" s="1"/>
  <c r="AB206" i="8"/>
  <c r="AC206" i="8" s="1"/>
  <c r="AB204" i="8"/>
  <c r="AC204" i="8" s="1"/>
  <c r="AB200" i="8"/>
  <c r="AB196" i="8"/>
  <c r="AC196" i="8" s="1"/>
  <c r="AB188" i="8"/>
  <c r="AC188" i="8" s="1"/>
  <c r="AB184" i="8"/>
  <c r="AC184" i="8" s="1"/>
  <c r="AB180" i="8"/>
  <c r="AC180" i="8" s="1"/>
  <c r="AB164" i="8"/>
  <c r="AB289" i="8"/>
  <c r="AC289" i="8" s="1"/>
  <c r="AB281" i="8"/>
  <c r="AC281" i="8" s="1"/>
  <c r="AB267" i="8"/>
  <c r="AC267" i="8" s="1"/>
  <c r="AB259" i="8"/>
  <c r="AC259" i="8" s="1"/>
  <c r="AB245" i="8"/>
  <c r="AC245" i="8" s="1"/>
  <c r="AB237" i="8"/>
  <c r="AC237" i="8" s="1"/>
  <c r="AB223" i="8"/>
  <c r="AC223" i="8" s="1"/>
  <c r="AB215" i="8"/>
  <c r="AC215" i="8" s="1"/>
  <c r="AB201" i="8"/>
  <c r="AC201" i="8" s="1"/>
  <c r="AB193" i="8"/>
  <c r="AC193" i="8" s="1"/>
  <c r="AB185" i="8"/>
  <c r="AC185" i="8" s="1"/>
  <c r="AB181" i="8"/>
  <c r="AC181" i="8" s="1"/>
  <c r="AB157" i="8"/>
  <c r="AC157" i="8" s="1"/>
  <c r="Z184" i="9"/>
  <c r="W163" i="9"/>
  <c r="X159" i="9"/>
  <c r="X152" i="9"/>
  <c r="AA149" i="9"/>
  <c r="Y307" i="8"/>
  <c r="W307" i="8"/>
  <c r="V302" i="8"/>
  <c r="Z302" i="8"/>
  <c r="X302" i="8"/>
  <c r="V300" i="8"/>
  <c r="Z300" i="8"/>
  <c r="X300" i="8"/>
  <c r="R293" i="8"/>
  <c r="S293" i="8" s="1"/>
  <c r="AZ293" i="8"/>
  <c r="R270" i="8"/>
  <c r="S270" i="8" s="1"/>
  <c r="AZ270" i="8" s="1"/>
  <c r="R266" i="8"/>
  <c r="S266" i="8" s="1"/>
  <c r="AZ266" i="8" s="1"/>
  <c r="R262" i="8"/>
  <c r="S262" i="8" s="1"/>
  <c r="AZ262" i="8"/>
  <c r="R246" i="8"/>
  <c r="S246" i="8" s="1"/>
  <c r="AZ246" i="8" s="1"/>
  <c r="R206" i="8"/>
  <c r="S206" i="8" s="1"/>
  <c r="AZ206" i="8"/>
  <c r="R164" i="8"/>
  <c r="S164" i="8" s="1"/>
  <c r="AZ164" i="8"/>
  <c r="R160" i="8"/>
  <c r="S160" i="8" s="1"/>
  <c r="AZ160" i="8" s="1"/>
  <c r="K491" i="7"/>
  <c r="K489" i="7"/>
  <c r="AA183" i="9"/>
  <c r="Z160" i="9"/>
  <c r="Y147" i="9"/>
  <c r="W335" i="8"/>
  <c r="AA335" i="8" s="1"/>
  <c r="AB335" i="8" s="1"/>
  <c r="AC335" i="8" s="1"/>
  <c r="Y326" i="8"/>
  <c r="AA326" i="8" s="1"/>
  <c r="AB326" i="8" s="1"/>
  <c r="AC326" i="8" s="1"/>
  <c r="Y299" i="8"/>
  <c r="W299" i="8"/>
  <c r="X296" i="8"/>
  <c r="V296" i="8"/>
  <c r="Z296" i="8"/>
  <c r="X294" i="8"/>
  <c r="V294" i="8"/>
  <c r="Z294" i="8"/>
  <c r="R277" i="8"/>
  <c r="S277" i="8" s="1"/>
  <c r="AZ277" i="8" s="1"/>
  <c r="R267" i="8"/>
  <c r="S267" i="8" s="1"/>
  <c r="AZ267" i="8"/>
  <c r="R263" i="8"/>
  <c r="S263" i="8" s="1"/>
  <c r="AZ263" i="8" s="1"/>
  <c r="Z258" i="8"/>
  <c r="V258" i="8"/>
  <c r="W258" i="8"/>
  <c r="R241" i="8"/>
  <c r="S241" i="8" s="1"/>
  <c r="AZ241" i="8"/>
  <c r="Z232" i="8"/>
  <c r="V232" i="8"/>
  <c r="W232" i="8"/>
  <c r="Z226" i="8"/>
  <c r="V226" i="8"/>
  <c r="W226" i="8"/>
  <c r="Z192" i="8"/>
  <c r="V192" i="8"/>
  <c r="X192" i="8"/>
  <c r="K31" i="8"/>
  <c r="BG186" i="8"/>
  <c r="R181" i="8"/>
  <c r="S181" i="8" s="1"/>
  <c r="AZ181" i="8" s="1"/>
  <c r="K29" i="8"/>
  <c r="BG174" i="8"/>
  <c r="R169" i="8"/>
  <c r="S169" i="8" s="1"/>
  <c r="AZ169" i="8" s="1"/>
  <c r="R161" i="8"/>
  <c r="S161" i="8" s="1"/>
  <c r="AZ161" i="8"/>
  <c r="R151" i="8"/>
  <c r="S151" i="8" s="1"/>
  <c r="AZ151" i="8" s="1"/>
  <c r="AM483" i="7"/>
  <c r="S480" i="7"/>
  <c r="AM462" i="7"/>
  <c r="AG462" i="7"/>
  <c r="AM453" i="7"/>
  <c r="AM499" i="7"/>
  <c r="AM491" i="7"/>
  <c r="AG491" i="7"/>
  <c r="AM473" i="7"/>
  <c r="S471" i="7"/>
  <c r="W185" i="9"/>
  <c r="AA153" i="9"/>
  <c r="Y152" i="9"/>
  <c r="Z337" i="8"/>
  <c r="W302" i="8"/>
  <c r="U35" i="8"/>
  <c r="BG279" i="8"/>
  <c r="AA275" i="8"/>
  <c r="AB275" i="8" s="1"/>
  <c r="AC275" i="8" s="1"/>
  <c r="W273" i="8"/>
  <c r="W251" i="8"/>
  <c r="X251" i="8"/>
  <c r="W247" i="8"/>
  <c r="X247" i="8"/>
  <c r="AA227" i="8"/>
  <c r="AB227" i="8" s="1"/>
  <c r="AC227" i="8" s="1"/>
  <c r="W211" i="8"/>
  <c r="AA211" i="8" s="1"/>
  <c r="AB211" i="8" s="1"/>
  <c r="AC211" i="8" s="1"/>
  <c r="X211" i="8"/>
  <c r="W207" i="8"/>
  <c r="K37" i="8"/>
  <c r="BG203" i="8"/>
  <c r="W192" i="8"/>
  <c r="AA175" i="8"/>
  <c r="AB175" i="8" s="1"/>
  <c r="AC175" i="8" s="1"/>
  <c r="W173" i="8"/>
  <c r="Y173" i="8"/>
  <c r="U26" i="8"/>
  <c r="BG167" i="8"/>
  <c r="W155" i="8"/>
  <c r="AA155" i="8" s="1"/>
  <c r="AB155" i="8" s="1"/>
  <c r="AC155" i="8" s="1"/>
  <c r="Y155" i="8"/>
  <c r="AA145" i="8"/>
  <c r="AB145" i="8" s="1"/>
  <c r="AC145" i="8" s="1"/>
  <c r="R304" i="8"/>
  <c r="S304" i="8" s="1"/>
  <c r="AZ304" i="8" s="1"/>
  <c r="V324" i="8"/>
  <c r="AA276" i="8"/>
  <c r="AB276" i="8" s="1"/>
  <c r="AC276" i="8" s="1"/>
  <c r="X273" i="8"/>
  <c r="X268" i="8"/>
  <c r="AA268" i="8" s="1"/>
  <c r="AB268" i="8" s="1"/>
  <c r="AC268" i="8" s="1"/>
  <c r="Z241" i="8"/>
  <c r="V178" i="8"/>
  <c r="Z162" i="8"/>
  <c r="J26" i="8"/>
  <c r="L26" i="8"/>
  <c r="AZ320" i="7"/>
  <c r="R320" i="7"/>
  <c r="S320" i="7" s="1"/>
  <c r="AZ289" i="7"/>
  <c r="R289" i="7"/>
  <c r="S289" i="7" s="1"/>
  <c r="R285" i="7"/>
  <c r="S285" i="7" s="1"/>
  <c r="AZ285" i="7" s="1"/>
  <c r="R281" i="7"/>
  <c r="S281" i="7" s="1"/>
  <c r="AZ281" i="7" s="1"/>
  <c r="R277" i="7"/>
  <c r="S277" i="7" s="1"/>
  <c r="AZ277" i="7" s="1"/>
  <c r="R273" i="7"/>
  <c r="S273" i="7" s="1"/>
  <c r="AZ273" i="7" s="1"/>
  <c r="R224" i="7"/>
  <c r="S224" i="7" s="1"/>
  <c r="AZ224" i="7" s="1"/>
  <c r="R220" i="7"/>
  <c r="S220" i="7" s="1"/>
  <c r="AZ220" i="7" s="1"/>
  <c r="R216" i="7"/>
  <c r="S216" i="7" s="1"/>
  <c r="AZ216" i="7" s="1"/>
  <c r="R212" i="7"/>
  <c r="S212" i="7" s="1"/>
  <c r="AZ212" i="7" s="1"/>
  <c r="R208" i="7"/>
  <c r="S208" i="7" s="1"/>
  <c r="AZ208" i="7" s="1"/>
  <c r="AZ201" i="7"/>
  <c r="R201" i="7"/>
  <c r="S201" i="7" s="1"/>
  <c r="AZ197" i="7"/>
  <c r="R197" i="7"/>
  <c r="S197" i="7" s="1"/>
  <c r="AZ193" i="7"/>
  <c r="R193" i="7"/>
  <c r="S193" i="7" s="1"/>
  <c r="AZ189" i="7"/>
  <c r="R189" i="7"/>
  <c r="S189" i="7" s="1"/>
  <c r="R185" i="7"/>
  <c r="S185" i="7" s="1"/>
  <c r="AZ185" i="7" s="1"/>
  <c r="AZ181" i="7"/>
  <c r="R181" i="7"/>
  <c r="S181" i="7" s="1"/>
  <c r="R177" i="7"/>
  <c r="S177" i="7" s="1"/>
  <c r="AZ177" i="7" s="1"/>
  <c r="R173" i="7"/>
  <c r="S173" i="7" s="1"/>
  <c r="AZ173" i="7" s="1"/>
  <c r="R169" i="7"/>
  <c r="S169" i="7" s="1"/>
  <c r="AZ169" i="7" s="1"/>
  <c r="R165" i="7"/>
  <c r="S165" i="7" s="1"/>
  <c r="AZ165" i="7" s="1"/>
  <c r="R161" i="7"/>
  <c r="S161" i="7" s="1"/>
  <c r="AZ161" i="7" s="1"/>
  <c r="R156" i="7"/>
  <c r="S156" i="7" s="1"/>
  <c r="AZ156" i="7" s="1"/>
  <c r="R152" i="7"/>
  <c r="S152" i="7" s="1"/>
  <c r="AZ152" i="7" s="1"/>
  <c r="R148" i="7"/>
  <c r="S148" i="7" s="1"/>
  <c r="AZ148" i="7" s="1"/>
  <c r="X282" i="8"/>
  <c r="Y277" i="8"/>
  <c r="X218" i="8"/>
  <c r="Y216" i="8"/>
  <c r="V174" i="8"/>
  <c r="Y158" i="8"/>
  <c r="AA158" i="8" s="1"/>
  <c r="AB158" i="8" s="1"/>
  <c r="AC158" i="8" s="1"/>
  <c r="AA154" i="8"/>
  <c r="AB154" i="8" s="1"/>
  <c r="AC154" i="8" s="1"/>
  <c r="AZ456" i="7"/>
  <c r="D524" i="7"/>
  <c r="R325" i="7"/>
  <c r="S325" i="7" s="1"/>
  <c r="AZ325" i="7"/>
  <c r="R317" i="7"/>
  <c r="S317" i="7" s="1"/>
  <c r="AZ317" i="7"/>
  <c r="R307" i="7"/>
  <c r="S307" i="7" s="1"/>
  <c r="AZ307" i="7"/>
  <c r="R299" i="7"/>
  <c r="S299" i="7" s="1"/>
  <c r="AZ299" i="7"/>
  <c r="R291" i="7"/>
  <c r="S291" i="7" s="1"/>
  <c r="AZ291" i="7" s="1"/>
  <c r="R275" i="7"/>
  <c r="S275" i="7" s="1"/>
  <c r="AZ275" i="7" s="1"/>
  <c r="R261" i="7"/>
  <c r="S261" i="7" s="1"/>
  <c r="AZ261" i="7" s="1"/>
  <c r="R239" i="7"/>
  <c r="S239" i="7" s="1"/>
  <c r="AZ239" i="7"/>
  <c r="R225" i="7"/>
  <c r="S225" i="7" s="1"/>
  <c r="AZ225" i="7" s="1"/>
  <c r="R209" i="7"/>
  <c r="S209" i="7" s="1"/>
  <c r="AZ209" i="7" s="1"/>
  <c r="R195" i="7"/>
  <c r="S195" i="7" s="1"/>
  <c r="AZ195" i="7" s="1"/>
  <c r="R179" i="7"/>
  <c r="S179" i="7" s="1"/>
  <c r="AZ179" i="7" s="1"/>
  <c r="R163" i="7"/>
  <c r="S163" i="7" s="1"/>
  <c r="AZ163" i="7" s="1"/>
  <c r="R145" i="7"/>
  <c r="S145" i="7" s="1"/>
  <c r="AZ145" i="7" s="1"/>
  <c r="X286" i="8"/>
  <c r="Y268" i="8"/>
  <c r="Z260" i="8"/>
  <c r="Y255" i="8"/>
  <c r="AA249" i="8"/>
  <c r="AB249" i="8" s="1"/>
  <c r="AC249" i="8" s="1"/>
  <c r="Z248" i="8"/>
  <c r="AA231" i="8"/>
  <c r="AB231" i="8" s="1"/>
  <c r="AC231" i="8" s="1"/>
  <c r="X226" i="8"/>
  <c r="Y224" i="8"/>
  <c r="AA224" i="8" s="1"/>
  <c r="AB224" i="8" s="1"/>
  <c r="AC224" i="8" s="1"/>
  <c r="Z169" i="8"/>
  <c r="R304" i="7"/>
  <c r="S304" i="7" s="1"/>
  <c r="AZ304" i="7" s="1"/>
  <c r="R296" i="7"/>
  <c r="S296" i="7" s="1"/>
  <c r="AZ296" i="7" s="1"/>
  <c r="R276" i="7"/>
  <c r="S276" i="7" s="1"/>
  <c r="AZ276" i="7" s="1"/>
  <c r="R270" i="7"/>
  <c r="S270" i="7" s="1"/>
  <c r="AZ270" i="7" s="1"/>
  <c r="R254" i="7"/>
  <c r="S254" i="7" s="1"/>
  <c r="AZ254" i="7" s="1"/>
  <c r="R232" i="7"/>
  <c r="S232" i="7" s="1"/>
  <c r="AZ232" i="7" s="1"/>
  <c r="R226" i="7"/>
  <c r="S226" i="7" s="1"/>
  <c r="AZ226" i="7" s="1"/>
  <c r="R206" i="7"/>
  <c r="S206" i="7" s="1"/>
  <c r="AZ206" i="7" s="1"/>
  <c r="R150" i="7"/>
  <c r="S150" i="7" s="1"/>
  <c r="AZ150" i="7" s="1"/>
  <c r="AA266" i="8"/>
  <c r="AB266" i="8" s="1"/>
  <c r="AC266" i="8" s="1"/>
  <c r="Z224" i="8"/>
  <c r="Y186" i="8"/>
  <c r="X155" i="8"/>
  <c r="U32" i="7"/>
  <c r="BG209" i="7"/>
  <c r="R156" i="6"/>
  <c r="S156" i="6" s="1"/>
  <c r="AZ156" i="6" s="1"/>
  <c r="V30" i="7"/>
  <c r="T30" i="7"/>
  <c r="V25" i="7"/>
  <c r="T25" i="7"/>
  <c r="X339" i="6"/>
  <c r="W339" i="6"/>
  <c r="Z339" i="6"/>
  <c r="V339" i="6"/>
  <c r="X307" i="6"/>
  <c r="W307" i="6"/>
  <c r="Z307" i="6"/>
  <c r="V307" i="6"/>
  <c r="X209" i="6"/>
  <c r="W209" i="6"/>
  <c r="Z209" i="6"/>
  <c r="U28" i="7"/>
  <c r="BG171" i="7"/>
  <c r="Y352" i="6"/>
  <c r="X352" i="6"/>
  <c r="W352" i="6"/>
  <c r="Y308" i="6"/>
  <c r="X308" i="6"/>
  <c r="W308" i="6"/>
  <c r="Y300" i="6"/>
  <c r="X300" i="6"/>
  <c r="W300" i="6"/>
  <c r="AA300" i="6" s="1"/>
  <c r="AB300" i="6" s="1"/>
  <c r="AC300" i="6" s="1"/>
  <c r="Y270" i="6"/>
  <c r="X270" i="6"/>
  <c r="W270" i="6"/>
  <c r="Y228" i="6"/>
  <c r="X228" i="6"/>
  <c r="AA228" i="6" s="1"/>
  <c r="AB228" i="6" s="1"/>
  <c r="AC228" i="6" s="1"/>
  <c r="W228" i="6"/>
  <c r="Y218" i="6"/>
  <c r="X218" i="6"/>
  <c r="W218" i="6"/>
  <c r="Y214" i="6"/>
  <c r="X214" i="6"/>
  <c r="W214" i="6"/>
  <c r="L35" i="7"/>
  <c r="J35" i="7"/>
  <c r="V24" i="7"/>
  <c r="T24" i="7"/>
  <c r="Y333" i="6"/>
  <c r="AA333" i="6" s="1"/>
  <c r="X323" i="6"/>
  <c r="Z309" i="6"/>
  <c r="V309" i="6"/>
  <c r="Y309" i="6"/>
  <c r="X309" i="6"/>
  <c r="V305" i="6"/>
  <c r="X305" i="6"/>
  <c r="Z301" i="6"/>
  <c r="V301" i="6"/>
  <c r="Y301" i="6"/>
  <c r="X301" i="6"/>
  <c r="Z277" i="6"/>
  <c r="V277" i="6"/>
  <c r="Y277" i="6"/>
  <c r="X277" i="6"/>
  <c r="V247" i="6"/>
  <c r="AA247" i="6" s="1"/>
  <c r="X247" i="6"/>
  <c r="Z352" i="6"/>
  <c r="X342" i="6"/>
  <c r="W334" i="6"/>
  <c r="V306" i="6"/>
  <c r="W286" i="6"/>
  <c r="W247" i="6"/>
  <c r="V238" i="6"/>
  <c r="V230" i="6"/>
  <c r="X224" i="6"/>
  <c r="W220" i="6"/>
  <c r="Z216" i="6"/>
  <c r="K31" i="6"/>
  <c r="BG186" i="6"/>
  <c r="R161" i="6"/>
  <c r="S161" i="6" s="1"/>
  <c r="AZ161" i="6"/>
  <c r="AH491" i="5"/>
  <c r="T480" i="5"/>
  <c r="T471" i="5"/>
  <c r="AH462" i="5"/>
  <c r="AN491" i="5"/>
  <c r="AN473" i="5"/>
  <c r="AN462" i="5"/>
  <c r="AN499" i="5"/>
  <c r="AN483" i="5"/>
  <c r="AN453" i="5"/>
  <c r="BG351" i="5"/>
  <c r="K38" i="5"/>
  <c r="AZ331" i="5"/>
  <c r="R331" i="5"/>
  <c r="S331" i="5" s="1"/>
  <c r="R325" i="5"/>
  <c r="S325" i="5" s="1"/>
  <c r="AZ325" i="5" s="1"/>
  <c r="R303" i="5"/>
  <c r="S303" i="5" s="1"/>
  <c r="AZ303" i="5" s="1"/>
  <c r="R287" i="5"/>
  <c r="S287" i="5" s="1"/>
  <c r="AZ287" i="5" s="1"/>
  <c r="R271" i="5"/>
  <c r="S271" i="5" s="1"/>
  <c r="AZ271" i="5" s="1"/>
  <c r="R261" i="5"/>
  <c r="S261" i="5" s="1"/>
  <c r="AZ261" i="5" s="1"/>
  <c r="R239" i="5"/>
  <c r="S239" i="5" s="1"/>
  <c r="AZ239" i="5" s="1"/>
  <c r="U38" i="5"/>
  <c r="BG236" i="5"/>
  <c r="R213" i="5"/>
  <c r="S213" i="5" s="1"/>
  <c r="AZ213" i="5" s="1"/>
  <c r="R203" i="5"/>
  <c r="S203" i="5" s="1"/>
  <c r="AZ203" i="5" s="1"/>
  <c r="R187" i="5"/>
  <c r="S187" i="5" s="1"/>
  <c r="AZ187" i="5" s="1"/>
  <c r="R171" i="5"/>
  <c r="S171" i="5" s="1"/>
  <c r="AZ171" i="5" s="1"/>
  <c r="R149" i="5"/>
  <c r="S149" i="5" s="1"/>
  <c r="AZ149" i="5" s="1"/>
  <c r="K23" i="5"/>
  <c r="BG146" i="5"/>
  <c r="AK453" i="4"/>
  <c r="AK499" i="4"/>
  <c r="AK491" i="4"/>
  <c r="AE491" i="4"/>
  <c r="AK473" i="4"/>
  <c r="Q471" i="4"/>
  <c r="AK483" i="4"/>
  <c r="Q480" i="4"/>
  <c r="AK462" i="4"/>
  <c r="AE462" i="4"/>
  <c r="X346" i="6"/>
  <c r="AA346" i="6" s="1"/>
  <c r="AB346" i="6" s="1"/>
  <c r="AC346" i="6" s="1"/>
  <c r="W330" i="6"/>
  <c r="V324" i="6"/>
  <c r="Y316" i="6"/>
  <c r="Y298" i="6"/>
  <c r="X278" i="6"/>
  <c r="Y268" i="6"/>
  <c r="Y252" i="6"/>
  <c r="X242" i="6"/>
  <c r="X208" i="6"/>
  <c r="K34" i="6"/>
  <c r="BG196" i="6"/>
  <c r="J32" i="6"/>
  <c r="L32" i="6"/>
  <c r="BG185" i="6"/>
  <c r="K30" i="6"/>
  <c r="W170" i="6"/>
  <c r="V170" i="6"/>
  <c r="Z170" i="6"/>
  <c r="U25" i="6"/>
  <c r="BG162" i="6"/>
  <c r="R151" i="6"/>
  <c r="S151" i="6" s="1"/>
  <c r="AZ151" i="6" s="1"/>
  <c r="Y475" i="5"/>
  <c r="Y473" i="5"/>
  <c r="R345" i="5"/>
  <c r="S345" i="5" s="1"/>
  <c r="AZ345" i="5" s="1"/>
  <c r="R322" i="5"/>
  <c r="S322" i="5" s="1"/>
  <c r="AZ322" i="5" s="1"/>
  <c r="R300" i="5"/>
  <c r="S300" i="5" s="1"/>
  <c r="AZ300" i="5" s="1"/>
  <c r="R284" i="5"/>
  <c r="S284" i="5" s="1"/>
  <c r="AZ284" i="5" s="1"/>
  <c r="R258" i="5"/>
  <c r="S258" i="5" s="1"/>
  <c r="AZ258" i="5" s="1"/>
  <c r="R244" i="5"/>
  <c r="S244" i="5" s="1"/>
  <c r="AZ244" i="5" s="1"/>
  <c r="R228" i="5"/>
  <c r="S228" i="5" s="1"/>
  <c r="AZ228" i="5" s="1"/>
  <c r="R218" i="5"/>
  <c r="S218" i="5" s="1"/>
  <c r="AZ218" i="5" s="1"/>
  <c r="R192" i="5"/>
  <c r="S192" i="5" s="1"/>
  <c r="AZ192" i="5" s="1"/>
  <c r="R176" i="5"/>
  <c r="S176" i="5" s="1"/>
  <c r="AZ176" i="5" s="1"/>
  <c r="R160" i="5"/>
  <c r="S160" i="5" s="1"/>
  <c r="AZ160" i="5" s="1"/>
  <c r="R154" i="5"/>
  <c r="S154" i="5" s="1"/>
  <c r="AZ154" i="5"/>
  <c r="Y487" i="4"/>
  <c r="Y485" i="4"/>
  <c r="Y342" i="6"/>
  <c r="W323" i="6"/>
  <c r="AA323" i="6" s="1"/>
  <c r="Y312" i="6"/>
  <c r="W309" i="6"/>
  <c r="W301" i="6"/>
  <c r="W294" i="6"/>
  <c r="Y264" i="6"/>
  <c r="W260" i="6"/>
  <c r="Z228" i="6"/>
  <c r="V224" i="6"/>
  <c r="X220" i="6"/>
  <c r="Z211" i="6"/>
  <c r="V211" i="6"/>
  <c r="Y211" i="6"/>
  <c r="X211" i="6"/>
  <c r="K36" i="6"/>
  <c r="BG202" i="6"/>
  <c r="Z178" i="6"/>
  <c r="K29" i="6"/>
  <c r="BG174" i="6"/>
  <c r="U27" i="6"/>
  <c r="BG170" i="6"/>
  <c r="W166" i="6"/>
  <c r="V166" i="6"/>
  <c r="AA166" i="6" s="1"/>
  <c r="R168" i="6"/>
  <c r="S168" i="6" s="1"/>
  <c r="AZ168" i="6" s="1"/>
  <c r="R200" i="6"/>
  <c r="S200" i="6" s="1"/>
  <c r="AZ200" i="6" s="1"/>
  <c r="AZ167" i="6"/>
  <c r="R167" i="6"/>
  <c r="S167" i="6" s="1"/>
  <c r="AZ205" i="6"/>
  <c r="R205" i="6"/>
  <c r="S205" i="6" s="1"/>
  <c r="AZ227" i="6"/>
  <c r="R227" i="6"/>
  <c r="S227" i="6" s="1"/>
  <c r="C537" i="5"/>
  <c r="F533" i="5" s="1"/>
  <c r="C529" i="5"/>
  <c r="R349" i="5"/>
  <c r="S349" i="5" s="1"/>
  <c r="AZ349" i="5" s="1"/>
  <c r="R346" i="5"/>
  <c r="S346" i="5" s="1"/>
  <c r="AZ346" i="5" s="1"/>
  <c r="R329" i="5"/>
  <c r="S329" i="5" s="1"/>
  <c r="AZ329" i="5" s="1"/>
  <c r="R319" i="5"/>
  <c r="S319" i="5" s="1"/>
  <c r="AZ319" i="5" s="1"/>
  <c r="R309" i="5"/>
  <c r="S309" i="5" s="1"/>
  <c r="AZ309" i="5" s="1"/>
  <c r="R293" i="5"/>
  <c r="S293" i="5" s="1"/>
  <c r="AZ293" i="5" s="1"/>
  <c r="R277" i="5"/>
  <c r="S277" i="5" s="1"/>
  <c r="AZ277" i="5" s="1"/>
  <c r="R259" i="5"/>
  <c r="S259" i="5" s="1"/>
  <c r="AZ259" i="5" s="1"/>
  <c r="R233" i="5"/>
  <c r="S233" i="5" s="1"/>
  <c r="AZ233" i="5" s="1"/>
  <c r="R215" i="5"/>
  <c r="S215" i="5" s="1"/>
  <c r="AZ215" i="5" s="1"/>
  <c r="R197" i="5"/>
  <c r="S197" i="5" s="1"/>
  <c r="AZ197" i="5" s="1"/>
  <c r="R181" i="5"/>
  <c r="S181" i="5" s="1"/>
  <c r="AZ181" i="5" s="1"/>
  <c r="K29" i="5"/>
  <c r="BG174" i="5"/>
  <c r="R165" i="5"/>
  <c r="S165" i="5" s="1"/>
  <c r="AZ165" i="5" s="1"/>
  <c r="R155" i="5"/>
  <c r="S155" i="5" s="1"/>
  <c r="AZ155" i="5" s="1"/>
  <c r="Z350" i="6"/>
  <c r="Y346" i="6"/>
  <c r="X330" i="6"/>
  <c r="X298" i="6"/>
  <c r="Z278" i="6"/>
  <c r="V256" i="6"/>
  <c r="X252" i="6"/>
  <c r="V242" i="6"/>
  <c r="Z234" i="6"/>
  <c r="Y200" i="6"/>
  <c r="X200" i="6"/>
  <c r="W200" i="6"/>
  <c r="Y169" i="6"/>
  <c r="AA169" i="6" s="1"/>
  <c r="AB169" i="6" s="1"/>
  <c r="AC169" i="6" s="1"/>
  <c r="V160" i="6"/>
  <c r="Y146" i="6"/>
  <c r="R348" i="5"/>
  <c r="S348" i="5" s="1"/>
  <c r="AZ348" i="5" s="1"/>
  <c r="Y212" i="6"/>
  <c r="J28" i="5"/>
  <c r="L28" i="5"/>
  <c r="AZ352" i="4"/>
  <c r="R352" i="4"/>
  <c r="S352" i="4" s="1"/>
  <c r="AZ336" i="4"/>
  <c r="R336" i="4"/>
  <c r="S336" i="4" s="1"/>
  <c r="AZ322" i="4"/>
  <c r="R322" i="4"/>
  <c r="S322" i="4" s="1"/>
  <c r="AZ318" i="4"/>
  <c r="R318" i="4"/>
  <c r="S318" i="4" s="1"/>
  <c r="AZ314" i="4"/>
  <c r="R314" i="4"/>
  <c r="S314" i="4" s="1"/>
  <c r="R296" i="4"/>
  <c r="S296" i="4" s="1"/>
  <c r="AZ296" i="4" s="1"/>
  <c r="R292" i="4"/>
  <c r="S292" i="4" s="1"/>
  <c r="AZ292" i="4" s="1"/>
  <c r="R270" i="4"/>
  <c r="S270" i="4" s="1"/>
  <c r="AZ270" i="4" s="1"/>
  <c r="R254" i="4"/>
  <c r="S254" i="4" s="1"/>
  <c r="AZ254" i="4" s="1"/>
  <c r="R250" i="4"/>
  <c r="S250" i="4" s="1"/>
  <c r="AZ250" i="4" s="1"/>
  <c r="R228" i="4"/>
  <c r="S228" i="4" s="1"/>
  <c r="AZ228" i="4" s="1"/>
  <c r="R204" i="4"/>
  <c r="S204" i="4" s="1"/>
  <c r="AZ204" i="4" s="1"/>
  <c r="AZ184" i="4"/>
  <c r="R184" i="4"/>
  <c r="S184" i="4" s="1"/>
  <c r="AZ180" i="4"/>
  <c r="R180" i="4"/>
  <c r="S180" i="4" s="1"/>
  <c r="R146" i="4"/>
  <c r="S146" i="4" s="1"/>
  <c r="AZ146" i="4" s="1"/>
  <c r="Y493" i="3"/>
  <c r="Y495" i="3"/>
  <c r="Y485" i="3"/>
  <c r="Y487" i="3"/>
  <c r="Y172" i="6"/>
  <c r="R349" i="4"/>
  <c r="S349" i="4" s="1"/>
  <c r="AZ349" i="4"/>
  <c r="R345" i="4"/>
  <c r="S345" i="4" s="1"/>
  <c r="AZ345" i="4"/>
  <c r="R337" i="4"/>
  <c r="S337" i="4" s="1"/>
  <c r="AZ337" i="4"/>
  <c r="R333" i="4"/>
  <c r="S333" i="4" s="1"/>
  <c r="AZ333" i="4"/>
  <c r="R327" i="4"/>
  <c r="S327" i="4" s="1"/>
  <c r="AZ327" i="4"/>
  <c r="R319" i="4"/>
  <c r="S319" i="4" s="1"/>
  <c r="AZ319" i="4"/>
  <c r="Y314" i="4"/>
  <c r="W314" i="4"/>
  <c r="R311" i="4"/>
  <c r="S311" i="4" s="1"/>
  <c r="AZ311" i="4"/>
  <c r="Y296" i="4"/>
  <c r="W296" i="4"/>
  <c r="R285" i="4"/>
  <c r="S285" i="4" s="1"/>
  <c r="AZ285" i="4" s="1"/>
  <c r="Y280" i="4"/>
  <c r="W280" i="4"/>
  <c r="Y272" i="4"/>
  <c r="W272" i="4"/>
  <c r="Y270" i="4"/>
  <c r="W270" i="4"/>
  <c r="R263" i="4"/>
  <c r="S263" i="4" s="1"/>
  <c r="AZ263" i="4" s="1"/>
  <c r="Y258" i="4"/>
  <c r="W258" i="4"/>
  <c r="Y244" i="4"/>
  <c r="W244" i="4"/>
  <c r="R211" i="4"/>
  <c r="S211" i="4" s="1"/>
  <c r="AZ211" i="4" s="1"/>
  <c r="BG202" i="4"/>
  <c r="K36" i="4"/>
  <c r="R189" i="4"/>
  <c r="S189" i="4" s="1"/>
  <c r="AZ189" i="4" s="1"/>
  <c r="R177" i="4"/>
  <c r="S177" i="4" s="1"/>
  <c r="AZ177" i="4" s="1"/>
  <c r="BG170" i="4"/>
  <c r="U27" i="4"/>
  <c r="R165" i="4"/>
  <c r="S165" i="4" s="1"/>
  <c r="AZ165" i="4" s="1"/>
  <c r="R155" i="4"/>
  <c r="S155" i="4" s="1"/>
  <c r="AZ155" i="4" s="1"/>
  <c r="X168" i="6"/>
  <c r="AA168" i="6" s="1"/>
  <c r="AB168" i="6" s="1"/>
  <c r="AC168" i="6" s="1"/>
  <c r="Z349" i="4"/>
  <c r="V349" i="4"/>
  <c r="X349" i="4"/>
  <c r="R346" i="4"/>
  <c r="S346" i="4" s="1"/>
  <c r="AZ346" i="4"/>
  <c r="Z333" i="4"/>
  <c r="V333" i="4"/>
  <c r="X333" i="4"/>
  <c r="R330" i="4"/>
  <c r="S330" i="4" s="1"/>
  <c r="AZ330" i="4" s="1"/>
  <c r="Z315" i="4"/>
  <c r="X315" i="4"/>
  <c r="R312" i="4"/>
  <c r="S312" i="4" s="1"/>
  <c r="AZ312" i="4" s="1"/>
  <c r="Z305" i="4"/>
  <c r="V305" i="4"/>
  <c r="X305" i="4"/>
  <c r="R302" i="4"/>
  <c r="S302" i="4" s="1"/>
  <c r="AZ302" i="4"/>
  <c r="Z289" i="4"/>
  <c r="V289" i="4"/>
  <c r="X289" i="4"/>
  <c r="R286" i="4"/>
  <c r="S286" i="4" s="1"/>
  <c r="AZ286" i="4" s="1"/>
  <c r="Z267" i="4"/>
  <c r="V267" i="4"/>
  <c r="X267" i="4"/>
  <c r="R264" i="4"/>
  <c r="S264" i="4" s="1"/>
  <c r="AZ264" i="4" s="1"/>
  <c r="Z251" i="4"/>
  <c r="X251" i="4"/>
  <c r="R248" i="4"/>
  <c r="S248" i="4" s="1"/>
  <c r="AZ248" i="4" s="1"/>
  <c r="R230" i="4"/>
  <c r="S230" i="4" s="1"/>
  <c r="AZ230" i="4" s="1"/>
  <c r="R224" i="4"/>
  <c r="S224" i="4" s="1"/>
  <c r="AZ224" i="4" s="1"/>
  <c r="R212" i="4"/>
  <c r="S212" i="4" s="1"/>
  <c r="AZ212" i="4" s="1"/>
  <c r="X197" i="4"/>
  <c r="R194" i="4"/>
  <c r="S194" i="4" s="1"/>
  <c r="AZ194" i="4"/>
  <c r="R178" i="4"/>
  <c r="S178" i="4" s="1"/>
  <c r="AZ178" i="4"/>
  <c r="Y165" i="4"/>
  <c r="X165" i="4"/>
  <c r="R162" i="4"/>
  <c r="S162" i="4" s="1"/>
  <c r="AZ162" i="4"/>
  <c r="R152" i="4"/>
  <c r="S152" i="4" s="1"/>
  <c r="AZ152" i="4"/>
  <c r="Z346" i="3"/>
  <c r="X346" i="3"/>
  <c r="V338" i="3"/>
  <c r="X338" i="3"/>
  <c r="Z330" i="3"/>
  <c r="V330" i="3"/>
  <c r="X330" i="3"/>
  <c r="Z320" i="3"/>
  <c r="V320" i="3"/>
  <c r="X320" i="3"/>
  <c r="X312" i="3"/>
  <c r="X306" i="3"/>
  <c r="X298" i="3"/>
  <c r="X264" i="3"/>
  <c r="X256" i="3"/>
  <c r="X202" i="3"/>
  <c r="Z202" i="3"/>
  <c r="Z152" i="6"/>
  <c r="J26" i="5"/>
  <c r="L26" i="5"/>
  <c r="V340" i="4"/>
  <c r="W333" i="4"/>
  <c r="V322" i="4"/>
  <c r="W312" i="4"/>
  <c r="Y312" i="4"/>
  <c r="W298" i="4"/>
  <c r="Y298" i="4"/>
  <c r="W289" i="4"/>
  <c r="W277" i="4"/>
  <c r="V272" i="4"/>
  <c r="V270" i="4"/>
  <c r="W267" i="4"/>
  <c r="W264" i="4"/>
  <c r="Y264" i="4"/>
  <c r="W256" i="4"/>
  <c r="Y256" i="4"/>
  <c r="V250" i="4"/>
  <c r="W242" i="4"/>
  <c r="Y242" i="4"/>
  <c r="BG236" i="4"/>
  <c r="U38" i="4"/>
  <c r="W230" i="4"/>
  <c r="Y230" i="4"/>
  <c r="W224" i="4"/>
  <c r="Y224" i="4"/>
  <c r="V214" i="4"/>
  <c r="V210" i="4"/>
  <c r="AZ205" i="4"/>
  <c r="R205" i="4"/>
  <c r="S205" i="4" s="1"/>
  <c r="W201" i="4"/>
  <c r="AA201" i="4" s="1"/>
  <c r="AB201" i="4" s="1"/>
  <c r="AC201" i="4" s="1"/>
  <c r="V192" i="4"/>
  <c r="BG172" i="4"/>
  <c r="U29" i="4"/>
  <c r="K27" i="4"/>
  <c r="W169" i="4"/>
  <c r="Z148" i="4"/>
  <c r="Y148" i="4"/>
  <c r="W338" i="3"/>
  <c r="W320" i="3"/>
  <c r="W312" i="3"/>
  <c r="W278" i="3"/>
  <c r="AA278" i="3" s="1"/>
  <c r="AB278" i="3" s="1"/>
  <c r="AC278" i="3" s="1"/>
  <c r="W268" i="3"/>
  <c r="AA268" i="3" s="1"/>
  <c r="AB268" i="3" s="1"/>
  <c r="AC268" i="3" s="1"/>
  <c r="V259" i="3"/>
  <c r="BG251" i="3"/>
  <c r="U34" i="3"/>
  <c r="W208" i="3"/>
  <c r="Y341" i="4"/>
  <c r="Y315" i="4"/>
  <c r="X292" i="4"/>
  <c r="Y210" i="4"/>
  <c r="J35" i="4"/>
  <c r="L35" i="4"/>
  <c r="W199" i="4"/>
  <c r="Z175" i="4"/>
  <c r="X171" i="4"/>
  <c r="Z165" i="4"/>
  <c r="T24" i="4"/>
  <c r="V24" i="4"/>
  <c r="Y151" i="4"/>
  <c r="X318" i="3"/>
  <c r="Y309" i="3"/>
  <c r="Y301" i="3"/>
  <c r="Z295" i="3"/>
  <c r="X288" i="3"/>
  <c r="V280" i="3"/>
  <c r="Y267" i="3"/>
  <c r="X263" i="3"/>
  <c r="Z258" i="3"/>
  <c r="X251" i="3"/>
  <c r="AA251" i="3" s="1"/>
  <c r="AB251" i="3" s="1"/>
  <c r="AC251" i="3" s="1"/>
  <c r="K37" i="3"/>
  <c r="BG203" i="3"/>
  <c r="U31" i="3"/>
  <c r="BG199" i="3"/>
  <c r="BG195" i="3"/>
  <c r="K33" i="3"/>
  <c r="Z173" i="3"/>
  <c r="AZ163" i="3"/>
  <c r="R163" i="3"/>
  <c r="S163" i="3" s="1"/>
  <c r="AZ348" i="2"/>
  <c r="R348" i="2"/>
  <c r="S348" i="2" s="1"/>
  <c r="AZ344" i="2"/>
  <c r="R344" i="2"/>
  <c r="S344" i="2" s="1"/>
  <c r="AZ340" i="2"/>
  <c r="R340" i="2"/>
  <c r="S340" i="2" s="1"/>
  <c r="AZ336" i="2"/>
  <c r="R336" i="2"/>
  <c r="S336" i="2" s="1"/>
  <c r="AZ332" i="2"/>
  <c r="R332" i="2"/>
  <c r="S332" i="2" s="1"/>
  <c r="AZ328" i="2"/>
  <c r="R328" i="2"/>
  <c r="S328" i="2" s="1"/>
  <c r="AZ308" i="2"/>
  <c r="R308" i="2"/>
  <c r="S308" i="2" s="1"/>
  <c r="AZ304" i="2"/>
  <c r="R304" i="2"/>
  <c r="S304" i="2" s="1"/>
  <c r="AZ300" i="2"/>
  <c r="R300" i="2"/>
  <c r="S300" i="2" s="1"/>
  <c r="AZ296" i="2"/>
  <c r="R296" i="2"/>
  <c r="S296" i="2" s="1"/>
  <c r="AZ292" i="2"/>
  <c r="R292" i="2"/>
  <c r="S292" i="2" s="1"/>
  <c r="AZ288" i="2"/>
  <c r="R288" i="2"/>
  <c r="S288" i="2" s="1"/>
  <c r="AZ284" i="2"/>
  <c r="R284" i="2"/>
  <c r="S284" i="2" s="1"/>
  <c r="AZ280" i="2"/>
  <c r="R280" i="2"/>
  <c r="S280" i="2" s="1"/>
  <c r="AZ276" i="2"/>
  <c r="R276" i="2"/>
  <c r="S276" i="2" s="1"/>
  <c r="AZ272" i="2"/>
  <c r="R272" i="2"/>
  <c r="S272" i="2" s="1"/>
  <c r="AZ204" i="2"/>
  <c r="R204" i="2"/>
  <c r="S204" i="2" s="1"/>
  <c r="AZ200" i="2"/>
  <c r="R200" i="2"/>
  <c r="S200" i="2" s="1"/>
  <c r="AZ196" i="2"/>
  <c r="R196" i="2"/>
  <c r="S196" i="2" s="1"/>
  <c r="X322" i="4"/>
  <c r="AA313" i="4"/>
  <c r="AA307" i="4"/>
  <c r="Z298" i="4"/>
  <c r="AA257" i="4"/>
  <c r="X213" i="4"/>
  <c r="X195" i="4"/>
  <c r="X191" i="4"/>
  <c r="Z183" i="4"/>
  <c r="Z172" i="4"/>
  <c r="W152" i="4"/>
  <c r="X349" i="3"/>
  <c r="X332" i="3"/>
  <c r="AA332" i="3" s="1"/>
  <c r="AB332" i="3" s="1"/>
  <c r="AC332" i="3" s="1"/>
  <c r="V318" i="3"/>
  <c r="AA318" i="3" s="1"/>
  <c r="AB318" i="3" s="1"/>
  <c r="AC318" i="3" s="1"/>
  <c r="X314" i="3"/>
  <c r="AA314" i="3" s="1"/>
  <c r="AB314" i="3" s="1"/>
  <c r="AC314" i="3" s="1"/>
  <c r="V304" i="3"/>
  <c r="Y298" i="3"/>
  <c r="Z294" i="3"/>
  <c r="W291" i="3"/>
  <c r="V270" i="3"/>
  <c r="Z264" i="3"/>
  <c r="Y256" i="3"/>
  <c r="X250" i="3"/>
  <c r="AA250" i="3" s="1"/>
  <c r="AB250" i="3" s="1"/>
  <c r="AC250" i="3" s="1"/>
  <c r="W247" i="3"/>
  <c r="Y247" i="3"/>
  <c r="W241" i="3"/>
  <c r="Y241" i="3"/>
  <c r="Y209" i="3"/>
  <c r="W209" i="3"/>
  <c r="Y183" i="3"/>
  <c r="W183" i="3"/>
  <c r="V178" i="3"/>
  <c r="Z178" i="3"/>
  <c r="X178" i="3"/>
  <c r="Y172" i="3"/>
  <c r="R149" i="3"/>
  <c r="S149" i="3" s="1"/>
  <c r="AZ149" i="3" s="1"/>
  <c r="R333" i="2"/>
  <c r="S333" i="2" s="1"/>
  <c r="AZ333" i="2" s="1"/>
  <c r="R329" i="2"/>
  <c r="S329" i="2" s="1"/>
  <c r="AZ329" i="2" s="1"/>
  <c r="R319" i="2"/>
  <c r="S319" i="2" s="1"/>
  <c r="AZ319" i="2" s="1"/>
  <c r="R315" i="2"/>
  <c r="S315" i="2" s="1"/>
  <c r="AZ315" i="2" s="1"/>
  <c r="R241" i="2"/>
  <c r="S241" i="2" s="1"/>
  <c r="AZ241" i="2" s="1"/>
  <c r="R237" i="2"/>
  <c r="S237" i="2" s="1"/>
  <c r="AZ237" i="2" s="1"/>
  <c r="R219" i="2"/>
  <c r="S219" i="2" s="1"/>
  <c r="AZ219" i="2" s="1"/>
  <c r="R211" i="2"/>
  <c r="S211" i="2" s="1"/>
  <c r="AZ211" i="2" s="1"/>
  <c r="R201" i="2"/>
  <c r="S201" i="2" s="1"/>
  <c r="AZ201" i="2"/>
  <c r="R189" i="2"/>
  <c r="S189" i="2" s="1"/>
  <c r="AZ189" i="2" s="1"/>
  <c r="R184" i="2"/>
  <c r="S184" i="2" s="1"/>
  <c r="AZ184" i="2" s="1"/>
  <c r="BG178" i="2"/>
  <c r="U30" i="2"/>
  <c r="BG174" i="2"/>
  <c r="K29" i="2"/>
  <c r="BG170" i="2"/>
  <c r="U27" i="2"/>
  <c r="AZ164" i="2"/>
  <c r="R164" i="2"/>
  <c r="S164" i="2" s="1"/>
  <c r="R150" i="2"/>
  <c r="S150" i="2" s="1"/>
  <c r="AZ150" i="2" s="1"/>
  <c r="X340" i="4"/>
  <c r="Z304" i="4"/>
  <c r="Z221" i="4"/>
  <c r="W217" i="4"/>
  <c r="W213" i="4"/>
  <c r="Z207" i="4"/>
  <c r="Z200" i="4"/>
  <c r="W195" i="4"/>
  <c r="X188" i="4"/>
  <c r="Z163" i="4"/>
  <c r="Z160" i="4"/>
  <c r="Z152" i="4"/>
  <c r="X150" i="4"/>
  <c r="W145" i="4"/>
  <c r="X345" i="3"/>
  <c r="Z339" i="3"/>
  <c r="Y316" i="3"/>
  <c r="Y297" i="3"/>
  <c r="X284" i="3"/>
  <c r="AA284" i="3" s="1"/>
  <c r="AB284" i="3" s="1"/>
  <c r="AC284" i="3" s="1"/>
  <c r="X281" i="3"/>
  <c r="AA281" i="3" s="1"/>
  <c r="AB281" i="3" s="1"/>
  <c r="AC281" i="3" s="1"/>
  <c r="V276" i="3"/>
  <c r="Z272" i="3"/>
  <c r="Z263" i="3"/>
  <c r="Z253" i="3"/>
  <c r="Z250" i="3"/>
  <c r="Z243" i="3"/>
  <c r="Y240" i="3"/>
  <c r="W223" i="3"/>
  <c r="AA223" i="3" s="1"/>
  <c r="AB223" i="3" s="1"/>
  <c r="AC223" i="3" s="1"/>
  <c r="Y223" i="3"/>
  <c r="AZ193" i="3"/>
  <c r="R193" i="3"/>
  <c r="S193" i="3" s="1"/>
  <c r="Y186" i="3"/>
  <c r="Y179" i="3"/>
  <c r="W179" i="3"/>
  <c r="X171" i="3"/>
  <c r="R169" i="3"/>
  <c r="S169" i="3" s="1"/>
  <c r="AZ169" i="3" s="1"/>
  <c r="R155" i="3"/>
  <c r="S155" i="3" s="1"/>
  <c r="AZ155" i="3" s="1"/>
  <c r="AM483" i="2"/>
  <c r="S480" i="2"/>
  <c r="AM462" i="2"/>
  <c r="AG462" i="2"/>
  <c r="AM453" i="2"/>
  <c r="AM499" i="2"/>
  <c r="AM491" i="2"/>
  <c r="AG491" i="2"/>
  <c r="AM473" i="2"/>
  <c r="S471" i="2"/>
  <c r="Y457" i="2"/>
  <c r="Y459" i="2"/>
  <c r="R350" i="2"/>
  <c r="S350" i="2" s="1"/>
  <c r="AZ350" i="2"/>
  <c r="R346" i="2"/>
  <c r="S346" i="2" s="1"/>
  <c r="AZ346" i="2"/>
  <c r="R342" i="2"/>
  <c r="S342" i="2" s="1"/>
  <c r="AZ342" i="2"/>
  <c r="R330" i="2"/>
  <c r="S330" i="2" s="1"/>
  <c r="AZ330" i="2"/>
  <c r="R324" i="2"/>
  <c r="S324" i="2" s="1"/>
  <c r="AZ324" i="2"/>
  <c r="AA321" i="2"/>
  <c r="R316" i="2"/>
  <c r="S316" i="2" s="1"/>
  <c r="AZ316" i="2" s="1"/>
  <c r="R312" i="2"/>
  <c r="S312" i="2" s="1"/>
  <c r="AZ312" i="2" s="1"/>
  <c r="R302" i="2"/>
  <c r="S302" i="2" s="1"/>
  <c r="AZ302" i="2"/>
  <c r="R298" i="2"/>
  <c r="S298" i="2" s="1"/>
  <c r="AZ298" i="2"/>
  <c r="BG279" i="2"/>
  <c r="U35" i="2"/>
  <c r="R264" i="2"/>
  <c r="S264" i="2" s="1"/>
  <c r="AZ264" i="2" s="1"/>
  <c r="R256" i="2"/>
  <c r="S256" i="2" s="1"/>
  <c r="AZ256" i="2" s="1"/>
  <c r="R248" i="2"/>
  <c r="S248" i="2" s="1"/>
  <c r="AZ248" i="2"/>
  <c r="R242" i="2"/>
  <c r="S242" i="2" s="1"/>
  <c r="AZ242" i="2"/>
  <c r="R220" i="2"/>
  <c r="S220" i="2" s="1"/>
  <c r="AZ220" i="2" s="1"/>
  <c r="R216" i="2"/>
  <c r="S216" i="2" s="1"/>
  <c r="AZ216" i="2" s="1"/>
  <c r="R212" i="2"/>
  <c r="S212" i="2" s="1"/>
  <c r="AZ212" i="2" s="1"/>
  <c r="R208" i="2"/>
  <c r="S208" i="2" s="1"/>
  <c r="AZ208" i="2" s="1"/>
  <c r="AA205" i="2"/>
  <c r="BG195" i="2"/>
  <c r="K33" i="2"/>
  <c r="R174" i="2"/>
  <c r="S174" i="2" s="1"/>
  <c r="AZ174" i="2" s="1"/>
  <c r="R170" i="2"/>
  <c r="S170" i="2" s="1"/>
  <c r="AZ170" i="2" s="1"/>
  <c r="R166" i="2"/>
  <c r="S166" i="2" s="1"/>
  <c r="AZ166" i="2" s="1"/>
  <c r="R156" i="2"/>
  <c r="S156" i="2" s="1"/>
  <c r="AZ156" i="2" s="1"/>
  <c r="AA343" i="4"/>
  <c r="Y325" i="4"/>
  <c r="AA325" i="4" s="1"/>
  <c r="AB325" i="4" s="1"/>
  <c r="AC325" i="4" s="1"/>
  <c r="X314" i="4"/>
  <c r="AA283" i="4"/>
  <c r="Y251" i="4"/>
  <c r="Z228" i="4"/>
  <c r="Y218" i="4"/>
  <c r="Y214" i="4"/>
  <c r="Z210" i="4"/>
  <c r="X199" i="4"/>
  <c r="V195" i="4"/>
  <c r="Y185" i="4"/>
  <c r="Z179" i="4"/>
  <c r="Z168" i="4"/>
  <c r="Z159" i="4"/>
  <c r="Y146" i="4"/>
  <c r="Y357" i="4" s="1"/>
  <c r="X340" i="3"/>
  <c r="AA340" i="3" s="1"/>
  <c r="AB340" i="3" s="1"/>
  <c r="AC340" i="3" s="1"/>
  <c r="Y332" i="3"/>
  <c r="Z326" i="3"/>
  <c r="Y308" i="3"/>
  <c r="AA308" i="3" s="1"/>
  <c r="AB308" i="3" s="1"/>
  <c r="AC308" i="3" s="1"/>
  <c r="W303" i="3"/>
  <c r="Z293" i="3"/>
  <c r="Z284" i="3"/>
  <c r="Y268" i="3"/>
  <c r="Z257" i="3"/>
  <c r="X249" i="3"/>
  <c r="AA242" i="3"/>
  <c r="AB242" i="3" s="1"/>
  <c r="AC242" i="3" s="1"/>
  <c r="Y228" i="3"/>
  <c r="Y225" i="3"/>
  <c r="W225" i="3"/>
  <c r="Z196" i="3"/>
  <c r="X196" i="3"/>
  <c r="AA196" i="3" s="1"/>
  <c r="AB196" i="3" s="1"/>
  <c r="AC196" i="3" s="1"/>
  <c r="Z194" i="3"/>
  <c r="X194" i="3"/>
  <c r="V194" i="3"/>
  <c r="Y185" i="3"/>
  <c r="W185" i="3"/>
  <c r="K28" i="3"/>
  <c r="BG173" i="3"/>
  <c r="W169" i="3"/>
  <c r="X169" i="3"/>
  <c r="U26" i="3"/>
  <c r="BG167" i="3"/>
  <c r="W165" i="3"/>
  <c r="X165" i="3"/>
  <c r="R188" i="3"/>
  <c r="S188" i="3" s="1"/>
  <c r="AZ188" i="3" s="1"/>
  <c r="R328" i="3"/>
  <c r="S328" i="3" s="1"/>
  <c r="AZ328" i="3" s="1"/>
  <c r="R271" i="3"/>
  <c r="S271" i="3" s="1"/>
  <c r="AZ271" i="3"/>
  <c r="BG352" i="2"/>
  <c r="K39" i="2"/>
  <c r="AA328" i="2"/>
  <c r="X268" i="2"/>
  <c r="AA268" i="2" s="1"/>
  <c r="AB268" i="2" s="1"/>
  <c r="AC268" i="2" s="1"/>
  <c r="W264" i="2"/>
  <c r="AA264" i="2" s="1"/>
  <c r="AB264" i="2" s="1"/>
  <c r="AC264" i="2" s="1"/>
  <c r="X264" i="2"/>
  <c r="W260" i="2"/>
  <c r="W256" i="2"/>
  <c r="X256" i="2"/>
  <c r="AZ227" i="2"/>
  <c r="R227" i="2"/>
  <c r="S227" i="2" s="1"/>
  <c r="W216" i="2"/>
  <c r="X216" i="2"/>
  <c r="W212" i="2"/>
  <c r="X212" i="2"/>
  <c r="W208" i="2"/>
  <c r="X208" i="2"/>
  <c r="BG172" i="2"/>
  <c r="U29" i="2"/>
  <c r="K27" i="2"/>
  <c r="V210" i="3"/>
  <c r="Z165" i="3"/>
  <c r="Z343" i="2"/>
  <c r="X317" i="2"/>
  <c r="AA296" i="2"/>
  <c r="AA289" i="2"/>
  <c r="X283" i="2"/>
  <c r="AA283" i="2" s="1"/>
  <c r="AB283" i="2" s="1"/>
  <c r="AC283" i="2" s="1"/>
  <c r="AA277" i="2"/>
  <c r="Y260" i="2"/>
  <c r="Z256" i="2"/>
  <c r="X243" i="2"/>
  <c r="Z225" i="2"/>
  <c r="X217" i="2"/>
  <c r="AA206" i="2"/>
  <c r="Z202" i="2"/>
  <c r="Y183" i="2"/>
  <c r="AA183" i="2" s="1"/>
  <c r="AB183" i="2" s="1"/>
  <c r="AC183" i="2" s="1"/>
  <c r="Y178" i="2"/>
  <c r="Y166" i="2"/>
  <c r="X163" i="2"/>
  <c r="BA157" i="2"/>
  <c r="BC157" i="2"/>
  <c r="BD157" i="2" s="1"/>
  <c r="X149" i="2"/>
  <c r="AA149" i="2" s="1"/>
  <c r="AB149" i="2" s="1"/>
  <c r="AC149" i="2" s="1"/>
  <c r="X170" i="3"/>
  <c r="Z334" i="2"/>
  <c r="AA309" i="2"/>
  <c r="X303" i="2"/>
  <c r="Z291" i="2"/>
  <c r="Z283" i="2"/>
  <c r="Y239" i="2"/>
  <c r="AA211" i="2"/>
  <c r="Z199" i="2"/>
  <c r="AA160" i="2"/>
  <c r="X152" i="3"/>
  <c r="AA336" i="2"/>
  <c r="X325" i="2"/>
  <c r="Z303" i="2"/>
  <c r="Z295" i="2"/>
  <c r="X265" i="2"/>
  <c r="X257" i="2"/>
  <c r="Z242" i="2"/>
  <c r="Y213" i="2"/>
  <c r="AA200" i="2"/>
  <c r="Z175" i="2"/>
  <c r="AA164" i="2"/>
  <c r="Z240" i="3"/>
  <c r="Z232" i="3"/>
  <c r="T29" i="3"/>
  <c r="V29" i="3"/>
  <c r="Z152" i="3"/>
  <c r="X148" i="3"/>
  <c r="AA148" i="3" s="1"/>
  <c r="AB148" i="3" s="1"/>
  <c r="AC148" i="3" s="1"/>
  <c r="AA329" i="2"/>
  <c r="AA292" i="2"/>
  <c r="Z253" i="2"/>
  <c r="AA250" i="2"/>
  <c r="AA247" i="2"/>
  <c r="Y225" i="2"/>
  <c r="AA218" i="2"/>
  <c r="Y208" i="2"/>
  <c r="AA172" i="2"/>
  <c r="AL503" i="11"/>
  <c r="AL504" i="11" s="1"/>
  <c r="AL501" i="11"/>
  <c r="AL502" i="11" s="1"/>
  <c r="AL477" i="11"/>
  <c r="AL478" i="11" s="1"/>
  <c r="AL475" i="11"/>
  <c r="AL476" i="11" s="1"/>
  <c r="R482" i="11"/>
  <c r="R483" i="11" s="1"/>
  <c r="R484" i="11"/>
  <c r="R485" i="11" s="1"/>
  <c r="AL464" i="11"/>
  <c r="AL465" i="11" s="1"/>
  <c r="AL466" i="11"/>
  <c r="AL467" i="11" s="1"/>
  <c r="AL457" i="11"/>
  <c r="AL458" i="11" s="1"/>
  <c r="AL455" i="11"/>
  <c r="AL456" i="11" s="1"/>
  <c r="D511" i="11"/>
  <c r="V465" i="11"/>
  <c r="H528" i="11" s="1"/>
  <c r="R465" i="11"/>
  <c r="R466" i="11" s="1"/>
  <c r="V464" i="11"/>
  <c r="G528" i="11" s="1"/>
  <c r="J467" i="11"/>
  <c r="R463" i="11"/>
  <c r="R464" i="11" s="1"/>
  <c r="V463" i="11"/>
  <c r="F528" i="11" s="1"/>
  <c r="H512" i="10"/>
  <c r="AH492" i="10"/>
  <c r="J514" i="10"/>
  <c r="K514" i="10" s="1"/>
  <c r="P514" i="10" s="1"/>
  <c r="I514" i="10"/>
  <c r="F70" i="11"/>
  <c r="F81" i="11"/>
  <c r="L70" i="11"/>
  <c r="AL495" i="10"/>
  <c r="AL496" i="10" s="1"/>
  <c r="AL493" i="10"/>
  <c r="AL494" i="10" s="1"/>
  <c r="N467" i="10"/>
  <c r="AH463" i="10"/>
  <c r="H511" i="10"/>
  <c r="AL485" i="10"/>
  <c r="AL486" i="10" s="1"/>
  <c r="AL487" i="10"/>
  <c r="AL488" i="10" s="1"/>
  <c r="L74" i="10"/>
  <c r="F74" i="10"/>
  <c r="F85" i="10"/>
  <c r="L70" i="10"/>
  <c r="D78" i="10"/>
  <c r="F70" i="10"/>
  <c r="D89" i="10"/>
  <c r="F81" i="10"/>
  <c r="J513" i="9"/>
  <c r="K513" i="9" s="1"/>
  <c r="I513" i="9"/>
  <c r="J518" i="9"/>
  <c r="I518" i="9"/>
  <c r="K518" i="9"/>
  <c r="AL487" i="9"/>
  <c r="AL488" i="9" s="1"/>
  <c r="AL485" i="9"/>
  <c r="F73" i="10"/>
  <c r="L73" i="10"/>
  <c r="F84" i="10"/>
  <c r="AL477" i="9"/>
  <c r="AL478" i="9" s="1"/>
  <c r="AL475" i="9"/>
  <c r="AL503" i="8"/>
  <c r="AL504" i="8" s="1"/>
  <c r="AL501" i="8"/>
  <c r="AL502" i="8" s="1"/>
  <c r="R482" i="8"/>
  <c r="R483" i="8" s="1"/>
  <c r="R484" i="8"/>
  <c r="R485" i="8" s="1"/>
  <c r="AF492" i="8"/>
  <c r="F512" i="8"/>
  <c r="J510" i="8"/>
  <c r="I510" i="8"/>
  <c r="AL485" i="8"/>
  <c r="AL486" i="8" s="1"/>
  <c r="AL487" i="8"/>
  <c r="AL488" i="8" s="1"/>
  <c r="F86" i="9"/>
  <c r="L75" i="9"/>
  <c r="F75" i="9"/>
  <c r="F82" i="9"/>
  <c r="L71" i="9"/>
  <c r="F71" i="9"/>
  <c r="J516" i="8"/>
  <c r="I516" i="8"/>
  <c r="L467" i="8"/>
  <c r="AF463" i="8"/>
  <c r="F511" i="8"/>
  <c r="AL477" i="7"/>
  <c r="AL478" i="7" s="1"/>
  <c r="AL475" i="7"/>
  <c r="AL476" i="7" s="1"/>
  <c r="J514" i="7"/>
  <c r="I514" i="7"/>
  <c r="AL457" i="7"/>
  <c r="AL458" i="7" s="1"/>
  <c r="AL455" i="7"/>
  <c r="AL456" i="7" s="1"/>
  <c r="AL495" i="7"/>
  <c r="AL496" i="7" s="1"/>
  <c r="AL493" i="7"/>
  <c r="AL494" i="7" s="1"/>
  <c r="AH463" i="7"/>
  <c r="H511" i="7"/>
  <c r="N467" i="7"/>
  <c r="D511" i="7"/>
  <c r="V465" i="7"/>
  <c r="H528" i="7" s="1"/>
  <c r="R465" i="7"/>
  <c r="R466" i="7" s="1"/>
  <c r="V463" i="7"/>
  <c r="F528" i="7" s="1"/>
  <c r="R463" i="7"/>
  <c r="R464" i="7" s="1"/>
  <c r="V464" i="7"/>
  <c r="G528" i="7" s="1"/>
  <c r="J467" i="7"/>
  <c r="F84" i="8"/>
  <c r="L73" i="8"/>
  <c r="F73" i="8"/>
  <c r="F86" i="7"/>
  <c r="L75" i="7"/>
  <c r="F75" i="7"/>
  <c r="F82" i="7"/>
  <c r="L71" i="7"/>
  <c r="F71" i="7"/>
  <c r="H512" i="6"/>
  <c r="AH492" i="6"/>
  <c r="F511" i="6"/>
  <c r="L467" i="6"/>
  <c r="AF463" i="6"/>
  <c r="F74" i="7"/>
  <c r="F85" i="7"/>
  <c r="L74" i="7"/>
  <c r="D78" i="7"/>
  <c r="F70" i="7"/>
  <c r="D89" i="7"/>
  <c r="F81" i="7"/>
  <c r="L70" i="7"/>
  <c r="F512" i="6"/>
  <c r="AF492" i="6"/>
  <c r="J517" i="6"/>
  <c r="I517" i="6"/>
  <c r="AL457" i="6"/>
  <c r="AL455" i="6"/>
  <c r="AL475" i="5"/>
  <c r="AL476" i="5" s="1"/>
  <c r="AL477" i="5"/>
  <c r="AL478" i="5" s="1"/>
  <c r="I514" i="5"/>
  <c r="J514" i="5"/>
  <c r="K514" i="5" s="1"/>
  <c r="P514" i="5" s="1"/>
  <c r="AL457" i="5"/>
  <c r="AL458" i="5" s="1"/>
  <c r="AL455" i="5"/>
  <c r="AL456" i="5" s="1"/>
  <c r="F87" i="6"/>
  <c r="L76" i="6"/>
  <c r="F76" i="6"/>
  <c r="F83" i="6"/>
  <c r="L72" i="6"/>
  <c r="F72" i="6"/>
  <c r="AG463" i="6"/>
  <c r="G511" i="6"/>
  <c r="M467" i="6"/>
  <c r="J518" i="5"/>
  <c r="I518" i="5"/>
  <c r="E512" i="5"/>
  <c r="AE492" i="5"/>
  <c r="L467" i="5"/>
  <c r="F511" i="5"/>
  <c r="AF463" i="5"/>
  <c r="AL477" i="4"/>
  <c r="AL475" i="4"/>
  <c r="AL476" i="4" s="1"/>
  <c r="J514" i="4"/>
  <c r="I514" i="4"/>
  <c r="AL455" i="4"/>
  <c r="AL456" i="4" s="1"/>
  <c r="AL457" i="4"/>
  <c r="AL458" i="4" s="1"/>
  <c r="AL495" i="4"/>
  <c r="AL496" i="4" s="1"/>
  <c r="AL493" i="4"/>
  <c r="AL494" i="4" s="1"/>
  <c r="AH463" i="4"/>
  <c r="H511" i="4"/>
  <c r="N467" i="4"/>
  <c r="D511" i="4"/>
  <c r="V465" i="4"/>
  <c r="H528" i="4" s="1"/>
  <c r="R465" i="4"/>
  <c r="R466" i="4" s="1"/>
  <c r="V463" i="4"/>
  <c r="F528" i="4" s="1"/>
  <c r="R463" i="4"/>
  <c r="R464" i="4" s="1"/>
  <c r="V464" i="4"/>
  <c r="G528" i="4" s="1"/>
  <c r="J467" i="4"/>
  <c r="AL466" i="5"/>
  <c r="AL467" i="5" s="1"/>
  <c r="AL464" i="5"/>
  <c r="AL465" i="5" s="1"/>
  <c r="I517" i="4"/>
  <c r="J517" i="4"/>
  <c r="AE492" i="4"/>
  <c r="E512" i="4"/>
  <c r="M467" i="4"/>
  <c r="AG463" i="4"/>
  <c r="G511" i="4"/>
  <c r="F86" i="5"/>
  <c r="L75" i="5"/>
  <c r="F75" i="5"/>
  <c r="F82" i="5"/>
  <c r="L71" i="5"/>
  <c r="F71" i="5"/>
  <c r="AL493" i="3"/>
  <c r="AL495" i="3"/>
  <c r="D511" i="3"/>
  <c r="V465" i="3"/>
  <c r="H528" i="3" s="1"/>
  <c r="R465" i="3"/>
  <c r="R466" i="3" s="1"/>
  <c r="V463" i="3"/>
  <c r="F528" i="3" s="1"/>
  <c r="R463" i="3"/>
  <c r="R464" i="3" s="1"/>
  <c r="V464" i="3"/>
  <c r="G528" i="3" s="1"/>
  <c r="J467" i="3"/>
  <c r="V493" i="4"/>
  <c r="K529" i="4" s="1"/>
  <c r="R493" i="4"/>
  <c r="R494" i="4" s="1"/>
  <c r="V492" i="4"/>
  <c r="J529" i="4" s="1"/>
  <c r="D512" i="4"/>
  <c r="R491" i="4"/>
  <c r="R492" i="4" s="1"/>
  <c r="V491" i="4"/>
  <c r="I529" i="4" s="1"/>
  <c r="J517" i="3"/>
  <c r="I517" i="3"/>
  <c r="J510" i="3"/>
  <c r="I510" i="3"/>
  <c r="K510" i="3" s="1"/>
  <c r="AE492" i="3"/>
  <c r="E512" i="3"/>
  <c r="F73" i="4"/>
  <c r="F84" i="4"/>
  <c r="L73" i="4"/>
  <c r="AG492" i="3"/>
  <c r="G512" i="3"/>
  <c r="J514" i="3"/>
  <c r="I514" i="3"/>
  <c r="L72" i="2"/>
  <c r="F72" i="2"/>
  <c r="F83" i="2"/>
  <c r="AL503" i="2"/>
  <c r="AL504" i="2" s="1"/>
  <c r="AL501" i="2"/>
  <c r="R482" i="2"/>
  <c r="R484" i="2"/>
  <c r="AF492" i="2"/>
  <c r="F512" i="2"/>
  <c r="J510" i="2"/>
  <c r="I510" i="2"/>
  <c r="AL485" i="2"/>
  <c r="AL487" i="2"/>
  <c r="F84" i="3"/>
  <c r="L73" i="3"/>
  <c r="F73" i="3"/>
  <c r="L74" i="2"/>
  <c r="F74" i="2"/>
  <c r="F85" i="2"/>
  <c r="Y503" i="11"/>
  <c r="Y501" i="11"/>
  <c r="Y495" i="11"/>
  <c r="Y493" i="11"/>
  <c r="BG352" i="11"/>
  <c r="K39" i="11"/>
  <c r="AM499" i="11"/>
  <c r="AM491" i="11"/>
  <c r="AG491" i="11"/>
  <c r="AM483" i="11"/>
  <c r="S480" i="11"/>
  <c r="AM453" i="11"/>
  <c r="S471" i="11"/>
  <c r="AM462" i="11"/>
  <c r="AG462" i="11"/>
  <c r="AM473" i="11"/>
  <c r="C535" i="11"/>
  <c r="C526" i="11"/>
  <c r="AZ212" i="11"/>
  <c r="R212" i="11"/>
  <c r="S212" i="11" s="1"/>
  <c r="R194" i="11"/>
  <c r="S194" i="11" s="1"/>
  <c r="AZ194" i="11" s="1"/>
  <c r="BG279" i="11"/>
  <c r="U35" i="11"/>
  <c r="AZ187" i="11"/>
  <c r="R187" i="11"/>
  <c r="S187" i="11" s="1"/>
  <c r="AZ180" i="11"/>
  <c r="R180" i="11"/>
  <c r="S180" i="11" s="1"/>
  <c r="R164" i="11"/>
  <c r="S164" i="11" s="1"/>
  <c r="AZ164" i="11" s="1"/>
  <c r="R182" i="11"/>
  <c r="S182" i="11" s="1"/>
  <c r="AZ182" i="11" s="1"/>
  <c r="R169" i="11"/>
  <c r="S169" i="11" s="1"/>
  <c r="AZ169" i="11" s="1"/>
  <c r="R166" i="11"/>
  <c r="S166" i="11" s="1"/>
  <c r="AZ166" i="11" s="1"/>
  <c r="R158" i="11"/>
  <c r="S158" i="11" s="1"/>
  <c r="AZ158" i="11" s="1"/>
  <c r="R151" i="11"/>
  <c r="S151" i="11" s="1"/>
  <c r="AZ151" i="11" s="1"/>
  <c r="AZ147" i="11"/>
  <c r="R147" i="11"/>
  <c r="S147" i="11" s="1"/>
  <c r="R197" i="11"/>
  <c r="S197" i="11" s="1"/>
  <c r="AZ197" i="11"/>
  <c r="R230" i="11"/>
  <c r="S230" i="11" s="1"/>
  <c r="AZ230" i="11" s="1"/>
  <c r="R192" i="11"/>
  <c r="S192" i="11" s="1"/>
  <c r="AZ192" i="11"/>
  <c r="R214" i="11"/>
  <c r="S214" i="11" s="1"/>
  <c r="AZ214" i="11" s="1"/>
  <c r="R249" i="11"/>
  <c r="S249" i="11" s="1"/>
  <c r="AZ249" i="11"/>
  <c r="R271" i="11"/>
  <c r="S271" i="11" s="1"/>
  <c r="AZ271" i="11" s="1"/>
  <c r="R238" i="11"/>
  <c r="S238" i="11" s="1"/>
  <c r="AZ238" i="11"/>
  <c r="R248" i="11"/>
  <c r="S248" i="11" s="1"/>
  <c r="AZ248" i="11" s="1"/>
  <c r="R229" i="11"/>
  <c r="S229" i="11" s="1"/>
  <c r="AZ229" i="11" s="1"/>
  <c r="BG185" i="11"/>
  <c r="K30" i="11"/>
  <c r="R171" i="11"/>
  <c r="S171" i="11" s="1"/>
  <c r="AZ171" i="11"/>
  <c r="R153" i="11"/>
  <c r="S153" i="11" s="1"/>
  <c r="AZ153" i="11"/>
  <c r="BG146" i="11"/>
  <c r="K23" i="11"/>
  <c r="R316" i="10"/>
  <c r="S316" i="10" s="1"/>
  <c r="AZ316" i="10" s="1"/>
  <c r="BG162" i="11"/>
  <c r="U25" i="11"/>
  <c r="R150" i="11"/>
  <c r="S150" i="11" s="1"/>
  <c r="AZ150" i="11"/>
  <c r="AN483" i="10"/>
  <c r="T480" i="10"/>
  <c r="AN462" i="10"/>
  <c r="AH462" i="10"/>
  <c r="AN453" i="10"/>
  <c r="AN499" i="10"/>
  <c r="AN491" i="10"/>
  <c r="T471" i="10"/>
  <c r="AH491" i="10"/>
  <c r="AN473" i="10"/>
  <c r="BG352" i="10"/>
  <c r="K39" i="10"/>
  <c r="BG336" i="10"/>
  <c r="U36" i="10"/>
  <c r="R272" i="10"/>
  <c r="S272" i="10" s="1"/>
  <c r="AZ272" i="10" s="1"/>
  <c r="AZ232" i="10"/>
  <c r="R232" i="10"/>
  <c r="S232" i="10" s="1"/>
  <c r="R210" i="10"/>
  <c r="S210" i="10" s="1"/>
  <c r="AZ210" i="10" s="1"/>
  <c r="R208" i="10"/>
  <c r="S208" i="10" s="1"/>
  <c r="AZ208" i="10" s="1"/>
  <c r="R200" i="10"/>
  <c r="S200" i="10" s="1"/>
  <c r="AZ200" i="10" s="1"/>
  <c r="R194" i="10"/>
  <c r="S194" i="10" s="1"/>
  <c r="AZ194" i="10" s="1"/>
  <c r="R186" i="10"/>
  <c r="S186" i="10" s="1"/>
  <c r="AZ186" i="10"/>
  <c r="AZ154" i="10"/>
  <c r="R154" i="10"/>
  <c r="S154" i="10" s="1"/>
  <c r="R150" i="10"/>
  <c r="S150" i="10" s="1"/>
  <c r="AZ150" i="10" s="1"/>
  <c r="R146" i="10"/>
  <c r="S146" i="10" s="1"/>
  <c r="AZ146" i="10" s="1"/>
  <c r="R230" i="10"/>
  <c r="S230" i="10" s="1"/>
  <c r="AZ230" i="10"/>
  <c r="R214" i="10"/>
  <c r="S214" i="10" s="1"/>
  <c r="AZ214" i="10" s="1"/>
  <c r="R190" i="10"/>
  <c r="S190" i="10" s="1"/>
  <c r="AZ190" i="10" s="1"/>
  <c r="R169" i="10"/>
  <c r="S169" i="10" s="1"/>
  <c r="AZ169" i="10"/>
  <c r="R155" i="10"/>
  <c r="S155" i="10" s="1"/>
  <c r="AZ155" i="10" s="1"/>
  <c r="R228" i="10"/>
  <c r="S228" i="10" s="1"/>
  <c r="AZ228" i="10" s="1"/>
  <c r="R178" i="10"/>
  <c r="S178" i="10" s="1"/>
  <c r="AZ178" i="10" s="1"/>
  <c r="R162" i="10"/>
  <c r="S162" i="10" s="1"/>
  <c r="AZ162" i="10" s="1"/>
  <c r="R156" i="10"/>
  <c r="S156" i="10" s="1"/>
  <c r="AZ156" i="10" s="1"/>
  <c r="R213" i="10"/>
  <c r="S213" i="10" s="1"/>
  <c r="AZ213" i="10" s="1"/>
  <c r="R271" i="10"/>
  <c r="S271" i="10" s="1"/>
  <c r="AZ271" i="10" s="1"/>
  <c r="R309" i="10"/>
  <c r="S309" i="10" s="1"/>
  <c r="AZ309" i="10" s="1"/>
  <c r="R311" i="10"/>
  <c r="S311" i="10" s="1"/>
  <c r="AZ311" i="10" s="1"/>
  <c r="R189" i="10"/>
  <c r="S189" i="10" s="1"/>
  <c r="AZ189" i="10" s="1"/>
  <c r="AZ215" i="10"/>
  <c r="R215" i="10"/>
  <c r="S215" i="10" s="1"/>
  <c r="AZ241" i="10"/>
  <c r="R241" i="10"/>
  <c r="S241" i="10" s="1"/>
  <c r="R291" i="10"/>
  <c r="S291" i="10" s="1"/>
  <c r="AZ291" i="10" s="1"/>
  <c r="BG236" i="10"/>
  <c r="U38" i="10"/>
  <c r="BG351" i="9"/>
  <c r="K38" i="9"/>
  <c r="BG151" i="10"/>
  <c r="U23" i="10"/>
  <c r="Y358" i="10"/>
  <c r="X360" i="10" s="1"/>
  <c r="Y346" i="9"/>
  <c r="V324" i="9"/>
  <c r="Z304" i="9"/>
  <c r="V304" i="9"/>
  <c r="Z342" i="9"/>
  <c r="W329" i="9"/>
  <c r="AA329" i="9" s="1"/>
  <c r="AB329" i="9" s="1"/>
  <c r="AC329" i="9" s="1"/>
  <c r="V350" i="9"/>
  <c r="W346" i="9"/>
  <c r="AA346" i="9" s="1"/>
  <c r="X339" i="9"/>
  <c r="V334" i="9"/>
  <c r="Y315" i="9"/>
  <c r="W342" i="9"/>
  <c r="AA342" i="9" s="1"/>
  <c r="AB342" i="9" s="1"/>
  <c r="AC342" i="9" s="1"/>
  <c r="V298" i="9"/>
  <c r="V294" i="9"/>
  <c r="X343" i="9"/>
  <c r="Z309" i="9"/>
  <c r="Y306" i="9"/>
  <c r="Y289" i="9"/>
  <c r="Y324" i="9"/>
  <c r="X289" i="9"/>
  <c r="AA286" i="9"/>
  <c r="Z276" i="9"/>
  <c r="V276" i="9"/>
  <c r="W276" i="9"/>
  <c r="AA256" i="9"/>
  <c r="Z250" i="9"/>
  <c r="V250" i="9"/>
  <c r="W250" i="9"/>
  <c r="Z232" i="9"/>
  <c r="V232" i="9"/>
  <c r="W232" i="9"/>
  <c r="W200" i="9"/>
  <c r="V200" i="9"/>
  <c r="Z200" i="9"/>
  <c r="X309" i="9"/>
  <c r="Y304" i="9"/>
  <c r="BG279" i="9"/>
  <c r="U35" i="9"/>
  <c r="W255" i="9"/>
  <c r="AA255" i="9" s="1"/>
  <c r="AB255" i="9" s="1"/>
  <c r="AC255" i="9" s="1"/>
  <c r="X255" i="9"/>
  <c r="BG235" i="9"/>
  <c r="U37" i="9"/>
  <c r="Z289" i="9"/>
  <c r="Z285" i="9"/>
  <c r="Z268" i="9"/>
  <c r="Z241" i="9"/>
  <c r="K34" i="9"/>
  <c r="BG196" i="9"/>
  <c r="R187" i="9"/>
  <c r="S187" i="9" s="1"/>
  <c r="AZ187" i="9" s="1"/>
  <c r="K25" i="9"/>
  <c r="BG154" i="9"/>
  <c r="AZ145" i="9"/>
  <c r="R145" i="9"/>
  <c r="S145" i="9" s="1"/>
  <c r="AA284" i="9"/>
  <c r="Z278" i="9"/>
  <c r="Z267" i="9"/>
  <c r="Z255" i="9"/>
  <c r="Y195" i="9"/>
  <c r="V195" i="9"/>
  <c r="Z195" i="9"/>
  <c r="R192" i="9"/>
  <c r="S192" i="9" s="1"/>
  <c r="AZ192" i="9"/>
  <c r="R180" i="9"/>
  <c r="S180" i="9" s="1"/>
  <c r="AZ180" i="9" s="1"/>
  <c r="R172" i="9"/>
  <c r="S172" i="9" s="1"/>
  <c r="AZ172" i="9"/>
  <c r="AA157" i="9"/>
  <c r="R154" i="9"/>
  <c r="S154" i="9" s="1"/>
  <c r="AZ154" i="9"/>
  <c r="Y487" i="8"/>
  <c r="Y485" i="8"/>
  <c r="W298" i="9"/>
  <c r="Y255" i="9"/>
  <c r="K35" i="9"/>
  <c r="BG201" i="9"/>
  <c r="BG199" i="9"/>
  <c r="U31" i="9"/>
  <c r="Z197" i="9"/>
  <c r="R193" i="9"/>
  <c r="S193" i="9" s="1"/>
  <c r="AZ193" i="9" s="1"/>
  <c r="X188" i="9"/>
  <c r="AA188" i="9" s="1"/>
  <c r="K31" i="9"/>
  <c r="BG186" i="9"/>
  <c r="R177" i="9"/>
  <c r="S177" i="9" s="1"/>
  <c r="AZ177" i="9"/>
  <c r="W172" i="9"/>
  <c r="R169" i="9"/>
  <c r="S169" i="9" s="1"/>
  <c r="AZ169" i="9" s="1"/>
  <c r="R165" i="9"/>
  <c r="S165" i="9" s="1"/>
  <c r="AZ165" i="9" s="1"/>
  <c r="R161" i="9"/>
  <c r="S161" i="9" s="1"/>
  <c r="AZ161" i="9" s="1"/>
  <c r="R155" i="9"/>
  <c r="S155" i="9" s="1"/>
  <c r="AZ155" i="9" s="1"/>
  <c r="R151" i="9"/>
  <c r="S151" i="9" s="1"/>
  <c r="AZ151" i="9" s="1"/>
  <c r="AA313" i="8"/>
  <c r="AB313" i="8" s="1"/>
  <c r="AC313" i="8" s="1"/>
  <c r="X317" i="9"/>
  <c r="AA317" i="9" s="1"/>
  <c r="AB317" i="9" s="1"/>
  <c r="AC317" i="9" s="1"/>
  <c r="Y303" i="9"/>
  <c r="W294" i="9"/>
  <c r="Z263" i="9"/>
  <c r="AA263" i="9" s="1"/>
  <c r="AB263" i="9" s="1"/>
  <c r="AC263" i="9" s="1"/>
  <c r="Z260" i="9"/>
  <c r="Y238" i="9"/>
  <c r="Y234" i="9"/>
  <c r="Z224" i="9"/>
  <c r="X195" i="9"/>
  <c r="X177" i="9"/>
  <c r="X169" i="9"/>
  <c r="R328" i="9"/>
  <c r="S328" i="9" s="1"/>
  <c r="AZ328" i="9" s="1"/>
  <c r="Z338" i="8"/>
  <c r="AA338" i="8" s="1"/>
  <c r="AB338" i="8" s="1"/>
  <c r="AC338" i="8" s="1"/>
  <c r="Z334" i="8"/>
  <c r="V334" i="8"/>
  <c r="X334" i="8"/>
  <c r="Z330" i="8"/>
  <c r="V330" i="8"/>
  <c r="X330" i="8"/>
  <c r="Z169" i="9"/>
  <c r="X163" i="9"/>
  <c r="Y159" i="9"/>
  <c r="J26" i="9"/>
  <c r="L26" i="9"/>
  <c r="W148" i="9"/>
  <c r="AA148" i="9" s="1"/>
  <c r="AB148" i="9" s="1"/>
  <c r="AC148" i="9" s="1"/>
  <c r="Z308" i="8"/>
  <c r="X308" i="8"/>
  <c r="R305" i="8"/>
  <c r="S305" i="8" s="1"/>
  <c r="AZ305" i="8" s="1"/>
  <c r="AK453" i="7"/>
  <c r="AK499" i="7"/>
  <c r="AK491" i="7"/>
  <c r="AE491" i="7"/>
  <c r="AK473" i="7"/>
  <c r="Q471" i="7"/>
  <c r="AK483" i="7"/>
  <c r="Q480" i="7"/>
  <c r="AK462" i="7"/>
  <c r="AE462" i="7"/>
  <c r="W177" i="9"/>
  <c r="W170" i="9"/>
  <c r="Z158" i="9"/>
  <c r="Y151" i="9"/>
  <c r="Z331" i="8"/>
  <c r="V307" i="8"/>
  <c r="Y302" i="8"/>
  <c r="Y300" i="8"/>
  <c r="R280" i="8"/>
  <c r="S280" i="8" s="1"/>
  <c r="AZ280" i="8"/>
  <c r="R276" i="8"/>
  <c r="S276" i="8" s="1"/>
  <c r="AZ276" i="8"/>
  <c r="R250" i="8"/>
  <c r="S250" i="8" s="1"/>
  <c r="AZ250" i="8" s="1"/>
  <c r="R244" i="8"/>
  <c r="S244" i="8" s="1"/>
  <c r="AZ244" i="8" s="1"/>
  <c r="R226" i="8"/>
  <c r="S226" i="8" s="1"/>
  <c r="AZ226" i="8" s="1"/>
  <c r="R210" i="8"/>
  <c r="S210" i="8" s="1"/>
  <c r="AZ210" i="8" s="1"/>
  <c r="R204" i="8"/>
  <c r="S204" i="8" s="1"/>
  <c r="AZ204" i="8" s="1"/>
  <c r="R200" i="8"/>
  <c r="S200" i="8" s="1"/>
  <c r="AZ200" i="8" s="1"/>
  <c r="R188" i="8"/>
  <c r="S188" i="8" s="1"/>
  <c r="AZ188" i="8" s="1"/>
  <c r="R150" i="8"/>
  <c r="S150" i="8" s="1"/>
  <c r="AZ150" i="8"/>
  <c r="Y495" i="7"/>
  <c r="Y493" i="7"/>
  <c r="AN453" i="7"/>
  <c r="AN499" i="7"/>
  <c r="AN491" i="7"/>
  <c r="AH491" i="7"/>
  <c r="AN473" i="7"/>
  <c r="T471" i="7"/>
  <c r="AN483" i="7"/>
  <c r="T480" i="7"/>
  <c r="AN462" i="7"/>
  <c r="AH462" i="7"/>
  <c r="W193" i="9"/>
  <c r="AA193" i="9" s="1"/>
  <c r="AB193" i="9" s="1"/>
  <c r="AC193" i="9" s="1"/>
  <c r="Y186" i="9"/>
  <c r="W334" i="8"/>
  <c r="X322" i="8"/>
  <c r="Z322" i="8"/>
  <c r="V322" i="8"/>
  <c r="AA322" i="8" s="1"/>
  <c r="AB322" i="8" s="1"/>
  <c r="AC322" i="8" s="1"/>
  <c r="V299" i="8"/>
  <c r="Y296" i="8"/>
  <c r="Y294" i="8"/>
  <c r="R289" i="8"/>
  <c r="S289" i="8" s="1"/>
  <c r="AZ289" i="8"/>
  <c r="R281" i="8"/>
  <c r="S281" i="8" s="1"/>
  <c r="AZ281" i="8"/>
  <c r="Z262" i="8"/>
  <c r="V262" i="8"/>
  <c r="W262" i="8"/>
  <c r="R245" i="8"/>
  <c r="S245" i="8" s="1"/>
  <c r="AZ245" i="8"/>
  <c r="K36" i="8"/>
  <c r="BG202" i="8"/>
  <c r="R197" i="8"/>
  <c r="S197" i="8" s="1"/>
  <c r="AZ197" i="8"/>
  <c r="U30" i="8"/>
  <c r="BG178" i="8"/>
  <c r="R155" i="8"/>
  <c r="S155" i="8" s="1"/>
  <c r="AZ155" i="8"/>
  <c r="X184" i="9"/>
  <c r="AA184" i="9" s="1"/>
  <c r="AB184" i="9" s="1"/>
  <c r="AC184" i="9" s="1"/>
  <c r="X178" i="9"/>
  <c r="AA178" i="9" s="1"/>
  <c r="AB178" i="9" s="1"/>
  <c r="AC178" i="9" s="1"/>
  <c r="W175" i="9"/>
  <c r="W169" i="9"/>
  <c r="Y163" i="9"/>
  <c r="X158" i="9"/>
  <c r="W152" i="9"/>
  <c r="AA152" i="9" s="1"/>
  <c r="X319" i="8"/>
  <c r="AA319" i="8" s="1"/>
  <c r="AB319" i="8" s="1"/>
  <c r="AC319" i="8" s="1"/>
  <c r="AA265" i="8"/>
  <c r="AB265" i="8" s="1"/>
  <c r="AC265" i="8" s="1"/>
  <c r="W263" i="8"/>
  <c r="W255" i="8"/>
  <c r="AA255" i="8" s="1"/>
  <c r="AB255" i="8" s="1"/>
  <c r="AC255" i="8" s="1"/>
  <c r="W219" i="8"/>
  <c r="X219" i="8"/>
  <c r="U32" i="8"/>
  <c r="BG209" i="8"/>
  <c r="AA199" i="8"/>
  <c r="AB199" i="8" s="1"/>
  <c r="AC199" i="8" s="1"/>
  <c r="W197" i="8"/>
  <c r="Y197" i="8"/>
  <c r="AA163" i="8"/>
  <c r="AB163" i="8" s="1"/>
  <c r="AC163" i="8" s="1"/>
  <c r="W161" i="8"/>
  <c r="Y161" i="8"/>
  <c r="U22" i="8"/>
  <c r="K22" i="8"/>
  <c r="BG145" i="8"/>
  <c r="AA284" i="8"/>
  <c r="AB284" i="8" s="1"/>
  <c r="AC284" i="8" s="1"/>
  <c r="Y264" i="8"/>
  <c r="Z230" i="8"/>
  <c r="Z211" i="8"/>
  <c r="Y207" i="8"/>
  <c r="Y192" i="8"/>
  <c r="Z178" i="8"/>
  <c r="X162" i="8"/>
  <c r="AA162" i="8" s="1"/>
  <c r="AB162" i="8" s="1"/>
  <c r="AC162" i="8" s="1"/>
  <c r="V152" i="8"/>
  <c r="R338" i="7"/>
  <c r="S338" i="7" s="1"/>
  <c r="AZ338" i="7" s="1"/>
  <c r="R316" i="7"/>
  <c r="S316" i="7" s="1"/>
  <c r="AZ316" i="7" s="1"/>
  <c r="R242" i="7"/>
  <c r="S242" i="7" s="1"/>
  <c r="AZ242" i="7" s="1"/>
  <c r="R238" i="7"/>
  <c r="S238" i="7" s="1"/>
  <c r="AZ238" i="7" s="1"/>
  <c r="R234" i="7"/>
  <c r="S234" i="7" s="1"/>
  <c r="AZ234" i="7" s="1"/>
  <c r="R230" i="7"/>
  <c r="S230" i="7" s="1"/>
  <c r="AZ230" i="7" s="1"/>
  <c r="AZ223" i="7"/>
  <c r="R223" i="7"/>
  <c r="S223" i="7" s="1"/>
  <c r="AZ219" i="7"/>
  <c r="R219" i="7"/>
  <c r="S219" i="7" s="1"/>
  <c r="AZ215" i="7"/>
  <c r="R215" i="7"/>
  <c r="S215" i="7" s="1"/>
  <c r="AZ211" i="7"/>
  <c r="R211" i="7"/>
  <c r="S211" i="7" s="1"/>
  <c r="AZ207" i="7"/>
  <c r="R207" i="7"/>
  <c r="S207" i="7" s="1"/>
  <c r="R155" i="7"/>
  <c r="S155" i="7" s="1"/>
  <c r="AZ155" i="7" s="1"/>
  <c r="AZ151" i="7"/>
  <c r="R151" i="7"/>
  <c r="S151" i="7" s="1"/>
  <c r="R147" i="7"/>
  <c r="S147" i="7" s="1"/>
  <c r="AZ147" i="7" s="1"/>
  <c r="Y260" i="8"/>
  <c r="AA260" i="8" s="1"/>
  <c r="AB260" i="8" s="1"/>
  <c r="AC260" i="8" s="1"/>
  <c r="Y234" i="8"/>
  <c r="AA234" i="8" s="1"/>
  <c r="AB234" i="8" s="1"/>
  <c r="AC234" i="8" s="1"/>
  <c r="AA217" i="8"/>
  <c r="AB217" i="8" s="1"/>
  <c r="AC217" i="8" s="1"/>
  <c r="X216" i="8"/>
  <c r="Y208" i="8"/>
  <c r="J35" i="8"/>
  <c r="L35" i="8"/>
  <c r="V186" i="8"/>
  <c r="Z174" i="8"/>
  <c r="Z155" i="8"/>
  <c r="R335" i="7"/>
  <c r="S335" i="7" s="1"/>
  <c r="AZ335" i="7"/>
  <c r="R287" i="7"/>
  <c r="S287" i="7" s="1"/>
  <c r="AZ287" i="7" s="1"/>
  <c r="R271" i="7"/>
  <c r="S271" i="7" s="1"/>
  <c r="AZ271" i="7" s="1"/>
  <c r="R257" i="7"/>
  <c r="S257" i="7" s="1"/>
  <c r="AZ257" i="7" s="1"/>
  <c r="R235" i="7"/>
  <c r="S235" i="7" s="1"/>
  <c r="AZ235" i="7" s="1"/>
  <c r="R221" i="7"/>
  <c r="S221" i="7" s="1"/>
  <c r="AZ221" i="7" s="1"/>
  <c r="R205" i="7"/>
  <c r="S205" i="7" s="1"/>
  <c r="AZ205" i="7" s="1"/>
  <c r="R191" i="7"/>
  <c r="S191" i="7" s="1"/>
  <c r="AZ191" i="7" s="1"/>
  <c r="R175" i="7"/>
  <c r="S175" i="7" s="1"/>
  <c r="AZ175" i="7" s="1"/>
  <c r="R159" i="7"/>
  <c r="S159" i="7" s="1"/>
  <c r="AZ159" i="7" s="1"/>
  <c r="Y358" i="7"/>
  <c r="X360" i="7" s="1"/>
  <c r="AB351" i="7"/>
  <c r="AC351" i="7" s="1"/>
  <c r="AB347" i="7"/>
  <c r="AC347" i="7" s="1"/>
  <c r="AB352" i="7"/>
  <c r="AC352" i="7" s="1"/>
  <c r="AB348" i="7"/>
  <c r="AC348" i="7" s="1"/>
  <c r="AB344" i="7"/>
  <c r="AC344" i="7" s="1"/>
  <c r="AB340" i="7"/>
  <c r="AC340" i="7" s="1"/>
  <c r="AB349" i="7"/>
  <c r="AC349" i="7" s="1"/>
  <c r="AB345" i="7"/>
  <c r="AC345" i="7" s="1"/>
  <c r="AB341" i="7"/>
  <c r="AC341" i="7" s="1"/>
  <c r="AB353" i="7"/>
  <c r="AC353" i="7" s="1"/>
  <c r="AB350" i="7"/>
  <c r="AC350" i="7" s="1"/>
  <c r="AB346" i="7"/>
  <c r="AC346" i="7" s="1"/>
  <c r="AB342" i="7"/>
  <c r="AC342" i="7" s="1"/>
  <c r="AB337" i="7"/>
  <c r="AC337" i="7" s="1"/>
  <c r="AB333" i="7"/>
  <c r="AC333" i="7" s="1"/>
  <c r="AB329" i="7"/>
  <c r="AC329" i="7" s="1"/>
  <c r="AB327" i="7"/>
  <c r="AC327" i="7" s="1"/>
  <c r="AB323" i="7"/>
  <c r="AC323" i="7" s="1"/>
  <c r="AB319" i="7"/>
  <c r="AC319" i="7" s="1"/>
  <c r="AB315" i="7"/>
  <c r="AC315" i="7" s="1"/>
  <c r="AB311" i="7"/>
  <c r="AC311" i="7" s="1"/>
  <c r="AB309" i="7"/>
  <c r="AC309" i="7" s="1"/>
  <c r="AB305" i="7"/>
  <c r="AC305" i="7" s="1"/>
  <c r="AB301" i="7"/>
  <c r="AC301" i="7" s="1"/>
  <c r="AB297" i="7"/>
  <c r="AC297" i="7" s="1"/>
  <c r="AB293" i="7"/>
  <c r="AC293" i="7" s="1"/>
  <c r="AB289" i="7"/>
  <c r="AC289" i="7" s="1"/>
  <c r="AB285" i="7"/>
  <c r="AC285" i="7" s="1"/>
  <c r="AB281" i="7"/>
  <c r="AC281" i="7" s="1"/>
  <c r="AB277" i="7"/>
  <c r="AC277" i="7" s="1"/>
  <c r="AB273" i="7"/>
  <c r="AC273" i="7" s="1"/>
  <c r="AB267" i="7"/>
  <c r="AC267" i="7" s="1"/>
  <c r="AB263" i="7"/>
  <c r="AC263" i="7" s="1"/>
  <c r="AB259" i="7"/>
  <c r="AC259" i="7" s="1"/>
  <c r="AB255" i="7"/>
  <c r="AC255" i="7" s="1"/>
  <c r="AB251" i="7"/>
  <c r="AC251" i="7" s="1"/>
  <c r="AB247" i="7"/>
  <c r="AC247" i="7" s="1"/>
  <c r="AB245" i="7"/>
  <c r="AC245" i="7" s="1"/>
  <c r="AB241" i="7"/>
  <c r="AC241" i="7" s="1"/>
  <c r="AB237" i="7"/>
  <c r="AC237" i="7" s="1"/>
  <c r="AB233" i="7"/>
  <c r="AC233" i="7" s="1"/>
  <c r="AB229" i="7"/>
  <c r="AC229" i="7" s="1"/>
  <c r="AB223" i="7"/>
  <c r="AC223" i="7" s="1"/>
  <c r="AB219" i="7"/>
  <c r="AC219" i="7" s="1"/>
  <c r="AB215" i="7"/>
  <c r="AC215" i="7" s="1"/>
  <c r="AB211" i="7"/>
  <c r="AC211" i="7" s="1"/>
  <c r="AB207" i="7"/>
  <c r="AC207" i="7" s="1"/>
  <c r="AB201" i="7"/>
  <c r="AC201" i="7" s="1"/>
  <c r="AB197" i="7"/>
  <c r="AC197" i="7" s="1"/>
  <c r="AB193" i="7"/>
  <c r="AC193" i="7" s="1"/>
  <c r="AB189" i="7"/>
  <c r="AC189" i="7" s="1"/>
  <c r="AB185" i="7"/>
  <c r="AC185" i="7" s="1"/>
  <c r="AB181" i="7"/>
  <c r="AC181" i="7" s="1"/>
  <c r="AB177" i="7"/>
  <c r="AC177" i="7" s="1"/>
  <c r="AB173" i="7"/>
  <c r="AC173" i="7" s="1"/>
  <c r="AB169" i="7"/>
  <c r="AC169" i="7" s="1"/>
  <c r="AB165" i="7"/>
  <c r="AC165" i="7" s="1"/>
  <c r="AB161" i="7"/>
  <c r="AC161" i="7" s="1"/>
  <c r="AB157" i="7"/>
  <c r="AC157" i="7" s="1"/>
  <c r="AB155" i="7"/>
  <c r="AC155" i="7" s="1"/>
  <c r="AB151" i="7"/>
  <c r="AC151" i="7" s="1"/>
  <c r="AB147" i="7"/>
  <c r="AC147" i="7" s="1"/>
  <c r="AB343" i="7"/>
  <c r="AC343" i="7" s="1"/>
  <c r="AB338" i="7"/>
  <c r="AC338" i="7" s="1"/>
  <c r="AB334" i="7"/>
  <c r="AC334" i="7" s="1"/>
  <c r="AB330" i="7"/>
  <c r="AC330" i="7" s="1"/>
  <c r="AB324" i="7"/>
  <c r="AC324" i="7" s="1"/>
  <c r="AB320" i="7"/>
  <c r="AC320" i="7" s="1"/>
  <c r="AB316" i="7"/>
  <c r="AC316" i="7" s="1"/>
  <c r="AB312" i="7"/>
  <c r="AC312" i="7" s="1"/>
  <c r="AB310" i="7"/>
  <c r="AC310" i="7" s="1"/>
  <c r="AB306" i="7"/>
  <c r="AC306" i="7" s="1"/>
  <c r="AB302" i="7"/>
  <c r="AC302" i="7" s="1"/>
  <c r="AB298" i="7"/>
  <c r="AC298" i="7" s="1"/>
  <c r="AB294" i="7"/>
  <c r="AC294" i="7" s="1"/>
  <c r="AB290" i="7"/>
  <c r="AC290" i="7" s="1"/>
  <c r="AB286" i="7"/>
  <c r="AC286" i="7" s="1"/>
  <c r="AB282" i="7"/>
  <c r="AC282" i="7" s="1"/>
  <c r="AB278" i="7"/>
  <c r="AC278" i="7" s="1"/>
  <c r="AB274" i="7"/>
  <c r="AC274" i="7" s="1"/>
  <c r="AB268" i="7"/>
  <c r="AC268" i="7" s="1"/>
  <c r="AB264" i="7"/>
  <c r="AC264" i="7" s="1"/>
  <c r="AB260" i="7"/>
  <c r="AC260" i="7" s="1"/>
  <c r="AB256" i="7"/>
  <c r="AC256" i="7" s="1"/>
  <c r="AB252" i="7"/>
  <c r="AC252" i="7" s="1"/>
  <c r="AB248" i="7"/>
  <c r="AC248" i="7" s="1"/>
  <c r="AB242" i="7"/>
  <c r="AC242" i="7" s="1"/>
  <c r="AB238" i="7"/>
  <c r="AC238" i="7" s="1"/>
  <c r="AB234" i="7"/>
  <c r="AC234" i="7" s="1"/>
  <c r="AB230" i="7"/>
  <c r="AC230" i="7" s="1"/>
  <c r="AB224" i="7"/>
  <c r="AC224" i="7" s="1"/>
  <c r="AB220" i="7"/>
  <c r="AC220" i="7" s="1"/>
  <c r="AB216" i="7"/>
  <c r="AC216" i="7" s="1"/>
  <c r="AB212" i="7"/>
  <c r="AC212" i="7" s="1"/>
  <c r="AB208" i="7"/>
  <c r="AC208" i="7" s="1"/>
  <c r="AB202" i="7"/>
  <c r="AC202" i="7" s="1"/>
  <c r="AB198" i="7"/>
  <c r="AC198" i="7" s="1"/>
  <c r="AB194" i="7"/>
  <c r="AC194" i="7" s="1"/>
  <c r="AB190" i="7"/>
  <c r="AC190" i="7" s="1"/>
  <c r="AB186" i="7"/>
  <c r="AC186" i="7" s="1"/>
  <c r="AB182" i="7"/>
  <c r="AC182" i="7" s="1"/>
  <c r="AB178" i="7"/>
  <c r="AC178" i="7" s="1"/>
  <c r="AB174" i="7"/>
  <c r="AC174" i="7" s="1"/>
  <c r="AB170" i="7"/>
  <c r="AC170" i="7" s="1"/>
  <c r="AB166" i="7"/>
  <c r="AC166" i="7" s="1"/>
  <c r="AB162" i="7"/>
  <c r="AC162" i="7" s="1"/>
  <c r="AB158" i="7"/>
  <c r="AC158" i="7" s="1"/>
  <c r="AB156" i="7"/>
  <c r="AC156" i="7" s="1"/>
  <c r="AB152" i="7"/>
  <c r="AC152" i="7" s="1"/>
  <c r="AB148" i="7"/>
  <c r="AC148" i="7" s="1"/>
  <c r="AB335" i="7"/>
  <c r="AC335" i="7" s="1"/>
  <c r="AB331" i="7"/>
  <c r="AC331" i="7" s="1"/>
  <c r="AB325" i="7"/>
  <c r="AC325" i="7" s="1"/>
  <c r="AB321" i="7"/>
  <c r="AC321" i="7" s="1"/>
  <c r="AB317" i="7"/>
  <c r="AC317" i="7" s="1"/>
  <c r="AB313" i="7"/>
  <c r="AC313" i="7" s="1"/>
  <c r="AB307" i="7"/>
  <c r="AC307" i="7" s="1"/>
  <c r="AB303" i="7"/>
  <c r="AC303" i="7" s="1"/>
  <c r="AB299" i="7"/>
  <c r="AC299" i="7" s="1"/>
  <c r="AB295" i="7"/>
  <c r="AC295" i="7" s="1"/>
  <c r="AB291" i="7"/>
  <c r="AC291" i="7" s="1"/>
  <c r="AB287" i="7"/>
  <c r="AC287" i="7" s="1"/>
  <c r="AB283" i="7"/>
  <c r="AC283" i="7" s="1"/>
  <c r="AB279" i="7"/>
  <c r="AC279" i="7" s="1"/>
  <c r="AB275" i="7"/>
  <c r="AC275" i="7" s="1"/>
  <c r="AB271" i="7"/>
  <c r="AC271" i="7" s="1"/>
  <c r="AB269" i="7"/>
  <c r="AC269" i="7" s="1"/>
  <c r="AB265" i="7"/>
  <c r="AC265" i="7" s="1"/>
  <c r="AB261" i="7"/>
  <c r="AC261" i="7" s="1"/>
  <c r="AB257" i="7"/>
  <c r="AC257" i="7" s="1"/>
  <c r="AB253" i="7"/>
  <c r="AC253" i="7" s="1"/>
  <c r="AB249" i="7"/>
  <c r="AC249" i="7" s="1"/>
  <c r="AB243" i="7"/>
  <c r="AC243" i="7" s="1"/>
  <c r="AB239" i="7"/>
  <c r="AC239" i="7" s="1"/>
  <c r="AB235" i="7"/>
  <c r="AC235" i="7" s="1"/>
  <c r="AB231" i="7"/>
  <c r="AC231" i="7" s="1"/>
  <c r="AB227" i="7"/>
  <c r="AC227" i="7" s="1"/>
  <c r="AB225" i="7"/>
  <c r="AC225" i="7" s="1"/>
  <c r="AB221" i="7"/>
  <c r="AC221" i="7" s="1"/>
  <c r="AB217" i="7"/>
  <c r="AC217" i="7" s="1"/>
  <c r="AB213" i="7"/>
  <c r="AC213" i="7" s="1"/>
  <c r="AB209" i="7"/>
  <c r="AC209" i="7" s="1"/>
  <c r="AB205" i="7"/>
  <c r="AC205" i="7" s="1"/>
  <c r="AB203" i="7"/>
  <c r="AC203" i="7" s="1"/>
  <c r="AB199" i="7"/>
  <c r="AC199" i="7" s="1"/>
  <c r="AB195" i="7"/>
  <c r="AC195" i="7" s="1"/>
  <c r="AB191" i="7"/>
  <c r="AC191" i="7" s="1"/>
  <c r="AB187" i="7"/>
  <c r="AC187" i="7" s="1"/>
  <c r="AB183" i="7"/>
  <c r="AC183" i="7" s="1"/>
  <c r="AB179" i="7"/>
  <c r="AC179" i="7" s="1"/>
  <c r="AB175" i="7"/>
  <c r="AC175" i="7" s="1"/>
  <c r="AB171" i="7"/>
  <c r="AC171" i="7" s="1"/>
  <c r="AB167" i="7"/>
  <c r="AC167" i="7" s="1"/>
  <c r="AB163" i="7"/>
  <c r="AC163" i="7" s="1"/>
  <c r="AB159" i="7"/>
  <c r="AC159" i="7" s="1"/>
  <c r="AB153" i="7"/>
  <c r="AC153" i="7" s="1"/>
  <c r="AB149" i="7"/>
  <c r="AC149" i="7" s="1"/>
  <c r="AB145" i="7"/>
  <c r="AC145" i="7" s="1"/>
  <c r="AB339" i="7"/>
  <c r="AC339" i="7" s="1"/>
  <c r="AB336" i="7"/>
  <c r="AC336" i="7" s="1"/>
  <c r="AB332" i="7"/>
  <c r="AC332" i="7" s="1"/>
  <c r="AB328" i="7"/>
  <c r="AC328" i="7" s="1"/>
  <c r="AB326" i="7"/>
  <c r="AC326" i="7" s="1"/>
  <c r="AB322" i="7"/>
  <c r="AC322" i="7" s="1"/>
  <c r="AB318" i="7"/>
  <c r="AC318" i="7" s="1"/>
  <c r="AB314" i="7"/>
  <c r="AC314" i="7" s="1"/>
  <c r="AB308" i="7"/>
  <c r="AC308" i="7" s="1"/>
  <c r="AB304" i="7"/>
  <c r="AC304" i="7" s="1"/>
  <c r="AB300" i="7"/>
  <c r="AC300" i="7" s="1"/>
  <c r="AB296" i="7"/>
  <c r="AC296" i="7" s="1"/>
  <c r="AB292" i="7"/>
  <c r="AC292" i="7" s="1"/>
  <c r="AB284" i="7"/>
  <c r="AC284" i="7" s="1"/>
  <c r="AB276" i="7"/>
  <c r="AC276" i="7" s="1"/>
  <c r="AB246" i="7"/>
  <c r="AC246" i="7" s="1"/>
  <c r="AB236" i="7"/>
  <c r="AC236" i="7" s="1"/>
  <c r="AB228" i="7"/>
  <c r="AC228" i="7" s="1"/>
  <c r="AB218" i="7"/>
  <c r="AC218" i="7" s="1"/>
  <c r="AB204" i="7"/>
  <c r="AC204" i="7" s="1"/>
  <c r="AB266" i="7"/>
  <c r="AC266" i="7" s="1"/>
  <c r="AB258" i="7"/>
  <c r="AC258" i="7" s="1"/>
  <c r="AB250" i="7"/>
  <c r="AC250" i="7" s="1"/>
  <c r="AB226" i="7"/>
  <c r="AC226" i="7" s="1"/>
  <c r="AB214" i="7"/>
  <c r="AC214" i="7" s="1"/>
  <c r="AB200" i="7"/>
  <c r="AC200" i="7" s="1"/>
  <c r="AB192" i="7"/>
  <c r="AC192" i="7" s="1"/>
  <c r="AB184" i="7"/>
  <c r="AC184" i="7" s="1"/>
  <c r="AB176" i="7"/>
  <c r="AC176" i="7" s="1"/>
  <c r="AB168" i="7"/>
  <c r="AC168" i="7" s="1"/>
  <c r="AB160" i="7"/>
  <c r="AC160" i="7" s="1"/>
  <c r="AB150" i="7"/>
  <c r="AC150" i="7" s="1"/>
  <c r="AB288" i="7"/>
  <c r="AC288" i="7" s="1"/>
  <c r="AB280" i="7"/>
  <c r="AC280" i="7" s="1"/>
  <c r="AB272" i="7"/>
  <c r="AC272" i="7" s="1"/>
  <c r="AB244" i="7"/>
  <c r="AC244" i="7" s="1"/>
  <c r="AB240" i="7"/>
  <c r="AC240" i="7" s="1"/>
  <c r="AB232" i="7"/>
  <c r="AC232" i="7" s="1"/>
  <c r="AB210" i="7"/>
  <c r="AC210" i="7" s="1"/>
  <c r="AB270" i="7"/>
  <c r="AC270" i="7" s="1"/>
  <c r="AB262" i="7"/>
  <c r="AC262" i="7" s="1"/>
  <c r="AB254" i="7"/>
  <c r="AC254" i="7" s="1"/>
  <c r="AB222" i="7"/>
  <c r="AC222" i="7" s="1"/>
  <c r="AB206" i="7"/>
  <c r="AC206" i="7" s="1"/>
  <c r="AB196" i="7"/>
  <c r="AC196" i="7" s="1"/>
  <c r="AB188" i="7"/>
  <c r="AC188" i="7" s="1"/>
  <c r="AB180" i="7"/>
  <c r="AC180" i="7" s="1"/>
  <c r="AB172" i="7"/>
  <c r="AC172" i="7" s="1"/>
  <c r="AB164" i="7"/>
  <c r="AC164" i="7" s="1"/>
  <c r="AB154" i="7"/>
  <c r="AC154" i="7" s="1"/>
  <c r="AB146" i="7"/>
  <c r="AC146" i="7" s="1"/>
  <c r="X277" i="8"/>
  <c r="AA272" i="8"/>
  <c r="AB272" i="8" s="1"/>
  <c r="AC272" i="8" s="1"/>
  <c r="T34" i="8"/>
  <c r="V34" i="8"/>
  <c r="X248" i="8"/>
  <c r="Z234" i="8"/>
  <c r="Z208" i="8"/>
  <c r="V190" i="8"/>
  <c r="Y178" i="8"/>
  <c r="AA176" i="8"/>
  <c r="AB176" i="8" s="1"/>
  <c r="AC176" i="8" s="1"/>
  <c r="Y152" i="8"/>
  <c r="R332" i="7"/>
  <c r="S332" i="7" s="1"/>
  <c r="AZ332" i="7" s="1"/>
  <c r="R322" i="7"/>
  <c r="S322" i="7" s="1"/>
  <c r="AZ322" i="7" s="1"/>
  <c r="R314" i="7"/>
  <c r="S314" i="7" s="1"/>
  <c r="AZ314" i="7" s="1"/>
  <c r="R280" i="7"/>
  <c r="S280" i="7" s="1"/>
  <c r="AZ280" i="7" s="1"/>
  <c r="R258" i="7"/>
  <c r="S258" i="7" s="1"/>
  <c r="AZ258" i="7" s="1"/>
  <c r="R236" i="7"/>
  <c r="S236" i="7" s="1"/>
  <c r="AZ236" i="7" s="1"/>
  <c r="R154" i="7"/>
  <c r="S154" i="7" s="1"/>
  <c r="AZ154" i="7"/>
  <c r="Y493" i="6"/>
  <c r="Y495" i="6"/>
  <c r="Y487" i="6"/>
  <c r="Y485" i="6"/>
  <c r="Z286" i="8"/>
  <c r="Y273" i="8"/>
  <c r="Y230" i="8"/>
  <c r="AA230" i="8" s="1"/>
  <c r="AB230" i="8" s="1"/>
  <c r="AC230" i="8" s="1"/>
  <c r="Z212" i="8"/>
  <c r="J30" i="8"/>
  <c r="L30" i="8"/>
  <c r="Y174" i="8"/>
  <c r="AA172" i="8"/>
  <c r="AB172" i="8" s="1"/>
  <c r="AC172" i="8" s="1"/>
  <c r="AA150" i="8"/>
  <c r="AB150" i="8" s="1"/>
  <c r="AC150" i="8" s="1"/>
  <c r="U33" i="7"/>
  <c r="BG231" i="7"/>
  <c r="U31" i="7"/>
  <c r="BG199" i="7"/>
  <c r="U26" i="7"/>
  <c r="BG167" i="7"/>
  <c r="R152" i="6"/>
  <c r="S152" i="6" s="1"/>
  <c r="AZ152" i="6" s="1"/>
  <c r="X351" i="6"/>
  <c r="W351" i="6"/>
  <c r="Z351" i="6"/>
  <c r="V351" i="6"/>
  <c r="X313" i="6"/>
  <c r="W313" i="6"/>
  <c r="Z313" i="6"/>
  <c r="V313" i="6"/>
  <c r="X303" i="6"/>
  <c r="W303" i="6"/>
  <c r="Z303" i="6"/>
  <c r="V303" i="6"/>
  <c r="BG251" i="6"/>
  <c r="U34" i="6"/>
  <c r="X243" i="6"/>
  <c r="W243" i="6"/>
  <c r="Z243" i="6"/>
  <c r="V243" i="6"/>
  <c r="AA243" i="6" s="1"/>
  <c r="X225" i="6"/>
  <c r="W225" i="6"/>
  <c r="Z225" i="6"/>
  <c r="V225" i="6"/>
  <c r="X199" i="6"/>
  <c r="W199" i="6"/>
  <c r="AA199" i="6" s="1"/>
  <c r="Z199" i="6"/>
  <c r="X183" i="6"/>
  <c r="W183" i="6"/>
  <c r="Z183" i="6"/>
  <c r="V183" i="6"/>
  <c r="X175" i="6"/>
  <c r="W175" i="6"/>
  <c r="V175" i="6"/>
  <c r="Z175" i="6"/>
  <c r="U37" i="7"/>
  <c r="BG235" i="7"/>
  <c r="L36" i="7"/>
  <c r="J36" i="7"/>
  <c r="L34" i="7"/>
  <c r="J34" i="7"/>
  <c r="K32" i="7"/>
  <c r="BG187" i="7"/>
  <c r="L27" i="7"/>
  <c r="J27" i="7"/>
  <c r="AL453" i="6"/>
  <c r="AL483" i="6"/>
  <c r="R480" i="6"/>
  <c r="AL462" i="6"/>
  <c r="AF462" i="6"/>
  <c r="AL499" i="6"/>
  <c r="R471" i="6"/>
  <c r="AF491" i="6"/>
  <c r="AL473" i="6"/>
  <c r="AL491" i="6"/>
  <c r="Y348" i="6"/>
  <c r="X348" i="6"/>
  <c r="W348" i="6"/>
  <c r="AA348" i="6" s="1"/>
  <c r="AB348" i="6" s="1"/>
  <c r="AC348" i="6" s="1"/>
  <c r="Y344" i="6"/>
  <c r="X344" i="6"/>
  <c r="W344" i="6"/>
  <c r="AA344" i="6" s="1"/>
  <c r="Y336" i="6"/>
  <c r="X336" i="6"/>
  <c r="W336" i="6"/>
  <c r="AA336" i="6" s="1"/>
  <c r="AB336" i="6" s="1"/>
  <c r="AC336" i="6" s="1"/>
  <c r="Y326" i="6"/>
  <c r="X326" i="6"/>
  <c r="W326" i="6"/>
  <c r="Y318" i="6"/>
  <c r="X318" i="6"/>
  <c r="W318" i="6"/>
  <c r="AA318" i="6" s="1"/>
  <c r="AB318" i="6" s="1"/>
  <c r="AC318" i="6" s="1"/>
  <c r="Y304" i="6"/>
  <c r="X304" i="6"/>
  <c r="W304" i="6"/>
  <c r="Y296" i="6"/>
  <c r="X296" i="6"/>
  <c r="W296" i="6"/>
  <c r="Y288" i="6"/>
  <c r="X288" i="6"/>
  <c r="W288" i="6"/>
  <c r="Y266" i="6"/>
  <c r="X266" i="6"/>
  <c r="W266" i="6"/>
  <c r="AA266" i="6" s="1"/>
  <c r="AB266" i="6" s="1"/>
  <c r="AC266" i="6" s="1"/>
  <c r="Y250" i="6"/>
  <c r="X250" i="6"/>
  <c r="W250" i="6"/>
  <c r="K37" i="7"/>
  <c r="BG203" i="7"/>
  <c r="Z341" i="6"/>
  <c r="V341" i="6"/>
  <c r="Y341" i="6"/>
  <c r="X341" i="6"/>
  <c r="Z337" i="6"/>
  <c r="V337" i="6"/>
  <c r="Y337" i="6"/>
  <c r="X337" i="6"/>
  <c r="Z259" i="6"/>
  <c r="V259" i="6"/>
  <c r="Y259" i="6"/>
  <c r="X259" i="6"/>
  <c r="Z255" i="6"/>
  <c r="V255" i="6"/>
  <c r="Y255" i="6"/>
  <c r="X255" i="6"/>
  <c r="Z251" i="6"/>
  <c r="Y251" i="6"/>
  <c r="X251" i="6"/>
  <c r="Z233" i="6"/>
  <c r="V233" i="6"/>
  <c r="Y233" i="6"/>
  <c r="X233" i="6"/>
  <c r="Z229" i="6"/>
  <c r="V229" i="6"/>
  <c r="Y229" i="6"/>
  <c r="X229" i="6"/>
  <c r="Z223" i="6"/>
  <c r="V223" i="6"/>
  <c r="Y223" i="6"/>
  <c r="X223" i="6"/>
  <c r="Z219" i="6"/>
  <c r="V219" i="6"/>
  <c r="Y219" i="6"/>
  <c r="X219" i="6"/>
  <c r="Y334" i="6"/>
  <c r="Z306" i="6"/>
  <c r="Z300" i="6"/>
  <c r="Y286" i="6"/>
  <c r="X264" i="6"/>
  <c r="Z238" i="6"/>
  <c r="Z230" i="6"/>
  <c r="Y220" i="6"/>
  <c r="W219" i="6"/>
  <c r="W216" i="6"/>
  <c r="X186" i="6"/>
  <c r="AA186" i="6" s="1"/>
  <c r="AB186" i="6" s="1"/>
  <c r="AC186" i="6" s="1"/>
  <c r="V172" i="6"/>
  <c r="Z168" i="6"/>
  <c r="U26" i="6"/>
  <c r="BG167" i="6"/>
  <c r="X163" i="6"/>
  <c r="W163" i="6"/>
  <c r="Z163" i="6"/>
  <c r="BG161" i="6"/>
  <c r="U24" i="6"/>
  <c r="R343" i="5"/>
  <c r="S343" i="5" s="1"/>
  <c r="AZ343" i="5" s="1"/>
  <c r="R321" i="5"/>
  <c r="S321" i="5" s="1"/>
  <c r="AZ321" i="5" s="1"/>
  <c r="R299" i="5"/>
  <c r="S299" i="5" s="1"/>
  <c r="AZ299" i="5" s="1"/>
  <c r="R283" i="5"/>
  <c r="S283" i="5" s="1"/>
  <c r="AZ283" i="5" s="1"/>
  <c r="R257" i="5"/>
  <c r="S257" i="5" s="1"/>
  <c r="AZ257" i="5" s="1"/>
  <c r="R235" i="5"/>
  <c r="S235" i="5" s="1"/>
  <c r="AZ235" i="5" s="1"/>
  <c r="R225" i="5"/>
  <c r="S225" i="5" s="1"/>
  <c r="AZ225" i="5" s="1"/>
  <c r="R209" i="5"/>
  <c r="S209" i="5" s="1"/>
  <c r="AZ209" i="5" s="1"/>
  <c r="R199" i="5"/>
  <c r="S199" i="5" s="1"/>
  <c r="AZ199" i="5" s="1"/>
  <c r="K34" i="5"/>
  <c r="BG196" i="5"/>
  <c r="R183" i="5"/>
  <c r="S183" i="5" s="1"/>
  <c r="AZ183" i="5" s="1"/>
  <c r="R167" i="5"/>
  <c r="S167" i="5" s="1"/>
  <c r="AZ167" i="5" s="1"/>
  <c r="X350" i="6"/>
  <c r="Y330" i="6"/>
  <c r="Z324" i="6"/>
  <c r="V316" i="6"/>
  <c r="Z308" i="6"/>
  <c r="V298" i="6"/>
  <c r="V268" i="6"/>
  <c r="V252" i="6"/>
  <c r="T38" i="6"/>
  <c r="V38" i="6"/>
  <c r="Y225" i="6"/>
  <c r="Z214" i="6"/>
  <c r="AA214" i="6" s="1"/>
  <c r="AB214" i="6" s="1"/>
  <c r="AC214" i="6" s="1"/>
  <c r="W197" i="6"/>
  <c r="V163" i="6"/>
  <c r="V150" i="6"/>
  <c r="R147" i="6"/>
  <c r="S147" i="6" s="1"/>
  <c r="AZ147" i="6"/>
  <c r="K23" i="6"/>
  <c r="BG146" i="6"/>
  <c r="C535" i="5"/>
  <c r="C526" i="5"/>
  <c r="AZ347" i="5"/>
  <c r="R347" i="5"/>
  <c r="S347" i="5" s="1"/>
  <c r="R332" i="5"/>
  <c r="S332" i="5" s="1"/>
  <c r="AZ332" i="5" s="1"/>
  <c r="R328" i="5"/>
  <c r="S328" i="5" s="1"/>
  <c r="AZ328" i="5" s="1"/>
  <c r="R318" i="5"/>
  <c r="S318" i="5" s="1"/>
  <c r="AZ318" i="5" s="1"/>
  <c r="R296" i="5"/>
  <c r="S296" i="5" s="1"/>
  <c r="AZ296" i="5" s="1"/>
  <c r="R280" i="5"/>
  <c r="S280" i="5" s="1"/>
  <c r="AZ280" i="5" s="1"/>
  <c r="R270" i="5"/>
  <c r="S270" i="5" s="1"/>
  <c r="AZ270" i="5" s="1"/>
  <c r="R254" i="5"/>
  <c r="S254" i="5" s="1"/>
  <c r="AZ254" i="5" s="1"/>
  <c r="R240" i="5"/>
  <c r="S240" i="5" s="1"/>
  <c r="AZ240" i="5" s="1"/>
  <c r="R214" i="5"/>
  <c r="S214" i="5" s="1"/>
  <c r="AZ214" i="5" s="1"/>
  <c r="R204" i="5"/>
  <c r="S204" i="5" s="1"/>
  <c r="AZ204" i="5" s="1"/>
  <c r="R188" i="5"/>
  <c r="S188" i="5" s="1"/>
  <c r="AZ188" i="5" s="1"/>
  <c r="R172" i="5"/>
  <c r="S172" i="5" s="1"/>
  <c r="AZ172" i="5" s="1"/>
  <c r="R150" i="5"/>
  <c r="S150" i="5" s="1"/>
  <c r="AZ150" i="5" s="1"/>
  <c r="V342" i="6"/>
  <c r="Y339" i="6"/>
  <c r="V312" i="6"/>
  <c r="X306" i="6"/>
  <c r="Y294" i="6"/>
  <c r="V264" i="6"/>
  <c r="Y260" i="6"/>
  <c r="W259" i="6"/>
  <c r="Z250" i="6"/>
  <c r="X238" i="6"/>
  <c r="Z224" i="6"/>
  <c r="Z218" i="6"/>
  <c r="Y206" i="6"/>
  <c r="X206" i="6"/>
  <c r="W206" i="6"/>
  <c r="Y196" i="6"/>
  <c r="X196" i="6"/>
  <c r="W196" i="6"/>
  <c r="Y192" i="6"/>
  <c r="X192" i="6"/>
  <c r="W192" i="6"/>
  <c r="Y186" i="6"/>
  <c r="W178" i="6"/>
  <c r="AA178" i="6" s="1"/>
  <c r="AB178" i="6" s="1"/>
  <c r="AC178" i="6" s="1"/>
  <c r="Z165" i="6"/>
  <c r="V165" i="6"/>
  <c r="Y165" i="6"/>
  <c r="Z161" i="6"/>
  <c r="Y161" i="6"/>
  <c r="W158" i="6"/>
  <c r="Z158" i="6"/>
  <c r="V158" i="6"/>
  <c r="X153" i="6"/>
  <c r="W153" i="6"/>
  <c r="V153" i="6"/>
  <c r="X148" i="6"/>
  <c r="R246" i="6"/>
  <c r="S246" i="6" s="1"/>
  <c r="AZ246" i="6"/>
  <c r="AL499" i="5"/>
  <c r="AL491" i="5"/>
  <c r="AF491" i="5"/>
  <c r="AL473" i="5"/>
  <c r="R471" i="5"/>
  <c r="AL483" i="5"/>
  <c r="R480" i="5"/>
  <c r="AF462" i="5"/>
  <c r="AL453" i="5"/>
  <c r="AL462" i="5"/>
  <c r="AZ351" i="5"/>
  <c r="R351" i="5"/>
  <c r="S351" i="5" s="1"/>
  <c r="R333" i="5"/>
  <c r="S333" i="5" s="1"/>
  <c r="AZ333" i="5" s="1"/>
  <c r="R323" i="5"/>
  <c r="S323" i="5" s="1"/>
  <c r="AZ323" i="5" s="1"/>
  <c r="R311" i="5"/>
  <c r="S311" i="5" s="1"/>
  <c r="AZ311" i="5" s="1"/>
  <c r="R297" i="5"/>
  <c r="S297" i="5" s="1"/>
  <c r="AZ297" i="5" s="1"/>
  <c r="R281" i="5"/>
  <c r="S281" i="5" s="1"/>
  <c r="AZ281" i="5" s="1"/>
  <c r="R263" i="5"/>
  <c r="S263" i="5" s="1"/>
  <c r="AZ263" i="5" s="1"/>
  <c r="R247" i="5"/>
  <c r="S247" i="5" s="1"/>
  <c r="AZ247" i="5" s="1"/>
  <c r="R237" i="5"/>
  <c r="S237" i="5" s="1"/>
  <c r="AZ237" i="5" s="1"/>
  <c r="R219" i="5"/>
  <c r="S219" i="5" s="1"/>
  <c r="AZ219" i="5" s="1"/>
  <c r="R201" i="5"/>
  <c r="S201" i="5" s="1"/>
  <c r="AZ201" i="5" s="1"/>
  <c r="R185" i="5"/>
  <c r="S185" i="5" s="1"/>
  <c r="AZ185" i="5" s="1"/>
  <c r="U30" i="5"/>
  <c r="BG178" i="5"/>
  <c r="R169" i="5"/>
  <c r="S169" i="5" s="1"/>
  <c r="AZ169" i="5" s="1"/>
  <c r="U25" i="5"/>
  <c r="BG162" i="5"/>
  <c r="R157" i="5"/>
  <c r="S157" i="5" s="1"/>
  <c r="AZ157" i="5" s="1"/>
  <c r="W350" i="6"/>
  <c r="AA350" i="6" s="1"/>
  <c r="AB350" i="6" s="1"/>
  <c r="AC350" i="6" s="1"/>
  <c r="Z346" i="6"/>
  <c r="X324" i="6"/>
  <c r="Z296" i="6"/>
  <c r="W278" i="6"/>
  <c r="AA278" i="6" s="1"/>
  <c r="AB278" i="6" s="1"/>
  <c r="AC278" i="6" s="1"/>
  <c r="Z256" i="6"/>
  <c r="Z242" i="6"/>
  <c r="W234" i="6"/>
  <c r="AA234" i="6" s="1"/>
  <c r="AB234" i="6" s="1"/>
  <c r="AC234" i="6" s="1"/>
  <c r="Z210" i="6"/>
  <c r="T32" i="6"/>
  <c r="V32" i="6"/>
  <c r="Z176" i="6"/>
  <c r="Z169" i="6"/>
  <c r="Y153" i="6"/>
  <c r="Y501" i="5"/>
  <c r="Y503" i="5"/>
  <c r="AZ348" i="4"/>
  <c r="R348" i="4"/>
  <c r="S348" i="4" s="1"/>
  <c r="AZ332" i="4"/>
  <c r="R332" i="4"/>
  <c r="S332" i="4" s="1"/>
  <c r="AZ308" i="4"/>
  <c r="R308" i="4"/>
  <c r="S308" i="4" s="1"/>
  <c r="AZ288" i="4"/>
  <c r="R288" i="4"/>
  <c r="S288" i="4" s="1"/>
  <c r="AZ266" i="4"/>
  <c r="R266" i="4"/>
  <c r="S266" i="4" s="1"/>
  <c r="AZ246" i="4"/>
  <c r="R246" i="4"/>
  <c r="S246" i="4" s="1"/>
  <c r="AZ226" i="4"/>
  <c r="R226" i="4"/>
  <c r="S226" i="4" s="1"/>
  <c r="AZ222" i="4"/>
  <c r="R222" i="4"/>
  <c r="S222" i="4" s="1"/>
  <c r="AZ218" i="4"/>
  <c r="R218" i="4"/>
  <c r="S218" i="4" s="1"/>
  <c r="AZ214" i="4"/>
  <c r="R214" i="4"/>
  <c r="S214" i="4" s="1"/>
  <c r="R200" i="4"/>
  <c r="S200" i="4" s="1"/>
  <c r="AZ200" i="4" s="1"/>
  <c r="AZ176" i="4"/>
  <c r="R176" i="4"/>
  <c r="S176" i="4" s="1"/>
  <c r="AZ172" i="4"/>
  <c r="R172" i="4"/>
  <c r="S172" i="4" s="1"/>
  <c r="AZ168" i="4"/>
  <c r="R168" i="4"/>
  <c r="S168" i="4" s="1"/>
  <c r="Y170" i="6"/>
  <c r="T23" i="5"/>
  <c r="V23" i="5"/>
  <c r="W23" i="5" s="1"/>
  <c r="Y348" i="4"/>
  <c r="W348" i="4"/>
  <c r="Y344" i="4"/>
  <c r="W344" i="4"/>
  <c r="R341" i="4"/>
  <c r="S341" i="4" s="1"/>
  <c r="AZ341" i="4" s="1"/>
  <c r="Y332" i="4"/>
  <c r="W332" i="4"/>
  <c r="Y326" i="4"/>
  <c r="W326" i="4"/>
  <c r="Y318" i="4"/>
  <c r="W318" i="4"/>
  <c r="R301" i="4"/>
  <c r="S301" i="4" s="1"/>
  <c r="AZ301" i="4" s="1"/>
  <c r="R289" i="4"/>
  <c r="S289" i="4" s="1"/>
  <c r="AZ289" i="4"/>
  <c r="Y284" i="4"/>
  <c r="W284" i="4"/>
  <c r="R267" i="4"/>
  <c r="S267" i="4" s="1"/>
  <c r="AZ267" i="4"/>
  <c r="R237" i="4"/>
  <c r="S237" i="4" s="1"/>
  <c r="AZ237" i="4"/>
  <c r="R233" i="4"/>
  <c r="S233" i="4" s="1"/>
  <c r="AZ233" i="4"/>
  <c r="R229" i="4"/>
  <c r="S229" i="4" s="1"/>
  <c r="AZ229" i="4"/>
  <c r="R215" i="4"/>
  <c r="S215" i="4" s="1"/>
  <c r="AZ215" i="4"/>
  <c r="BG186" i="4"/>
  <c r="K31" i="4"/>
  <c r="R181" i="4"/>
  <c r="S181" i="4" s="1"/>
  <c r="AZ181" i="4"/>
  <c r="X176" i="4"/>
  <c r="W176" i="4"/>
  <c r="AA176" i="4" s="1"/>
  <c r="AB176" i="4" s="1"/>
  <c r="AC176" i="4" s="1"/>
  <c r="X164" i="4"/>
  <c r="W164" i="4"/>
  <c r="AA164" i="4" s="1"/>
  <c r="AB164" i="4" s="1"/>
  <c r="AC164" i="4" s="1"/>
  <c r="AZ457" i="3"/>
  <c r="E524" i="3"/>
  <c r="Y341" i="3"/>
  <c r="W341" i="3"/>
  <c r="Y337" i="3"/>
  <c r="W337" i="3"/>
  <c r="Y168" i="6"/>
  <c r="X154" i="6"/>
  <c r="J35" i="5"/>
  <c r="L35" i="5"/>
  <c r="J30" i="5"/>
  <c r="L30" i="5"/>
  <c r="AM483" i="4"/>
  <c r="S480" i="4"/>
  <c r="AM462" i="4"/>
  <c r="AG462" i="4"/>
  <c r="AM453" i="4"/>
  <c r="AG491" i="4"/>
  <c r="AM499" i="4"/>
  <c r="S471" i="4"/>
  <c r="AM491" i="4"/>
  <c r="AM473" i="4"/>
  <c r="Z345" i="4"/>
  <c r="V345" i="4"/>
  <c r="X345" i="4"/>
  <c r="R342" i="4"/>
  <c r="S342" i="4" s="1"/>
  <c r="AZ342" i="4" s="1"/>
  <c r="Z329" i="4"/>
  <c r="V329" i="4"/>
  <c r="X329" i="4"/>
  <c r="R324" i="4"/>
  <c r="S324" i="4" s="1"/>
  <c r="AZ324" i="4"/>
  <c r="Z301" i="4"/>
  <c r="V301" i="4"/>
  <c r="X301" i="4"/>
  <c r="R298" i="4"/>
  <c r="S298" i="4" s="1"/>
  <c r="AZ298" i="4" s="1"/>
  <c r="Z285" i="4"/>
  <c r="V285" i="4"/>
  <c r="X285" i="4"/>
  <c r="R282" i="4"/>
  <c r="S282" i="4" s="1"/>
  <c r="AZ282" i="4"/>
  <c r="Z263" i="4"/>
  <c r="V263" i="4"/>
  <c r="X263" i="4"/>
  <c r="R260" i="4"/>
  <c r="S260" i="4" s="1"/>
  <c r="AZ260" i="4" s="1"/>
  <c r="Z247" i="4"/>
  <c r="V247" i="4"/>
  <c r="X247" i="4"/>
  <c r="R242" i="4"/>
  <c r="S242" i="4" s="1"/>
  <c r="AZ242" i="4"/>
  <c r="Z229" i="4"/>
  <c r="V229" i="4"/>
  <c r="X229" i="4"/>
  <c r="Z223" i="4"/>
  <c r="V223" i="4"/>
  <c r="X223" i="4"/>
  <c r="R220" i="4"/>
  <c r="S220" i="4" s="1"/>
  <c r="AZ220" i="4" s="1"/>
  <c r="X211" i="4"/>
  <c r="R190" i="4"/>
  <c r="S190" i="4" s="1"/>
  <c r="AZ190" i="4"/>
  <c r="Y177" i="4"/>
  <c r="X177" i="4"/>
  <c r="R174" i="4"/>
  <c r="S174" i="4" s="1"/>
  <c r="AZ174" i="4"/>
  <c r="Y161" i="4"/>
  <c r="X161" i="4"/>
  <c r="AA161" i="4" s="1"/>
  <c r="AB161" i="4" s="1"/>
  <c r="AC161" i="4" s="1"/>
  <c r="R158" i="4"/>
  <c r="S158" i="4" s="1"/>
  <c r="AZ158" i="4"/>
  <c r="X151" i="4"/>
  <c r="R148" i="4"/>
  <c r="S148" i="4" s="1"/>
  <c r="AZ148" i="4" s="1"/>
  <c r="AL483" i="3"/>
  <c r="R480" i="3"/>
  <c r="AL462" i="3"/>
  <c r="AF462" i="3"/>
  <c r="AL453" i="3"/>
  <c r="AL499" i="3"/>
  <c r="AL491" i="3"/>
  <c r="AF491" i="3"/>
  <c r="AL473" i="3"/>
  <c r="R471" i="3"/>
  <c r="X216" i="3"/>
  <c r="Z216" i="3"/>
  <c r="X208" i="3"/>
  <c r="Z208" i="3"/>
  <c r="V208" i="3"/>
  <c r="X150" i="6"/>
  <c r="T34" i="5"/>
  <c r="V34" i="5"/>
  <c r="V348" i="4"/>
  <c r="W346" i="4"/>
  <c r="Y346" i="4"/>
  <c r="X342" i="4"/>
  <c r="BG336" i="4"/>
  <c r="U36" i="4"/>
  <c r="W334" i="4"/>
  <c r="Y334" i="4"/>
  <c r="V318" i="4"/>
  <c r="W315" i="4"/>
  <c r="AA315" i="4" s="1"/>
  <c r="V292" i="4"/>
  <c r="V284" i="4"/>
  <c r="W278" i="4"/>
  <c r="AA278" i="4" s="1"/>
  <c r="AB278" i="4" s="1"/>
  <c r="AC278" i="4" s="1"/>
  <c r="Y278" i="4"/>
  <c r="W268" i="4"/>
  <c r="AA268" i="4" s="1"/>
  <c r="AB268" i="4" s="1"/>
  <c r="AC268" i="4" s="1"/>
  <c r="Y268" i="4"/>
  <c r="W260" i="4"/>
  <c r="AA260" i="4" s="1"/>
  <c r="AB260" i="4" s="1"/>
  <c r="AC260" i="4" s="1"/>
  <c r="Y260" i="4"/>
  <c r="W251" i="4"/>
  <c r="AA251" i="4" s="1"/>
  <c r="W248" i="4"/>
  <c r="AA248" i="4" s="1"/>
  <c r="AB248" i="4" s="1"/>
  <c r="AC248" i="4" s="1"/>
  <c r="Y248" i="4"/>
  <c r="AZ227" i="4"/>
  <c r="R227" i="4"/>
  <c r="S227" i="4" s="1"/>
  <c r="V218" i="4"/>
  <c r="X212" i="4"/>
  <c r="W211" i="4"/>
  <c r="AA211" i="4" s="1"/>
  <c r="AB211" i="4" s="1"/>
  <c r="AC211" i="4" s="1"/>
  <c r="X186" i="4"/>
  <c r="AA186" i="4" s="1"/>
  <c r="AB186" i="4" s="1"/>
  <c r="AC186" i="4" s="1"/>
  <c r="W185" i="4"/>
  <c r="Y183" i="4"/>
  <c r="X178" i="4"/>
  <c r="W177" i="4"/>
  <c r="AA177" i="4" s="1"/>
  <c r="AB177" i="4" s="1"/>
  <c r="AC177" i="4" s="1"/>
  <c r="Y171" i="4"/>
  <c r="Z170" i="4"/>
  <c r="V170" i="4"/>
  <c r="Y170" i="4"/>
  <c r="W165" i="4"/>
  <c r="AA165" i="4" s="1"/>
  <c r="AB165" i="4" s="1"/>
  <c r="AC165" i="4" s="1"/>
  <c r="Y159" i="4"/>
  <c r="Z158" i="4"/>
  <c r="V158" i="4"/>
  <c r="Y158" i="4"/>
  <c r="W351" i="3"/>
  <c r="Y351" i="3"/>
  <c r="V349" i="3"/>
  <c r="W347" i="3"/>
  <c r="AA347" i="3" s="1"/>
  <c r="AB347" i="3" s="1"/>
  <c r="AC347" i="3" s="1"/>
  <c r="Y347" i="3"/>
  <c r="V341" i="3"/>
  <c r="W330" i="3"/>
  <c r="W324" i="3"/>
  <c r="X321" i="3"/>
  <c r="X313" i="3"/>
  <c r="W306" i="3"/>
  <c r="AA306" i="3" s="1"/>
  <c r="AB306" i="3" s="1"/>
  <c r="AC306" i="3" s="1"/>
  <c r="Y304" i="3"/>
  <c r="Y300" i="3"/>
  <c r="W298" i="3"/>
  <c r="AA298" i="3" s="1"/>
  <c r="AB298" i="3" s="1"/>
  <c r="AC298" i="3" s="1"/>
  <c r="Y296" i="3"/>
  <c r="Y292" i="3"/>
  <c r="Y288" i="3"/>
  <c r="W286" i="3"/>
  <c r="AA286" i="3" s="1"/>
  <c r="AB286" i="3" s="1"/>
  <c r="AC286" i="3" s="1"/>
  <c r="Y284" i="3"/>
  <c r="V263" i="3"/>
  <c r="V255" i="3"/>
  <c r="Y250" i="3"/>
  <c r="W212" i="3"/>
  <c r="AA347" i="4"/>
  <c r="Z312" i="4"/>
  <c r="Y301" i="4"/>
  <c r="Z280" i="4"/>
  <c r="X262" i="4"/>
  <c r="AA262" i="4" s="1"/>
  <c r="AB262" i="4" s="1"/>
  <c r="AC262" i="4" s="1"/>
  <c r="V225" i="4"/>
  <c r="X214" i="4"/>
  <c r="Z197" i="4"/>
  <c r="W194" i="4"/>
  <c r="W175" i="4"/>
  <c r="Z150" i="4"/>
  <c r="X146" i="4"/>
  <c r="AA146" i="4" s="1"/>
  <c r="AB146" i="4" s="1"/>
  <c r="AC146" i="4" s="1"/>
  <c r="Y352" i="3"/>
  <c r="AA352" i="3" s="1"/>
  <c r="AB352" i="3" s="1"/>
  <c r="AC352" i="3" s="1"/>
  <c r="Y346" i="3"/>
  <c r="Y314" i="3"/>
  <c r="X304" i="3"/>
  <c r="Z298" i="3"/>
  <c r="Y285" i="3"/>
  <c r="Z280" i="3"/>
  <c r="Y260" i="3"/>
  <c r="Z256" i="3"/>
  <c r="W240" i="3"/>
  <c r="AA240" i="3" s="1"/>
  <c r="AB240" i="3" s="1"/>
  <c r="AC240" i="3" s="1"/>
  <c r="Y239" i="3"/>
  <c r="W239" i="3"/>
  <c r="AA239" i="3" s="1"/>
  <c r="AB239" i="3" s="1"/>
  <c r="AC239" i="3" s="1"/>
  <c r="W232" i="3"/>
  <c r="AA232" i="3" s="1"/>
  <c r="AB232" i="3" s="1"/>
  <c r="AC232" i="3" s="1"/>
  <c r="Y231" i="3"/>
  <c r="W231" i="3"/>
  <c r="AA231" i="3" s="1"/>
  <c r="AB231" i="3" s="1"/>
  <c r="AC231" i="3" s="1"/>
  <c r="Y217" i="3"/>
  <c r="W217" i="3"/>
  <c r="AA217" i="3" s="1"/>
  <c r="AB217" i="3" s="1"/>
  <c r="AC217" i="3" s="1"/>
  <c r="Z199" i="3"/>
  <c r="Z195" i="3"/>
  <c r="W186" i="3"/>
  <c r="Z182" i="3"/>
  <c r="X182" i="3"/>
  <c r="R326" i="2"/>
  <c r="S326" i="2" s="1"/>
  <c r="AZ326" i="2" s="1"/>
  <c r="R322" i="2"/>
  <c r="S322" i="2" s="1"/>
  <c r="AZ322" i="2" s="1"/>
  <c r="R318" i="2"/>
  <c r="S318" i="2" s="1"/>
  <c r="AZ318" i="2" s="1"/>
  <c r="R314" i="2"/>
  <c r="S314" i="2" s="1"/>
  <c r="AZ314" i="2" s="1"/>
  <c r="AZ270" i="2"/>
  <c r="R270" i="2"/>
  <c r="S270" i="2" s="1"/>
  <c r="AZ266" i="2"/>
  <c r="R266" i="2"/>
  <c r="S266" i="2" s="1"/>
  <c r="R262" i="2"/>
  <c r="S262" i="2" s="1"/>
  <c r="AZ262" i="2" s="1"/>
  <c r="AZ258" i="2"/>
  <c r="R258" i="2"/>
  <c r="S258" i="2" s="1"/>
  <c r="R254" i="2"/>
  <c r="S254" i="2" s="1"/>
  <c r="AZ254" i="2" s="1"/>
  <c r="AZ250" i="2"/>
  <c r="R250" i="2"/>
  <c r="S250" i="2" s="1"/>
  <c r="R246" i="2"/>
  <c r="S246" i="2" s="1"/>
  <c r="AZ246" i="2" s="1"/>
  <c r="X284" i="4"/>
  <c r="Z272" i="4"/>
  <c r="T34" i="4"/>
  <c r="V34" i="4"/>
  <c r="X217" i="4"/>
  <c r="W209" i="4"/>
  <c r="Z194" i="4"/>
  <c r="J30" i="4"/>
  <c r="L30" i="4"/>
  <c r="X179" i="4"/>
  <c r="J29" i="4"/>
  <c r="L29" i="4"/>
  <c r="W171" i="4"/>
  <c r="X159" i="4"/>
  <c r="Y150" i="4"/>
  <c r="X145" i="4"/>
  <c r="Z351" i="3"/>
  <c r="Z313" i="3"/>
  <c r="Z308" i="3"/>
  <c r="Z297" i="3"/>
  <c r="Z289" i="3"/>
  <c r="X285" i="3"/>
  <c r="Z270" i="3"/>
  <c r="Z255" i="3"/>
  <c r="Z249" i="3"/>
  <c r="W233" i="3"/>
  <c r="AA233" i="3" s="1"/>
  <c r="AB233" i="3" s="1"/>
  <c r="AC233" i="3" s="1"/>
  <c r="Y233" i="3"/>
  <c r="X224" i="3"/>
  <c r="V224" i="3"/>
  <c r="Z224" i="3"/>
  <c r="X215" i="3"/>
  <c r="Y178" i="3"/>
  <c r="AZ159" i="3"/>
  <c r="R159" i="3"/>
  <c r="S159" i="3" s="1"/>
  <c r="BG155" i="3"/>
  <c r="K26" i="3"/>
  <c r="R153" i="3"/>
  <c r="S153" i="3" s="1"/>
  <c r="AZ153" i="3" s="1"/>
  <c r="R150" i="3"/>
  <c r="S150" i="3" s="1"/>
  <c r="AZ150" i="3" s="1"/>
  <c r="K491" i="2"/>
  <c r="K489" i="2"/>
  <c r="R327" i="2"/>
  <c r="S327" i="2" s="1"/>
  <c r="AZ327" i="2"/>
  <c r="R323" i="2"/>
  <c r="S323" i="2" s="1"/>
  <c r="AZ323" i="2"/>
  <c r="R281" i="2"/>
  <c r="S281" i="2" s="1"/>
  <c r="AZ281" i="2" s="1"/>
  <c r="R277" i="2"/>
  <c r="S277" i="2" s="1"/>
  <c r="AZ277" i="2"/>
  <c r="R259" i="2"/>
  <c r="S259" i="2" s="1"/>
  <c r="AZ259" i="2" s="1"/>
  <c r="R255" i="2"/>
  <c r="S255" i="2" s="1"/>
  <c r="AZ255" i="2"/>
  <c r="R207" i="2"/>
  <c r="S207" i="2" s="1"/>
  <c r="AZ207" i="2"/>
  <c r="R197" i="2"/>
  <c r="S197" i="2" s="1"/>
  <c r="AZ197" i="2" s="1"/>
  <c r="R193" i="2"/>
  <c r="S193" i="2" s="1"/>
  <c r="AZ193" i="2"/>
  <c r="AZ188" i="2"/>
  <c r="R188" i="2"/>
  <c r="S188" i="2" s="1"/>
  <c r="BG186" i="2"/>
  <c r="K31" i="2"/>
  <c r="R177" i="2"/>
  <c r="S177" i="2" s="1"/>
  <c r="AZ177" i="2" s="1"/>
  <c r="R173" i="2"/>
  <c r="S173" i="2" s="1"/>
  <c r="AZ173" i="2" s="1"/>
  <c r="R169" i="2"/>
  <c r="S169" i="2" s="1"/>
  <c r="AZ169" i="2" s="1"/>
  <c r="BG162" i="2"/>
  <c r="U25" i="2"/>
  <c r="X348" i="4"/>
  <c r="AA303" i="4"/>
  <c r="Y293" i="4"/>
  <c r="X280" i="4"/>
  <c r="AA265" i="4"/>
  <c r="Z248" i="4"/>
  <c r="Z240" i="4"/>
  <c r="AA231" i="4"/>
  <c r="Z224" i="4"/>
  <c r="X221" i="4"/>
  <c r="Z216" i="4"/>
  <c r="Z211" i="4"/>
  <c r="Y199" i="4"/>
  <c r="X192" i="4"/>
  <c r="Z177" i="4"/>
  <c r="Y172" i="4"/>
  <c r="W163" i="4"/>
  <c r="AA163" i="4" s="1"/>
  <c r="AB163" i="4" s="1"/>
  <c r="AC163" i="4" s="1"/>
  <c r="Z352" i="3"/>
  <c r="Y306" i="3"/>
  <c r="Y289" i="3"/>
  <c r="Z283" i="3"/>
  <c r="Z276" i="3"/>
  <c r="W257" i="3"/>
  <c r="AA257" i="3" s="1"/>
  <c r="AB257" i="3" s="1"/>
  <c r="AC257" i="3" s="1"/>
  <c r="X239" i="3"/>
  <c r="Y213" i="3"/>
  <c r="W213" i="3"/>
  <c r="AA213" i="3" s="1"/>
  <c r="AB213" i="3" s="1"/>
  <c r="AC213" i="3" s="1"/>
  <c r="X207" i="3"/>
  <c r="X200" i="3"/>
  <c r="V200" i="3"/>
  <c r="Z200" i="3"/>
  <c r="BG186" i="3"/>
  <c r="K31" i="3"/>
  <c r="Y177" i="3"/>
  <c r="W177" i="3"/>
  <c r="R173" i="3"/>
  <c r="S173" i="3" s="1"/>
  <c r="AZ173" i="3" s="1"/>
  <c r="R165" i="3"/>
  <c r="S165" i="3" s="1"/>
  <c r="AZ165" i="3"/>
  <c r="R161" i="3"/>
  <c r="S161" i="3" s="1"/>
  <c r="AZ161" i="3" s="1"/>
  <c r="R157" i="3"/>
  <c r="S157" i="3" s="1"/>
  <c r="AZ157" i="3"/>
  <c r="R151" i="3"/>
  <c r="S151" i="3" s="1"/>
  <c r="AZ151" i="3" s="1"/>
  <c r="Z146" i="3"/>
  <c r="W146" i="3"/>
  <c r="W357" i="3" s="1"/>
  <c r="R338" i="2"/>
  <c r="S338" i="2" s="1"/>
  <c r="AZ338" i="2"/>
  <c r="R334" i="2"/>
  <c r="S334" i="2" s="1"/>
  <c r="AZ334" i="2" s="1"/>
  <c r="AA303" i="2"/>
  <c r="R294" i="2"/>
  <c r="S294" i="2" s="1"/>
  <c r="AZ294" i="2"/>
  <c r="R268" i="2"/>
  <c r="S268" i="2" s="1"/>
  <c r="AZ268" i="2"/>
  <c r="R238" i="2"/>
  <c r="S238" i="2" s="1"/>
  <c r="AZ238" i="2"/>
  <c r="BG235" i="2"/>
  <c r="U37" i="2"/>
  <c r="BG231" i="2"/>
  <c r="U33" i="2"/>
  <c r="R224" i="2"/>
  <c r="S224" i="2" s="1"/>
  <c r="AZ224" i="2" s="1"/>
  <c r="AA217" i="2"/>
  <c r="R202" i="2"/>
  <c r="S202" i="2" s="1"/>
  <c r="AZ202" i="2" s="1"/>
  <c r="R198" i="2"/>
  <c r="S198" i="2" s="1"/>
  <c r="AZ198" i="2" s="1"/>
  <c r="R190" i="2"/>
  <c r="S190" i="2" s="1"/>
  <c r="AZ190" i="2" s="1"/>
  <c r="BG187" i="2"/>
  <c r="K32" i="2"/>
  <c r="R178" i="2"/>
  <c r="S178" i="2" s="1"/>
  <c r="AZ178" i="2" s="1"/>
  <c r="R162" i="2"/>
  <c r="S162" i="2" s="1"/>
  <c r="AZ162" i="2"/>
  <c r="R155" i="2"/>
  <c r="S155" i="2" s="1"/>
  <c r="AZ155" i="2"/>
  <c r="R152" i="2"/>
  <c r="S152" i="2" s="1"/>
  <c r="AZ152" i="2" s="1"/>
  <c r="R147" i="2"/>
  <c r="S147" i="2" s="1"/>
  <c r="AZ147" i="2" s="1"/>
  <c r="AA351" i="4"/>
  <c r="Z296" i="4"/>
  <c r="X258" i="4"/>
  <c r="X244" i="4"/>
  <c r="W225" i="4"/>
  <c r="V217" i="4"/>
  <c r="V213" i="4"/>
  <c r="AA213" i="4" s="1"/>
  <c r="Y209" i="4"/>
  <c r="W202" i="4"/>
  <c r="Z198" i="4"/>
  <c r="Z195" i="4"/>
  <c r="X183" i="4"/>
  <c r="W179" i="4"/>
  <c r="AA179" i="4" s="1"/>
  <c r="AB179" i="4" s="1"/>
  <c r="AC179" i="4" s="1"/>
  <c r="X172" i="4"/>
  <c r="W159" i="4"/>
  <c r="AA159" i="4" s="1"/>
  <c r="AB159" i="4" s="1"/>
  <c r="AC159" i="4" s="1"/>
  <c r="Y154" i="4"/>
  <c r="V145" i="4"/>
  <c r="Y330" i="3"/>
  <c r="X326" i="3"/>
  <c r="AA326" i="3" s="1"/>
  <c r="AB326" i="3" s="1"/>
  <c r="AC326" i="3" s="1"/>
  <c r="Z315" i="3"/>
  <c r="W307" i="3"/>
  <c r="AA307" i="3" s="1"/>
  <c r="AB307" i="3" s="1"/>
  <c r="AC307" i="3" s="1"/>
  <c r="Z301" i="3"/>
  <c r="X297" i="3"/>
  <c r="V292" i="3"/>
  <c r="Z267" i="3"/>
  <c r="AA248" i="3"/>
  <c r="AB248" i="3" s="1"/>
  <c r="AC248" i="3" s="1"/>
  <c r="BG236" i="3"/>
  <c r="U38" i="3"/>
  <c r="X233" i="3"/>
  <c r="Z215" i="3"/>
  <c r="Y194" i="3"/>
  <c r="K32" i="3"/>
  <c r="BG187" i="3"/>
  <c r="V185" i="3"/>
  <c r="AA185" i="3" s="1"/>
  <c r="AB185" i="3" s="1"/>
  <c r="V172" i="3"/>
  <c r="K24" i="3"/>
  <c r="BG153" i="3"/>
  <c r="W151" i="3"/>
  <c r="X151" i="3"/>
  <c r="R184" i="3"/>
  <c r="S184" i="3" s="1"/>
  <c r="AZ184" i="3" s="1"/>
  <c r="R311" i="3"/>
  <c r="S311" i="3" s="1"/>
  <c r="AZ311" i="3" s="1"/>
  <c r="AL499" i="2"/>
  <c r="AL491" i="2"/>
  <c r="AF491" i="2"/>
  <c r="AL473" i="2"/>
  <c r="R471" i="2"/>
  <c r="AL483" i="2"/>
  <c r="R480" i="2"/>
  <c r="AL462" i="2"/>
  <c r="AF462" i="2"/>
  <c r="AL453" i="2"/>
  <c r="Y467" i="2"/>
  <c r="Y465" i="2"/>
  <c r="W312" i="2"/>
  <c r="AA312" i="2" s="1"/>
  <c r="AB312" i="2" s="1"/>
  <c r="AC312" i="2" s="1"/>
  <c r="X312" i="2"/>
  <c r="W306" i="2"/>
  <c r="AA306" i="2" s="1"/>
  <c r="AB306" i="2" s="1"/>
  <c r="AC306" i="2" s="1"/>
  <c r="X306" i="2"/>
  <c r="W298" i="2"/>
  <c r="X298" i="2"/>
  <c r="W294" i="2"/>
  <c r="AA294" i="2" s="1"/>
  <c r="AB294" i="2" s="1"/>
  <c r="AC294" i="2" s="1"/>
  <c r="X294" i="2"/>
  <c r="W286" i="2"/>
  <c r="X286" i="2"/>
  <c r="W278" i="2"/>
  <c r="X278" i="2"/>
  <c r="AA246" i="2"/>
  <c r="W230" i="2"/>
  <c r="AA230" i="2" s="1"/>
  <c r="AB230" i="2" s="1"/>
  <c r="AC230" i="2" s="1"/>
  <c r="X230" i="2"/>
  <c r="W186" i="2"/>
  <c r="X186" i="2"/>
  <c r="AB335" i="2"/>
  <c r="AC335" i="2" s="1"/>
  <c r="AB331" i="2"/>
  <c r="AC331" i="2" s="1"/>
  <c r="AB321" i="2"/>
  <c r="AC321" i="2" s="1"/>
  <c r="AB303" i="2"/>
  <c r="AC303" i="2" s="1"/>
  <c r="AB299" i="2"/>
  <c r="AC299" i="2" s="1"/>
  <c r="AB287" i="2"/>
  <c r="AC287" i="2" s="1"/>
  <c r="AB279" i="2"/>
  <c r="AC279" i="2" s="1"/>
  <c r="AB275" i="2"/>
  <c r="AC275" i="2" s="1"/>
  <c r="AB271" i="2"/>
  <c r="AC271" i="2" s="1"/>
  <c r="AB269" i="2"/>
  <c r="AC269" i="2" s="1"/>
  <c r="AB261" i="2"/>
  <c r="AC261" i="2" s="1"/>
  <c r="AB235" i="2"/>
  <c r="AC235" i="2" s="1"/>
  <c r="AB221" i="2"/>
  <c r="AC221" i="2" s="1"/>
  <c r="AB217" i="2"/>
  <c r="AC217" i="2" s="1"/>
  <c r="AB205" i="2"/>
  <c r="AC205" i="2" s="1"/>
  <c r="AB203" i="2"/>
  <c r="AC203" i="2" s="1"/>
  <c r="AB191" i="2"/>
  <c r="AC191" i="2" s="1"/>
  <c r="AB187" i="2"/>
  <c r="AC187" i="2" s="1"/>
  <c r="AB179" i="2"/>
  <c r="AC179" i="2" s="1"/>
  <c r="AB171" i="2"/>
  <c r="AC171" i="2" s="1"/>
  <c r="AB167" i="2"/>
  <c r="AC167" i="2" s="1"/>
  <c r="AB159" i="2"/>
  <c r="AC159" i="2" s="1"/>
  <c r="AB352" i="2"/>
  <c r="AC352" i="2" s="1"/>
  <c r="AB348" i="2"/>
  <c r="AC348" i="2" s="1"/>
  <c r="AB336" i="2"/>
  <c r="AC336" i="2" s="1"/>
  <c r="AB328" i="2"/>
  <c r="AC328" i="2" s="1"/>
  <c r="AB322" i="2"/>
  <c r="AC322" i="2" s="1"/>
  <c r="AB314" i="2"/>
  <c r="AC314" i="2" s="1"/>
  <c r="AB308" i="2"/>
  <c r="AC308" i="2" s="1"/>
  <c r="AB296" i="2"/>
  <c r="AC296" i="2" s="1"/>
  <c r="AB292" i="2"/>
  <c r="AC292" i="2" s="1"/>
  <c r="AB254" i="2"/>
  <c r="AC254" i="2" s="1"/>
  <c r="AB250" i="2"/>
  <c r="AC250" i="2" s="1"/>
  <c r="AB246" i="2"/>
  <c r="AC246" i="2" s="1"/>
  <c r="AB244" i="2"/>
  <c r="AB236" i="2"/>
  <c r="AC236" i="2" s="1"/>
  <c r="AB232" i="2"/>
  <c r="AC232" i="2" s="1"/>
  <c r="AB226" i="2"/>
  <c r="AC226" i="2" s="1"/>
  <c r="AB218" i="2"/>
  <c r="AB206" i="2"/>
  <c r="AB204" i="2"/>
  <c r="AC204" i="2" s="1"/>
  <c r="AB200" i="2"/>
  <c r="AC200" i="2" s="1"/>
  <c r="AB196" i="2"/>
  <c r="AC196" i="2" s="1"/>
  <c r="AB188" i="2"/>
  <c r="AC188" i="2" s="1"/>
  <c r="AB184" i="2"/>
  <c r="AC184" i="2" s="1"/>
  <c r="AB180" i="2"/>
  <c r="AC180" i="2" s="1"/>
  <c r="AB172" i="2"/>
  <c r="AB164" i="2"/>
  <c r="AC164" i="2" s="1"/>
  <c r="AB160" i="2"/>
  <c r="AB154" i="2"/>
  <c r="AB146" i="2"/>
  <c r="AB333" i="2"/>
  <c r="AC333" i="2" s="1"/>
  <c r="AB329" i="2"/>
  <c r="AC329" i="2" s="1"/>
  <c r="AB327" i="2"/>
  <c r="AC327" i="2" s="1"/>
  <c r="AB323" i="2"/>
  <c r="AC323" i="2" s="1"/>
  <c r="AB315" i="2"/>
  <c r="AC315" i="2" s="1"/>
  <c r="AB311" i="2"/>
  <c r="AC311" i="2" s="1"/>
  <c r="AB309" i="2"/>
  <c r="AB305" i="2"/>
  <c r="AB293" i="2"/>
  <c r="AB289" i="2"/>
  <c r="AB281" i="2"/>
  <c r="AC281" i="2" s="1"/>
  <c r="AB277" i="2"/>
  <c r="AC277" i="2" s="1"/>
  <c r="AB273" i="2"/>
  <c r="AC273" i="2" s="1"/>
  <c r="AB267" i="2"/>
  <c r="AB263" i="2"/>
  <c r="AC263" i="2" s="1"/>
  <c r="AB255" i="2"/>
  <c r="AC255" i="2" s="1"/>
  <c r="AB251" i="2"/>
  <c r="AB247" i="2"/>
  <c r="AB245" i="2"/>
  <c r="AC245" i="2" s="1"/>
  <c r="AB237" i="2"/>
  <c r="AC237" i="2" s="1"/>
  <c r="AB223" i="2"/>
  <c r="AC223" i="2" s="1"/>
  <c r="AB219" i="2"/>
  <c r="AC219" i="2" s="1"/>
  <c r="AB215" i="2"/>
  <c r="AB211" i="2"/>
  <c r="AC211" i="2" s="1"/>
  <c r="AB193" i="2"/>
  <c r="AC193" i="2" s="1"/>
  <c r="AB189" i="2"/>
  <c r="AC189" i="2" s="1"/>
  <c r="AB181" i="2"/>
  <c r="AC181" i="2" s="1"/>
  <c r="AB177" i="2"/>
  <c r="AC177" i="2" s="1"/>
  <c r="AB173" i="2"/>
  <c r="AC173" i="2" s="1"/>
  <c r="AB169" i="2"/>
  <c r="AC169" i="2" s="1"/>
  <c r="AB161" i="2"/>
  <c r="AB157" i="2"/>
  <c r="AC157" i="2" s="1"/>
  <c r="AB155" i="2"/>
  <c r="AC155" i="2" s="1"/>
  <c r="AB353" i="2"/>
  <c r="AC353" i="2" s="1"/>
  <c r="AB338" i="2"/>
  <c r="AC338" i="2" s="1"/>
  <c r="AB310" i="2"/>
  <c r="AC310" i="2" s="1"/>
  <c r="AB302" i="2"/>
  <c r="AC302" i="2" s="1"/>
  <c r="AB290" i="2"/>
  <c r="AC290" i="2" s="1"/>
  <c r="AB282" i="2"/>
  <c r="AC282" i="2" s="1"/>
  <c r="AB274" i="2"/>
  <c r="AC274" i="2" s="1"/>
  <c r="AB248" i="2"/>
  <c r="AC248" i="2" s="1"/>
  <c r="AB224" i="2"/>
  <c r="AC224" i="2" s="1"/>
  <c r="AB220" i="2"/>
  <c r="AC220" i="2" s="1"/>
  <c r="AB190" i="2"/>
  <c r="AC190" i="2" s="1"/>
  <c r="AB182" i="2"/>
  <c r="AC182" i="2" s="1"/>
  <c r="AB174" i="2"/>
  <c r="AC174" i="2" s="1"/>
  <c r="AB156" i="2"/>
  <c r="AC156" i="2" s="1"/>
  <c r="Z210" i="3"/>
  <c r="Z172" i="3"/>
  <c r="AA337" i="2"/>
  <c r="AB337" i="2" s="1"/>
  <c r="AC337" i="2" s="1"/>
  <c r="AA326" i="2"/>
  <c r="AB326" i="2" s="1"/>
  <c r="AC326" i="2" s="1"/>
  <c r="Z306" i="2"/>
  <c r="Y291" i="2"/>
  <c r="Y238" i="2"/>
  <c r="Z230" i="2"/>
  <c r="Y216" i="2"/>
  <c r="Y209" i="2"/>
  <c r="Y195" i="2"/>
  <c r="Z171" i="3"/>
  <c r="Y169" i="3"/>
  <c r="AA145" i="3"/>
  <c r="AB145" i="3" s="1"/>
  <c r="Y351" i="2"/>
  <c r="AA351" i="2" s="1"/>
  <c r="AB351" i="2" s="1"/>
  <c r="AC351" i="2" s="1"/>
  <c r="Z339" i="2"/>
  <c r="Y306" i="2"/>
  <c r="Y295" i="2"/>
  <c r="AA266" i="2"/>
  <c r="AB266" i="2" s="1"/>
  <c r="AC266" i="2" s="1"/>
  <c r="X239" i="2"/>
  <c r="AA233" i="2"/>
  <c r="AB233" i="2" s="1"/>
  <c r="AC233" i="2" s="1"/>
  <c r="AA229" i="2"/>
  <c r="AB229" i="2" s="1"/>
  <c r="AC229" i="2" s="1"/>
  <c r="Z351" i="2"/>
  <c r="Y347" i="2"/>
  <c r="AA345" i="2"/>
  <c r="AB345" i="2" s="1"/>
  <c r="AC345" i="2" s="1"/>
  <c r="Y307" i="2"/>
  <c r="AA307" i="2" s="1"/>
  <c r="AB307" i="2" s="1"/>
  <c r="AC307" i="2" s="1"/>
  <c r="Y268" i="2"/>
  <c r="AA262" i="2"/>
  <c r="AB262" i="2" s="1"/>
  <c r="AC262" i="2" s="1"/>
  <c r="AA228" i="2"/>
  <c r="AB228" i="2" s="1"/>
  <c r="AC228" i="2" s="1"/>
  <c r="AA222" i="2"/>
  <c r="AB222" i="2" s="1"/>
  <c r="AC222" i="2" s="1"/>
  <c r="X213" i="2"/>
  <c r="AA213" i="2" s="1"/>
  <c r="AB213" i="2" s="1"/>
  <c r="AC213" i="2" s="1"/>
  <c r="Y175" i="3"/>
  <c r="AA340" i="2"/>
  <c r="AB340" i="2" s="1"/>
  <c r="AC340" i="2" s="1"/>
  <c r="Z313" i="2"/>
  <c r="Z307" i="2"/>
  <c r="Y298" i="2"/>
  <c r="Z294" i="2"/>
  <c r="AA284" i="2"/>
  <c r="AB284" i="2" s="1"/>
  <c r="AC284" i="2" s="1"/>
  <c r="AA280" i="2"/>
  <c r="AB280" i="2" s="1"/>
  <c r="AC280" i="2" s="1"/>
  <c r="Z265" i="2"/>
  <c r="AA265" i="2" s="1"/>
  <c r="AB265" i="2" s="1"/>
  <c r="AC265" i="2" s="1"/>
  <c r="Z257" i="2"/>
  <c r="AA257" i="2" s="1"/>
  <c r="AB257" i="2" s="1"/>
  <c r="AC257" i="2" s="1"/>
  <c r="Y186" i="2"/>
  <c r="AA168" i="2"/>
  <c r="AB168" i="2" s="1"/>
  <c r="AC168" i="2" s="1"/>
  <c r="Z153" i="2"/>
  <c r="J515" i="11"/>
  <c r="I515" i="11"/>
  <c r="K515" i="11" s="1"/>
  <c r="P515" i="11" s="1"/>
  <c r="AE492" i="11"/>
  <c r="E512" i="11"/>
  <c r="H512" i="11"/>
  <c r="AH492" i="11"/>
  <c r="D512" i="11"/>
  <c r="V491" i="11"/>
  <c r="I529" i="11" s="1"/>
  <c r="V493" i="11"/>
  <c r="K529" i="11" s="1"/>
  <c r="R493" i="11"/>
  <c r="R494" i="11" s="1"/>
  <c r="R491" i="11"/>
  <c r="R492" i="11" s="1"/>
  <c r="V492" i="11"/>
  <c r="J529" i="11" s="1"/>
  <c r="K467" i="11"/>
  <c r="E511" i="11"/>
  <c r="AE463" i="11"/>
  <c r="H511" i="11"/>
  <c r="AH463" i="11"/>
  <c r="N467" i="11"/>
  <c r="F86" i="11"/>
  <c r="L75" i="11"/>
  <c r="F75" i="11"/>
  <c r="E71" i="11"/>
  <c r="E68" i="11"/>
  <c r="L68" i="11" s="1"/>
  <c r="I68" i="11" s="1"/>
  <c r="L514" i="10"/>
  <c r="AG492" i="10"/>
  <c r="G512" i="10"/>
  <c r="O514" i="10"/>
  <c r="AL457" i="10"/>
  <c r="AL458" i="10" s="1"/>
  <c r="AL455" i="10"/>
  <c r="AL456" i="10" s="1"/>
  <c r="AF492" i="10"/>
  <c r="F512" i="10"/>
  <c r="N514" i="10"/>
  <c r="J513" i="10"/>
  <c r="I513" i="10"/>
  <c r="M513" i="10" s="1"/>
  <c r="M514" i="10"/>
  <c r="I68" i="10"/>
  <c r="AL493" i="9"/>
  <c r="AL494" i="9" s="1"/>
  <c r="AL495" i="9"/>
  <c r="F512" i="9"/>
  <c r="AF492" i="9"/>
  <c r="O518" i="9"/>
  <c r="J510" i="9"/>
  <c r="I510" i="9"/>
  <c r="AG463" i="9"/>
  <c r="G511" i="9"/>
  <c r="M467" i="9"/>
  <c r="AH492" i="9"/>
  <c r="H512" i="9"/>
  <c r="AL464" i="9"/>
  <c r="AL466" i="9"/>
  <c r="AL467" i="9" s="1"/>
  <c r="AG492" i="9"/>
  <c r="G512" i="9"/>
  <c r="J514" i="9"/>
  <c r="I514" i="9"/>
  <c r="L467" i="9"/>
  <c r="AF463" i="9"/>
  <c r="F511" i="9"/>
  <c r="K467" i="9"/>
  <c r="E511" i="9"/>
  <c r="AE463" i="9"/>
  <c r="N516" i="8"/>
  <c r="E511" i="8"/>
  <c r="K467" i="8"/>
  <c r="AE463" i="8"/>
  <c r="F87" i="9"/>
  <c r="L76" i="9"/>
  <c r="F76" i="9"/>
  <c r="E72" i="9"/>
  <c r="L510" i="8"/>
  <c r="I515" i="8"/>
  <c r="J515" i="8"/>
  <c r="I513" i="8"/>
  <c r="J513" i="8"/>
  <c r="J518" i="8"/>
  <c r="I518" i="8"/>
  <c r="AH492" i="8"/>
  <c r="H512" i="8"/>
  <c r="V493" i="8"/>
  <c r="K529" i="8" s="1"/>
  <c r="R493" i="8"/>
  <c r="V492" i="8"/>
  <c r="J529" i="8" s="1"/>
  <c r="D512" i="8"/>
  <c r="V491" i="8"/>
  <c r="I529" i="8" s="1"/>
  <c r="R491" i="8"/>
  <c r="AL466" i="8"/>
  <c r="AL467" i="8" s="1"/>
  <c r="AL464" i="8"/>
  <c r="AL465" i="8" s="1"/>
  <c r="G512" i="7"/>
  <c r="AG492" i="7"/>
  <c r="E74" i="8"/>
  <c r="E70" i="8"/>
  <c r="E68" i="8"/>
  <c r="L68" i="8" s="1"/>
  <c r="I68" i="8" s="1"/>
  <c r="N514" i="7"/>
  <c r="I517" i="7"/>
  <c r="J517" i="7"/>
  <c r="AE492" i="7"/>
  <c r="E512" i="7"/>
  <c r="M467" i="7"/>
  <c r="AG463" i="7"/>
  <c r="G511" i="7"/>
  <c r="E68" i="7"/>
  <c r="L68" i="7" s="1"/>
  <c r="I68" i="7" s="1"/>
  <c r="AL493" i="6"/>
  <c r="AL495" i="6"/>
  <c r="AL496" i="6" s="1"/>
  <c r="J467" i="6"/>
  <c r="D511" i="6"/>
  <c r="V465" i="6"/>
  <c r="H528" i="6" s="1"/>
  <c r="R465" i="6"/>
  <c r="R466" i="6" s="1"/>
  <c r="V463" i="6"/>
  <c r="F528" i="6" s="1"/>
  <c r="R463" i="6"/>
  <c r="R464" i="6" s="1"/>
  <c r="V464" i="6"/>
  <c r="G528" i="6" s="1"/>
  <c r="AE463" i="6"/>
  <c r="K467" i="6"/>
  <c r="E511" i="6"/>
  <c r="G512" i="5"/>
  <c r="AG492" i="5"/>
  <c r="AL487" i="6"/>
  <c r="AL488" i="6" s="1"/>
  <c r="AL485" i="6"/>
  <c r="M517" i="6"/>
  <c r="M517" i="4"/>
  <c r="G512" i="4"/>
  <c r="AG492" i="4"/>
  <c r="M514" i="5"/>
  <c r="V464" i="5"/>
  <c r="G528" i="5" s="1"/>
  <c r="J467" i="5"/>
  <c r="V465" i="5"/>
  <c r="H528" i="5" s="1"/>
  <c r="R465" i="5"/>
  <c r="D511" i="5"/>
  <c r="V463" i="5"/>
  <c r="F528" i="5" s="1"/>
  <c r="R463" i="5"/>
  <c r="E74" i="5"/>
  <c r="E70" i="5"/>
  <c r="E68" i="5"/>
  <c r="L68" i="5" s="1"/>
  <c r="I68" i="5" s="1"/>
  <c r="L517" i="4"/>
  <c r="N514" i="4"/>
  <c r="F86" i="6"/>
  <c r="L75" i="6"/>
  <c r="F75" i="6"/>
  <c r="J510" i="4"/>
  <c r="I510" i="4"/>
  <c r="AL485" i="4"/>
  <c r="AL486" i="4" s="1"/>
  <c r="AL487" i="4"/>
  <c r="AL488" i="4" s="1"/>
  <c r="M514" i="4"/>
  <c r="L518" i="5"/>
  <c r="AF492" i="5"/>
  <c r="F512" i="5"/>
  <c r="AH492" i="4"/>
  <c r="H512" i="4"/>
  <c r="L76" i="4"/>
  <c r="F76" i="4"/>
  <c r="F87" i="4"/>
  <c r="L72" i="4"/>
  <c r="F72" i="4"/>
  <c r="F83" i="4"/>
  <c r="AL503" i="3"/>
  <c r="AL504" i="3" s="1"/>
  <c r="AL501" i="3"/>
  <c r="R482" i="3"/>
  <c r="R483" i="3" s="1"/>
  <c r="R484" i="3"/>
  <c r="H511" i="3"/>
  <c r="N467" i="3"/>
  <c r="AH463" i="3"/>
  <c r="N517" i="4"/>
  <c r="L467" i="4"/>
  <c r="AF463" i="4"/>
  <c r="F511" i="4"/>
  <c r="O517" i="3"/>
  <c r="N510" i="3"/>
  <c r="O514" i="3"/>
  <c r="E511" i="2"/>
  <c r="K467" i="2"/>
  <c r="AE463" i="2"/>
  <c r="F87" i="3"/>
  <c r="L76" i="3"/>
  <c r="F76" i="3"/>
  <c r="E72" i="3"/>
  <c r="L510" i="2"/>
  <c r="I515" i="2"/>
  <c r="K515" i="2" s="1"/>
  <c r="J515" i="2"/>
  <c r="I513" i="2"/>
  <c r="J513" i="2"/>
  <c r="O513" i="2" s="1"/>
  <c r="J518" i="2"/>
  <c r="I518" i="2"/>
  <c r="F86" i="2"/>
  <c r="L75" i="2"/>
  <c r="F75" i="2"/>
  <c r="E71" i="2"/>
  <c r="N510" i="2"/>
  <c r="AK499" i="11"/>
  <c r="AK491" i="11"/>
  <c r="AE491" i="11"/>
  <c r="AK473" i="11"/>
  <c r="Q471" i="11"/>
  <c r="AK483" i="11"/>
  <c r="Q480" i="11"/>
  <c r="AK462" i="11"/>
  <c r="AE462" i="11"/>
  <c r="AK453" i="11"/>
  <c r="C537" i="11"/>
  <c r="F533" i="11" s="1"/>
  <c r="C529" i="11"/>
  <c r="K491" i="11"/>
  <c r="K489" i="11"/>
  <c r="BG351" i="11"/>
  <c r="K38" i="11"/>
  <c r="BG236" i="11"/>
  <c r="U38" i="11"/>
  <c r="AZ176" i="11"/>
  <c r="R176" i="11"/>
  <c r="S176" i="11" s="1"/>
  <c r="R160" i="11"/>
  <c r="S160" i="11" s="1"/>
  <c r="AZ160" i="11" s="1"/>
  <c r="AZ181" i="11"/>
  <c r="R181" i="11"/>
  <c r="S181" i="11" s="1"/>
  <c r="R178" i="11"/>
  <c r="S178" i="11" s="1"/>
  <c r="AZ178" i="11"/>
  <c r="R165" i="11"/>
  <c r="S165" i="11" s="1"/>
  <c r="AZ165" i="11" s="1"/>
  <c r="R156" i="11"/>
  <c r="S156" i="11" s="1"/>
  <c r="AZ156" i="11" s="1"/>
  <c r="R193" i="11"/>
  <c r="S193" i="11" s="1"/>
  <c r="AZ193" i="11"/>
  <c r="R210" i="11"/>
  <c r="S210" i="11" s="1"/>
  <c r="AZ210" i="11" s="1"/>
  <c r="R226" i="11"/>
  <c r="S226" i="11" s="1"/>
  <c r="AZ226" i="11"/>
  <c r="BG196" i="11"/>
  <c r="K34" i="11"/>
  <c r="R183" i="11"/>
  <c r="S183" i="11" s="1"/>
  <c r="AZ183" i="11" s="1"/>
  <c r="R167" i="11"/>
  <c r="S167" i="11" s="1"/>
  <c r="AZ167" i="11"/>
  <c r="R159" i="11"/>
  <c r="S159" i="11" s="1"/>
  <c r="AZ159" i="11" s="1"/>
  <c r="BF157" i="11"/>
  <c r="Y495" i="10"/>
  <c r="Y493" i="10"/>
  <c r="Y487" i="10"/>
  <c r="Y485" i="10"/>
  <c r="L37" i="11"/>
  <c r="J37" i="11"/>
  <c r="R270" i="10"/>
  <c r="S270" i="10" s="1"/>
  <c r="AZ270" i="10" s="1"/>
  <c r="R254" i="10"/>
  <c r="S254" i="10" s="1"/>
  <c r="AZ254" i="10" s="1"/>
  <c r="R240" i="10"/>
  <c r="S240" i="10" s="1"/>
  <c r="AZ240" i="10" s="1"/>
  <c r="BG235" i="10"/>
  <c r="U37" i="10"/>
  <c r="AZ218" i="10"/>
  <c r="R218" i="10"/>
  <c r="S218" i="10" s="1"/>
  <c r="R216" i="10"/>
  <c r="S216" i="10" s="1"/>
  <c r="AZ216" i="10"/>
  <c r="R192" i="10"/>
  <c r="S192" i="10" s="1"/>
  <c r="AZ192" i="10" s="1"/>
  <c r="R184" i="10"/>
  <c r="S184" i="10" s="1"/>
  <c r="AZ184" i="10" s="1"/>
  <c r="R176" i="10"/>
  <c r="S176" i="10" s="1"/>
  <c r="AZ176" i="10" s="1"/>
  <c r="R172" i="10"/>
  <c r="S172" i="10" s="1"/>
  <c r="AZ172" i="10" s="1"/>
  <c r="R168" i="10"/>
  <c r="S168" i="10" s="1"/>
  <c r="AZ168" i="10" s="1"/>
  <c r="R164" i="10"/>
  <c r="S164" i="10" s="1"/>
  <c r="AZ164" i="10" s="1"/>
  <c r="R160" i="10"/>
  <c r="S160" i="10" s="1"/>
  <c r="AZ160" i="10" s="1"/>
  <c r="AZ153" i="10"/>
  <c r="R153" i="10"/>
  <c r="S153" i="10" s="1"/>
  <c r="AZ149" i="10"/>
  <c r="R149" i="10"/>
  <c r="S149" i="10" s="1"/>
  <c r="AZ145" i="10"/>
  <c r="R145" i="10"/>
  <c r="S145" i="10" s="1"/>
  <c r="K491" i="9"/>
  <c r="K489" i="9"/>
  <c r="AN453" i="9"/>
  <c r="AN499" i="9"/>
  <c r="AN491" i="9"/>
  <c r="AH491" i="9"/>
  <c r="AN473" i="9"/>
  <c r="T471" i="9"/>
  <c r="T480" i="9"/>
  <c r="AH462" i="9"/>
  <c r="AN483" i="9"/>
  <c r="AN462" i="9"/>
  <c r="AZ246" i="10"/>
  <c r="R246" i="10"/>
  <c r="S246" i="10" s="1"/>
  <c r="R206" i="10"/>
  <c r="S206" i="10" s="1"/>
  <c r="AZ206" i="10" s="1"/>
  <c r="R182" i="10"/>
  <c r="S182" i="10" s="1"/>
  <c r="AZ182" i="10"/>
  <c r="R165" i="10"/>
  <c r="S165" i="10" s="1"/>
  <c r="AZ165" i="10"/>
  <c r="R151" i="10"/>
  <c r="S151" i="10" s="1"/>
  <c r="AZ151" i="10" s="1"/>
  <c r="AA339" i="9"/>
  <c r="R220" i="10"/>
  <c r="S220" i="10" s="1"/>
  <c r="AZ220" i="10"/>
  <c r="R166" i="10"/>
  <c r="S166" i="10" s="1"/>
  <c r="AZ166" i="10" s="1"/>
  <c r="R209" i="10"/>
  <c r="S209" i="10" s="1"/>
  <c r="AZ209" i="10" s="1"/>
  <c r="AZ225" i="10"/>
  <c r="R225" i="10"/>
  <c r="S225" i="10" s="1"/>
  <c r="R231" i="10"/>
  <c r="S231" i="10" s="1"/>
  <c r="AZ231" i="10" s="1"/>
  <c r="R185" i="10"/>
  <c r="S185" i="10" s="1"/>
  <c r="AZ185" i="10" s="1"/>
  <c r="R201" i="10"/>
  <c r="S201" i="10" s="1"/>
  <c r="AZ201" i="10" s="1"/>
  <c r="R237" i="10"/>
  <c r="S237" i="10" s="1"/>
  <c r="AZ237" i="10" s="1"/>
  <c r="R328" i="10"/>
  <c r="S328" i="10" s="1"/>
  <c r="AZ328" i="10"/>
  <c r="BG185" i="10"/>
  <c r="K30" i="10"/>
  <c r="Z348" i="9"/>
  <c r="Y348" i="9"/>
  <c r="V348" i="9"/>
  <c r="BG201" i="10"/>
  <c r="K35" i="10"/>
  <c r="X349" i="9"/>
  <c r="Y333" i="9"/>
  <c r="AA333" i="9" s="1"/>
  <c r="W331" i="9"/>
  <c r="AA331" i="9" s="1"/>
  <c r="AB331" i="9" s="1"/>
  <c r="AC331" i="9" s="1"/>
  <c r="BG155" i="10"/>
  <c r="K26" i="10"/>
  <c r="AL483" i="9"/>
  <c r="R480" i="9"/>
  <c r="AL462" i="9"/>
  <c r="AF462" i="9"/>
  <c r="AL499" i="9"/>
  <c r="AL473" i="9"/>
  <c r="AL453" i="9"/>
  <c r="AL491" i="9"/>
  <c r="AF491" i="9"/>
  <c r="R471" i="9"/>
  <c r="W350" i="9"/>
  <c r="V341" i="9"/>
  <c r="Z341" i="9"/>
  <c r="W341" i="9"/>
  <c r="W334" i="9"/>
  <c r="X342" i="9"/>
  <c r="Z349" i="9"/>
  <c r="AA328" i="9"/>
  <c r="AA315" i="9"/>
  <c r="Y313" i="9"/>
  <c r="X313" i="9"/>
  <c r="Z297" i="9"/>
  <c r="W297" i="9"/>
  <c r="Z293" i="9"/>
  <c r="W293" i="9"/>
  <c r="W287" i="9"/>
  <c r="AA267" i="9"/>
  <c r="X308" i="9"/>
  <c r="AA308" i="9" s="1"/>
  <c r="AB308" i="9" s="1"/>
  <c r="AC308" i="9" s="1"/>
  <c r="V297" i="9"/>
  <c r="Z288" i="9"/>
  <c r="Y288" i="9"/>
  <c r="V288" i="9"/>
  <c r="Z272" i="9"/>
  <c r="V272" i="9"/>
  <c r="W272" i="9"/>
  <c r="Z258" i="9"/>
  <c r="V258" i="9"/>
  <c r="W258" i="9"/>
  <c r="Z244" i="9"/>
  <c r="W244" i="9"/>
  <c r="AA234" i="9"/>
  <c r="Z228" i="9"/>
  <c r="V228" i="9"/>
  <c r="W228" i="9"/>
  <c r="Z222" i="9"/>
  <c r="V222" i="9"/>
  <c r="W222" i="9"/>
  <c r="X325" i="9"/>
  <c r="AA325" i="9" s="1"/>
  <c r="AB325" i="9" s="1"/>
  <c r="AC325" i="9" s="1"/>
  <c r="Z296" i="9"/>
  <c r="V296" i="9"/>
  <c r="AA296" i="9" s="1"/>
  <c r="X293" i="9"/>
  <c r="W251" i="9"/>
  <c r="X251" i="9"/>
  <c r="W241" i="9"/>
  <c r="AA241" i="9" s="1"/>
  <c r="AB241" i="9" s="1"/>
  <c r="AC241" i="9" s="1"/>
  <c r="X241" i="9"/>
  <c r="BG231" i="9"/>
  <c r="U33" i="9"/>
  <c r="W211" i="9"/>
  <c r="AA211" i="9" s="1"/>
  <c r="AB211" i="9" s="1"/>
  <c r="AC211" i="9" s="1"/>
  <c r="X211" i="9"/>
  <c r="W207" i="9"/>
  <c r="AA207" i="9" s="1"/>
  <c r="AB207" i="9" s="1"/>
  <c r="AC207" i="9" s="1"/>
  <c r="X207" i="9"/>
  <c r="Y278" i="9"/>
  <c r="AA278" i="9" s="1"/>
  <c r="AB278" i="9" s="1"/>
  <c r="AC278" i="9" s="1"/>
  <c r="Z259" i="9"/>
  <c r="AA259" i="9" s="1"/>
  <c r="AB259" i="9" s="1"/>
  <c r="AC259" i="9" s="1"/>
  <c r="Z252" i="9"/>
  <c r="Z247" i="9"/>
  <c r="AA217" i="9"/>
  <c r="Z212" i="9"/>
  <c r="R175" i="9"/>
  <c r="S175" i="9" s="1"/>
  <c r="AZ175" i="9" s="1"/>
  <c r="R167" i="9"/>
  <c r="S167" i="9" s="1"/>
  <c r="AZ167" i="9" s="1"/>
  <c r="AZ159" i="9"/>
  <c r="R159" i="9"/>
  <c r="S159" i="9" s="1"/>
  <c r="R153" i="9"/>
  <c r="S153" i="9" s="1"/>
  <c r="AZ153" i="9" s="1"/>
  <c r="AB344" i="9"/>
  <c r="AC344" i="9" s="1"/>
  <c r="AB336" i="9"/>
  <c r="AC336" i="9" s="1"/>
  <c r="AB328" i="9"/>
  <c r="AC328" i="9" s="1"/>
  <c r="AB322" i="9"/>
  <c r="AC322" i="9" s="1"/>
  <c r="AB318" i="9"/>
  <c r="AC318" i="9" s="1"/>
  <c r="AB314" i="9"/>
  <c r="AC314" i="9" s="1"/>
  <c r="AB296" i="9"/>
  <c r="AC296" i="9" s="1"/>
  <c r="AB333" i="9"/>
  <c r="AC333" i="9" s="1"/>
  <c r="AB327" i="9"/>
  <c r="AC327" i="9" s="1"/>
  <c r="AB319" i="9"/>
  <c r="AC319" i="9" s="1"/>
  <c r="AB315" i="9"/>
  <c r="AC315" i="9" s="1"/>
  <c r="AB311" i="9"/>
  <c r="AC311" i="9" s="1"/>
  <c r="AB353" i="9"/>
  <c r="AC353" i="9" s="1"/>
  <c r="AB346" i="9"/>
  <c r="AC346" i="9" s="1"/>
  <c r="AB339" i="9"/>
  <c r="AC339" i="9" s="1"/>
  <c r="AB310" i="9"/>
  <c r="AC310" i="9" s="1"/>
  <c r="AB351" i="9"/>
  <c r="AC351" i="9" s="1"/>
  <c r="AB347" i="9"/>
  <c r="AC347" i="9" s="1"/>
  <c r="AB335" i="9"/>
  <c r="AC335" i="9" s="1"/>
  <c r="AB330" i="9"/>
  <c r="AC330" i="9" s="1"/>
  <c r="AB338" i="9"/>
  <c r="AC338" i="9" s="1"/>
  <c r="AB320" i="9"/>
  <c r="AC320" i="9" s="1"/>
  <c r="AB321" i="9"/>
  <c r="AC321" i="9" s="1"/>
  <c r="AB307" i="9"/>
  <c r="AC307" i="9" s="1"/>
  <c r="AB302" i="9"/>
  <c r="AC302" i="9" s="1"/>
  <c r="AB299" i="9"/>
  <c r="AC299" i="9" s="1"/>
  <c r="AB286" i="9"/>
  <c r="AC286" i="9" s="1"/>
  <c r="AB282" i="9"/>
  <c r="AC282" i="9" s="1"/>
  <c r="AB274" i="9"/>
  <c r="AC274" i="9" s="1"/>
  <c r="AB264" i="9"/>
  <c r="AC264" i="9" s="1"/>
  <c r="AB256" i="9"/>
  <c r="AC256" i="9" s="1"/>
  <c r="AB248" i="9"/>
  <c r="AC248" i="9" s="1"/>
  <c r="AB234" i="9"/>
  <c r="AC234" i="9" s="1"/>
  <c r="AB208" i="9"/>
  <c r="AC208" i="9" s="1"/>
  <c r="AB290" i="9"/>
  <c r="AC290" i="9" s="1"/>
  <c r="AB283" i="9"/>
  <c r="AC283" i="9" s="1"/>
  <c r="AB279" i="9"/>
  <c r="AC279" i="9" s="1"/>
  <c r="AB275" i="9"/>
  <c r="AC275" i="9" s="1"/>
  <c r="AB271" i="9"/>
  <c r="AC271" i="9" s="1"/>
  <c r="AB269" i="9"/>
  <c r="AC269" i="9" s="1"/>
  <c r="AB265" i="9"/>
  <c r="AC265" i="9" s="1"/>
  <c r="AB261" i="9"/>
  <c r="AC261" i="9" s="1"/>
  <c r="AB235" i="9"/>
  <c r="AC235" i="9" s="1"/>
  <c r="AB231" i="9"/>
  <c r="AC231" i="9" s="1"/>
  <c r="AB221" i="9"/>
  <c r="AC221" i="9" s="1"/>
  <c r="AB217" i="9"/>
  <c r="AC217" i="9" s="1"/>
  <c r="AB209" i="9"/>
  <c r="AC209" i="9" s="1"/>
  <c r="AB205" i="9"/>
  <c r="AC205" i="9" s="1"/>
  <c r="AB203" i="9"/>
  <c r="AC203" i="9" s="1"/>
  <c r="AB284" i="9"/>
  <c r="AC284" i="9" s="1"/>
  <c r="AB266" i="9"/>
  <c r="AC266" i="9" s="1"/>
  <c r="AB262" i="9"/>
  <c r="AC262" i="9" s="1"/>
  <c r="AB254" i="9"/>
  <c r="AC254" i="9" s="1"/>
  <c r="AB246" i="9"/>
  <c r="AC246" i="9" s="1"/>
  <c r="AB236" i="9"/>
  <c r="AC236" i="9" s="1"/>
  <c r="AB226" i="9"/>
  <c r="AC226" i="9" s="1"/>
  <c r="AB204" i="9"/>
  <c r="AC204" i="9" s="1"/>
  <c r="AB281" i="9"/>
  <c r="AC281" i="9" s="1"/>
  <c r="AB273" i="9"/>
  <c r="AC273" i="9" s="1"/>
  <c r="AB267" i="9"/>
  <c r="AC267" i="9" s="1"/>
  <c r="AB245" i="9"/>
  <c r="AC245" i="9" s="1"/>
  <c r="AB233" i="9"/>
  <c r="AC233" i="9" s="1"/>
  <c r="AB215" i="9"/>
  <c r="AC215" i="9" s="1"/>
  <c r="AB190" i="9"/>
  <c r="AC190" i="9" s="1"/>
  <c r="AB182" i="9"/>
  <c r="AC182" i="9" s="1"/>
  <c r="AB174" i="9"/>
  <c r="AC174" i="9" s="1"/>
  <c r="AB166" i="9"/>
  <c r="AC166" i="9" s="1"/>
  <c r="AB162" i="9"/>
  <c r="AC162" i="9" s="1"/>
  <c r="AB156" i="9"/>
  <c r="AC156" i="9" s="1"/>
  <c r="AB152" i="9"/>
  <c r="AC152" i="9" s="1"/>
  <c r="AB191" i="9"/>
  <c r="AC191" i="9" s="1"/>
  <c r="AB187" i="9"/>
  <c r="AC187" i="9" s="1"/>
  <c r="AB183" i="9"/>
  <c r="AB171" i="9"/>
  <c r="AC171" i="9" s="1"/>
  <c r="AB167" i="9"/>
  <c r="AC167" i="9" s="1"/>
  <c r="AB153" i="9"/>
  <c r="AC153" i="9" s="1"/>
  <c r="AB149" i="9"/>
  <c r="AC149" i="9" s="1"/>
  <c r="AB188" i="9"/>
  <c r="AC188" i="9" s="1"/>
  <c r="AB180" i="9"/>
  <c r="AC180" i="9" s="1"/>
  <c r="AB181" i="9"/>
  <c r="AC181" i="9" s="1"/>
  <c r="AB157" i="9"/>
  <c r="AC157" i="9" s="1"/>
  <c r="AB155" i="9"/>
  <c r="AC155" i="9" s="1"/>
  <c r="X250" i="9"/>
  <c r="Y194" i="9"/>
  <c r="X194" i="9"/>
  <c r="AA194" i="9" s="1"/>
  <c r="AB194" i="9" s="1"/>
  <c r="AC194" i="9" s="1"/>
  <c r="R188" i="9"/>
  <c r="S188" i="9" s="1"/>
  <c r="AZ188" i="9"/>
  <c r="R184" i="9"/>
  <c r="S184" i="9" s="1"/>
  <c r="AZ184" i="9" s="1"/>
  <c r="R176" i="9"/>
  <c r="S176" i="9" s="1"/>
  <c r="AZ176" i="9"/>
  <c r="R160" i="9"/>
  <c r="S160" i="9" s="1"/>
  <c r="AZ160" i="9" s="1"/>
  <c r="BG151" i="9"/>
  <c r="U23" i="9"/>
  <c r="X324" i="9"/>
  <c r="AA257" i="9"/>
  <c r="AB257" i="9" s="1"/>
  <c r="AC257" i="9" s="1"/>
  <c r="X244" i="9"/>
  <c r="Y242" i="9"/>
  <c r="Y224" i="9"/>
  <c r="Y219" i="9"/>
  <c r="Z207" i="9"/>
  <c r="X199" i="9"/>
  <c r="AA199" i="9" s="1"/>
  <c r="AB199" i="9" s="1"/>
  <c r="AC199" i="9" s="1"/>
  <c r="BG195" i="9"/>
  <c r="K33" i="9"/>
  <c r="W192" i="9"/>
  <c r="AA192" i="9" s="1"/>
  <c r="AB192" i="9" s="1"/>
  <c r="AC192" i="9" s="1"/>
  <c r="R181" i="9"/>
  <c r="S181" i="9" s="1"/>
  <c r="AZ181" i="9"/>
  <c r="W176" i="9"/>
  <c r="AA176" i="9" s="1"/>
  <c r="AB176" i="9" s="1"/>
  <c r="AC176" i="9" s="1"/>
  <c r="K29" i="9"/>
  <c r="BG174" i="9"/>
  <c r="W168" i="9"/>
  <c r="AA168" i="9" s="1"/>
  <c r="AB168" i="9" s="1"/>
  <c r="AC168" i="9" s="1"/>
  <c r="W164" i="9"/>
  <c r="AA164" i="9" s="1"/>
  <c r="AB164" i="9" s="1"/>
  <c r="AC164" i="9" s="1"/>
  <c r="W160" i="9"/>
  <c r="AA160" i="9" s="1"/>
  <c r="AB160" i="9" s="1"/>
  <c r="AC160" i="9" s="1"/>
  <c r="R157" i="9"/>
  <c r="S157" i="9" s="1"/>
  <c r="AZ157" i="9"/>
  <c r="Y154" i="9"/>
  <c r="W154" i="9"/>
  <c r="Y150" i="9"/>
  <c r="W150" i="9"/>
  <c r="AA150" i="9" s="1"/>
  <c r="AB150" i="9" s="1"/>
  <c r="AC150" i="9" s="1"/>
  <c r="R147" i="9"/>
  <c r="S147" i="9" s="1"/>
  <c r="AZ147" i="9" s="1"/>
  <c r="R494" i="8"/>
  <c r="R492" i="8"/>
  <c r="AM483" i="8"/>
  <c r="S480" i="8"/>
  <c r="AM462" i="8"/>
  <c r="AG462" i="8"/>
  <c r="AM453" i="8"/>
  <c r="AM499" i="8"/>
  <c r="AM491" i="8"/>
  <c r="AG491" i="8"/>
  <c r="AM473" i="8"/>
  <c r="S471" i="8"/>
  <c r="Y317" i="9"/>
  <c r="Y268" i="9"/>
  <c r="AA268" i="9" s="1"/>
  <c r="AB268" i="9" s="1"/>
  <c r="AC268" i="9" s="1"/>
  <c r="Y252" i="9"/>
  <c r="AA239" i="9"/>
  <c r="AB239" i="9" s="1"/>
  <c r="AC239" i="9" s="1"/>
  <c r="X238" i="9"/>
  <c r="AA238" i="9" s="1"/>
  <c r="AB238" i="9" s="1"/>
  <c r="AC238" i="9" s="1"/>
  <c r="Y212" i="9"/>
  <c r="AA212" i="9" s="1"/>
  <c r="AB212" i="9" s="1"/>
  <c r="AC212" i="9" s="1"/>
  <c r="AA201" i="9"/>
  <c r="AB201" i="9" s="1"/>
  <c r="AC201" i="9" s="1"/>
  <c r="X189" i="9"/>
  <c r="AA189" i="9" s="1"/>
  <c r="AB189" i="9" s="1"/>
  <c r="AC189" i="9" s="1"/>
  <c r="X165" i="9"/>
  <c r="R246" i="9"/>
  <c r="S246" i="9" s="1"/>
  <c r="AZ246" i="9" s="1"/>
  <c r="R271" i="9"/>
  <c r="S271" i="9" s="1"/>
  <c r="AZ271" i="9" s="1"/>
  <c r="AL499" i="8"/>
  <c r="AL491" i="8"/>
  <c r="AF491" i="8"/>
  <c r="AL473" i="8"/>
  <c r="R471" i="8"/>
  <c r="AL483" i="8"/>
  <c r="R480" i="8"/>
  <c r="AL462" i="8"/>
  <c r="AF462" i="8"/>
  <c r="AL453" i="8"/>
  <c r="Z185" i="9"/>
  <c r="Y178" i="9"/>
  <c r="Z173" i="9"/>
  <c r="W158" i="9"/>
  <c r="X335" i="8"/>
  <c r="Y323" i="8"/>
  <c r="W323" i="8"/>
  <c r="AA323" i="8" s="1"/>
  <c r="AB323" i="8" s="1"/>
  <c r="AC323" i="8" s="1"/>
  <c r="W291" i="8"/>
  <c r="R287" i="8"/>
  <c r="S287" i="8" s="1"/>
  <c r="AZ287" i="8" s="1"/>
  <c r="R283" i="8"/>
  <c r="S283" i="8" s="1"/>
  <c r="AZ283" i="8" s="1"/>
  <c r="R279" i="8"/>
  <c r="S279" i="8" s="1"/>
  <c r="AZ279" i="8" s="1"/>
  <c r="R275" i="8"/>
  <c r="S275" i="8" s="1"/>
  <c r="AZ275" i="8" s="1"/>
  <c r="R271" i="8"/>
  <c r="S271" i="8" s="1"/>
  <c r="AZ271" i="8" s="1"/>
  <c r="R243" i="8"/>
  <c r="S243" i="8" s="1"/>
  <c r="AZ243" i="8" s="1"/>
  <c r="R239" i="8"/>
  <c r="S239" i="8" s="1"/>
  <c r="AZ239" i="8" s="1"/>
  <c r="R235" i="8"/>
  <c r="S235" i="8" s="1"/>
  <c r="AZ235" i="8" s="1"/>
  <c r="R231" i="8"/>
  <c r="S231" i="8" s="1"/>
  <c r="AZ231" i="8" s="1"/>
  <c r="R227" i="8"/>
  <c r="S227" i="8" s="1"/>
  <c r="AZ227" i="8" s="1"/>
  <c r="Y192" i="9"/>
  <c r="X186" i="9"/>
  <c r="AA186" i="9" s="1"/>
  <c r="AB186" i="9" s="1"/>
  <c r="AC186" i="9" s="1"/>
  <c r="X176" i="9"/>
  <c r="Y173" i="9"/>
  <c r="Y169" i="9"/>
  <c r="Z164" i="9"/>
  <c r="Z161" i="9"/>
  <c r="Z150" i="9"/>
  <c r="AA332" i="8"/>
  <c r="AB332" i="8" s="1"/>
  <c r="AC332" i="8" s="1"/>
  <c r="Y331" i="8"/>
  <c r="Y315" i="8"/>
  <c r="W315" i="8"/>
  <c r="AA315" i="8" s="1"/>
  <c r="AB315" i="8" s="1"/>
  <c r="AC315" i="8" s="1"/>
  <c r="Y309" i="8"/>
  <c r="W309" i="8"/>
  <c r="AA309" i="8" s="1"/>
  <c r="AB309" i="8" s="1"/>
  <c r="AC309" i="8" s="1"/>
  <c r="R301" i="8"/>
  <c r="S301" i="8" s="1"/>
  <c r="AZ301" i="8" s="1"/>
  <c r="AZ299" i="8"/>
  <c r="R299" i="8"/>
  <c r="S299" i="8" s="1"/>
  <c r="V292" i="8"/>
  <c r="Z292" i="8"/>
  <c r="X292" i="8"/>
  <c r="R288" i="8"/>
  <c r="S288" i="8" s="1"/>
  <c r="AZ288" i="8"/>
  <c r="R272" i="8"/>
  <c r="S272" i="8" s="1"/>
  <c r="AZ272" i="8"/>
  <c r="R254" i="8"/>
  <c r="S254" i="8" s="1"/>
  <c r="AZ254" i="8"/>
  <c r="R222" i="8"/>
  <c r="S222" i="8" s="1"/>
  <c r="AZ222" i="8" s="1"/>
  <c r="R214" i="8"/>
  <c r="S214" i="8" s="1"/>
  <c r="AZ214" i="8"/>
  <c r="R168" i="8"/>
  <c r="S168" i="8" s="1"/>
  <c r="AZ168" i="8"/>
  <c r="R154" i="8"/>
  <c r="S154" i="8" s="1"/>
  <c r="AZ154" i="8"/>
  <c r="Y487" i="7"/>
  <c r="Y485" i="7"/>
  <c r="X192" i="9"/>
  <c r="Z170" i="9"/>
  <c r="AA170" i="9" s="1"/>
  <c r="AB170" i="9" s="1"/>
  <c r="AC170" i="9" s="1"/>
  <c r="Y164" i="9"/>
  <c r="Z335" i="8"/>
  <c r="W308" i="8"/>
  <c r="AA308" i="8" s="1"/>
  <c r="AB308" i="8" s="1"/>
  <c r="AC308" i="8" s="1"/>
  <c r="R297" i="8"/>
  <c r="S297" i="8" s="1"/>
  <c r="AZ297" i="8" s="1"/>
  <c r="X291" i="8"/>
  <c r="R285" i="8"/>
  <c r="S285" i="8" s="1"/>
  <c r="AZ285" i="8"/>
  <c r="R251" i="8"/>
  <c r="S251" i="8" s="1"/>
  <c r="AZ251" i="8"/>
  <c r="R247" i="8"/>
  <c r="S247" i="8" s="1"/>
  <c r="AZ247" i="8"/>
  <c r="R229" i="8"/>
  <c r="S229" i="8" s="1"/>
  <c r="AZ229" i="8"/>
  <c r="R219" i="8"/>
  <c r="S219" i="8" s="1"/>
  <c r="AZ219" i="8"/>
  <c r="R215" i="8"/>
  <c r="S215" i="8" s="1"/>
  <c r="AZ215" i="8"/>
  <c r="R211" i="8"/>
  <c r="S211" i="8" s="1"/>
  <c r="AZ211" i="8"/>
  <c r="R207" i="8"/>
  <c r="S207" i="8" s="1"/>
  <c r="AZ207" i="8"/>
  <c r="R185" i="8"/>
  <c r="S185" i="8" s="1"/>
  <c r="AZ185" i="8"/>
  <c r="R173" i="8"/>
  <c r="S173" i="8" s="1"/>
  <c r="AZ173" i="8"/>
  <c r="U27" i="8"/>
  <c r="BG170" i="8"/>
  <c r="R165" i="8"/>
  <c r="S165" i="8" s="1"/>
  <c r="AZ165" i="8" s="1"/>
  <c r="U25" i="8"/>
  <c r="BG162" i="8"/>
  <c r="R157" i="8"/>
  <c r="S157" i="8" s="1"/>
  <c r="AZ157" i="8" s="1"/>
  <c r="R147" i="8"/>
  <c r="S147" i="8" s="1"/>
  <c r="AZ147" i="8"/>
  <c r="Y177" i="9"/>
  <c r="X168" i="9"/>
  <c r="Z154" i="9"/>
  <c r="W151" i="9"/>
  <c r="AA336" i="8"/>
  <c r="AB336" i="8" s="1"/>
  <c r="AC336" i="8" s="1"/>
  <c r="X331" i="8"/>
  <c r="AA331" i="8" s="1"/>
  <c r="AB331" i="8" s="1"/>
  <c r="AC331" i="8" s="1"/>
  <c r="V318" i="8"/>
  <c r="AA318" i="8" s="1"/>
  <c r="AB318" i="8" s="1"/>
  <c r="AC318" i="8" s="1"/>
  <c r="X314" i="8"/>
  <c r="Z314" i="8"/>
  <c r="V314" i="8"/>
  <c r="W300" i="8"/>
  <c r="Y295" i="8"/>
  <c r="W295" i="8"/>
  <c r="V291" i="8"/>
  <c r="W233" i="8"/>
  <c r="AA233" i="8" s="1"/>
  <c r="AB233" i="8" s="1"/>
  <c r="AC233" i="8" s="1"/>
  <c r="X233" i="8"/>
  <c r="W229" i="8"/>
  <c r="AA229" i="8" s="1"/>
  <c r="AB229" i="8" s="1"/>
  <c r="AC229" i="8" s="1"/>
  <c r="X229" i="8"/>
  <c r="U31" i="8"/>
  <c r="BG199" i="8"/>
  <c r="K33" i="8"/>
  <c r="BG195" i="8"/>
  <c r="W189" i="8"/>
  <c r="AA189" i="8" s="1"/>
  <c r="AB189" i="8" s="1"/>
  <c r="AC189" i="8" s="1"/>
  <c r="Y189" i="8"/>
  <c r="W177" i="8"/>
  <c r="AA177" i="8" s="1"/>
  <c r="AB177" i="8" s="1"/>
  <c r="AC177" i="8" s="1"/>
  <c r="Y177" i="8"/>
  <c r="AA171" i="8"/>
  <c r="AB171" i="8" s="1"/>
  <c r="AC171" i="8" s="1"/>
  <c r="W169" i="8"/>
  <c r="AA169" i="8" s="1"/>
  <c r="AB169" i="8" s="1"/>
  <c r="AC169" i="8" s="1"/>
  <c r="Y169" i="8"/>
  <c r="AA153" i="8"/>
  <c r="AB153" i="8" s="1"/>
  <c r="AC153" i="8" s="1"/>
  <c r="W151" i="8"/>
  <c r="Y151" i="8"/>
  <c r="AL499" i="7"/>
  <c r="AL491" i="7"/>
  <c r="AF491" i="7"/>
  <c r="AL473" i="7"/>
  <c r="R471" i="7"/>
  <c r="AL483" i="7"/>
  <c r="R480" i="7"/>
  <c r="AL462" i="7"/>
  <c r="AF462" i="7"/>
  <c r="AL453" i="7"/>
  <c r="AA270" i="8"/>
  <c r="AB270" i="8" s="1"/>
  <c r="AC270" i="8" s="1"/>
  <c r="X262" i="8"/>
  <c r="Y251" i="8"/>
  <c r="Y190" i="8"/>
  <c r="AA179" i="8"/>
  <c r="AB179" i="8" s="1"/>
  <c r="AC179" i="8" s="1"/>
  <c r="X161" i="8"/>
  <c r="AA161" i="8" s="1"/>
  <c r="AB161" i="8" s="1"/>
  <c r="AC161" i="8" s="1"/>
  <c r="Z152" i="8"/>
  <c r="R334" i="7"/>
  <c r="S334" i="7" s="1"/>
  <c r="AZ334" i="7" s="1"/>
  <c r="AZ312" i="7"/>
  <c r="R312" i="7"/>
  <c r="S312" i="7" s="1"/>
  <c r="R268" i="7"/>
  <c r="S268" i="7" s="1"/>
  <c r="AZ268" i="7" s="1"/>
  <c r="AZ264" i="7"/>
  <c r="R264" i="7"/>
  <c r="S264" i="7" s="1"/>
  <c r="R260" i="7"/>
  <c r="S260" i="7" s="1"/>
  <c r="AZ260" i="7" s="1"/>
  <c r="AZ256" i="7"/>
  <c r="R256" i="7"/>
  <c r="S256" i="7" s="1"/>
  <c r="R252" i="7"/>
  <c r="S252" i="7" s="1"/>
  <c r="AZ252" i="7" s="1"/>
  <c r="R248" i="7"/>
  <c r="S248" i="7" s="1"/>
  <c r="AZ248" i="7" s="1"/>
  <c r="R245" i="7"/>
  <c r="S245" i="7" s="1"/>
  <c r="AZ245" i="7" s="1"/>
  <c r="R241" i="7"/>
  <c r="S241" i="7" s="1"/>
  <c r="AZ241" i="7" s="1"/>
  <c r="R237" i="7"/>
  <c r="S237" i="7" s="1"/>
  <c r="AZ237" i="7" s="1"/>
  <c r="R233" i="7"/>
  <c r="S233" i="7" s="1"/>
  <c r="AZ233" i="7" s="1"/>
  <c r="R229" i="7"/>
  <c r="S229" i="7" s="1"/>
  <c r="AZ229" i="7" s="1"/>
  <c r="Z263" i="8"/>
  <c r="Y252" i="8"/>
  <c r="Y247" i="8"/>
  <c r="AA235" i="8"/>
  <c r="AB235" i="8" s="1"/>
  <c r="AC235" i="8" s="1"/>
  <c r="Y219" i="8"/>
  <c r="AA219" i="8" s="1"/>
  <c r="AB219" i="8" s="1"/>
  <c r="AC219" i="8" s="1"/>
  <c r="AA209" i="8"/>
  <c r="AB209" i="8" s="1"/>
  <c r="AC209" i="8" s="1"/>
  <c r="Z186" i="8"/>
  <c r="Y166" i="8"/>
  <c r="AA166" i="8" s="1"/>
  <c r="AB166" i="8" s="1"/>
  <c r="AC166" i="8" s="1"/>
  <c r="T24" i="8"/>
  <c r="V24" i="8"/>
  <c r="X151" i="8"/>
  <c r="R321" i="7"/>
  <c r="S321" i="7" s="1"/>
  <c r="AZ321" i="7" s="1"/>
  <c r="R313" i="7"/>
  <c r="S313" i="7" s="1"/>
  <c r="AZ313" i="7" s="1"/>
  <c r="R303" i="7"/>
  <c r="S303" i="7" s="1"/>
  <c r="AZ303" i="7" s="1"/>
  <c r="R295" i="7"/>
  <c r="S295" i="7" s="1"/>
  <c r="AZ295" i="7" s="1"/>
  <c r="R283" i="7"/>
  <c r="S283" i="7" s="1"/>
  <c r="AZ283" i="7" s="1"/>
  <c r="R269" i="7"/>
  <c r="S269" i="7" s="1"/>
  <c r="AZ269" i="7" s="1"/>
  <c r="R253" i="7"/>
  <c r="S253" i="7" s="1"/>
  <c r="AZ253" i="7" s="1"/>
  <c r="R231" i="7"/>
  <c r="S231" i="7" s="1"/>
  <c r="AZ231" i="7" s="1"/>
  <c r="R217" i="7"/>
  <c r="S217" i="7" s="1"/>
  <c r="AZ217" i="7" s="1"/>
  <c r="R203" i="7"/>
  <c r="S203" i="7" s="1"/>
  <c r="AZ203" i="7" s="1"/>
  <c r="R187" i="7"/>
  <c r="S187" i="7" s="1"/>
  <c r="AZ187" i="7" s="1"/>
  <c r="R171" i="7"/>
  <c r="S171" i="7" s="1"/>
  <c r="AZ171" i="7" s="1"/>
  <c r="R153" i="7"/>
  <c r="S153" i="7" s="1"/>
  <c r="AZ153" i="7" s="1"/>
  <c r="X264" i="8"/>
  <c r="AA264" i="8" s="1"/>
  <c r="AB264" i="8" s="1"/>
  <c r="AC264" i="8" s="1"/>
  <c r="Y212" i="8"/>
  <c r="Z190" i="8"/>
  <c r="Z177" i="8"/>
  <c r="AA160" i="8"/>
  <c r="AB160" i="8" s="1"/>
  <c r="AC160" i="8" s="1"/>
  <c r="T23" i="8"/>
  <c r="V23" i="8"/>
  <c r="R336" i="7"/>
  <c r="S336" i="7" s="1"/>
  <c r="AZ336" i="7"/>
  <c r="R326" i="7"/>
  <c r="S326" i="7" s="1"/>
  <c r="AZ326" i="7" s="1"/>
  <c r="R308" i="7"/>
  <c r="S308" i="7" s="1"/>
  <c r="AZ308" i="7"/>
  <c r="R300" i="7"/>
  <c r="S300" i="7" s="1"/>
  <c r="AZ300" i="7"/>
  <c r="R292" i="7"/>
  <c r="S292" i="7" s="1"/>
  <c r="AZ292" i="7"/>
  <c r="R284" i="7"/>
  <c r="S284" i="7" s="1"/>
  <c r="AZ284" i="7"/>
  <c r="R262" i="7"/>
  <c r="S262" i="7" s="1"/>
  <c r="AZ262" i="7"/>
  <c r="R246" i="7"/>
  <c r="S246" i="7" s="1"/>
  <c r="AZ246" i="7"/>
  <c r="R240" i="7"/>
  <c r="S240" i="7" s="1"/>
  <c r="AZ240" i="7"/>
  <c r="R204" i="7"/>
  <c r="S204" i="7" s="1"/>
  <c r="AZ204" i="7"/>
  <c r="BF157" i="7"/>
  <c r="X258" i="8"/>
  <c r="Y256" i="8"/>
  <c r="AA256" i="8" s="1"/>
  <c r="AB256" i="8" s="1"/>
  <c r="AC256" i="8" s="1"/>
  <c r="Z251" i="8"/>
  <c r="Z233" i="8"/>
  <c r="Z197" i="8"/>
  <c r="Z173" i="8"/>
  <c r="Z166" i="8"/>
  <c r="Z158" i="8"/>
  <c r="Z151" i="8"/>
  <c r="R311" i="7"/>
  <c r="S311" i="7" s="1"/>
  <c r="AZ311" i="7" s="1"/>
  <c r="U35" i="7"/>
  <c r="BG279" i="7"/>
  <c r="AA326" i="6"/>
  <c r="AA296" i="6"/>
  <c r="R162" i="6"/>
  <c r="S162" i="6" s="1"/>
  <c r="AZ162" i="6" s="1"/>
  <c r="R148" i="6"/>
  <c r="S148" i="6" s="1"/>
  <c r="AZ148" i="6" s="1"/>
  <c r="K24" i="7"/>
  <c r="BG153" i="7"/>
  <c r="U22" i="7"/>
  <c r="K22" i="7"/>
  <c r="BG145" i="7"/>
  <c r="X347" i="6"/>
  <c r="W347" i="6"/>
  <c r="Z347" i="6"/>
  <c r="V347" i="6"/>
  <c r="X325" i="6"/>
  <c r="W325" i="6"/>
  <c r="Z325" i="6"/>
  <c r="X265" i="6"/>
  <c r="W265" i="6"/>
  <c r="Z265" i="6"/>
  <c r="V265" i="6"/>
  <c r="AA265" i="6" s="1"/>
  <c r="X257" i="6"/>
  <c r="W257" i="6"/>
  <c r="Z257" i="6"/>
  <c r="V257" i="6"/>
  <c r="X239" i="6"/>
  <c r="W239" i="6"/>
  <c r="Z239" i="6"/>
  <c r="V239" i="6"/>
  <c r="AA239" i="6" s="1"/>
  <c r="X231" i="6"/>
  <c r="W231" i="6"/>
  <c r="Z231" i="6"/>
  <c r="V231" i="6"/>
  <c r="X221" i="6"/>
  <c r="W221" i="6"/>
  <c r="Z221" i="6"/>
  <c r="V221" i="6"/>
  <c r="AA221" i="6" s="1"/>
  <c r="X213" i="6"/>
  <c r="W213" i="6"/>
  <c r="Z213" i="6"/>
  <c r="V213" i="6"/>
  <c r="AA213" i="6" s="1"/>
  <c r="V29" i="7"/>
  <c r="T29" i="7"/>
  <c r="BG154" i="7"/>
  <c r="K25" i="7"/>
  <c r="Y340" i="6"/>
  <c r="X340" i="6"/>
  <c r="W340" i="6"/>
  <c r="Y332" i="6"/>
  <c r="X332" i="6"/>
  <c r="W332" i="6"/>
  <c r="Y292" i="6"/>
  <c r="X292" i="6"/>
  <c r="W292" i="6"/>
  <c r="AA292" i="6" s="1"/>
  <c r="AB292" i="6" s="1"/>
  <c r="AC292" i="6" s="1"/>
  <c r="Y284" i="6"/>
  <c r="X284" i="6"/>
  <c r="W284" i="6"/>
  <c r="AA284" i="6" s="1"/>
  <c r="AB284" i="6" s="1"/>
  <c r="AC284" i="6" s="1"/>
  <c r="Y272" i="6"/>
  <c r="X272" i="6"/>
  <c r="W272" i="6"/>
  <c r="AA272" i="6" s="1"/>
  <c r="AB272" i="6" s="1"/>
  <c r="AC272" i="6" s="1"/>
  <c r="X262" i="6"/>
  <c r="W262" i="6"/>
  <c r="AA262" i="6" s="1"/>
  <c r="AB262" i="6" s="1"/>
  <c r="AC262" i="6" s="1"/>
  <c r="Y244" i="6"/>
  <c r="X244" i="6"/>
  <c r="W244" i="6"/>
  <c r="Y232" i="6"/>
  <c r="X232" i="6"/>
  <c r="W232" i="6"/>
  <c r="AA232" i="6" s="1"/>
  <c r="AB232" i="6" s="1"/>
  <c r="AC232" i="6" s="1"/>
  <c r="L30" i="7"/>
  <c r="J30" i="7"/>
  <c r="V23" i="7"/>
  <c r="T23" i="7"/>
  <c r="Z349" i="6"/>
  <c r="V349" i="6"/>
  <c r="Y349" i="6"/>
  <c r="X349" i="6"/>
  <c r="Z345" i="6"/>
  <c r="V345" i="6"/>
  <c r="Y345" i="6"/>
  <c r="X345" i="6"/>
  <c r="Z315" i="6"/>
  <c r="Y315" i="6"/>
  <c r="X315" i="6"/>
  <c r="AA315" i="6" s="1"/>
  <c r="AB315" i="6" s="1"/>
  <c r="AC315" i="6" s="1"/>
  <c r="Z285" i="6"/>
  <c r="V285" i="6"/>
  <c r="Y285" i="6"/>
  <c r="X285" i="6"/>
  <c r="Z267" i="6"/>
  <c r="V267" i="6"/>
  <c r="Y267" i="6"/>
  <c r="X267" i="6"/>
  <c r="Z241" i="6"/>
  <c r="V241" i="6"/>
  <c r="Y241" i="6"/>
  <c r="X241" i="6"/>
  <c r="V334" i="6"/>
  <c r="Y325" i="6"/>
  <c r="W306" i="6"/>
  <c r="Y283" i="6"/>
  <c r="AA283" i="6" s="1"/>
  <c r="X260" i="6"/>
  <c r="W230" i="6"/>
  <c r="V220" i="6"/>
  <c r="AA220" i="6" s="1"/>
  <c r="AA212" i="6"/>
  <c r="AA197" i="6"/>
  <c r="U30" i="6"/>
  <c r="BG178" i="6"/>
  <c r="R169" i="6"/>
  <c r="S169" i="6" s="1"/>
  <c r="AZ169" i="6"/>
  <c r="Y164" i="6"/>
  <c r="X164" i="6"/>
  <c r="W164" i="6"/>
  <c r="X159" i="6"/>
  <c r="W159" i="6"/>
  <c r="Z159" i="6"/>
  <c r="R157" i="6"/>
  <c r="S157" i="6" s="1"/>
  <c r="AZ157" i="6"/>
  <c r="AA154" i="6"/>
  <c r="U22" i="6"/>
  <c r="K22" i="6"/>
  <c r="BG145" i="6"/>
  <c r="R338" i="5"/>
  <c r="S338" i="5" s="1"/>
  <c r="AZ338" i="5" s="1"/>
  <c r="R317" i="5"/>
  <c r="S317" i="5" s="1"/>
  <c r="AZ317" i="5" s="1"/>
  <c r="R295" i="5"/>
  <c r="S295" i="5" s="1"/>
  <c r="AZ295" i="5" s="1"/>
  <c r="R279" i="5"/>
  <c r="S279" i="5" s="1"/>
  <c r="AZ279" i="5" s="1"/>
  <c r="R269" i="5"/>
  <c r="S269" i="5" s="1"/>
  <c r="AZ269" i="5" s="1"/>
  <c r="R253" i="5"/>
  <c r="S253" i="5" s="1"/>
  <c r="AZ253" i="5" s="1"/>
  <c r="R231" i="5"/>
  <c r="S231" i="5" s="1"/>
  <c r="AZ231" i="5" s="1"/>
  <c r="R221" i="5"/>
  <c r="S221" i="5" s="1"/>
  <c r="AZ221" i="5" s="1"/>
  <c r="R205" i="5"/>
  <c r="S205" i="5" s="1"/>
  <c r="AZ205" i="5" s="1"/>
  <c r="R195" i="5"/>
  <c r="S195" i="5" s="1"/>
  <c r="AZ195" i="5" s="1"/>
  <c r="R179" i="5"/>
  <c r="S179" i="5" s="1"/>
  <c r="AZ179" i="5" s="1"/>
  <c r="R163" i="5"/>
  <c r="S163" i="5" s="1"/>
  <c r="AZ163" i="5" s="1"/>
  <c r="K25" i="5"/>
  <c r="BG154" i="5"/>
  <c r="R145" i="5"/>
  <c r="S145" i="5" s="1"/>
  <c r="AZ145" i="5" s="1"/>
  <c r="Z348" i="6"/>
  <c r="V330" i="6"/>
  <c r="AA330" i="6" s="1"/>
  <c r="W324" i="6"/>
  <c r="Z316" i="6"/>
  <c r="Z298" i="6"/>
  <c r="Z268" i="6"/>
  <c r="Z252" i="6"/>
  <c r="X234" i="6"/>
  <c r="W185" i="6"/>
  <c r="Z177" i="6"/>
  <c r="V177" i="6"/>
  <c r="AA177" i="6" s="1"/>
  <c r="X177" i="6"/>
  <c r="Y163" i="6"/>
  <c r="V159" i="6"/>
  <c r="BG155" i="6"/>
  <c r="K26" i="6"/>
  <c r="K491" i="5"/>
  <c r="K489" i="5"/>
  <c r="Z358" i="5"/>
  <c r="R314" i="5"/>
  <c r="S314" i="5" s="1"/>
  <c r="AZ314" i="5"/>
  <c r="R308" i="5"/>
  <c r="S308" i="5" s="1"/>
  <c r="AZ308" i="5" s="1"/>
  <c r="R292" i="5"/>
  <c r="S292" i="5" s="1"/>
  <c r="AZ292" i="5" s="1"/>
  <c r="R276" i="5"/>
  <c r="S276" i="5" s="1"/>
  <c r="AZ276" i="5" s="1"/>
  <c r="R266" i="5"/>
  <c r="S266" i="5" s="1"/>
  <c r="AZ266" i="5" s="1"/>
  <c r="R250" i="5"/>
  <c r="S250" i="5" s="1"/>
  <c r="AZ250" i="5" s="1"/>
  <c r="R246" i="5"/>
  <c r="S246" i="5" s="1"/>
  <c r="AZ246" i="5" s="1"/>
  <c r="R236" i="5"/>
  <c r="S236" i="5" s="1"/>
  <c r="AZ236" i="5" s="1"/>
  <c r="R226" i="5"/>
  <c r="S226" i="5" s="1"/>
  <c r="AZ226" i="5" s="1"/>
  <c r="R210" i="5"/>
  <c r="S210" i="5" s="1"/>
  <c r="AZ210" i="5" s="1"/>
  <c r="R200" i="5"/>
  <c r="S200" i="5" s="1"/>
  <c r="AZ200" i="5" s="1"/>
  <c r="R184" i="5"/>
  <c r="S184" i="5" s="1"/>
  <c r="AZ184" i="5" s="1"/>
  <c r="R168" i="5"/>
  <c r="S168" i="5" s="1"/>
  <c r="AZ168" i="5" s="1"/>
  <c r="R146" i="5"/>
  <c r="S146" i="5" s="1"/>
  <c r="AZ146" i="5" s="1"/>
  <c r="K491" i="4"/>
  <c r="K489" i="4"/>
  <c r="Y351" i="6"/>
  <c r="Z342" i="6"/>
  <c r="W337" i="6"/>
  <c r="Z312" i="6"/>
  <c r="W305" i="6"/>
  <c r="V294" i="6"/>
  <c r="X286" i="6"/>
  <c r="AA286" i="6" s="1"/>
  <c r="AB286" i="6" s="1"/>
  <c r="AC286" i="6" s="1"/>
  <c r="Z272" i="6"/>
  <c r="Z264" i="6"/>
  <c r="V260" i="6"/>
  <c r="AA260" i="6" s="1"/>
  <c r="Y257" i="6"/>
  <c r="W224" i="6"/>
  <c r="Z201" i="6"/>
  <c r="V201" i="6"/>
  <c r="AA201" i="6" s="1"/>
  <c r="Y201" i="6"/>
  <c r="X201" i="6"/>
  <c r="W198" i="6"/>
  <c r="Z198" i="6"/>
  <c r="V198" i="6"/>
  <c r="Y198" i="6"/>
  <c r="J33" i="6"/>
  <c r="L33" i="6"/>
  <c r="Z186" i="6"/>
  <c r="W177" i="6"/>
  <c r="BG151" i="6"/>
  <c r="U23" i="6"/>
  <c r="R311" i="6"/>
  <c r="S311" i="6" s="1"/>
  <c r="AZ311" i="6" s="1"/>
  <c r="R176" i="6"/>
  <c r="S176" i="6" s="1"/>
  <c r="AZ176" i="6" s="1"/>
  <c r="AB353" i="6"/>
  <c r="AC353" i="6" s="1"/>
  <c r="AB338" i="6"/>
  <c r="AC338" i="6" s="1"/>
  <c r="AB330" i="6"/>
  <c r="AC330" i="6" s="1"/>
  <c r="AB320" i="6"/>
  <c r="AC320" i="6" s="1"/>
  <c r="AB310" i="6"/>
  <c r="AC310" i="6" s="1"/>
  <c r="AB302" i="6"/>
  <c r="AC302" i="6" s="1"/>
  <c r="AB290" i="6"/>
  <c r="AC290" i="6" s="1"/>
  <c r="AB282" i="6"/>
  <c r="AC282" i="6" s="1"/>
  <c r="AB274" i="6"/>
  <c r="AC274" i="6" s="1"/>
  <c r="AB260" i="6"/>
  <c r="AC260" i="6" s="1"/>
  <c r="AB248" i="6"/>
  <c r="AC248" i="6" s="1"/>
  <c r="AB220" i="6"/>
  <c r="AC220" i="6" s="1"/>
  <c r="AB212" i="6"/>
  <c r="AC212" i="6" s="1"/>
  <c r="AB202" i="6"/>
  <c r="AC202" i="6" s="1"/>
  <c r="AB190" i="6"/>
  <c r="AC190" i="6" s="1"/>
  <c r="AB182" i="6"/>
  <c r="AC182" i="6" s="1"/>
  <c r="AB174" i="6"/>
  <c r="AC174" i="6" s="1"/>
  <c r="AB166" i="6"/>
  <c r="AC166" i="6" s="1"/>
  <c r="AB162" i="6"/>
  <c r="AC162" i="6" s="1"/>
  <c r="AB156" i="6"/>
  <c r="AC156" i="6" s="1"/>
  <c r="AB335" i="6"/>
  <c r="AC335" i="6" s="1"/>
  <c r="AB331" i="6"/>
  <c r="AC331" i="6" s="1"/>
  <c r="AB321" i="6"/>
  <c r="AC321" i="6" s="1"/>
  <c r="AB299" i="6"/>
  <c r="AC299" i="6" s="1"/>
  <c r="AB287" i="6"/>
  <c r="AC287" i="6" s="1"/>
  <c r="AB283" i="6"/>
  <c r="AC283" i="6" s="1"/>
  <c r="AB279" i="6"/>
  <c r="AC279" i="6" s="1"/>
  <c r="AB275" i="6"/>
  <c r="AC275" i="6" s="1"/>
  <c r="AB271" i="6"/>
  <c r="AC271" i="6" s="1"/>
  <c r="AB269" i="6"/>
  <c r="AC269" i="6" s="1"/>
  <c r="AB265" i="6"/>
  <c r="AC265" i="6" s="1"/>
  <c r="AB261" i="6"/>
  <c r="AC261" i="6" s="1"/>
  <c r="AB243" i="6"/>
  <c r="AC243" i="6" s="1"/>
  <c r="AB239" i="6"/>
  <c r="AC239" i="6" s="1"/>
  <c r="AB235" i="6"/>
  <c r="AC235" i="6" s="1"/>
  <c r="AB227" i="6"/>
  <c r="AC227" i="6" s="1"/>
  <c r="AB221" i="6"/>
  <c r="AC221" i="6" s="1"/>
  <c r="AB213" i="6"/>
  <c r="AC213" i="6" s="1"/>
  <c r="AB205" i="6"/>
  <c r="AC205" i="6" s="1"/>
  <c r="AB203" i="6"/>
  <c r="AC203" i="6" s="1"/>
  <c r="AB199" i="6"/>
  <c r="AC199" i="6" s="1"/>
  <c r="AB191" i="6"/>
  <c r="AC191" i="6" s="1"/>
  <c r="AB187" i="6"/>
  <c r="AC187" i="6" s="1"/>
  <c r="AB171" i="6"/>
  <c r="AC171" i="6" s="1"/>
  <c r="AB167" i="6"/>
  <c r="AC167" i="6" s="1"/>
  <c r="AB344" i="6"/>
  <c r="AC344" i="6" s="1"/>
  <c r="AB328" i="6"/>
  <c r="AC328" i="6" s="1"/>
  <c r="AB326" i="6"/>
  <c r="AC326" i="6" s="1"/>
  <c r="AB322" i="6"/>
  <c r="AC322" i="6" s="1"/>
  <c r="AB314" i="6"/>
  <c r="AC314" i="6" s="1"/>
  <c r="AB296" i="6"/>
  <c r="AC296" i="6" s="1"/>
  <c r="AB280" i="6"/>
  <c r="AC280" i="6" s="1"/>
  <c r="AB254" i="6"/>
  <c r="AC254" i="6" s="1"/>
  <c r="AB246" i="6"/>
  <c r="AC246" i="6" s="1"/>
  <c r="AB236" i="6"/>
  <c r="AC236" i="6" s="1"/>
  <c r="AB226" i="6"/>
  <c r="AC226" i="6" s="1"/>
  <c r="AB222" i="6"/>
  <c r="AC222" i="6" s="1"/>
  <c r="AB204" i="6"/>
  <c r="AC204" i="6" s="1"/>
  <c r="AB188" i="6"/>
  <c r="AC188" i="6" s="1"/>
  <c r="AB184" i="6"/>
  <c r="AC184" i="6" s="1"/>
  <c r="AB180" i="6"/>
  <c r="AC180" i="6" s="1"/>
  <c r="AB333" i="6"/>
  <c r="AC333" i="6" s="1"/>
  <c r="AB327" i="6"/>
  <c r="AC327" i="6" s="1"/>
  <c r="AB323" i="6"/>
  <c r="AC323" i="6" s="1"/>
  <c r="AB319" i="6"/>
  <c r="AC319" i="6" s="1"/>
  <c r="AB311" i="6"/>
  <c r="AC311" i="6" s="1"/>
  <c r="AB281" i="6"/>
  <c r="AC281" i="6" s="1"/>
  <c r="AB273" i="6"/>
  <c r="AC273" i="6" s="1"/>
  <c r="AB263" i="6"/>
  <c r="AC263" i="6" s="1"/>
  <c r="AB247" i="6"/>
  <c r="AC247" i="6" s="1"/>
  <c r="AB245" i="6"/>
  <c r="AC245" i="6" s="1"/>
  <c r="AB237" i="6"/>
  <c r="AC237" i="6" s="1"/>
  <c r="AB215" i="6"/>
  <c r="AC215" i="6" s="1"/>
  <c r="AB201" i="6"/>
  <c r="AB147" i="6"/>
  <c r="AC147" i="6" s="1"/>
  <c r="AB155" i="6"/>
  <c r="AC155" i="6" s="1"/>
  <c r="AB154" i="6"/>
  <c r="AC154" i="6" s="1"/>
  <c r="AB197" i="6"/>
  <c r="AC197" i="6" s="1"/>
  <c r="AB177" i="6"/>
  <c r="AC177" i="6" s="1"/>
  <c r="AB173" i="6"/>
  <c r="AB207" i="6"/>
  <c r="AC207" i="6" s="1"/>
  <c r="AB193" i="6"/>
  <c r="AC193" i="6" s="1"/>
  <c r="AB189" i="6"/>
  <c r="AC189" i="6" s="1"/>
  <c r="AB181" i="6"/>
  <c r="AC181" i="6" s="1"/>
  <c r="R271" i="6"/>
  <c r="S271" i="6" s="1"/>
  <c r="AZ271" i="6" s="1"/>
  <c r="R335" i="5"/>
  <c r="S335" i="5" s="1"/>
  <c r="AZ335" i="5" s="1"/>
  <c r="R327" i="5"/>
  <c r="S327" i="5" s="1"/>
  <c r="AZ327" i="5"/>
  <c r="R301" i="5"/>
  <c r="S301" i="5" s="1"/>
  <c r="AZ301" i="5"/>
  <c r="R285" i="5"/>
  <c r="S285" i="5" s="1"/>
  <c r="AZ285" i="5"/>
  <c r="R267" i="5"/>
  <c r="S267" i="5" s="1"/>
  <c r="AZ267" i="5"/>
  <c r="R251" i="5"/>
  <c r="S251" i="5" s="1"/>
  <c r="AZ251" i="5"/>
  <c r="R241" i="5"/>
  <c r="S241" i="5" s="1"/>
  <c r="AZ241" i="5"/>
  <c r="R223" i="5"/>
  <c r="S223" i="5" s="1"/>
  <c r="AZ223" i="5"/>
  <c r="R207" i="5"/>
  <c r="S207" i="5" s="1"/>
  <c r="AZ207" i="5"/>
  <c r="R189" i="5"/>
  <c r="S189" i="5" s="1"/>
  <c r="AZ189" i="5"/>
  <c r="R173" i="5"/>
  <c r="S173" i="5" s="1"/>
  <c r="AZ173" i="5"/>
  <c r="R147" i="5"/>
  <c r="S147" i="5" s="1"/>
  <c r="AZ147" i="5"/>
  <c r="E524" i="4"/>
  <c r="AZ457" i="4"/>
  <c r="Y350" i="6"/>
  <c r="W349" i="6"/>
  <c r="Y307" i="6"/>
  <c r="Z288" i="6"/>
  <c r="AA288" i="6" s="1"/>
  <c r="AB288" i="6" s="1"/>
  <c r="AC288" i="6" s="1"/>
  <c r="Y278" i="6"/>
  <c r="W277" i="6"/>
  <c r="W256" i="6"/>
  <c r="W242" i="6"/>
  <c r="Y234" i="6"/>
  <c r="W233" i="6"/>
  <c r="V208" i="6"/>
  <c r="AA208" i="6" s="1"/>
  <c r="AB208" i="6" s="1"/>
  <c r="AC208" i="6" s="1"/>
  <c r="J37" i="6"/>
  <c r="L37" i="6"/>
  <c r="BG201" i="6"/>
  <c r="K35" i="6"/>
  <c r="Z200" i="6"/>
  <c r="V200" i="6"/>
  <c r="AA200" i="6" s="1"/>
  <c r="AB200" i="6" s="1"/>
  <c r="AC200" i="6" s="1"/>
  <c r="T31" i="6"/>
  <c r="V31" i="6"/>
  <c r="J27" i="6"/>
  <c r="L27" i="6"/>
  <c r="V164" i="6"/>
  <c r="AA164" i="6" s="1"/>
  <c r="AB164" i="6" s="1"/>
  <c r="AC164" i="6" s="1"/>
  <c r="Y495" i="5"/>
  <c r="Y493" i="5"/>
  <c r="R466" i="5"/>
  <c r="R464" i="5"/>
  <c r="X165" i="6"/>
  <c r="R344" i="4"/>
  <c r="S344" i="4" s="1"/>
  <c r="AZ344" i="4" s="1"/>
  <c r="R328" i="4"/>
  <c r="S328" i="4" s="1"/>
  <c r="AZ328" i="4" s="1"/>
  <c r="R304" i="4"/>
  <c r="S304" i="4" s="1"/>
  <c r="AZ304" i="4" s="1"/>
  <c r="R284" i="4"/>
  <c r="S284" i="4" s="1"/>
  <c r="AZ284" i="4" s="1"/>
  <c r="R280" i="4"/>
  <c r="S280" i="4" s="1"/>
  <c r="AZ280" i="4" s="1"/>
  <c r="R262" i="4"/>
  <c r="S262" i="4" s="1"/>
  <c r="AZ262" i="4" s="1"/>
  <c r="R244" i="4"/>
  <c r="S244" i="4" s="1"/>
  <c r="AZ244" i="4" s="1"/>
  <c r="R210" i="4"/>
  <c r="S210" i="4" s="1"/>
  <c r="AZ210" i="4" s="1"/>
  <c r="AZ196" i="4"/>
  <c r="R196" i="4"/>
  <c r="S196" i="4" s="1"/>
  <c r="AZ192" i="4"/>
  <c r="R192" i="4"/>
  <c r="S192" i="4" s="1"/>
  <c r="R164" i="4"/>
  <c r="S164" i="4" s="1"/>
  <c r="AZ164" i="4" s="1"/>
  <c r="R160" i="4"/>
  <c r="S160" i="4" s="1"/>
  <c r="AZ160" i="4" s="1"/>
  <c r="AZ154" i="4"/>
  <c r="R154" i="4"/>
  <c r="S154" i="4" s="1"/>
  <c r="K491" i="3"/>
  <c r="K489" i="3"/>
  <c r="AN453" i="3"/>
  <c r="AN499" i="3"/>
  <c r="AN491" i="3"/>
  <c r="AH491" i="3"/>
  <c r="AN473" i="3"/>
  <c r="T471" i="3"/>
  <c r="AN483" i="3"/>
  <c r="T480" i="3"/>
  <c r="AN462" i="3"/>
  <c r="AH462" i="3"/>
  <c r="Y340" i="4"/>
  <c r="W340" i="4"/>
  <c r="R309" i="4"/>
  <c r="S309" i="4" s="1"/>
  <c r="AZ309" i="4" s="1"/>
  <c r="R305" i="4"/>
  <c r="S305" i="4" s="1"/>
  <c r="AZ305" i="4" s="1"/>
  <c r="Y300" i="4"/>
  <c r="W300" i="4"/>
  <c r="R293" i="4"/>
  <c r="S293" i="4" s="1"/>
  <c r="AZ293" i="4"/>
  <c r="Y288" i="4"/>
  <c r="W288" i="4"/>
  <c r="R277" i="4"/>
  <c r="S277" i="4" s="1"/>
  <c r="AZ277" i="4" s="1"/>
  <c r="Y266" i="4"/>
  <c r="W266" i="4"/>
  <c r="R251" i="4"/>
  <c r="S251" i="4" s="1"/>
  <c r="AZ251" i="4" s="1"/>
  <c r="R247" i="4"/>
  <c r="S247" i="4" s="1"/>
  <c r="AZ247" i="4" s="1"/>
  <c r="R241" i="4"/>
  <c r="S241" i="4" s="1"/>
  <c r="AZ241" i="4" s="1"/>
  <c r="Y228" i="4"/>
  <c r="W228" i="4"/>
  <c r="R223" i="4"/>
  <c r="S223" i="4" s="1"/>
  <c r="AZ223" i="4" s="1"/>
  <c r="R219" i="4"/>
  <c r="S219" i="4" s="1"/>
  <c r="AZ219" i="4" s="1"/>
  <c r="R207" i="4"/>
  <c r="S207" i="4" s="1"/>
  <c r="AZ207" i="4"/>
  <c r="R201" i="4"/>
  <c r="S201" i="4" s="1"/>
  <c r="AZ201" i="4"/>
  <c r="R197" i="4"/>
  <c r="S197" i="4" s="1"/>
  <c r="AZ197" i="4"/>
  <c r="R193" i="4"/>
  <c r="S193" i="4" s="1"/>
  <c r="AZ193" i="4"/>
  <c r="BG178" i="4"/>
  <c r="U30" i="4"/>
  <c r="R173" i="4"/>
  <c r="S173" i="4" s="1"/>
  <c r="AZ173" i="4"/>
  <c r="R169" i="4"/>
  <c r="S169" i="4" s="1"/>
  <c r="AZ169" i="4"/>
  <c r="R161" i="4"/>
  <c r="S161" i="4" s="1"/>
  <c r="AZ161" i="4"/>
  <c r="R157" i="4"/>
  <c r="S157" i="4" s="1"/>
  <c r="AZ157" i="4"/>
  <c r="AM453" i="3"/>
  <c r="AM499" i="3"/>
  <c r="AM491" i="3"/>
  <c r="AG491" i="3"/>
  <c r="AM473" i="3"/>
  <c r="S471" i="3"/>
  <c r="AM483" i="3"/>
  <c r="S480" i="3"/>
  <c r="AM462" i="3"/>
  <c r="AG462" i="3"/>
  <c r="AA351" i="3"/>
  <c r="AB351" i="3" s="1"/>
  <c r="AC351" i="3" s="1"/>
  <c r="Y345" i="3"/>
  <c r="W345" i="3"/>
  <c r="AA345" i="3" s="1"/>
  <c r="AB345" i="3" s="1"/>
  <c r="AC345" i="3" s="1"/>
  <c r="Y319" i="3"/>
  <c r="W319" i="3"/>
  <c r="T24" i="5"/>
  <c r="V24" i="5"/>
  <c r="W24" i="5" s="1"/>
  <c r="C535" i="4"/>
  <c r="C526" i="4"/>
  <c r="Z352" i="4"/>
  <c r="Y352" i="4"/>
  <c r="AA352" i="4" s="1"/>
  <c r="AB352" i="4" s="1"/>
  <c r="AC352" i="4" s="1"/>
  <c r="Z341" i="4"/>
  <c r="V341" i="4"/>
  <c r="AA341" i="4" s="1"/>
  <c r="X341" i="4"/>
  <c r="R338" i="4"/>
  <c r="S338" i="4" s="1"/>
  <c r="AZ338" i="4" s="1"/>
  <c r="V323" i="4"/>
  <c r="AA323" i="4" s="1"/>
  <c r="X323" i="4"/>
  <c r="R320" i="4"/>
  <c r="S320" i="4" s="1"/>
  <c r="AZ320" i="4" s="1"/>
  <c r="R310" i="4"/>
  <c r="S310" i="4" s="1"/>
  <c r="AZ310" i="4" s="1"/>
  <c r="Z297" i="4"/>
  <c r="V297" i="4"/>
  <c r="X297" i="4"/>
  <c r="R294" i="4"/>
  <c r="S294" i="4" s="1"/>
  <c r="AZ294" i="4"/>
  <c r="R278" i="4"/>
  <c r="S278" i="4" s="1"/>
  <c r="AZ278" i="4"/>
  <c r="Z259" i="4"/>
  <c r="V259" i="4"/>
  <c r="X259" i="4"/>
  <c r="R256" i="4"/>
  <c r="S256" i="4" s="1"/>
  <c r="AZ256" i="4" s="1"/>
  <c r="Z241" i="4"/>
  <c r="V241" i="4"/>
  <c r="X241" i="4"/>
  <c r="R238" i="4"/>
  <c r="S238" i="4" s="1"/>
  <c r="AZ238" i="4"/>
  <c r="Z219" i="4"/>
  <c r="V219" i="4"/>
  <c r="X219" i="4"/>
  <c r="R216" i="4"/>
  <c r="S216" i="4" s="1"/>
  <c r="AZ216" i="4" s="1"/>
  <c r="R208" i="4"/>
  <c r="S208" i="4" s="1"/>
  <c r="AZ208" i="4" s="1"/>
  <c r="R202" i="4"/>
  <c r="S202" i="4" s="1"/>
  <c r="AZ202" i="4" s="1"/>
  <c r="X189" i="4"/>
  <c r="R186" i="4"/>
  <c r="S186" i="4" s="1"/>
  <c r="AZ186" i="4"/>
  <c r="X173" i="4"/>
  <c r="AA173" i="4" s="1"/>
  <c r="AB173" i="4" s="1"/>
  <c r="AC173" i="4" s="1"/>
  <c r="R170" i="4"/>
  <c r="S170" i="4" s="1"/>
  <c r="AZ170" i="4" s="1"/>
  <c r="X147" i="4"/>
  <c r="Z350" i="3"/>
  <c r="V350" i="3"/>
  <c r="X350" i="3"/>
  <c r="Z342" i="3"/>
  <c r="V342" i="3"/>
  <c r="X342" i="3"/>
  <c r="Z324" i="3"/>
  <c r="V324" i="3"/>
  <c r="AA324" i="3" s="1"/>
  <c r="AB324" i="3" s="1"/>
  <c r="AC324" i="3" s="1"/>
  <c r="X324" i="3"/>
  <c r="Z316" i="3"/>
  <c r="X316" i="3"/>
  <c r="AA316" i="3" s="1"/>
  <c r="AB316" i="3" s="1"/>
  <c r="AC316" i="3" s="1"/>
  <c r="X294" i="3"/>
  <c r="X286" i="3"/>
  <c r="X278" i="3"/>
  <c r="X268" i="3"/>
  <c r="X260" i="3"/>
  <c r="X252" i="3"/>
  <c r="W349" i="4"/>
  <c r="W342" i="4"/>
  <c r="AA342" i="4" s="1"/>
  <c r="AB342" i="4" s="1"/>
  <c r="AC342" i="4" s="1"/>
  <c r="Y342" i="4"/>
  <c r="W337" i="4"/>
  <c r="W329" i="4"/>
  <c r="V326" i="4"/>
  <c r="W316" i="4"/>
  <c r="AA316" i="4" s="1"/>
  <c r="AB316" i="4" s="1"/>
  <c r="AC316" i="4" s="1"/>
  <c r="Y316" i="4"/>
  <c r="W305" i="4"/>
  <c r="V296" i="4"/>
  <c r="W285" i="4"/>
  <c r="R271" i="4"/>
  <c r="S271" i="4" s="1"/>
  <c r="AZ271" i="4" s="1"/>
  <c r="W252" i="4"/>
  <c r="Y252" i="4"/>
  <c r="V240" i="4"/>
  <c r="V228" i="4"/>
  <c r="W219" i="4"/>
  <c r="Y212" i="4"/>
  <c r="V206" i="4"/>
  <c r="BG196" i="4"/>
  <c r="K34" i="4"/>
  <c r="V188" i="4"/>
  <c r="AA188" i="4" s="1"/>
  <c r="Z186" i="4"/>
  <c r="Y186" i="4"/>
  <c r="Z178" i="4"/>
  <c r="V178" i="4"/>
  <c r="Y178" i="4"/>
  <c r="V150" i="4"/>
  <c r="AA150" i="4" s="1"/>
  <c r="BG146" i="4"/>
  <c r="K23" i="4"/>
  <c r="AB351" i="4"/>
  <c r="AC351" i="4" s="1"/>
  <c r="AB347" i="4"/>
  <c r="AC347" i="4" s="1"/>
  <c r="AB343" i="4"/>
  <c r="AC343" i="4" s="1"/>
  <c r="AB331" i="4"/>
  <c r="AC331" i="4" s="1"/>
  <c r="AB321" i="4"/>
  <c r="AC321" i="4" s="1"/>
  <c r="AB313" i="4"/>
  <c r="AC313" i="4" s="1"/>
  <c r="AB307" i="4"/>
  <c r="AC307" i="4" s="1"/>
  <c r="AB303" i="4"/>
  <c r="AC303" i="4" s="1"/>
  <c r="AB299" i="4"/>
  <c r="AC299" i="4" s="1"/>
  <c r="AB287" i="4"/>
  <c r="AC287" i="4" s="1"/>
  <c r="AB283" i="4"/>
  <c r="AC283" i="4" s="1"/>
  <c r="AB279" i="4"/>
  <c r="AC279" i="4" s="1"/>
  <c r="AB275" i="4"/>
  <c r="AC275" i="4" s="1"/>
  <c r="AB271" i="4"/>
  <c r="AC271" i="4" s="1"/>
  <c r="AB269" i="4"/>
  <c r="AC269" i="4" s="1"/>
  <c r="AB265" i="4"/>
  <c r="AC265" i="4" s="1"/>
  <c r="AB261" i="4"/>
  <c r="AC261" i="4" s="1"/>
  <c r="AB257" i="4"/>
  <c r="AC257" i="4" s="1"/>
  <c r="AB235" i="4"/>
  <c r="AC235" i="4" s="1"/>
  <c r="AB231" i="4"/>
  <c r="AC231" i="4" s="1"/>
  <c r="AB227" i="4"/>
  <c r="AC227" i="4" s="1"/>
  <c r="AB213" i="4"/>
  <c r="AC213" i="4" s="1"/>
  <c r="AB205" i="4"/>
  <c r="AC205" i="4" s="1"/>
  <c r="AB203" i="4"/>
  <c r="AC203" i="4" s="1"/>
  <c r="AB187" i="4"/>
  <c r="AC187" i="4" s="1"/>
  <c r="AB167" i="4"/>
  <c r="AC167" i="4" s="1"/>
  <c r="AB336" i="4"/>
  <c r="AC336" i="4" s="1"/>
  <c r="AB328" i="4"/>
  <c r="AC328" i="4" s="1"/>
  <c r="AB254" i="4"/>
  <c r="AC254" i="4" s="1"/>
  <c r="AB246" i="4"/>
  <c r="AC246" i="4" s="1"/>
  <c r="AB236" i="4"/>
  <c r="AC236" i="4" s="1"/>
  <c r="AB232" i="4"/>
  <c r="AC232" i="4" s="1"/>
  <c r="AB226" i="4"/>
  <c r="AC226" i="4" s="1"/>
  <c r="AB222" i="4"/>
  <c r="AC222" i="4" s="1"/>
  <c r="AB204" i="4"/>
  <c r="AC204" i="4" s="1"/>
  <c r="AB188" i="4"/>
  <c r="AB184" i="4"/>
  <c r="AC184" i="4" s="1"/>
  <c r="AB180" i="4"/>
  <c r="AC180" i="4" s="1"/>
  <c r="AB150" i="4"/>
  <c r="AB341" i="4"/>
  <c r="AC341" i="4" s="1"/>
  <c r="AB327" i="4"/>
  <c r="AC327" i="4" s="1"/>
  <c r="AB323" i="4"/>
  <c r="AB319" i="4"/>
  <c r="AC319" i="4" s="1"/>
  <c r="AB315" i="4"/>
  <c r="AB311" i="4"/>
  <c r="AC311" i="4" s="1"/>
  <c r="AB281" i="4"/>
  <c r="AC281" i="4" s="1"/>
  <c r="AB273" i="4"/>
  <c r="AC273" i="4" s="1"/>
  <c r="AB251" i="4"/>
  <c r="AC251" i="4" s="1"/>
  <c r="AB245" i="4"/>
  <c r="AC245" i="4" s="1"/>
  <c r="AB237" i="4"/>
  <c r="AC237" i="4" s="1"/>
  <c r="AB233" i="4"/>
  <c r="AC233" i="4" s="1"/>
  <c r="AB215" i="4"/>
  <c r="AC215" i="4" s="1"/>
  <c r="AB193" i="4"/>
  <c r="AC193" i="4" s="1"/>
  <c r="AB181" i="4"/>
  <c r="AC181" i="4" s="1"/>
  <c r="AB157" i="4"/>
  <c r="AC157" i="4" s="1"/>
  <c r="AB155" i="4"/>
  <c r="AC155" i="4" s="1"/>
  <c r="AB353" i="4"/>
  <c r="AC353" i="4" s="1"/>
  <c r="AB338" i="4"/>
  <c r="AC338" i="4" s="1"/>
  <c r="AB320" i="4"/>
  <c r="AC320" i="4" s="1"/>
  <c r="AB310" i="4"/>
  <c r="AC310" i="4" s="1"/>
  <c r="AB302" i="4"/>
  <c r="AC302" i="4" s="1"/>
  <c r="AB290" i="4"/>
  <c r="AC290" i="4" s="1"/>
  <c r="AB282" i="4"/>
  <c r="AC282" i="4" s="1"/>
  <c r="AB274" i="4"/>
  <c r="AC274" i="4" s="1"/>
  <c r="AB208" i="4"/>
  <c r="AC208" i="4" s="1"/>
  <c r="AB190" i="4"/>
  <c r="AC190" i="4" s="1"/>
  <c r="AB182" i="4"/>
  <c r="AC182" i="4" s="1"/>
  <c r="AB174" i="4"/>
  <c r="AC174" i="4" s="1"/>
  <c r="AB166" i="4"/>
  <c r="AC166" i="4" s="1"/>
  <c r="AB162" i="4"/>
  <c r="AC162" i="4" s="1"/>
  <c r="AB156" i="4"/>
  <c r="AC156" i="4" s="1"/>
  <c r="W339" i="3"/>
  <c r="AA339" i="3" s="1"/>
  <c r="AB339" i="3" s="1"/>
  <c r="AC339" i="3" s="1"/>
  <c r="Y339" i="3"/>
  <c r="V337" i="3"/>
  <c r="W321" i="3"/>
  <c r="AA321" i="3" s="1"/>
  <c r="AB321" i="3" s="1"/>
  <c r="AC321" i="3" s="1"/>
  <c r="Y321" i="3"/>
  <c r="V319" i="3"/>
  <c r="W294" i="3"/>
  <c r="AA294" i="3" s="1"/>
  <c r="AB294" i="3" s="1"/>
  <c r="AC294" i="3" s="1"/>
  <c r="V277" i="3"/>
  <c r="V267" i="3"/>
  <c r="W260" i="3"/>
  <c r="AA260" i="3" s="1"/>
  <c r="AB260" i="3" s="1"/>
  <c r="AC260" i="3" s="1"/>
  <c r="W252" i="3"/>
  <c r="AA252" i="3" s="1"/>
  <c r="AB252" i="3" s="1"/>
  <c r="AC252" i="3" s="1"/>
  <c r="W216" i="3"/>
  <c r="AA207" i="3"/>
  <c r="AB207" i="3" s="1"/>
  <c r="AC207" i="3" s="1"/>
  <c r="AA339" i="4"/>
  <c r="AB339" i="4" s="1"/>
  <c r="AC339" i="4" s="1"/>
  <c r="Z316" i="4"/>
  <c r="Z300" i="4"/>
  <c r="Y289" i="4"/>
  <c r="Z256" i="4"/>
  <c r="Y247" i="4"/>
  <c r="Z225" i="4"/>
  <c r="X209" i="4"/>
  <c r="Z202" i="4"/>
  <c r="X200" i="4"/>
  <c r="Z192" i="4"/>
  <c r="W183" i="4"/>
  <c r="AA183" i="4" s="1"/>
  <c r="AB183" i="4" s="1"/>
  <c r="AC183" i="4" s="1"/>
  <c r="Y176" i="4"/>
  <c r="Z173" i="4"/>
  <c r="X163" i="4"/>
  <c r="X154" i="4"/>
  <c r="AA154" i="4" s="1"/>
  <c r="AB154" i="4" s="1"/>
  <c r="AC154" i="4" s="1"/>
  <c r="W149" i="4"/>
  <c r="D524" i="3"/>
  <c r="AZ456" i="3"/>
  <c r="Z345" i="3"/>
  <c r="X341" i="3"/>
  <c r="W313" i="3"/>
  <c r="AA313" i="3" s="1"/>
  <c r="AB313" i="3" s="1"/>
  <c r="AC313" i="3" s="1"/>
  <c r="Z303" i="3"/>
  <c r="Y293" i="3"/>
  <c r="Z265" i="3"/>
  <c r="Z259" i="3"/>
  <c r="Y216" i="3"/>
  <c r="Y202" i="3"/>
  <c r="R174" i="3"/>
  <c r="S174" i="3" s="1"/>
  <c r="AZ174" i="3" s="1"/>
  <c r="R244" i="2"/>
  <c r="S244" i="2" s="1"/>
  <c r="AZ244" i="2" s="1"/>
  <c r="R240" i="2"/>
  <c r="S240" i="2" s="1"/>
  <c r="AZ240" i="2" s="1"/>
  <c r="R236" i="2"/>
  <c r="S236" i="2" s="1"/>
  <c r="AZ236" i="2" s="1"/>
  <c r="R232" i="2"/>
  <c r="S232" i="2" s="1"/>
  <c r="AZ232" i="2" s="1"/>
  <c r="R228" i="2"/>
  <c r="S228" i="2" s="1"/>
  <c r="AZ228" i="2" s="1"/>
  <c r="Z325" i="4"/>
  <c r="Z318" i="4"/>
  <c r="X270" i="4"/>
  <c r="Y259" i="4"/>
  <c r="Z244" i="4"/>
  <c r="Z230" i="4"/>
  <c r="Z164" i="4"/>
  <c r="X153" i="4"/>
  <c r="V149" i="4"/>
  <c r="V344" i="3"/>
  <c r="Y320" i="3"/>
  <c r="Z306" i="3"/>
  <c r="X301" i="3"/>
  <c r="V296" i="3"/>
  <c r="X293" i="3"/>
  <c r="V288" i="3"/>
  <c r="AA288" i="3" s="1"/>
  <c r="AB288" i="3" s="1"/>
  <c r="AC288" i="3" s="1"/>
  <c r="W253" i="3"/>
  <c r="AA253" i="3" s="1"/>
  <c r="AB253" i="3" s="1"/>
  <c r="AC253" i="3" s="1"/>
  <c r="AA246" i="3"/>
  <c r="AB246" i="3" s="1"/>
  <c r="AC246" i="3" s="1"/>
  <c r="Z209" i="3"/>
  <c r="U32" i="3"/>
  <c r="BG209" i="3"/>
  <c r="Z183" i="3"/>
  <c r="V183" i="3"/>
  <c r="R179" i="3"/>
  <c r="S179" i="3" s="1"/>
  <c r="AZ179" i="3"/>
  <c r="BG178" i="3"/>
  <c r="U30" i="3"/>
  <c r="V176" i="3"/>
  <c r="Z176" i="3"/>
  <c r="X176" i="3"/>
  <c r="U28" i="3"/>
  <c r="BG171" i="3"/>
  <c r="R164" i="3"/>
  <c r="S164" i="3" s="1"/>
  <c r="AZ164" i="3"/>
  <c r="R154" i="3"/>
  <c r="S154" i="3" s="1"/>
  <c r="AZ154" i="3"/>
  <c r="AZ145" i="3"/>
  <c r="R145" i="3"/>
  <c r="S145" i="3" s="1"/>
  <c r="Y495" i="2"/>
  <c r="Y493" i="2"/>
  <c r="AN453" i="2"/>
  <c r="AN499" i="2"/>
  <c r="AN491" i="2"/>
  <c r="AH491" i="2"/>
  <c r="AN473" i="2"/>
  <c r="T471" i="2"/>
  <c r="AN483" i="2"/>
  <c r="T480" i="2"/>
  <c r="AN462" i="2"/>
  <c r="AH462" i="2"/>
  <c r="R345" i="2"/>
  <c r="S345" i="2" s="1"/>
  <c r="AZ345" i="2" s="1"/>
  <c r="R341" i="2"/>
  <c r="S341" i="2" s="1"/>
  <c r="AZ341" i="2" s="1"/>
  <c r="R337" i="2"/>
  <c r="S337" i="2" s="1"/>
  <c r="AZ337" i="2" s="1"/>
  <c r="R309" i="2"/>
  <c r="S309" i="2" s="1"/>
  <c r="AZ309" i="2"/>
  <c r="R305" i="2"/>
  <c r="S305" i="2" s="1"/>
  <c r="AZ305" i="2"/>
  <c r="R301" i="2"/>
  <c r="S301" i="2" s="1"/>
  <c r="AZ301" i="2"/>
  <c r="R297" i="2"/>
  <c r="S297" i="2" s="1"/>
  <c r="AZ297" i="2"/>
  <c r="R293" i="2"/>
  <c r="S293" i="2" s="1"/>
  <c r="AZ293" i="2"/>
  <c r="R289" i="2"/>
  <c r="S289" i="2" s="1"/>
  <c r="AZ289" i="2"/>
  <c r="R285" i="2"/>
  <c r="S285" i="2" s="1"/>
  <c r="AZ285" i="2"/>
  <c r="R267" i="2"/>
  <c r="S267" i="2" s="1"/>
  <c r="AZ267" i="2" s="1"/>
  <c r="R263" i="2"/>
  <c r="S263" i="2" s="1"/>
  <c r="AZ263" i="2" s="1"/>
  <c r="R247" i="2"/>
  <c r="S247" i="2" s="1"/>
  <c r="AZ247" i="2"/>
  <c r="R223" i="2"/>
  <c r="S223" i="2" s="1"/>
  <c r="AZ223" i="2" s="1"/>
  <c r="BG202" i="2"/>
  <c r="K36" i="2"/>
  <c r="R181" i="2"/>
  <c r="S181" i="2" s="1"/>
  <c r="AZ181" i="2"/>
  <c r="R165" i="2"/>
  <c r="S165" i="2" s="1"/>
  <c r="AZ165" i="2" s="1"/>
  <c r="AZ154" i="2"/>
  <c r="R154" i="2"/>
  <c r="S154" i="2" s="1"/>
  <c r="X332" i="4"/>
  <c r="X300" i="4"/>
  <c r="AA239" i="4"/>
  <c r="AB239" i="4" s="1"/>
  <c r="AC239" i="4" s="1"/>
  <c r="Y219" i="4"/>
  <c r="W198" i="4"/>
  <c r="W191" i="4"/>
  <c r="AA191" i="4" s="1"/>
  <c r="AB191" i="4" s="1"/>
  <c r="AC191" i="4" s="1"/>
  <c r="V171" i="4"/>
  <c r="AA171" i="4" s="1"/>
  <c r="AB171" i="4" s="1"/>
  <c r="AC171" i="4" s="1"/>
  <c r="Y164" i="4"/>
  <c r="T25" i="4"/>
  <c r="V25" i="4"/>
  <c r="Z154" i="4"/>
  <c r="T23" i="4"/>
  <c r="V23" i="4"/>
  <c r="W23" i="4" s="1"/>
  <c r="W148" i="4"/>
  <c r="AA148" i="4" s="1"/>
  <c r="AB148" i="4" s="1"/>
  <c r="AC148" i="4" s="1"/>
  <c r="Y342" i="3"/>
  <c r="Z337" i="3"/>
  <c r="Z312" i="3"/>
  <c r="X292" i="3"/>
  <c r="Z286" i="3"/>
  <c r="Y278" i="3"/>
  <c r="Y255" i="3"/>
  <c r="Z251" i="3"/>
  <c r="W244" i="3"/>
  <c r="AA244" i="3" s="1"/>
  <c r="AB244" i="3" s="1"/>
  <c r="AC244" i="3" s="1"/>
  <c r="Y243" i="3"/>
  <c r="W243" i="3"/>
  <c r="AA243" i="3" s="1"/>
  <c r="AB243" i="3" s="1"/>
  <c r="AC243" i="3" s="1"/>
  <c r="X238" i="3"/>
  <c r="Z238" i="3"/>
  <c r="V238" i="3"/>
  <c r="AA238" i="3" s="1"/>
  <c r="AB238" i="3" s="1"/>
  <c r="AC238" i="3" s="1"/>
  <c r="X217" i="3"/>
  <c r="Z206" i="3"/>
  <c r="V206" i="3"/>
  <c r="X206" i="3"/>
  <c r="R187" i="3"/>
  <c r="S187" i="3" s="1"/>
  <c r="AZ187" i="3"/>
  <c r="R185" i="3"/>
  <c r="S185" i="3" s="1"/>
  <c r="AZ185" i="3" s="1"/>
  <c r="W182" i="3"/>
  <c r="AA182" i="3" s="1"/>
  <c r="AB182" i="3" s="1"/>
  <c r="AC182" i="3" s="1"/>
  <c r="Z179" i="3"/>
  <c r="V179" i="3"/>
  <c r="AA177" i="3"/>
  <c r="AB177" i="3" s="1"/>
  <c r="BG170" i="3"/>
  <c r="U27" i="3"/>
  <c r="Z168" i="3"/>
  <c r="V168" i="3"/>
  <c r="AA168" i="3" s="1"/>
  <c r="AB168" i="3" s="1"/>
  <c r="W168" i="3"/>
  <c r="Z154" i="3"/>
  <c r="W154" i="3"/>
  <c r="E524" i="2"/>
  <c r="AZ457" i="2"/>
  <c r="Y475" i="2"/>
  <c r="Y473" i="2"/>
  <c r="BG351" i="2"/>
  <c r="K38" i="2"/>
  <c r="R310" i="2"/>
  <c r="S310" i="2" s="1"/>
  <c r="AZ310" i="2" s="1"/>
  <c r="AA295" i="2"/>
  <c r="AB295" i="2" s="1"/>
  <c r="AC295" i="2" s="1"/>
  <c r="R290" i="2"/>
  <c r="S290" i="2" s="1"/>
  <c r="AZ290" i="2"/>
  <c r="R286" i="2"/>
  <c r="S286" i="2" s="1"/>
  <c r="AZ286" i="2"/>
  <c r="R278" i="2"/>
  <c r="S278" i="2" s="1"/>
  <c r="AZ278" i="2"/>
  <c r="R274" i="2"/>
  <c r="S274" i="2" s="1"/>
  <c r="AZ274" i="2"/>
  <c r="AA239" i="2"/>
  <c r="AB239" i="2" s="1"/>
  <c r="AC239" i="2" s="1"/>
  <c r="AA225" i="2"/>
  <c r="AB225" i="2" s="1"/>
  <c r="AC225" i="2" s="1"/>
  <c r="BG209" i="2"/>
  <c r="U32" i="2"/>
  <c r="R194" i="2"/>
  <c r="S194" i="2" s="1"/>
  <c r="AZ194" i="2" s="1"/>
  <c r="BG171" i="2"/>
  <c r="U28" i="2"/>
  <c r="BG167" i="2"/>
  <c r="U26" i="2"/>
  <c r="AA163" i="2"/>
  <c r="AB163" i="2" s="1"/>
  <c r="AC163" i="2" s="1"/>
  <c r="R158" i="2"/>
  <c r="S158" i="2" s="1"/>
  <c r="AZ158" i="2"/>
  <c r="V355" i="2"/>
  <c r="V356" i="2"/>
  <c r="V357" i="2"/>
  <c r="V354" i="2"/>
  <c r="Y329" i="4"/>
  <c r="X318" i="4"/>
  <c r="AA295" i="4"/>
  <c r="AB295" i="4" s="1"/>
  <c r="AC295" i="4" s="1"/>
  <c r="Y285" i="4"/>
  <c r="X272" i="4"/>
  <c r="Z260" i="4"/>
  <c r="Z252" i="4"/>
  <c r="AA249" i="4"/>
  <c r="AB249" i="4" s="1"/>
  <c r="AC249" i="4" s="1"/>
  <c r="Z217" i="4"/>
  <c r="Y200" i="4"/>
  <c r="Z176" i="4"/>
  <c r="V153" i="4"/>
  <c r="X149" i="4"/>
  <c r="Z145" i="4"/>
  <c r="Y312" i="3"/>
  <c r="X305" i="3"/>
  <c r="AA305" i="3" s="1"/>
  <c r="AB305" i="3" s="1"/>
  <c r="AC305" i="3" s="1"/>
  <c r="V300" i="3"/>
  <c r="Z285" i="3"/>
  <c r="Y277" i="3"/>
  <c r="W265" i="3"/>
  <c r="AA265" i="3" s="1"/>
  <c r="AB265" i="3" s="1"/>
  <c r="AC265" i="3" s="1"/>
  <c r="X255" i="3"/>
  <c r="X241" i="3"/>
  <c r="AA241" i="3" s="1"/>
  <c r="AB241" i="3" s="1"/>
  <c r="AC241" i="3" s="1"/>
  <c r="AA225" i="3"/>
  <c r="AB225" i="3" s="1"/>
  <c r="AC225" i="3" s="1"/>
  <c r="W215" i="3"/>
  <c r="AA215" i="3" s="1"/>
  <c r="AB215" i="3" s="1"/>
  <c r="AC215" i="3" s="1"/>
  <c r="X209" i="3"/>
  <c r="Z201" i="3"/>
  <c r="W178" i="3"/>
  <c r="V175" i="3"/>
  <c r="W147" i="3"/>
  <c r="AA147" i="3" s="1"/>
  <c r="AB147" i="3" s="1"/>
  <c r="AC147" i="3" s="1"/>
  <c r="X147" i="3"/>
  <c r="R246" i="3"/>
  <c r="S246" i="3" s="1"/>
  <c r="AZ246" i="3" s="1"/>
  <c r="R205" i="3"/>
  <c r="S205" i="3" s="1"/>
  <c r="AZ205" i="3" s="1"/>
  <c r="R227" i="3"/>
  <c r="S227" i="3" s="1"/>
  <c r="AZ227" i="3" s="1"/>
  <c r="W346" i="2"/>
  <c r="X346" i="2"/>
  <c r="W342" i="2"/>
  <c r="X342" i="2"/>
  <c r="W334" i="2"/>
  <c r="AA334" i="2" s="1"/>
  <c r="AB334" i="2" s="1"/>
  <c r="AC334" i="2" s="1"/>
  <c r="X334" i="2"/>
  <c r="W330" i="2"/>
  <c r="AA330" i="2" s="1"/>
  <c r="AB330" i="2" s="1"/>
  <c r="AC330" i="2" s="1"/>
  <c r="X330" i="2"/>
  <c r="W320" i="2"/>
  <c r="AA320" i="2" s="1"/>
  <c r="AB320" i="2" s="1"/>
  <c r="AC320" i="2" s="1"/>
  <c r="W316" i="2"/>
  <c r="AA316" i="2" s="1"/>
  <c r="AB316" i="2" s="1"/>
  <c r="AC316" i="2" s="1"/>
  <c r="X316" i="2"/>
  <c r="W234" i="2"/>
  <c r="AA234" i="2" s="1"/>
  <c r="AB234" i="2" s="1"/>
  <c r="AC234" i="2" s="1"/>
  <c r="X234" i="2"/>
  <c r="W194" i="2"/>
  <c r="X194" i="2"/>
  <c r="W158" i="2"/>
  <c r="AA158" i="2" s="1"/>
  <c r="AB158" i="2" s="1"/>
  <c r="AC158" i="2" s="1"/>
  <c r="W152" i="2"/>
  <c r="AA152" i="2" s="1"/>
  <c r="AB152" i="2" s="1"/>
  <c r="AC152" i="2" s="1"/>
  <c r="X152" i="2"/>
  <c r="W148" i="2"/>
  <c r="W357" i="2" s="1"/>
  <c r="X148" i="2"/>
  <c r="X355" i="2" s="1"/>
  <c r="BG146" i="2"/>
  <c r="K23" i="2"/>
  <c r="Z186" i="3"/>
  <c r="Z169" i="3"/>
  <c r="Y154" i="3"/>
  <c r="Z151" i="3"/>
  <c r="AA344" i="2"/>
  <c r="AB344" i="2" s="1"/>
  <c r="AC344" i="2" s="1"/>
  <c r="Y339" i="2"/>
  <c r="AA339" i="2" s="1"/>
  <c r="AB339" i="2" s="1"/>
  <c r="AC339" i="2" s="1"/>
  <c r="Z312" i="2"/>
  <c r="Y278" i="2"/>
  <c r="AA278" i="2" s="1"/>
  <c r="AB278" i="2" s="1"/>
  <c r="AC278" i="2" s="1"/>
  <c r="Z264" i="2"/>
  <c r="AA259" i="2"/>
  <c r="AB259" i="2" s="1"/>
  <c r="AC259" i="2" s="1"/>
  <c r="AA240" i="2"/>
  <c r="AB240" i="2" s="1"/>
  <c r="AC240" i="2" s="1"/>
  <c r="X209" i="2"/>
  <c r="AA209" i="2" s="1"/>
  <c r="AB209" i="2" s="1"/>
  <c r="AC209" i="2" s="1"/>
  <c r="Y199" i="2"/>
  <c r="AA199" i="2" s="1"/>
  <c r="AB199" i="2" s="1"/>
  <c r="AC199" i="2" s="1"/>
  <c r="X195" i="2"/>
  <c r="AA176" i="2"/>
  <c r="AB176" i="2" s="1"/>
  <c r="AC176" i="2" s="1"/>
  <c r="AA165" i="2"/>
  <c r="AB165" i="2" s="1"/>
  <c r="AC165" i="2" s="1"/>
  <c r="Y145" i="2"/>
  <c r="AA145" i="2" s="1"/>
  <c r="AB145" i="2" s="1"/>
  <c r="AC145" i="2" s="1"/>
  <c r="Y165" i="3"/>
  <c r="AA165" i="3" s="1"/>
  <c r="AB165" i="3" s="1"/>
  <c r="AC165" i="3" s="1"/>
  <c r="T24" i="3"/>
  <c r="V24" i="3"/>
  <c r="Y151" i="3"/>
  <c r="AA151" i="3" s="1"/>
  <c r="AB151" i="3" s="1"/>
  <c r="AC151" i="3" s="1"/>
  <c r="Z317" i="2"/>
  <c r="AA317" i="2" s="1"/>
  <c r="AB317" i="2" s="1"/>
  <c r="AC317" i="2" s="1"/>
  <c r="Y312" i="2"/>
  <c r="AA301" i="2"/>
  <c r="AB301" i="2" s="1"/>
  <c r="AC301" i="2" s="1"/>
  <c r="Z286" i="2"/>
  <c r="Z268" i="2"/>
  <c r="Y256" i="2"/>
  <c r="Y249" i="2"/>
  <c r="AA249" i="2" s="1"/>
  <c r="AB249" i="2" s="1"/>
  <c r="AC249" i="2" s="1"/>
  <c r="Z243" i="2"/>
  <c r="AA243" i="2" s="1"/>
  <c r="AB243" i="2" s="1"/>
  <c r="AC243" i="2" s="1"/>
  <c r="Y212" i="2"/>
  <c r="AA212" i="2" s="1"/>
  <c r="AB212" i="2" s="1"/>
  <c r="AC212" i="2" s="1"/>
  <c r="AA201" i="2"/>
  <c r="AB201" i="2" s="1"/>
  <c r="AC201" i="2" s="1"/>
  <c r="Y175" i="2"/>
  <c r="AA175" i="2" s="1"/>
  <c r="AB175" i="2" s="1"/>
  <c r="AC175" i="2" s="1"/>
  <c r="Z162" i="2"/>
  <c r="AA162" i="2" s="1"/>
  <c r="AB162" i="2" s="1"/>
  <c r="AC162" i="2" s="1"/>
  <c r="Z145" i="2"/>
  <c r="Y171" i="3"/>
  <c r="Y166" i="3"/>
  <c r="AA149" i="3"/>
  <c r="AB149" i="3" s="1"/>
  <c r="AC149" i="3" s="1"/>
  <c r="X347" i="2"/>
  <c r="AA347" i="2" s="1"/>
  <c r="AB347" i="2" s="1"/>
  <c r="AC347" i="2" s="1"/>
  <c r="AA341" i="2"/>
  <c r="AB341" i="2" s="1"/>
  <c r="AC341" i="2" s="1"/>
  <c r="AA332" i="2"/>
  <c r="AB332" i="2" s="1"/>
  <c r="AC332" i="2" s="1"/>
  <c r="Y313" i="2"/>
  <c r="AA313" i="2" s="1"/>
  <c r="AB313" i="2" s="1"/>
  <c r="AC313" i="2" s="1"/>
  <c r="Z298" i="2"/>
  <c r="AA285" i="2"/>
  <c r="AB285" i="2" s="1"/>
  <c r="AC285" i="2" s="1"/>
  <c r="AA272" i="2"/>
  <c r="AB272" i="2" s="1"/>
  <c r="AC272" i="2" s="1"/>
  <c r="Y253" i="2"/>
  <c r="AA253" i="2" s="1"/>
  <c r="AB253" i="2" s="1"/>
  <c r="AC253" i="2" s="1"/>
  <c r="Y231" i="2"/>
  <c r="AA231" i="2" s="1"/>
  <c r="AB231" i="2" s="1"/>
  <c r="AC231" i="2" s="1"/>
  <c r="Z208" i="2"/>
  <c r="AA208" i="2" s="1"/>
  <c r="AB208" i="2" s="1"/>
  <c r="AC208" i="2" s="1"/>
  <c r="Y153" i="2"/>
  <c r="AA153" i="2" s="1"/>
  <c r="AB153" i="2" s="1"/>
  <c r="AC153" i="2" s="1"/>
  <c r="AA151" i="2"/>
  <c r="AB151" i="2" s="1"/>
  <c r="AC151" i="2" s="1"/>
  <c r="X240" i="3"/>
  <c r="X232" i="3"/>
  <c r="Y343" i="2"/>
  <c r="AA343" i="2" s="1"/>
  <c r="AB343" i="2" s="1"/>
  <c r="AC343" i="2" s="1"/>
  <c r="Y330" i="2"/>
  <c r="Z325" i="2"/>
  <c r="AA325" i="2" s="1"/>
  <c r="AB325" i="2" s="1"/>
  <c r="AC325" i="2" s="1"/>
  <c r="Y316" i="2"/>
  <c r="Z252" i="2"/>
  <c r="AA252" i="2" s="1"/>
  <c r="AB252" i="2" s="1"/>
  <c r="AC252" i="2" s="1"/>
  <c r="Z231" i="2"/>
  <c r="AA207" i="2"/>
  <c r="AB207" i="2" s="1"/>
  <c r="AC207" i="2" s="1"/>
  <c r="AA197" i="2"/>
  <c r="AB197" i="2" s="1"/>
  <c r="AC197" i="2" s="1"/>
  <c r="Y148" i="2"/>
  <c r="AG492" i="11"/>
  <c r="G512" i="11"/>
  <c r="J510" i="11"/>
  <c r="I510" i="11"/>
  <c r="J516" i="10"/>
  <c r="I516" i="10"/>
  <c r="AL466" i="10"/>
  <c r="AL467" i="10" s="1"/>
  <c r="AL464" i="10"/>
  <c r="AL465" i="10" s="1"/>
  <c r="F76" i="11"/>
  <c r="F87" i="11"/>
  <c r="L76" i="11"/>
  <c r="AL475" i="10"/>
  <c r="AL476" i="10" s="1"/>
  <c r="AL477" i="10"/>
  <c r="AL478" i="10" s="1"/>
  <c r="R484" i="10"/>
  <c r="R485" i="10" s="1"/>
  <c r="R482" i="10"/>
  <c r="R483" i="10" s="1"/>
  <c r="J515" i="10"/>
  <c r="I515" i="10"/>
  <c r="J467" i="10"/>
  <c r="D511" i="10"/>
  <c r="V465" i="10"/>
  <c r="H528" i="10" s="1"/>
  <c r="R465" i="10"/>
  <c r="V463" i="10"/>
  <c r="F528" i="10" s="1"/>
  <c r="R463" i="10"/>
  <c r="R464" i="10" s="1"/>
  <c r="V464" i="10"/>
  <c r="G528" i="10" s="1"/>
  <c r="J517" i="10"/>
  <c r="I517" i="10"/>
  <c r="M467" i="10"/>
  <c r="AG463" i="10"/>
  <c r="G511" i="10"/>
  <c r="J518" i="10"/>
  <c r="I518" i="10"/>
  <c r="O518" i="10" s="1"/>
  <c r="L76" i="10"/>
  <c r="F76" i="10"/>
  <c r="F87" i="10"/>
  <c r="L72" i="10"/>
  <c r="F72" i="10"/>
  <c r="F83" i="10"/>
  <c r="AL503" i="9"/>
  <c r="AL504" i="9" s="1"/>
  <c r="AL501" i="9"/>
  <c r="AL502" i="9" s="1"/>
  <c r="R482" i="9"/>
  <c r="R483" i="9" s="1"/>
  <c r="R484" i="9"/>
  <c r="R485" i="9" s="1"/>
  <c r="H511" i="9"/>
  <c r="N467" i="9"/>
  <c r="AH463" i="9"/>
  <c r="J517" i="9"/>
  <c r="I517" i="9"/>
  <c r="AE492" i="9"/>
  <c r="E512" i="9"/>
  <c r="F75" i="10"/>
  <c r="F86" i="10"/>
  <c r="L75" i="10"/>
  <c r="M517" i="9"/>
  <c r="J516" i="9"/>
  <c r="I516" i="9"/>
  <c r="L513" i="9"/>
  <c r="M518" i="8"/>
  <c r="M510" i="8"/>
  <c r="AL477" i="8"/>
  <c r="AL478" i="8" s="1"/>
  <c r="AL475" i="8"/>
  <c r="AL476" i="8" s="1"/>
  <c r="J514" i="8"/>
  <c r="I514" i="8"/>
  <c r="AL457" i="8"/>
  <c r="AL458" i="8" s="1"/>
  <c r="AL455" i="8"/>
  <c r="AL456" i="8" s="1"/>
  <c r="I68" i="9"/>
  <c r="AL495" i="8"/>
  <c r="AL496" i="8" s="1"/>
  <c r="AL493" i="8"/>
  <c r="AL494" i="8" s="1"/>
  <c r="O515" i="8"/>
  <c r="AH463" i="8"/>
  <c r="H511" i="8"/>
  <c r="N467" i="8"/>
  <c r="D511" i="8"/>
  <c r="V465" i="8"/>
  <c r="H528" i="8" s="1"/>
  <c r="R465" i="8"/>
  <c r="R466" i="8" s="1"/>
  <c r="V463" i="8"/>
  <c r="F528" i="8" s="1"/>
  <c r="R463" i="8"/>
  <c r="R464" i="8" s="1"/>
  <c r="V464" i="8"/>
  <c r="G528" i="8" s="1"/>
  <c r="J467" i="8"/>
  <c r="O510" i="8"/>
  <c r="L516" i="8"/>
  <c r="N515" i="8"/>
  <c r="N513" i="8"/>
  <c r="O514" i="7"/>
  <c r="I69" i="8"/>
  <c r="AL503" i="7"/>
  <c r="AL504" i="7" s="1"/>
  <c r="AL501" i="7"/>
  <c r="AL502" i="7" s="1"/>
  <c r="R482" i="7"/>
  <c r="R483" i="7" s="1"/>
  <c r="R484" i="7"/>
  <c r="R485" i="7" s="1"/>
  <c r="AF492" i="7"/>
  <c r="F512" i="7"/>
  <c r="J510" i="7"/>
  <c r="I510" i="7"/>
  <c r="AL485" i="7"/>
  <c r="AL486" i="7" s="1"/>
  <c r="AL487" i="7"/>
  <c r="AL488" i="7" s="1"/>
  <c r="M514" i="7"/>
  <c r="F86" i="8"/>
  <c r="L75" i="8"/>
  <c r="F75" i="8"/>
  <c r="J516" i="7"/>
  <c r="I516" i="7"/>
  <c r="L467" i="7"/>
  <c r="AF463" i="7"/>
  <c r="F511" i="7"/>
  <c r="F84" i="7"/>
  <c r="L73" i="7"/>
  <c r="F73" i="7"/>
  <c r="J516" i="6"/>
  <c r="I516" i="6"/>
  <c r="K516" i="6" s="1"/>
  <c r="AL466" i="6"/>
  <c r="AL467" i="6" s="1"/>
  <c r="AL464" i="6"/>
  <c r="AL465" i="6" s="1"/>
  <c r="F76" i="7"/>
  <c r="F87" i="7"/>
  <c r="L76" i="7"/>
  <c r="F72" i="7"/>
  <c r="F83" i="7"/>
  <c r="L72" i="7"/>
  <c r="I69" i="7"/>
  <c r="R484" i="6"/>
  <c r="R482" i="6"/>
  <c r="R483" i="6" s="1"/>
  <c r="J515" i="6"/>
  <c r="I515" i="6"/>
  <c r="L515" i="6" s="1"/>
  <c r="J513" i="6"/>
  <c r="I513" i="6"/>
  <c r="AG492" i="6"/>
  <c r="G512" i="6"/>
  <c r="O514" i="5"/>
  <c r="AE492" i="6"/>
  <c r="E512" i="6"/>
  <c r="E74" i="6"/>
  <c r="E70" i="6"/>
  <c r="E68" i="6"/>
  <c r="L68" i="6" s="1"/>
  <c r="I68" i="6" s="1"/>
  <c r="O517" i="6"/>
  <c r="AL475" i="6"/>
  <c r="AL476" i="6" s="1"/>
  <c r="AL477" i="6"/>
  <c r="J514" i="6"/>
  <c r="I514" i="6"/>
  <c r="K510" i="5"/>
  <c r="P510" i="5" s="1"/>
  <c r="J510" i="5"/>
  <c r="I510" i="5"/>
  <c r="O510" i="5" s="1"/>
  <c r="AL485" i="5"/>
  <c r="AL486" i="5" s="1"/>
  <c r="AL487" i="5"/>
  <c r="AL488" i="5" s="1"/>
  <c r="N514" i="5"/>
  <c r="O514" i="4"/>
  <c r="AL495" i="5"/>
  <c r="AL496" i="5" s="1"/>
  <c r="AL493" i="5"/>
  <c r="AL494" i="5" s="1"/>
  <c r="V493" i="5"/>
  <c r="K529" i="5" s="1"/>
  <c r="R493" i="5"/>
  <c r="R494" i="5" s="1"/>
  <c r="V492" i="5"/>
  <c r="J529" i="5" s="1"/>
  <c r="D512" i="5"/>
  <c r="V491" i="5"/>
  <c r="I529" i="5" s="1"/>
  <c r="R491" i="5"/>
  <c r="R492" i="5" s="1"/>
  <c r="I69" i="5"/>
  <c r="AL503" i="4"/>
  <c r="AL504" i="4" s="1"/>
  <c r="AL501" i="4"/>
  <c r="AL502" i="4" s="1"/>
  <c r="R482" i="4"/>
  <c r="R483" i="4" s="1"/>
  <c r="R484" i="4"/>
  <c r="R485" i="4" s="1"/>
  <c r="AF492" i="4"/>
  <c r="F512" i="4"/>
  <c r="I517" i="5"/>
  <c r="J517" i="5"/>
  <c r="J518" i="4"/>
  <c r="L518" i="4" s="1"/>
  <c r="I518" i="4"/>
  <c r="O517" i="4"/>
  <c r="AL503" i="5"/>
  <c r="AL504" i="5" s="1"/>
  <c r="AL501" i="5"/>
  <c r="AL502" i="5" s="1"/>
  <c r="R484" i="5"/>
  <c r="R485" i="5" s="1"/>
  <c r="R482" i="5"/>
  <c r="R483" i="5" s="1"/>
  <c r="M467" i="5"/>
  <c r="G511" i="5"/>
  <c r="AG463" i="5"/>
  <c r="I69" i="4"/>
  <c r="L510" i="3"/>
  <c r="J515" i="3"/>
  <c r="N515" i="3" s="1"/>
  <c r="I515" i="3"/>
  <c r="AL466" i="4"/>
  <c r="AL467" i="4" s="1"/>
  <c r="AL464" i="4"/>
  <c r="AL465" i="4" s="1"/>
  <c r="J518" i="3"/>
  <c r="M518" i="3" s="1"/>
  <c r="I518" i="3"/>
  <c r="O510" i="3"/>
  <c r="AL487" i="3"/>
  <c r="AL488" i="3" s="1"/>
  <c r="AL485" i="3"/>
  <c r="AL486" i="3" s="1"/>
  <c r="F75" i="4"/>
  <c r="F86" i="4"/>
  <c r="L75" i="4"/>
  <c r="J516" i="3"/>
  <c r="L516" i="3" s="1"/>
  <c r="I516" i="3"/>
  <c r="M510" i="3"/>
  <c r="K467" i="3"/>
  <c r="AE463" i="3"/>
  <c r="E511" i="3"/>
  <c r="M518" i="2"/>
  <c r="M510" i="2"/>
  <c r="AL477" i="2"/>
  <c r="AL478" i="2" s="1"/>
  <c r="AL475" i="2"/>
  <c r="AL476" i="2" s="1"/>
  <c r="J514" i="2"/>
  <c r="I514" i="2"/>
  <c r="AL457" i="2"/>
  <c r="AL458" i="2" s="1"/>
  <c r="AL455" i="2"/>
  <c r="I68" i="3"/>
  <c r="AL495" i="2"/>
  <c r="AL496" i="2" s="1"/>
  <c r="AL493" i="2"/>
  <c r="O515" i="2"/>
  <c r="AH463" i="2"/>
  <c r="H511" i="2"/>
  <c r="N467" i="2"/>
  <c r="D511" i="2"/>
  <c r="V465" i="2"/>
  <c r="H528" i="2" s="1"/>
  <c r="R465" i="2"/>
  <c r="R466" i="2" s="1"/>
  <c r="V463" i="2"/>
  <c r="F528" i="2" s="1"/>
  <c r="R463" i="2"/>
  <c r="R464" i="2" s="1"/>
  <c r="V464" i="2"/>
  <c r="G528" i="2" s="1"/>
  <c r="J467" i="2"/>
  <c r="O510" i="2"/>
  <c r="N515" i="2"/>
  <c r="L76" i="2"/>
  <c r="F76" i="2"/>
  <c r="F87" i="2"/>
  <c r="F86" i="3"/>
  <c r="L75" i="3"/>
  <c r="F75" i="3"/>
  <c r="J516" i="2"/>
  <c r="I516" i="2"/>
  <c r="L467" i="2"/>
  <c r="AF463" i="2"/>
  <c r="F511" i="2"/>
  <c r="I69" i="2"/>
  <c r="C536" i="11"/>
  <c r="E533" i="11" s="1"/>
  <c r="C528" i="11"/>
  <c r="BG336" i="11"/>
  <c r="U36" i="11"/>
  <c r="BG235" i="11"/>
  <c r="U37" i="11"/>
  <c r="BG202" i="11"/>
  <c r="K36" i="11"/>
  <c r="R186" i="11"/>
  <c r="S186" i="11" s="1"/>
  <c r="AZ186" i="11" s="1"/>
  <c r="R172" i="11"/>
  <c r="S172" i="11" s="1"/>
  <c r="AZ172" i="11" s="1"/>
  <c r="AZ154" i="11"/>
  <c r="R154" i="11"/>
  <c r="S154" i="11" s="1"/>
  <c r="BG186" i="11"/>
  <c r="K31" i="11"/>
  <c r="R177" i="11"/>
  <c r="S177" i="11" s="1"/>
  <c r="AZ177" i="11" s="1"/>
  <c r="R174" i="11"/>
  <c r="S174" i="11" s="1"/>
  <c r="AZ174" i="11" s="1"/>
  <c r="R162" i="11"/>
  <c r="S162" i="11" s="1"/>
  <c r="AZ162" i="11"/>
  <c r="R155" i="11"/>
  <c r="S155" i="11" s="1"/>
  <c r="AZ155" i="11" s="1"/>
  <c r="R215" i="11"/>
  <c r="S215" i="11" s="1"/>
  <c r="AZ215" i="11" s="1"/>
  <c r="R184" i="11"/>
  <c r="S184" i="11" s="1"/>
  <c r="AZ184" i="11" s="1"/>
  <c r="R227" i="11"/>
  <c r="S227" i="11" s="1"/>
  <c r="AZ227" i="11" s="1"/>
  <c r="R179" i="11"/>
  <c r="S179" i="11" s="1"/>
  <c r="AZ179" i="11" s="1"/>
  <c r="BG172" i="11"/>
  <c r="K27" i="11"/>
  <c r="U29" i="11"/>
  <c r="BG154" i="11"/>
  <c r="K25" i="11"/>
  <c r="R145" i="11"/>
  <c r="S145" i="11" s="1"/>
  <c r="AZ145" i="11" s="1"/>
  <c r="U22" i="11"/>
  <c r="BG145" i="11"/>
  <c r="K22" i="11"/>
  <c r="Y503" i="10"/>
  <c r="Y501" i="10"/>
  <c r="R466" i="10"/>
  <c r="BG178" i="11"/>
  <c r="U30" i="11"/>
  <c r="BG174" i="11"/>
  <c r="K29" i="11"/>
  <c r="AZ280" i="10"/>
  <c r="R280" i="10"/>
  <c r="S280" i="10" s="1"/>
  <c r="R234" i="10"/>
  <c r="S234" i="10" s="1"/>
  <c r="AZ234" i="10" s="1"/>
  <c r="BG203" i="10"/>
  <c r="K37" i="10"/>
  <c r="AZ179" i="10"/>
  <c r="R179" i="10"/>
  <c r="S179" i="10" s="1"/>
  <c r="R175" i="10"/>
  <c r="S175" i="10" s="1"/>
  <c r="AZ175" i="10" s="1"/>
  <c r="AZ171" i="10"/>
  <c r="R171" i="10"/>
  <c r="S171" i="10" s="1"/>
  <c r="R167" i="10"/>
  <c r="S167" i="10" s="1"/>
  <c r="AZ167" i="10" s="1"/>
  <c r="R163" i="10"/>
  <c r="S163" i="10" s="1"/>
  <c r="AZ163" i="10" s="1"/>
  <c r="R159" i="10"/>
  <c r="S159" i="10" s="1"/>
  <c r="AZ159" i="10" s="1"/>
  <c r="R238" i="10"/>
  <c r="S238" i="10" s="1"/>
  <c r="AZ238" i="10" s="1"/>
  <c r="R222" i="10"/>
  <c r="S222" i="10" s="1"/>
  <c r="AZ222" i="10" s="1"/>
  <c r="R177" i="10"/>
  <c r="S177" i="10" s="1"/>
  <c r="AZ177" i="10" s="1"/>
  <c r="R161" i="10"/>
  <c r="S161" i="10" s="1"/>
  <c r="AZ161" i="10" s="1"/>
  <c r="R147" i="10"/>
  <c r="S147" i="10" s="1"/>
  <c r="AZ147" i="10" s="1"/>
  <c r="AA303" i="9"/>
  <c r="AB303" i="9" s="1"/>
  <c r="AC303" i="9" s="1"/>
  <c r="R212" i="10"/>
  <c r="S212" i="10" s="1"/>
  <c r="AZ212" i="10"/>
  <c r="R204" i="10"/>
  <c r="S204" i="10" s="1"/>
  <c r="AZ204" i="10" s="1"/>
  <c r="R196" i="10"/>
  <c r="S196" i="10" s="1"/>
  <c r="AZ196" i="10" s="1"/>
  <c r="R188" i="10"/>
  <c r="S188" i="10" s="1"/>
  <c r="AZ188" i="10" s="1"/>
  <c r="R180" i="10"/>
  <c r="S180" i="10" s="1"/>
  <c r="AZ180" i="10" s="1"/>
  <c r="R170" i="10"/>
  <c r="S170" i="10" s="1"/>
  <c r="AZ170" i="10"/>
  <c r="R148" i="10"/>
  <c r="S148" i="10" s="1"/>
  <c r="AZ148" i="10"/>
  <c r="Z358" i="10"/>
  <c r="AZ199" i="10"/>
  <c r="R199" i="10"/>
  <c r="S199" i="10" s="1"/>
  <c r="AZ205" i="10"/>
  <c r="R205" i="10"/>
  <c r="S205" i="10" s="1"/>
  <c r="R221" i="10"/>
  <c r="S221" i="10" s="1"/>
  <c r="AZ221" i="10" s="1"/>
  <c r="AZ227" i="10"/>
  <c r="R227" i="10"/>
  <c r="S227" i="10" s="1"/>
  <c r="R286" i="10"/>
  <c r="S286" i="10" s="1"/>
  <c r="AZ286" i="10" s="1"/>
  <c r="R181" i="10"/>
  <c r="S181" i="10" s="1"/>
  <c r="AZ181" i="10"/>
  <c r="R197" i="10"/>
  <c r="S197" i="10" s="1"/>
  <c r="AZ197" i="10"/>
  <c r="R207" i="10"/>
  <c r="S207" i="10" s="1"/>
  <c r="AZ207" i="10" s="1"/>
  <c r="R223" i="10"/>
  <c r="S223" i="10" s="1"/>
  <c r="AZ223" i="10" s="1"/>
  <c r="R233" i="10"/>
  <c r="S233" i="10" s="1"/>
  <c r="AZ233" i="10" s="1"/>
  <c r="R304" i="10"/>
  <c r="S304" i="10" s="1"/>
  <c r="AZ304" i="10"/>
  <c r="C535" i="9"/>
  <c r="C526" i="9"/>
  <c r="V349" i="9"/>
  <c r="AA349" i="9" s="1"/>
  <c r="AB349" i="9" s="1"/>
  <c r="AC349" i="9" s="1"/>
  <c r="Z345" i="9"/>
  <c r="W345" i="9"/>
  <c r="V345" i="9"/>
  <c r="AA345" i="9" s="1"/>
  <c r="AB345" i="9" s="1"/>
  <c r="AC345" i="9" s="1"/>
  <c r="Y340" i="9"/>
  <c r="V340" i="9"/>
  <c r="AA340" i="9" s="1"/>
  <c r="AB340" i="9" s="1"/>
  <c r="AC340" i="9" s="1"/>
  <c r="Z340" i="9"/>
  <c r="Z324" i="9"/>
  <c r="W337" i="9"/>
  <c r="AA337" i="9" s="1"/>
  <c r="AB337" i="9" s="1"/>
  <c r="AC337" i="9" s="1"/>
  <c r="W332" i="9"/>
  <c r="BG174" i="10"/>
  <c r="K29" i="10"/>
  <c r="Z350" i="9"/>
  <c r="W343" i="9"/>
  <c r="AA343" i="9" s="1"/>
  <c r="AB343" i="9" s="1"/>
  <c r="AC343" i="9" s="1"/>
  <c r="Z334" i="9"/>
  <c r="Z326" i="9"/>
  <c r="V326" i="9"/>
  <c r="AA326" i="9" s="1"/>
  <c r="AB326" i="9" s="1"/>
  <c r="AC326" i="9" s="1"/>
  <c r="Y326" i="9"/>
  <c r="Z323" i="9"/>
  <c r="V323" i="9"/>
  <c r="Z337" i="9"/>
  <c r="W316" i="9"/>
  <c r="AA316" i="9" s="1"/>
  <c r="AB316" i="9" s="1"/>
  <c r="AC316" i="9" s="1"/>
  <c r="W305" i="9"/>
  <c r="AA305" i="9" s="1"/>
  <c r="AB305" i="9" s="1"/>
  <c r="AC305" i="9" s="1"/>
  <c r="X304" i="9"/>
  <c r="X312" i="9"/>
  <c r="AA312" i="9" s="1"/>
  <c r="AB312" i="9" s="1"/>
  <c r="AC312" i="9" s="1"/>
  <c r="V309" i="9"/>
  <c r="AA309" i="9" s="1"/>
  <c r="AB309" i="9" s="1"/>
  <c r="AC309" i="9" s="1"/>
  <c r="W288" i="9"/>
  <c r="Y270" i="9"/>
  <c r="AA252" i="9"/>
  <c r="AB252" i="9" s="1"/>
  <c r="AC252" i="9" s="1"/>
  <c r="Y228" i="9"/>
  <c r="W313" i="9"/>
  <c r="AA313" i="9" s="1"/>
  <c r="AB313" i="9" s="1"/>
  <c r="AC313" i="9" s="1"/>
  <c r="V301" i="9"/>
  <c r="W301" i="9"/>
  <c r="Y297" i="9"/>
  <c r="Z287" i="9"/>
  <c r="AA260" i="9"/>
  <c r="AB260" i="9" s="1"/>
  <c r="AC260" i="9" s="1"/>
  <c r="Z240" i="9"/>
  <c r="V240" i="9"/>
  <c r="W240" i="9"/>
  <c r="V224" i="9"/>
  <c r="AA224" i="9" s="1"/>
  <c r="AB224" i="9" s="1"/>
  <c r="AC224" i="9" s="1"/>
  <c r="Z218" i="9"/>
  <c r="V218" i="9"/>
  <c r="AA218" i="9" s="1"/>
  <c r="AB218" i="9" s="1"/>
  <c r="AC218" i="9" s="1"/>
  <c r="W218" i="9"/>
  <c r="Z214" i="9"/>
  <c r="V214" i="9"/>
  <c r="W214" i="9"/>
  <c r="Y323" i="9"/>
  <c r="W306" i="9"/>
  <c r="AA306" i="9" s="1"/>
  <c r="AB306" i="9" s="1"/>
  <c r="AC306" i="9" s="1"/>
  <c r="Y300" i="9"/>
  <c r="Z292" i="9"/>
  <c r="V292" i="9"/>
  <c r="AA292" i="9" s="1"/>
  <c r="AB292" i="9" s="1"/>
  <c r="AC292" i="9" s="1"/>
  <c r="W285" i="9"/>
  <c r="AA285" i="9" s="1"/>
  <c r="AB285" i="9" s="1"/>
  <c r="AC285" i="9" s="1"/>
  <c r="W277" i="9"/>
  <c r="AA277" i="9" s="1"/>
  <c r="AB277" i="9" s="1"/>
  <c r="AC277" i="9" s="1"/>
  <c r="W247" i="9"/>
  <c r="AA247" i="9" s="1"/>
  <c r="AB247" i="9" s="1"/>
  <c r="AC247" i="9" s="1"/>
  <c r="X247" i="9"/>
  <c r="X237" i="9"/>
  <c r="AA227" i="9"/>
  <c r="AB227" i="9" s="1"/>
  <c r="AC227" i="9" s="1"/>
  <c r="W223" i="9"/>
  <c r="AA223" i="9" s="1"/>
  <c r="AB223" i="9" s="1"/>
  <c r="AC223" i="9" s="1"/>
  <c r="X223" i="9"/>
  <c r="X295" i="9"/>
  <c r="AA295" i="9" s="1"/>
  <c r="AB295" i="9" s="1"/>
  <c r="AC295" i="9" s="1"/>
  <c r="X287" i="9"/>
  <c r="AA287" i="9" s="1"/>
  <c r="AB287" i="9" s="1"/>
  <c r="AC287" i="9" s="1"/>
  <c r="X270" i="9"/>
  <c r="Z220" i="9"/>
  <c r="R205" i="9"/>
  <c r="S205" i="9" s="1"/>
  <c r="AZ205" i="9" s="1"/>
  <c r="AZ183" i="9"/>
  <c r="R183" i="9"/>
  <c r="S183" i="9" s="1"/>
  <c r="U29" i="9"/>
  <c r="K27" i="9"/>
  <c r="BG172" i="9"/>
  <c r="X280" i="9"/>
  <c r="X276" i="9"/>
  <c r="AA253" i="9"/>
  <c r="AB253" i="9" s="1"/>
  <c r="AC253" i="9" s="1"/>
  <c r="AA249" i="9"/>
  <c r="AB249" i="9" s="1"/>
  <c r="AC249" i="9" s="1"/>
  <c r="X232" i="9"/>
  <c r="Y230" i="9"/>
  <c r="AA230" i="9" s="1"/>
  <c r="AB230" i="9" s="1"/>
  <c r="AC230" i="9" s="1"/>
  <c r="Y223" i="9"/>
  <c r="Y216" i="9"/>
  <c r="AA177" i="9"/>
  <c r="AB177" i="9" s="1"/>
  <c r="AC177" i="9" s="1"/>
  <c r="Z175" i="9"/>
  <c r="V175" i="9"/>
  <c r="BG173" i="9"/>
  <c r="K28" i="9"/>
  <c r="R168" i="9"/>
  <c r="S168" i="9" s="1"/>
  <c r="AZ168" i="9"/>
  <c r="R164" i="9"/>
  <c r="S164" i="9" s="1"/>
  <c r="AZ164" i="9"/>
  <c r="Z159" i="9"/>
  <c r="V159" i="9"/>
  <c r="AA159" i="9" s="1"/>
  <c r="AB159" i="9" s="1"/>
  <c r="AC159" i="9" s="1"/>
  <c r="R146" i="9"/>
  <c r="S146" i="9" s="1"/>
  <c r="AZ146" i="9" s="1"/>
  <c r="K491" i="8"/>
  <c r="K489" i="8"/>
  <c r="X291" i="9"/>
  <c r="AA291" i="9" s="1"/>
  <c r="AB291" i="9" s="1"/>
  <c r="AC291" i="9" s="1"/>
  <c r="Z251" i="9"/>
  <c r="AA243" i="9"/>
  <c r="AB243" i="9" s="1"/>
  <c r="AC243" i="9" s="1"/>
  <c r="X242" i="9"/>
  <c r="AA242" i="9" s="1"/>
  <c r="AB242" i="9" s="1"/>
  <c r="AC242" i="9" s="1"/>
  <c r="AA225" i="9"/>
  <c r="AB225" i="9" s="1"/>
  <c r="AC225" i="9" s="1"/>
  <c r="Y211" i="9"/>
  <c r="Y202" i="9"/>
  <c r="X202" i="9"/>
  <c r="AA202" i="9" s="1"/>
  <c r="AB202" i="9" s="1"/>
  <c r="AC202" i="9" s="1"/>
  <c r="Y198" i="9"/>
  <c r="X198" i="9"/>
  <c r="AA198" i="9" s="1"/>
  <c r="AB198" i="9" s="1"/>
  <c r="AC198" i="9" s="1"/>
  <c r="V197" i="9"/>
  <c r="AA197" i="9" s="1"/>
  <c r="AB197" i="9" s="1"/>
  <c r="AC197" i="9" s="1"/>
  <c r="R194" i="9"/>
  <c r="S194" i="9" s="1"/>
  <c r="AZ194" i="9"/>
  <c r="R185" i="9"/>
  <c r="S185" i="9" s="1"/>
  <c r="AZ185" i="9"/>
  <c r="U30" i="9"/>
  <c r="BG178" i="9"/>
  <c r="U27" i="9"/>
  <c r="BG170" i="9"/>
  <c r="U25" i="9"/>
  <c r="BG162" i="9"/>
  <c r="AA158" i="9"/>
  <c r="AB158" i="9" s="1"/>
  <c r="AC158" i="9" s="1"/>
  <c r="Y146" i="9"/>
  <c r="W146" i="9"/>
  <c r="W357" i="9" s="1"/>
  <c r="Y277" i="9"/>
  <c r="X258" i="9"/>
  <c r="Z237" i="9"/>
  <c r="Z229" i="9"/>
  <c r="AA229" i="9" s="1"/>
  <c r="AB229" i="9" s="1"/>
  <c r="AC229" i="9" s="1"/>
  <c r="X222" i="9"/>
  <c r="AA213" i="9"/>
  <c r="AB213" i="9" s="1"/>
  <c r="AC213" i="9" s="1"/>
  <c r="Y207" i="9"/>
  <c r="BG202" i="9"/>
  <c r="K36" i="9"/>
  <c r="W196" i="9"/>
  <c r="AA196" i="9" s="1"/>
  <c r="AB196" i="9" s="1"/>
  <c r="AC196" i="9" s="1"/>
  <c r="X173" i="9"/>
  <c r="AA173" i="9" s="1"/>
  <c r="AB173" i="9" s="1"/>
  <c r="AC173" i="9" s="1"/>
  <c r="Z147" i="9"/>
  <c r="Z354" i="9" s="1"/>
  <c r="V147" i="9"/>
  <c r="X147" i="9"/>
  <c r="V342" i="8"/>
  <c r="AA342" i="8" s="1"/>
  <c r="AB342" i="8" s="1"/>
  <c r="AC342" i="8" s="1"/>
  <c r="Z192" i="9"/>
  <c r="Z165" i="9"/>
  <c r="W161" i="9"/>
  <c r="Z148" i="9"/>
  <c r="Y334" i="8"/>
  <c r="AZ307" i="8"/>
  <c r="R307" i="8"/>
  <c r="S307" i="8" s="1"/>
  <c r="R269" i="8"/>
  <c r="S269" i="8" s="1"/>
  <c r="AZ269" i="8" s="1"/>
  <c r="AZ265" i="8"/>
  <c r="R265" i="8"/>
  <c r="S265" i="8" s="1"/>
  <c r="R261" i="8"/>
  <c r="S261" i="8" s="1"/>
  <c r="AZ261" i="8" s="1"/>
  <c r="AZ257" i="8"/>
  <c r="R257" i="8"/>
  <c r="S257" i="8" s="1"/>
  <c r="R253" i="8"/>
  <c r="S253" i="8" s="1"/>
  <c r="AZ253" i="8" s="1"/>
  <c r="AZ249" i="8"/>
  <c r="R249" i="8"/>
  <c r="S249" i="8" s="1"/>
  <c r="R225" i="8"/>
  <c r="S225" i="8" s="1"/>
  <c r="AZ225" i="8" s="1"/>
  <c r="AZ221" i="8"/>
  <c r="R221" i="8"/>
  <c r="S221" i="8" s="1"/>
  <c r="R217" i="8"/>
  <c r="S217" i="8" s="1"/>
  <c r="AZ217" i="8" s="1"/>
  <c r="AZ213" i="8"/>
  <c r="R213" i="8"/>
  <c r="S213" i="8" s="1"/>
  <c r="R209" i="8"/>
  <c r="S209" i="8" s="1"/>
  <c r="AZ209" i="8" s="1"/>
  <c r="R205" i="8"/>
  <c r="S205" i="8" s="1"/>
  <c r="AZ205" i="8" s="1"/>
  <c r="R153" i="8"/>
  <c r="S153" i="8" s="1"/>
  <c r="AZ153" i="8" s="1"/>
  <c r="R149" i="8"/>
  <c r="S149" i="8" s="1"/>
  <c r="AZ149" i="8" s="1"/>
  <c r="R145" i="8"/>
  <c r="S145" i="8" s="1"/>
  <c r="AZ145" i="8" s="1"/>
  <c r="Y185" i="9"/>
  <c r="AA185" i="9" s="1"/>
  <c r="AB185" i="9" s="1"/>
  <c r="AC185" i="9" s="1"/>
  <c r="Y175" i="9"/>
  <c r="Z172" i="9"/>
  <c r="Z168" i="9"/>
  <c r="X154" i="9"/>
  <c r="X146" i="9"/>
  <c r="X356" i="9" s="1"/>
  <c r="AZ456" i="8"/>
  <c r="D524" i="8"/>
  <c r="X337" i="8"/>
  <c r="Z307" i="8"/>
  <c r="AZ303" i="8"/>
  <c r="R303" i="8"/>
  <c r="S303" i="8" s="1"/>
  <c r="Y292" i="8"/>
  <c r="R284" i="8"/>
  <c r="S284" i="8" s="1"/>
  <c r="AZ284" i="8"/>
  <c r="R258" i="8"/>
  <c r="S258" i="8" s="1"/>
  <c r="AZ258" i="8"/>
  <c r="AA251" i="8"/>
  <c r="AB251" i="8" s="1"/>
  <c r="AC251" i="8" s="1"/>
  <c r="R240" i="8"/>
  <c r="S240" i="8" s="1"/>
  <c r="AZ240" i="8" s="1"/>
  <c r="R236" i="8"/>
  <c r="S236" i="8" s="1"/>
  <c r="AZ236" i="8" s="1"/>
  <c r="R232" i="8"/>
  <c r="S232" i="8" s="1"/>
  <c r="AZ232" i="8" s="1"/>
  <c r="R228" i="8"/>
  <c r="S228" i="8" s="1"/>
  <c r="AZ228" i="8" s="1"/>
  <c r="R218" i="8"/>
  <c r="S218" i="8" s="1"/>
  <c r="AZ218" i="8" s="1"/>
  <c r="R196" i="8"/>
  <c r="S196" i="8" s="1"/>
  <c r="AZ196" i="8"/>
  <c r="R192" i="8"/>
  <c r="S192" i="8" s="1"/>
  <c r="AZ192" i="8"/>
  <c r="R184" i="8"/>
  <c r="S184" i="8" s="1"/>
  <c r="AZ184" i="8" s="1"/>
  <c r="R180" i="8"/>
  <c r="S180" i="8" s="1"/>
  <c r="AZ180" i="8"/>
  <c r="R176" i="8"/>
  <c r="S176" i="8" s="1"/>
  <c r="AZ176" i="8" s="1"/>
  <c r="R172" i="8"/>
  <c r="S172" i="8" s="1"/>
  <c r="AZ172" i="8"/>
  <c r="R146" i="8"/>
  <c r="S146" i="8" s="1"/>
  <c r="AZ146" i="8"/>
  <c r="Y184" i="9"/>
  <c r="Y161" i="9"/>
  <c r="Y324" i="8"/>
  <c r="AA312" i="8"/>
  <c r="AB312" i="8" s="1"/>
  <c r="AC312" i="8" s="1"/>
  <c r="Y303" i="8"/>
  <c r="W303" i="8"/>
  <c r="AA303" i="8" s="1"/>
  <c r="AB303" i="8" s="1"/>
  <c r="AC303" i="8" s="1"/>
  <c r="Y301" i="8"/>
  <c r="W301" i="8"/>
  <c r="AA301" i="8" s="1"/>
  <c r="AB301" i="8" s="1"/>
  <c r="AC301" i="8" s="1"/>
  <c r="Z299" i="8"/>
  <c r="R295" i="8"/>
  <c r="S295" i="8" s="1"/>
  <c r="AZ295" i="8" s="1"/>
  <c r="AA286" i="8"/>
  <c r="AB286" i="8" s="1"/>
  <c r="AC286" i="8" s="1"/>
  <c r="R273" i="8"/>
  <c r="S273" i="8" s="1"/>
  <c r="AZ273" i="8" s="1"/>
  <c r="R259" i="8"/>
  <c r="S259" i="8" s="1"/>
  <c r="AZ259" i="8"/>
  <c r="R255" i="8"/>
  <c r="S255" i="8" s="1"/>
  <c r="AZ255" i="8" s="1"/>
  <c r="Z250" i="8"/>
  <c r="V250" i="8"/>
  <c r="W250" i="8"/>
  <c r="AA248" i="8"/>
  <c r="AB248" i="8" s="1"/>
  <c r="AC248" i="8" s="1"/>
  <c r="R237" i="8"/>
  <c r="S237" i="8" s="1"/>
  <c r="AZ237" i="8"/>
  <c r="R233" i="8"/>
  <c r="S233" i="8" s="1"/>
  <c r="AZ233" i="8" s="1"/>
  <c r="Z228" i="8"/>
  <c r="V228" i="8"/>
  <c r="W228" i="8"/>
  <c r="R223" i="8"/>
  <c r="S223" i="8" s="1"/>
  <c r="AZ223" i="8"/>
  <c r="Z218" i="8"/>
  <c r="W218" i="8"/>
  <c r="AA216" i="8"/>
  <c r="AB216" i="8" s="1"/>
  <c r="AC216" i="8" s="1"/>
  <c r="Z214" i="8"/>
  <c r="V214" i="8"/>
  <c r="W214" i="8"/>
  <c r="AA212" i="8"/>
  <c r="AB212" i="8" s="1"/>
  <c r="AC212" i="8" s="1"/>
  <c r="Z210" i="8"/>
  <c r="W210" i="8"/>
  <c r="AA208" i="8"/>
  <c r="AB208" i="8" s="1"/>
  <c r="AC208" i="8" s="1"/>
  <c r="R201" i="8"/>
  <c r="S201" i="8" s="1"/>
  <c r="AZ201" i="8"/>
  <c r="R193" i="8"/>
  <c r="S193" i="8" s="1"/>
  <c r="AZ193" i="8" s="1"/>
  <c r="R189" i="8"/>
  <c r="S189" i="8" s="1"/>
  <c r="AZ189" i="8"/>
  <c r="R177" i="8"/>
  <c r="S177" i="8" s="1"/>
  <c r="AZ177" i="8" s="1"/>
  <c r="Z146" i="8"/>
  <c r="Z354" i="8" s="1"/>
  <c r="V146" i="8"/>
  <c r="X146" i="8"/>
  <c r="X356" i="8" s="1"/>
  <c r="E524" i="7"/>
  <c r="AZ457" i="7"/>
  <c r="BG351" i="7"/>
  <c r="K38" i="7"/>
  <c r="AA179" i="9"/>
  <c r="AB179" i="9" s="1"/>
  <c r="AC179" i="9" s="1"/>
  <c r="Z176" i="9"/>
  <c r="X172" i="9"/>
  <c r="AA172" i="9" s="1"/>
  <c r="AB172" i="9" s="1"/>
  <c r="AC172" i="9" s="1"/>
  <c r="W165" i="9"/>
  <c r="AA165" i="9" s="1"/>
  <c r="AB165" i="9" s="1"/>
  <c r="AC165" i="9" s="1"/>
  <c r="X150" i="9"/>
  <c r="V356" i="9"/>
  <c r="V358" i="9" s="1"/>
  <c r="V357" i="9"/>
  <c r="V355" i="9"/>
  <c r="V354" i="9"/>
  <c r="AA145" i="9"/>
  <c r="AB145" i="9" s="1"/>
  <c r="AC145" i="9" s="1"/>
  <c r="E524" i="8"/>
  <c r="AZ457" i="8"/>
  <c r="Y330" i="8"/>
  <c r="X309" i="8"/>
  <c r="X307" i="8"/>
  <c r="AA295" i="8"/>
  <c r="AB295" i="8" s="1"/>
  <c r="AC295" i="8" s="1"/>
  <c r="AA287" i="8"/>
  <c r="AB287" i="8" s="1"/>
  <c r="AC287" i="8" s="1"/>
  <c r="W285" i="8"/>
  <c r="AA285" i="8" s="1"/>
  <c r="AB285" i="8" s="1"/>
  <c r="AC285" i="8" s="1"/>
  <c r="AA279" i="8"/>
  <c r="AB279" i="8" s="1"/>
  <c r="AC279" i="8" s="1"/>
  <c r="W277" i="8"/>
  <c r="AA277" i="8" s="1"/>
  <c r="AB277" i="8" s="1"/>
  <c r="AC277" i="8" s="1"/>
  <c r="AA271" i="8"/>
  <c r="AB271" i="8" s="1"/>
  <c r="AC271" i="8" s="1"/>
  <c r="AA269" i="8"/>
  <c r="AB269" i="8" s="1"/>
  <c r="AC269" i="8" s="1"/>
  <c r="W241" i="8"/>
  <c r="AA241" i="8" s="1"/>
  <c r="AB241" i="8" s="1"/>
  <c r="AC241" i="8" s="1"/>
  <c r="X241" i="8"/>
  <c r="U37" i="8"/>
  <c r="BG235" i="8"/>
  <c r="U33" i="8"/>
  <c r="BG231" i="8"/>
  <c r="K32" i="8"/>
  <c r="BG187" i="8"/>
  <c r="U28" i="8"/>
  <c r="BG171" i="8"/>
  <c r="W165" i="8"/>
  <c r="AA165" i="8" s="1"/>
  <c r="AB165" i="8" s="1"/>
  <c r="AC165" i="8" s="1"/>
  <c r="Y165" i="8"/>
  <c r="K24" i="8"/>
  <c r="BG153" i="8"/>
  <c r="W147" i="8"/>
  <c r="W356" i="8" s="1"/>
  <c r="Y147" i="8"/>
  <c r="R311" i="8"/>
  <c r="S311" i="8" s="1"/>
  <c r="AZ311" i="8" s="1"/>
  <c r="R328" i="8"/>
  <c r="S328" i="8" s="1"/>
  <c r="AZ328" i="8" s="1"/>
  <c r="BG352" i="7"/>
  <c r="K39" i="7"/>
  <c r="Z285" i="8"/>
  <c r="AA261" i="8"/>
  <c r="AB261" i="8" s="1"/>
  <c r="AC261" i="8" s="1"/>
  <c r="Z256" i="8"/>
  <c r="Z247" i="8"/>
  <c r="AA247" i="8" s="1"/>
  <c r="AB247" i="8" s="1"/>
  <c r="AC247" i="8" s="1"/>
  <c r="X228" i="8"/>
  <c r="Y210" i="8"/>
  <c r="Z189" i="8"/>
  <c r="X177" i="8"/>
  <c r="AZ330" i="7"/>
  <c r="R330" i="7"/>
  <c r="S330" i="7" s="1"/>
  <c r="R324" i="7"/>
  <c r="S324" i="7" s="1"/>
  <c r="AZ324" i="7" s="1"/>
  <c r="AZ310" i="7"/>
  <c r="R310" i="7"/>
  <c r="S310" i="7" s="1"/>
  <c r="R306" i="7"/>
  <c r="S306" i="7" s="1"/>
  <c r="AZ306" i="7" s="1"/>
  <c r="AZ302" i="7"/>
  <c r="R302" i="7"/>
  <c r="S302" i="7" s="1"/>
  <c r="R298" i="7"/>
  <c r="S298" i="7" s="1"/>
  <c r="AZ298" i="7" s="1"/>
  <c r="R294" i="7"/>
  <c r="S294" i="7" s="1"/>
  <c r="AZ294" i="7" s="1"/>
  <c r="R290" i="7"/>
  <c r="S290" i="7" s="1"/>
  <c r="AZ290" i="7" s="1"/>
  <c r="R286" i="7"/>
  <c r="S286" i="7" s="1"/>
  <c r="AZ286" i="7" s="1"/>
  <c r="R282" i="7"/>
  <c r="S282" i="7" s="1"/>
  <c r="AZ282" i="7" s="1"/>
  <c r="R278" i="7"/>
  <c r="S278" i="7" s="1"/>
  <c r="AZ278" i="7" s="1"/>
  <c r="R274" i="7"/>
  <c r="S274" i="7" s="1"/>
  <c r="AZ274" i="7" s="1"/>
  <c r="AZ267" i="7"/>
  <c r="R267" i="7"/>
  <c r="S267" i="7" s="1"/>
  <c r="AZ263" i="7"/>
  <c r="R263" i="7"/>
  <c r="S263" i="7" s="1"/>
  <c r="AZ259" i="7"/>
  <c r="R259" i="7"/>
  <c r="S259" i="7" s="1"/>
  <c r="AZ255" i="7"/>
  <c r="R255" i="7"/>
  <c r="S255" i="7" s="1"/>
  <c r="AZ251" i="7"/>
  <c r="R251" i="7"/>
  <c r="S251" i="7" s="1"/>
  <c r="AZ247" i="7"/>
  <c r="R247" i="7"/>
  <c r="S247" i="7" s="1"/>
  <c r="AZ202" i="7"/>
  <c r="R202" i="7"/>
  <c r="S202" i="7" s="1"/>
  <c r="AZ198" i="7"/>
  <c r="R198" i="7"/>
  <c r="S198" i="7" s="1"/>
  <c r="R194" i="7"/>
  <c r="S194" i="7" s="1"/>
  <c r="AZ194" i="7" s="1"/>
  <c r="AZ190" i="7"/>
  <c r="R190" i="7"/>
  <c r="S190" i="7" s="1"/>
  <c r="R186" i="7"/>
  <c r="S186" i="7" s="1"/>
  <c r="AZ186" i="7" s="1"/>
  <c r="AZ182" i="7"/>
  <c r="R182" i="7"/>
  <c r="S182" i="7" s="1"/>
  <c r="R178" i="7"/>
  <c r="S178" i="7" s="1"/>
  <c r="AZ178" i="7" s="1"/>
  <c r="R174" i="7"/>
  <c r="S174" i="7" s="1"/>
  <c r="AZ174" i="7" s="1"/>
  <c r="R170" i="7"/>
  <c r="S170" i="7" s="1"/>
  <c r="AZ170" i="7" s="1"/>
  <c r="R166" i="7"/>
  <c r="S166" i="7" s="1"/>
  <c r="AZ166" i="7" s="1"/>
  <c r="R162" i="7"/>
  <c r="S162" i="7" s="1"/>
  <c r="AZ162" i="7" s="1"/>
  <c r="R158" i="7"/>
  <c r="S158" i="7" s="1"/>
  <c r="AZ158" i="7" s="1"/>
  <c r="Y291" i="8"/>
  <c r="Y285" i="8"/>
  <c r="Z255" i="8"/>
  <c r="X252" i="8"/>
  <c r="AA252" i="8" s="1"/>
  <c r="AB252" i="8" s="1"/>
  <c r="AC252" i="8" s="1"/>
  <c r="Y211" i="8"/>
  <c r="X207" i="8"/>
  <c r="AA207" i="8" s="1"/>
  <c r="AB207" i="8" s="1"/>
  <c r="AC207" i="8" s="1"/>
  <c r="X197" i="8"/>
  <c r="AA197" i="8" s="1"/>
  <c r="AB197" i="8" s="1"/>
  <c r="AC197" i="8" s="1"/>
  <c r="AA187" i="8"/>
  <c r="AB187" i="8" s="1"/>
  <c r="AC187" i="8" s="1"/>
  <c r="X173" i="8"/>
  <c r="AA173" i="8" s="1"/>
  <c r="AB173" i="8" s="1"/>
  <c r="AC173" i="8" s="1"/>
  <c r="Z165" i="8"/>
  <c r="R339" i="7"/>
  <c r="S339" i="7" s="1"/>
  <c r="AZ339" i="7"/>
  <c r="R331" i="7"/>
  <c r="S331" i="7" s="1"/>
  <c r="AZ331" i="7"/>
  <c r="R279" i="7"/>
  <c r="S279" i="7" s="1"/>
  <c r="AZ279" i="7"/>
  <c r="R265" i="7"/>
  <c r="S265" i="7" s="1"/>
  <c r="AZ265" i="7"/>
  <c r="R249" i="7"/>
  <c r="S249" i="7" s="1"/>
  <c r="AZ249" i="7" s="1"/>
  <c r="R243" i="7"/>
  <c r="S243" i="7" s="1"/>
  <c r="AZ243" i="7"/>
  <c r="R227" i="7"/>
  <c r="S227" i="7" s="1"/>
  <c r="AZ227" i="7" s="1"/>
  <c r="R213" i="7"/>
  <c r="S213" i="7" s="1"/>
  <c r="AZ213" i="7"/>
  <c r="R199" i="7"/>
  <c r="S199" i="7" s="1"/>
  <c r="AZ199" i="7" s="1"/>
  <c r="R183" i="7"/>
  <c r="S183" i="7" s="1"/>
  <c r="AZ183" i="7" s="1"/>
  <c r="R167" i="7"/>
  <c r="S167" i="7" s="1"/>
  <c r="AZ167" i="7" s="1"/>
  <c r="R149" i="7"/>
  <c r="S149" i="7" s="1"/>
  <c r="AZ149" i="7" s="1"/>
  <c r="Z282" i="8"/>
  <c r="AA282" i="8" s="1"/>
  <c r="AB282" i="8" s="1"/>
  <c r="AC282" i="8" s="1"/>
  <c r="Z273" i="8"/>
  <c r="AA273" i="8" s="1"/>
  <c r="AB273" i="8" s="1"/>
  <c r="AC273" i="8" s="1"/>
  <c r="Y263" i="8"/>
  <c r="X250" i="8"/>
  <c r="X232" i="8"/>
  <c r="Y229" i="8"/>
  <c r="J28" i="8"/>
  <c r="L28" i="8"/>
  <c r="AA168" i="8"/>
  <c r="AB168" i="8" s="1"/>
  <c r="AC168" i="8" s="1"/>
  <c r="Z161" i="8"/>
  <c r="Y354" i="8"/>
  <c r="Y355" i="8"/>
  <c r="Y356" i="8"/>
  <c r="Y358" i="8" s="1"/>
  <c r="Y357" i="8"/>
  <c r="R340" i="7"/>
  <c r="S340" i="7" s="1"/>
  <c r="AZ340" i="7" s="1"/>
  <c r="R328" i="7"/>
  <c r="S328" i="7" s="1"/>
  <c r="AZ328" i="7" s="1"/>
  <c r="R318" i="7"/>
  <c r="S318" i="7" s="1"/>
  <c r="AZ318" i="7" s="1"/>
  <c r="R288" i="7"/>
  <c r="S288" i="7" s="1"/>
  <c r="AZ288" i="7" s="1"/>
  <c r="R272" i="7"/>
  <c r="S272" i="7" s="1"/>
  <c r="AZ272" i="7" s="1"/>
  <c r="R266" i="7"/>
  <c r="S266" i="7" s="1"/>
  <c r="AZ266" i="7" s="1"/>
  <c r="R250" i="7"/>
  <c r="S250" i="7" s="1"/>
  <c r="AZ250" i="7" s="1"/>
  <c r="R244" i="7"/>
  <c r="S244" i="7" s="1"/>
  <c r="AZ244" i="7" s="1"/>
  <c r="R228" i="7"/>
  <c r="S228" i="7" s="1"/>
  <c r="AZ228" i="7" s="1"/>
  <c r="R222" i="7"/>
  <c r="S222" i="7" s="1"/>
  <c r="AZ222" i="7" s="1"/>
  <c r="R218" i="7"/>
  <c r="S218" i="7" s="1"/>
  <c r="AZ218" i="7" s="1"/>
  <c r="R214" i="7"/>
  <c r="S214" i="7" s="1"/>
  <c r="AZ214" i="7" s="1"/>
  <c r="R210" i="7"/>
  <c r="S210" i="7" s="1"/>
  <c r="AZ210" i="7" s="1"/>
  <c r="R200" i="7"/>
  <c r="S200" i="7" s="1"/>
  <c r="AZ200" i="7" s="1"/>
  <c r="R196" i="7"/>
  <c r="S196" i="7" s="1"/>
  <c r="AZ196" i="7" s="1"/>
  <c r="R192" i="7"/>
  <c r="S192" i="7" s="1"/>
  <c r="AZ192" i="7" s="1"/>
  <c r="R188" i="7"/>
  <c r="S188" i="7" s="1"/>
  <c r="AZ188" i="7" s="1"/>
  <c r="R184" i="7"/>
  <c r="S184" i="7" s="1"/>
  <c r="AZ184" i="7" s="1"/>
  <c r="R180" i="7"/>
  <c r="S180" i="7" s="1"/>
  <c r="AZ180" i="7" s="1"/>
  <c r="R176" i="7"/>
  <c r="S176" i="7" s="1"/>
  <c r="AZ176" i="7" s="1"/>
  <c r="R172" i="7"/>
  <c r="S172" i="7" s="1"/>
  <c r="AZ172" i="7" s="1"/>
  <c r="R168" i="7"/>
  <c r="S168" i="7" s="1"/>
  <c r="AZ168" i="7" s="1"/>
  <c r="R164" i="7"/>
  <c r="S164" i="7" s="1"/>
  <c r="AZ164" i="7" s="1"/>
  <c r="R160" i="7"/>
  <c r="S160" i="7" s="1"/>
  <c r="AZ160" i="7" s="1"/>
  <c r="R146" i="7"/>
  <c r="S146" i="7" s="1"/>
  <c r="AZ146" i="7" s="1"/>
  <c r="K489" i="6"/>
  <c r="K491" i="6"/>
  <c r="AA288" i="8"/>
  <c r="AB288" i="8" s="1"/>
  <c r="AC288" i="8" s="1"/>
  <c r="AA257" i="8"/>
  <c r="AB257" i="8" s="1"/>
  <c r="AC257" i="8" s="1"/>
  <c r="X214" i="8"/>
  <c r="Z207" i="8"/>
  <c r="V36" i="7"/>
  <c r="T36" i="7"/>
  <c r="AN483" i="6"/>
  <c r="T480" i="6"/>
  <c r="AN462" i="6"/>
  <c r="AH462" i="6"/>
  <c r="AN453" i="6"/>
  <c r="AH491" i="6"/>
  <c r="AN473" i="6"/>
  <c r="AN491" i="6"/>
  <c r="AN499" i="6"/>
  <c r="T471" i="6"/>
  <c r="AA340" i="6"/>
  <c r="AB340" i="6" s="1"/>
  <c r="AC340" i="6" s="1"/>
  <c r="AA332" i="6"/>
  <c r="AB332" i="6" s="1"/>
  <c r="AC332" i="6" s="1"/>
  <c r="AA250" i="6"/>
  <c r="AB250" i="6" s="1"/>
  <c r="AC250" i="6" s="1"/>
  <c r="AA218" i="6"/>
  <c r="AB218" i="6" s="1"/>
  <c r="AC218" i="6" s="1"/>
  <c r="L31" i="7"/>
  <c r="J31" i="7"/>
  <c r="L28" i="7"/>
  <c r="J28" i="7"/>
  <c r="V27" i="7"/>
  <c r="T27" i="7"/>
  <c r="L26" i="7"/>
  <c r="J26" i="7"/>
  <c r="Z343" i="6"/>
  <c r="V343" i="6"/>
  <c r="AA343" i="6" s="1"/>
  <c r="AB343" i="6" s="1"/>
  <c r="AC343" i="6" s="1"/>
  <c r="X295" i="6"/>
  <c r="W295" i="6"/>
  <c r="Z295" i="6"/>
  <c r="V295" i="6"/>
  <c r="X291" i="6"/>
  <c r="W291" i="6"/>
  <c r="Z291" i="6"/>
  <c r="V291" i="6"/>
  <c r="X253" i="6"/>
  <c r="W253" i="6"/>
  <c r="Z253" i="6"/>
  <c r="V253" i="6"/>
  <c r="X249" i="6"/>
  <c r="W249" i="6"/>
  <c r="V249" i="6"/>
  <c r="AA249" i="6" s="1"/>
  <c r="AB249" i="6" s="1"/>
  <c r="AC249" i="6" s="1"/>
  <c r="X217" i="6"/>
  <c r="W217" i="6"/>
  <c r="Z217" i="6"/>
  <c r="V217" i="6"/>
  <c r="X195" i="6"/>
  <c r="W195" i="6"/>
  <c r="Z195" i="6"/>
  <c r="V195" i="6"/>
  <c r="X179" i="6"/>
  <c r="W179" i="6"/>
  <c r="V179" i="6"/>
  <c r="Z179" i="6"/>
  <c r="K33" i="7"/>
  <c r="BG195" i="7"/>
  <c r="BG146" i="7"/>
  <c r="K23" i="7"/>
  <c r="AK499" i="6"/>
  <c r="AK491" i="6"/>
  <c r="AE491" i="6"/>
  <c r="AK473" i="6"/>
  <c r="Q471" i="6"/>
  <c r="AK462" i="6"/>
  <c r="AK453" i="6"/>
  <c r="Q480" i="6"/>
  <c r="AE462" i="6"/>
  <c r="AK483" i="6"/>
  <c r="Y276" i="6"/>
  <c r="X276" i="6"/>
  <c r="AA276" i="6" s="1"/>
  <c r="AB276" i="6" s="1"/>
  <c r="AC276" i="6" s="1"/>
  <c r="W276" i="6"/>
  <c r="Y258" i="6"/>
  <c r="X258" i="6"/>
  <c r="W258" i="6"/>
  <c r="AA258" i="6" s="1"/>
  <c r="AB258" i="6" s="1"/>
  <c r="AC258" i="6" s="1"/>
  <c r="Y240" i="6"/>
  <c r="X240" i="6"/>
  <c r="W240" i="6"/>
  <c r="AA240" i="6" s="1"/>
  <c r="AB240" i="6" s="1"/>
  <c r="AC240" i="6" s="1"/>
  <c r="V34" i="7"/>
  <c r="T34" i="7"/>
  <c r="BG236" i="7"/>
  <c r="U38" i="7"/>
  <c r="L29" i="7"/>
  <c r="J29" i="7"/>
  <c r="Z329" i="6"/>
  <c r="V329" i="6"/>
  <c r="Y329" i="6"/>
  <c r="X329" i="6"/>
  <c r="Z297" i="6"/>
  <c r="V297" i="6"/>
  <c r="Y297" i="6"/>
  <c r="X297" i="6"/>
  <c r="Z293" i="6"/>
  <c r="Y293" i="6"/>
  <c r="X293" i="6"/>
  <c r="Z289" i="6"/>
  <c r="V289" i="6"/>
  <c r="Y289" i="6"/>
  <c r="X289" i="6"/>
  <c r="Z336" i="6"/>
  <c r="Z334" i="6"/>
  <c r="Y317" i="6"/>
  <c r="AA317" i="6" s="1"/>
  <c r="AB317" i="6" s="1"/>
  <c r="AC317" i="6" s="1"/>
  <c r="Z304" i="6"/>
  <c r="AA304" i="6" s="1"/>
  <c r="AB304" i="6" s="1"/>
  <c r="AC304" i="6" s="1"/>
  <c r="X294" i="6"/>
  <c r="Z270" i="6"/>
  <c r="AA270" i="6" s="1"/>
  <c r="AB270" i="6" s="1"/>
  <c r="AC270" i="6" s="1"/>
  <c r="Z258" i="6"/>
  <c r="W251" i="6"/>
  <c r="AA251" i="6" s="1"/>
  <c r="AB251" i="6" s="1"/>
  <c r="AC251" i="6" s="1"/>
  <c r="Y230" i="6"/>
  <c r="W229" i="6"/>
  <c r="Y216" i="6"/>
  <c r="AA185" i="6"/>
  <c r="AB185" i="6" s="1"/>
  <c r="AC185" i="6" s="1"/>
  <c r="R173" i="6"/>
  <c r="S173" i="6" s="1"/>
  <c r="AZ173" i="6"/>
  <c r="Z172" i="6"/>
  <c r="U28" i="6"/>
  <c r="BG171" i="6"/>
  <c r="Y160" i="6"/>
  <c r="X160" i="6"/>
  <c r="W160" i="6"/>
  <c r="R155" i="6"/>
  <c r="S155" i="6" s="1"/>
  <c r="AZ155" i="6"/>
  <c r="AA151" i="6"/>
  <c r="AB151" i="6" s="1"/>
  <c r="AC151" i="6" s="1"/>
  <c r="Y457" i="5"/>
  <c r="Y459" i="5"/>
  <c r="R341" i="5"/>
  <c r="S341" i="5" s="1"/>
  <c r="AZ341" i="5"/>
  <c r="R313" i="5"/>
  <c r="S313" i="5" s="1"/>
  <c r="AZ313" i="5" s="1"/>
  <c r="R307" i="5"/>
  <c r="S307" i="5" s="1"/>
  <c r="AZ307" i="5" s="1"/>
  <c r="R291" i="5"/>
  <c r="S291" i="5" s="1"/>
  <c r="AZ291" i="5" s="1"/>
  <c r="R275" i="5"/>
  <c r="S275" i="5" s="1"/>
  <c r="AZ275" i="5" s="1"/>
  <c r="R265" i="5"/>
  <c r="S265" i="5" s="1"/>
  <c r="AZ265" i="5" s="1"/>
  <c r="R249" i="5"/>
  <c r="S249" i="5" s="1"/>
  <c r="AZ249" i="5" s="1"/>
  <c r="AZ243" i="5"/>
  <c r="R243" i="5"/>
  <c r="S243" i="5" s="1"/>
  <c r="AZ227" i="5"/>
  <c r="R227" i="5"/>
  <c r="S227" i="5" s="1"/>
  <c r="AZ217" i="5"/>
  <c r="R217" i="5"/>
  <c r="S217" i="5" s="1"/>
  <c r="AZ191" i="5"/>
  <c r="R191" i="5"/>
  <c r="S191" i="5" s="1"/>
  <c r="R175" i="5"/>
  <c r="S175" i="5" s="1"/>
  <c r="AZ175" i="5" s="1"/>
  <c r="U29" i="5"/>
  <c r="K27" i="5"/>
  <c r="BG172" i="5"/>
  <c r="R159" i="5"/>
  <c r="S159" i="5" s="1"/>
  <c r="AZ159" i="5" s="1"/>
  <c r="R153" i="5"/>
  <c r="S153" i="5" s="1"/>
  <c r="AZ153" i="5" s="1"/>
  <c r="AB351" i="5"/>
  <c r="AC351" i="5" s="1"/>
  <c r="AB347" i="5"/>
  <c r="AC347" i="5" s="1"/>
  <c r="AB343" i="5"/>
  <c r="AC343" i="5" s="1"/>
  <c r="AB339" i="5"/>
  <c r="AC339" i="5" s="1"/>
  <c r="AB335" i="5"/>
  <c r="AC335" i="5" s="1"/>
  <c r="AB349" i="5"/>
  <c r="AC349" i="5" s="1"/>
  <c r="AB342" i="5"/>
  <c r="AC342" i="5" s="1"/>
  <c r="AB340" i="5"/>
  <c r="AC340" i="5" s="1"/>
  <c r="AB330" i="5"/>
  <c r="AC330" i="5" s="1"/>
  <c r="AB324" i="5"/>
  <c r="AC324" i="5" s="1"/>
  <c r="AB320" i="5"/>
  <c r="AC320" i="5" s="1"/>
  <c r="AB316" i="5"/>
  <c r="AC316" i="5" s="1"/>
  <c r="AB312" i="5"/>
  <c r="AC312" i="5" s="1"/>
  <c r="AB310" i="5"/>
  <c r="AC310" i="5" s="1"/>
  <c r="AB306" i="5"/>
  <c r="AC306" i="5" s="1"/>
  <c r="AB302" i="5"/>
  <c r="AC302" i="5" s="1"/>
  <c r="AB298" i="5"/>
  <c r="AC298" i="5" s="1"/>
  <c r="AB294" i="5"/>
  <c r="AC294" i="5" s="1"/>
  <c r="AB290" i="5"/>
  <c r="AC290" i="5" s="1"/>
  <c r="AB286" i="5"/>
  <c r="AC286" i="5" s="1"/>
  <c r="AB282" i="5"/>
  <c r="AC282" i="5" s="1"/>
  <c r="AB278" i="5"/>
  <c r="AC278" i="5" s="1"/>
  <c r="AB274" i="5"/>
  <c r="AC274" i="5" s="1"/>
  <c r="AB268" i="5"/>
  <c r="AC268" i="5" s="1"/>
  <c r="AB264" i="5"/>
  <c r="AC264" i="5" s="1"/>
  <c r="AB260" i="5"/>
  <c r="AC260" i="5" s="1"/>
  <c r="AB256" i="5"/>
  <c r="AC256" i="5" s="1"/>
  <c r="AB252" i="5"/>
  <c r="AC252" i="5" s="1"/>
  <c r="AB248" i="5"/>
  <c r="AC248" i="5" s="1"/>
  <c r="AB242" i="5"/>
  <c r="AC242" i="5" s="1"/>
  <c r="AB238" i="5"/>
  <c r="AC238" i="5" s="1"/>
  <c r="AB234" i="5"/>
  <c r="AC234" i="5" s="1"/>
  <c r="AB230" i="5"/>
  <c r="AC230" i="5" s="1"/>
  <c r="AB224" i="5"/>
  <c r="AC224" i="5" s="1"/>
  <c r="AB220" i="5"/>
  <c r="AC220" i="5" s="1"/>
  <c r="AB216" i="5"/>
  <c r="AC216" i="5" s="1"/>
  <c r="AB212" i="5"/>
  <c r="AC212" i="5" s="1"/>
  <c r="AB208" i="5"/>
  <c r="AC208" i="5" s="1"/>
  <c r="AB202" i="5"/>
  <c r="AC202" i="5" s="1"/>
  <c r="AB198" i="5"/>
  <c r="AC198" i="5" s="1"/>
  <c r="AB194" i="5"/>
  <c r="AC194" i="5" s="1"/>
  <c r="AB190" i="5"/>
  <c r="AC190" i="5" s="1"/>
  <c r="AB186" i="5"/>
  <c r="AC186" i="5" s="1"/>
  <c r="AB182" i="5"/>
  <c r="AC182" i="5" s="1"/>
  <c r="AB178" i="5"/>
  <c r="AC178" i="5" s="1"/>
  <c r="AB174" i="5"/>
  <c r="AC174" i="5" s="1"/>
  <c r="AB170" i="5"/>
  <c r="AC170" i="5" s="1"/>
  <c r="AB166" i="5"/>
  <c r="AC166" i="5" s="1"/>
  <c r="AB162" i="5"/>
  <c r="AC162" i="5" s="1"/>
  <c r="AB158" i="5"/>
  <c r="AC158" i="5" s="1"/>
  <c r="AB156" i="5"/>
  <c r="AC156" i="5" s="1"/>
  <c r="AB152" i="5"/>
  <c r="AC152" i="5" s="1"/>
  <c r="AB148" i="5"/>
  <c r="AC148" i="5" s="1"/>
  <c r="AB346" i="5"/>
  <c r="AC346" i="5" s="1"/>
  <c r="AB344" i="5"/>
  <c r="AC344" i="5" s="1"/>
  <c r="AB337" i="5"/>
  <c r="AC337" i="5" s="1"/>
  <c r="AB331" i="5"/>
  <c r="AC331" i="5" s="1"/>
  <c r="AB325" i="5"/>
  <c r="AC325" i="5" s="1"/>
  <c r="AB321" i="5"/>
  <c r="AC321" i="5" s="1"/>
  <c r="AB317" i="5"/>
  <c r="AC317" i="5" s="1"/>
  <c r="AB313" i="5"/>
  <c r="AC313" i="5" s="1"/>
  <c r="AB307" i="5"/>
  <c r="AC307" i="5" s="1"/>
  <c r="AB303" i="5"/>
  <c r="AC303" i="5" s="1"/>
  <c r="AB299" i="5"/>
  <c r="AC299" i="5" s="1"/>
  <c r="AB295" i="5"/>
  <c r="AC295" i="5" s="1"/>
  <c r="AB291" i="5"/>
  <c r="AC291" i="5" s="1"/>
  <c r="AB287" i="5"/>
  <c r="AC287" i="5" s="1"/>
  <c r="AB283" i="5"/>
  <c r="AC283" i="5" s="1"/>
  <c r="AB279" i="5"/>
  <c r="AC279" i="5" s="1"/>
  <c r="AB275" i="5"/>
  <c r="AC275" i="5" s="1"/>
  <c r="AB271" i="5"/>
  <c r="AC271" i="5" s="1"/>
  <c r="AB269" i="5"/>
  <c r="AC269" i="5" s="1"/>
  <c r="AB265" i="5"/>
  <c r="AC265" i="5" s="1"/>
  <c r="AB261" i="5"/>
  <c r="AC261" i="5" s="1"/>
  <c r="AB257" i="5"/>
  <c r="AC257" i="5" s="1"/>
  <c r="AB253" i="5"/>
  <c r="AC253" i="5" s="1"/>
  <c r="AB249" i="5"/>
  <c r="AC249" i="5" s="1"/>
  <c r="AB243" i="5"/>
  <c r="AC243" i="5" s="1"/>
  <c r="AB239" i="5"/>
  <c r="AC239" i="5" s="1"/>
  <c r="AB235" i="5"/>
  <c r="AC235" i="5" s="1"/>
  <c r="AB231" i="5"/>
  <c r="AC231" i="5" s="1"/>
  <c r="AB227" i="5"/>
  <c r="AC227" i="5" s="1"/>
  <c r="AB225" i="5"/>
  <c r="AC225" i="5" s="1"/>
  <c r="AB221" i="5"/>
  <c r="AC221" i="5" s="1"/>
  <c r="AB217" i="5"/>
  <c r="AC217" i="5" s="1"/>
  <c r="AB213" i="5"/>
  <c r="AC213" i="5" s="1"/>
  <c r="AB209" i="5"/>
  <c r="AC209" i="5" s="1"/>
  <c r="AB205" i="5"/>
  <c r="AC205" i="5" s="1"/>
  <c r="AB203" i="5"/>
  <c r="AC203" i="5" s="1"/>
  <c r="AB199" i="5"/>
  <c r="AC199" i="5" s="1"/>
  <c r="AB195" i="5"/>
  <c r="AC195" i="5" s="1"/>
  <c r="AB191" i="5"/>
  <c r="AC191" i="5" s="1"/>
  <c r="AB187" i="5"/>
  <c r="AC187" i="5" s="1"/>
  <c r="AB183" i="5"/>
  <c r="AC183" i="5" s="1"/>
  <c r="AB179" i="5"/>
  <c r="AC179" i="5" s="1"/>
  <c r="AB175" i="5"/>
  <c r="AC175" i="5" s="1"/>
  <c r="AB171" i="5"/>
  <c r="AC171" i="5" s="1"/>
  <c r="AB167" i="5"/>
  <c r="AC167" i="5" s="1"/>
  <c r="AB163" i="5"/>
  <c r="AC163" i="5" s="1"/>
  <c r="AB159" i="5"/>
  <c r="AC159" i="5" s="1"/>
  <c r="AB153" i="5"/>
  <c r="AC153" i="5" s="1"/>
  <c r="AB149" i="5"/>
  <c r="AC149" i="5" s="1"/>
  <c r="AB145" i="5"/>
  <c r="AC145" i="5" s="1"/>
  <c r="AB350" i="5"/>
  <c r="AC350" i="5" s="1"/>
  <c r="AB348" i="5"/>
  <c r="AC348" i="5" s="1"/>
  <c r="AB341" i="5"/>
  <c r="AC341" i="5" s="1"/>
  <c r="AB334" i="5"/>
  <c r="AC334" i="5" s="1"/>
  <c r="AB332" i="5"/>
  <c r="AC332" i="5" s="1"/>
  <c r="AB328" i="5"/>
  <c r="AC328" i="5" s="1"/>
  <c r="AB326" i="5"/>
  <c r="AC326" i="5" s="1"/>
  <c r="AB322" i="5"/>
  <c r="AC322" i="5" s="1"/>
  <c r="AB318" i="5"/>
  <c r="AC318" i="5" s="1"/>
  <c r="AB314" i="5"/>
  <c r="AC314" i="5" s="1"/>
  <c r="AB308" i="5"/>
  <c r="AC308" i="5" s="1"/>
  <c r="AB304" i="5"/>
  <c r="AC304" i="5" s="1"/>
  <c r="AB300" i="5"/>
  <c r="AC300" i="5" s="1"/>
  <c r="AB296" i="5"/>
  <c r="AC296" i="5" s="1"/>
  <c r="AB292" i="5"/>
  <c r="AC292" i="5" s="1"/>
  <c r="AB288" i="5"/>
  <c r="AC288" i="5" s="1"/>
  <c r="AB284" i="5"/>
  <c r="AC284" i="5" s="1"/>
  <c r="AB280" i="5"/>
  <c r="AC280" i="5" s="1"/>
  <c r="AB276" i="5"/>
  <c r="AC276" i="5" s="1"/>
  <c r="AB272" i="5"/>
  <c r="AC272" i="5" s="1"/>
  <c r="AB270" i="5"/>
  <c r="AC270" i="5" s="1"/>
  <c r="AB266" i="5"/>
  <c r="AC266" i="5" s="1"/>
  <c r="AB262" i="5"/>
  <c r="AC262" i="5" s="1"/>
  <c r="AB258" i="5"/>
  <c r="AC258" i="5" s="1"/>
  <c r="AB254" i="5"/>
  <c r="AC254" i="5" s="1"/>
  <c r="AB250" i="5"/>
  <c r="AC250" i="5" s="1"/>
  <c r="AB246" i="5"/>
  <c r="AC246" i="5" s="1"/>
  <c r="AB244" i="5"/>
  <c r="AC244" i="5" s="1"/>
  <c r="AB240" i="5"/>
  <c r="AC240" i="5" s="1"/>
  <c r="AB236" i="5"/>
  <c r="AC236" i="5" s="1"/>
  <c r="AB232" i="5"/>
  <c r="AC232" i="5" s="1"/>
  <c r="AB228" i="5"/>
  <c r="AC228" i="5" s="1"/>
  <c r="AB226" i="5"/>
  <c r="AC226" i="5" s="1"/>
  <c r="AB222" i="5"/>
  <c r="AC222" i="5" s="1"/>
  <c r="AB218" i="5"/>
  <c r="AC218" i="5" s="1"/>
  <c r="AB214" i="5"/>
  <c r="AC214" i="5" s="1"/>
  <c r="AB210" i="5"/>
  <c r="AC210" i="5" s="1"/>
  <c r="AB206" i="5"/>
  <c r="AC206" i="5" s="1"/>
  <c r="AB204" i="5"/>
  <c r="AC204" i="5" s="1"/>
  <c r="AB200" i="5"/>
  <c r="AC200" i="5" s="1"/>
  <c r="AB196" i="5"/>
  <c r="AC196" i="5" s="1"/>
  <c r="AB192" i="5"/>
  <c r="AC192" i="5" s="1"/>
  <c r="AB188" i="5"/>
  <c r="AC188" i="5" s="1"/>
  <c r="AB184" i="5"/>
  <c r="AC184" i="5" s="1"/>
  <c r="AB180" i="5"/>
  <c r="AC180" i="5" s="1"/>
  <c r="AB176" i="5"/>
  <c r="AC176" i="5" s="1"/>
  <c r="AB172" i="5"/>
  <c r="AC172" i="5" s="1"/>
  <c r="AB168" i="5"/>
  <c r="AC168" i="5" s="1"/>
  <c r="AB164" i="5"/>
  <c r="AC164" i="5" s="1"/>
  <c r="AB160" i="5"/>
  <c r="AC160" i="5" s="1"/>
  <c r="AB154" i="5"/>
  <c r="AC154" i="5" s="1"/>
  <c r="AB150" i="5"/>
  <c r="AC150" i="5" s="1"/>
  <c r="AB146" i="5"/>
  <c r="AC146" i="5" s="1"/>
  <c r="AB353" i="5"/>
  <c r="AC353" i="5" s="1"/>
  <c r="AB352" i="5"/>
  <c r="AC352" i="5" s="1"/>
  <c r="AB345" i="5"/>
  <c r="AC345" i="5" s="1"/>
  <c r="AB338" i="5"/>
  <c r="AC338" i="5" s="1"/>
  <c r="AB336" i="5"/>
  <c r="AC336" i="5" s="1"/>
  <c r="AB333" i="5"/>
  <c r="AC333" i="5" s="1"/>
  <c r="AB329" i="5"/>
  <c r="AC329" i="5" s="1"/>
  <c r="AB327" i="5"/>
  <c r="AC327" i="5" s="1"/>
  <c r="AB323" i="5"/>
  <c r="AC323" i="5" s="1"/>
  <c r="AB319" i="5"/>
  <c r="AC319" i="5" s="1"/>
  <c r="AB315" i="5"/>
  <c r="AC315" i="5" s="1"/>
  <c r="AB311" i="5"/>
  <c r="AC311" i="5" s="1"/>
  <c r="AB309" i="5"/>
  <c r="AC309" i="5" s="1"/>
  <c r="AB305" i="5"/>
  <c r="AC305" i="5" s="1"/>
  <c r="AB301" i="5"/>
  <c r="AC301" i="5" s="1"/>
  <c r="AB297" i="5"/>
  <c r="AC297" i="5" s="1"/>
  <c r="AB293" i="5"/>
  <c r="AC293" i="5" s="1"/>
  <c r="AB289" i="5"/>
  <c r="AC289" i="5" s="1"/>
  <c r="AB285" i="5"/>
  <c r="AC285" i="5" s="1"/>
  <c r="AB281" i="5"/>
  <c r="AC281" i="5" s="1"/>
  <c r="AB277" i="5"/>
  <c r="AC277" i="5" s="1"/>
  <c r="AB273" i="5"/>
  <c r="AC273" i="5" s="1"/>
  <c r="AB267" i="5"/>
  <c r="AC267" i="5" s="1"/>
  <c r="AB263" i="5"/>
  <c r="AC263" i="5" s="1"/>
  <c r="AB259" i="5"/>
  <c r="AC259" i="5" s="1"/>
  <c r="AB255" i="5"/>
  <c r="AC255" i="5" s="1"/>
  <c r="AB251" i="5"/>
  <c r="AC251" i="5" s="1"/>
  <c r="AB247" i="5"/>
  <c r="AC247" i="5" s="1"/>
  <c r="AB245" i="5"/>
  <c r="AC245" i="5" s="1"/>
  <c r="AB241" i="5"/>
  <c r="AC241" i="5" s="1"/>
  <c r="AB237" i="5"/>
  <c r="AC237" i="5" s="1"/>
  <c r="AB233" i="5"/>
  <c r="AC233" i="5" s="1"/>
  <c r="AB229" i="5"/>
  <c r="AC229" i="5" s="1"/>
  <c r="AB223" i="5"/>
  <c r="AC223" i="5" s="1"/>
  <c r="AB219" i="5"/>
  <c r="AC219" i="5" s="1"/>
  <c r="AB215" i="5"/>
  <c r="AC215" i="5" s="1"/>
  <c r="AB211" i="5"/>
  <c r="AC211" i="5" s="1"/>
  <c r="AB207" i="5"/>
  <c r="AC207" i="5" s="1"/>
  <c r="AB201" i="5"/>
  <c r="AC201" i="5" s="1"/>
  <c r="AB197" i="5"/>
  <c r="AC197" i="5" s="1"/>
  <c r="AB193" i="5"/>
  <c r="AC193" i="5" s="1"/>
  <c r="AB189" i="5"/>
  <c r="AC189" i="5" s="1"/>
  <c r="AB185" i="5"/>
  <c r="AC185" i="5" s="1"/>
  <c r="AB181" i="5"/>
  <c r="AC181" i="5" s="1"/>
  <c r="AB177" i="5"/>
  <c r="AC177" i="5" s="1"/>
  <c r="AB173" i="5"/>
  <c r="AC173" i="5" s="1"/>
  <c r="AB169" i="5"/>
  <c r="AC169" i="5" s="1"/>
  <c r="AB165" i="5"/>
  <c r="AC165" i="5" s="1"/>
  <c r="AB161" i="5"/>
  <c r="AC161" i="5" s="1"/>
  <c r="AB157" i="5"/>
  <c r="AC157" i="5" s="1"/>
  <c r="AB155" i="5"/>
  <c r="AC155" i="5" s="1"/>
  <c r="AB151" i="5"/>
  <c r="AC151" i="5" s="1"/>
  <c r="AB147" i="5"/>
  <c r="AC147" i="5" s="1"/>
  <c r="W316" i="6"/>
  <c r="W293" i="6"/>
  <c r="AA293" i="6" s="1"/>
  <c r="AB293" i="6" s="1"/>
  <c r="AC293" i="6" s="1"/>
  <c r="W268" i="6"/>
  <c r="X256" i="6"/>
  <c r="Z232" i="6"/>
  <c r="W194" i="6"/>
  <c r="Z194" i="6"/>
  <c r="V194" i="6"/>
  <c r="Y194" i="6"/>
  <c r="BG173" i="6"/>
  <c r="K28" i="6"/>
  <c r="Y159" i="6"/>
  <c r="AA146" i="6"/>
  <c r="AB146" i="6" s="1"/>
  <c r="AC146" i="6" s="1"/>
  <c r="Y487" i="5"/>
  <c r="Y485" i="5"/>
  <c r="AM483" i="5"/>
  <c r="S480" i="5"/>
  <c r="AM462" i="5"/>
  <c r="AG462" i="5"/>
  <c r="AM453" i="5"/>
  <c r="AG491" i="5"/>
  <c r="S471" i="5"/>
  <c r="AM491" i="5"/>
  <c r="AM473" i="5"/>
  <c r="AM499" i="5"/>
  <c r="R342" i="5"/>
  <c r="S342" i="5" s="1"/>
  <c r="AZ342" i="5" s="1"/>
  <c r="R326" i="5"/>
  <c r="S326" i="5" s="1"/>
  <c r="AZ326" i="5" s="1"/>
  <c r="R304" i="5"/>
  <c r="S304" i="5" s="1"/>
  <c r="AZ304" i="5" s="1"/>
  <c r="R288" i="5"/>
  <c r="S288" i="5" s="1"/>
  <c r="AZ288" i="5" s="1"/>
  <c r="R272" i="5"/>
  <c r="S272" i="5" s="1"/>
  <c r="AZ272" i="5" s="1"/>
  <c r="R262" i="5"/>
  <c r="S262" i="5" s="1"/>
  <c r="AZ262" i="5" s="1"/>
  <c r="R232" i="5"/>
  <c r="S232" i="5" s="1"/>
  <c r="AZ232" i="5" s="1"/>
  <c r="R222" i="5"/>
  <c r="S222" i="5" s="1"/>
  <c r="AZ222" i="5" s="1"/>
  <c r="R206" i="5"/>
  <c r="S206" i="5" s="1"/>
  <c r="AZ206" i="5" s="1"/>
  <c r="R196" i="5"/>
  <c r="S196" i="5" s="1"/>
  <c r="AZ196" i="5" s="1"/>
  <c r="R180" i="5"/>
  <c r="S180" i="5" s="1"/>
  <c r="AZ180" i="5" s="1"/>
  <c r="R164" i="5"/>
  <c r="S164" i="5" s="1"/>
  <c r="AZ164" i="5" s="1"/>
  <c r="Y495" i="4"/>
  <c r="Y493" i="4"/>
  <c r="AN453" i="4"/>
  <c r="AN499" i="4"/>
  <c r="AN491" i="4"/>
  <c r="AH491" i="4"/>
  <c r="AN473" i="4"/>
  <c r="T471" i="4"/>
  <c r="T480" i="4"/>
  <c r="AN462" i="4"/>
  <c r="AN483" i="4"/>
  <c r="AH462" i="4"/>
  <c r="Y303" i="6"/>
  <c r="Z284" i="6"/>
  <c r="W223" i="6"/>
  <c r="Z206" i="6"/>
  <c r="V206" i="6"/>
  <c r="Z196" i="6"/>
  <c r="Z192" i="6"/>
  <c r="V192" i="6"/>
  <c r="X152" i="6"/>
  <c r="AA152" i="6" s="1"/>
  <c r="AB152" i="6" s="1"/>
  <c r="AC152" i="6" s="1"/>
  <c r="X149" i="6"/>
  <c r="W149" i="6"/>
  <c r="V149" i="6"/>
  <c r="V356" i="6" s="1"/>
  <c r="R201" i="6"/>
  <c r="S201" i="6" s="1"/>
  <c r="AZ201" i="6" s="1"/>
  <c r="R211" i="6"/>
  <c r="S211" i="6" s="1"/>
  <c r="AZ211" i="6" s="1"/>
  <c r="R172" i="6"/>
  <c r="S172" i="6" s="1"/>
  <c r="AZ172" i="6" s="1"/>
  <c r="R210" i="6"/>
  <c r="S210" i="6" s="1"/>
  <c r="AZ210" i="6"/>
  <c r="R328" i="6"/>
  <c r="S328" i="6" s="1"/>
  <c r="AZ328" i="6" s="1"/>
  <c r="R145" i="6"/>
  <c r="S145" i="6" s="1"/>
  <c r="AZ145" i="6" s="1"/>
  <c r="AZ171" i="6"/>
  <c r="R171" i="6"/>
  <c r="S171" i="6" s="1"/>
  <c r="C525" i="5"/>
  <c r="C534" i="5"/>
  <c r="Y467" i="5"/>
  <c r="Y465" i="5"/>
  <c r="R315" i="5"/>
  <c r="S315" i="5" s="1"/>
  <c r="AZ315" i="5" s="1"/>
  <c r="R305" i="5"/>
  <c r="S305" i="5" s="1"/>
  <c r="AZ305" i="5" s="1"/>
  <c r="R289" i="5"/>
  <c r="S289" i="5" s="1"/>
  <c r="AZ289" i="5" s="1"/>
  <c r="R273" i="5"/>
  <c r="S273" i="5" s="1"/>
  <c r="AZ273" i="5" s="1"/>
  <c r="R255" i="5"/>
  <c r="S255" i="5" s="1"/>
  <c r="AZ255" i="5" s="1"/>
  <c r="R245" i="5"/>
  <c r="S245" i="5" s="1"/>
  <c r="AZ245" i="5" s="1"/>
  <c r="R229" i="5"/>
  <c r="S229" i="5" s="1"/>
  <c r="AZ229" i="5" s="1"/>
  <c r="R211" i="5"/>
  <c r="S211" i="5" s="1"/>
  <c r="AZ211" i="5" s="1"/>
  <c r="K36" i="5"/>
  <c r="BG202" i="5"/>
  <c r="R193" i="5"/>
  <c r="S193" i="5" s="1"/>
  <c r="AZ193" i="5" s="1"/>
  <c r="K31" i="5"/>
  <c r="BG186" i="5"/>
  <c r="R177" i="5"/>
  <c r="S177" i="5" s="1"/>
  <c r="AZ177" i="5" s="1"/>
  <c r="U27" i="5"/>
  <c r="BG170" i="5"/>
  <c r="R161" i="5"/>
  <c r="S161" i="5" s="1"/>
  <c r="AZ161" i="5" s="1"/>
  <c r="R151" i="5"/>
  <c r="S151" i="5" s="1"/>
  <c r="AZ151" i="5" s="1"/>
  <c r="W358" i="5"/>
  <c r="X360" i="5" s="1"/>
  <c r="Y347" i="6"/>
  <c r="W345" i="6"/>
  <c r="T36" i="6"/>
  <c r="V36" i="6"/>
  <c r="W255" i="6"/>
  <c r="W241" i="6"/>
  <c r="Y231" i="6"/>
  <c r="W211" i="6"/>
  <c r="Y210" i="6"/>
  <c r="X210" i="6"/>
  <c r="W210" i="6"/>
  <c r="AA210" i="6" s="1"/>
  <c r="AB210" i="6" s="1"/>
  <c r="AC210" i="6" s="1"/>
  <c r="Y209" i="6"/>
  <c r="X176" i="6"/>
  <c r="W176" i="6"/>
  <c r="AA176" i="6" s="1"/>
  <c r="AB176" i="6" s="1"/>
  <c r="AC176" i="6" s="1"/>
  <c r="Y175" i="6"/>
  <c r="T29" i="6"/>
  <c r="V29" i="6"/>
  <c r="X170" i="6"/>
  <c r="AA157" i="6"/>
  <c r="AB157" i="6" s="1"/>
  <c r="AC157" i="6" s="1"/>
  <c r="Y149" i="6"/>
  <c r="Y354" i="6" s="1"/>
  <c r="X145" i="6"/>
  <c r="W145" i="6"/>
  <c r="AA145" i="6" s="1"/>
  <c r="AB145" i="6" s="1"/>
  <c r="AC145" i="6" s="1"/>
  <c r="AK453" i="5"/>
  <c r="AK499" i="5"/>
  <c r="AK483" i="5"/>
  <c r="AE491" i="5"/>
  <c r="Q480" i="5"/>
  <c r="Q471" i="5"/>
  <c r="AE462" i="5"/>
  <c r="AK491" i="5"/>
  <c r="AK473" i="5"/>
  <c r="AK462" i="5"/>
  <c r="AZ336" i="5"/>
  <c r="R336" i="5"/>
  <c r="S336" i="5" s="1"/>
  <c r="AZ340" i="4"/>
  <c r="R340" i="4"/>
  <c r="S340" i="4" s="1"/>
  <c r="AZ326" i="4"/>
  <c r="R326" i="4"/>
  <c r="S326" i="4" s="1"/>
  <c r="AZ300" i="4"/>
  <c r="R300" i="4"/>
  <c r="S300" i="4" s="1"/>
  <c r="AZ276" i="4"/>
  <c r="R276" i="4"/>
  <c r="S276" i="4" s="1"/>
  <c r="AZ272" i="4"/>
  <c r="R272" i="4"/>
  <c r="S272" i="4" s="1"/>
  <c r="AZ258" i="4"/>
  <c r="R258" i="4"/>
  <c r="S258" i="4" s="1"/>
  <c r="AZ240" i="4"/>
  <c r="R240" i="4"/>
  <c r="S240" i="4" s="1"/>
  <c r="AZ236" i="4"/>
  <c r="R236" i="4"/>
  <c r="S236" i="4" s="1"/>
  <c r="AZ232" i="4"/>
  <c r="R232" i="4"/>
  <c r="S232" i="4" s="1"/>
  <c r="AZ206" i="4"/>
  <c r="R206" i="4"/>
  <c r="S206" i="4" s="1"/>
  <c r="AZ188" i="4"/>
  <c r="R188" i="4"/>
  <c r="S188" i="4" s="1"/>
  <c r="R150" i="4"/>
  <c r="S150" i="4" s="1"/>
  <c r="AZ150" i="4" s="1"/>
  <c r="AA312" i="3"/>
  <c r="AB312" i="3" s="1"/>
  <c r="AC312" i="3" s="1"/>
  <c r="R329" i="4"/>
  <c r="S329" i="4" s="1"/>
  <c r="AZ329" i="4"/>
  <c r="R323" i="4"/>
  <c r="S323" i="4" s="1"/>
  <c r="AZ323" i="4"/>
  <c r="R315" i="4"/>
  <c r="S315" i="4" s="1"/>
  <c r="AZ315" i="4"/>
  <c r="Y308" i="4"/>
  <c r="W308" i="4"/>
  <c r="Y304" i="4"/>
  <c r="W304" i="4"/>
  <c r="AA304" i="4" s="1"/>
  <c r="AB304" i="4" s="1"/>
  <c r="AC304" i="4" s="1"/>
  <c r="R297" i="4"/>
  <c r="S297" i="4" s="1"/>
  <c r="AZ297" i="4"/>
  <c r="Y292" i="4"/>
  <c r="W292" i="4"/>
  <c r="R281" i="4"/>
  <c r="S281" i="4" s="1"/>
  <c r="AZ281" i="4"/>
  <c r="Y276" i="4"/>
  <c r="W276" i="4"/>
  <c r="R273" i="4"/>
  <c r="S273" i="4" s="1"/>
  <c r="AZ273" i="4" s="1"/>
  <c r="R259" i="4"/>
  <c r="S259" i="4" s="1"/>
  <c r="AZ259" i="4" s="1"/>
  <c r="R255" i="4"/>
  <c r="S255" i="4" s="1"/>
  <c r="AZ255" i="4" s="1"/>
  <c r="Y250" i="4"/>
  <c r="W250" i="4"/>
  <c r="R245" i="4"/>
  <c r="S245" i="4" s="1"/>
  <c r="AZ245" i="4" s="1"/>
  <c r="Y240" i="4"/>
  <c r="W240" i="4"/>
  <c r="AA194" i="4"/>
  <c r="AB194" i="4" s="1"/>
  <c r="AC194" i="4" s="1"/>
  <c r="R185" i="4"/>
  <c r="S185" i="4" s="1"/>
  <c r="AZ185" i="4"/>
  <c r="X168" i="4"/>
  <c r="W168" i="4"/>
  <c r="X160" i="4"/>
  <c r="W160" i="4"/>
  <c r="R151" i="4"/>
  <c r="S151" i="4" s="1"/>
  <c r="AZ151" i="4" s="1"/>
  <c r="R147" i="4"/>
  <c r="S147" i="4" s="1"/>
  <c r="AZ147" i="4"/>
  <c r="Y349" i="3"/>
  <c r="W349" i="3"/>
  <c r="Y329" i="3"/>
  <c r="W329" i="3"/>
  <c r="AA293" i="3"/>
  <c r="AB293" i="3" s="1"/>
  <c r="AC293" i="3" s="1"/>
  <c r="X161" i="6"/>
  <c r="AA161" i="6" s="1"/>
  <c r="AB161" i="6" s="1"/>
  <c r="AC161" i="6" s="1"/>
  <c r="AZ456" i="5"/>
  <c r="D524" i="5"/>
  <c r="AZ456" i="4"/>
  <c r="D524" i="4"/>
  <c r="R350" i="4"/>
  <c r="S350" i="4" s="1"/>
  <c r="AZ350" i="4"/>
  <c r="Z337" i="4"/>
  <c r="V337" i="4"/>
  <c r="AA337" i="4" s="1"/>
  <c r="AB337" i="4" s="1"/>
  <c r="AC337" i="4" s="1"/>
  <c r="X337" i="4"/>
  <c r="R334" i="4"/>
  <c r="S334" i="4" s="1"/>
  <c r="AZ334" i="4" s="1"/>
  <c r="R316" i="4"/>
  <c r="S316" i="4" s="1"/>
  <c r="AZ316" i="4" s="1"/>
  <c r="Z309" i="4"/>
  <c r="V309" i="4"/>
  <c r="X309" i="4"/>
  <c r="R306" i="4"/>
  <c r="S306" i="4" s="1"/>
  <c r="AZ306" i="4"/>
  <c r="Z293" i="4"/>
  <c r="X293" i="4"/>
  <c r="AA293" i="4" s="1"/>
  <c r="AB293" i="4" s="1"/>
  <c r="AC293" i="4" s="1"/>
  <c r="R290" i="4"/>
  <c r="S290" i="4" s="1"/>
  <c r="AZ290" i="4"/>
  <c r="Z277" i="4"/>
  <c r="V277" i="4"/>
  <c r="AA277" i="4" s="1"/>
  <c r="AB277" i="4" s="1"/>
  <c r="AC277" i="4" s="1"/>
  <c r="X277" i="4"/>
  <c r="R274" i="4"/>
  <c r="S274" i="4" s="1"/>
  <c r="AZ274" i="4" s="1"/>
  <c r="R268" i="4"/>
  <c r="S268" i="4" s="1"/>
  <c r="AZ268" i="4" s="1"/>
  <c r="Z255" i="4"/>
  <c r="V255" i="4"/>
  <c r="X255" i="4"/>
  <c r="R252" i="4"/>
  <c r="S252" i="4" s="1"/>
  <c r="AZ252" i="4"/>
  <c r="R234" i="4"/>
  <c r="S234" i="4" s="1"/>
  <c r="AZ234" i="4"/>
  <c r="X207" i="4"/>
  <c r="X201" i="4"/>
  <c r="R198" i="4"/>
  <c r="S198" i="4" s="1"/>
  <c r="AZ198" i="4" s="1"/>
  <c r="X185" i="4"/>
  <c r="AA185" i="4" s="1"/>
  <c r="AB185" i="4" s="1"/>
  <c r="AC185" i="4" s="1"/>
  <c r="R182" i="4"/>
  <c r="S182" i="4" s="1"/>
  <c r="AZ182" i="4"/>
  <c r="Y169" i="4"/>
  <c r="X169" i="4"/>
  <c r="R166" i="4"/>
  <c r="S166" i="4" s="1"/>
  <c r="AZ166" i="4" s="1"/>
  <c r="R156" i="4"/>
  <c r="S156" i="4" s="1"/>
  <c r="AZ156" i="4"/>
  <c r="X212" i="3"/>
  <c r="Z212" i="3"/>
  <c r="V212" i="3"/>
  <c r="Z153" i="6"/>
  <c r="Z148" i="6"/>
  <c r="Z357" i="6" s="1"/>
  <c r="W350" i="4"/>
  <c r="AA350" i="4" s="1"/>
  <c r="AB350" i="4" s="1"/>
  <c r="AC350" i="4" s="1"/>
  <c r="Y350" i="4"/>
  <c r="V344" i="4"/>
  <c r="V332" i="4"/>
  <c r="AA332" i="4" s="1"/>
  <c r="AB332" i="4" s="1"/>
  <c r="AC332" i="4" s="1"/>
  <c r="W330" i="4"/>
  <c r="AA330" i="4" s="1"/>
  <c r="AB330" i="4" s="1"/>
  <c r="AC330" i="4" s="1"/>
  <c r="Y330" i="4"/>
  <c r="W324" i="4"/>
  <c r="AA324" i="4" s="1"/>
  <c r="AB324" i="4" s="1"/>
  <c r="AC324" i="4" s="1"/>
  <c r="Y324" i="4"/>
  <c r="X312" i="4"/>
  <c r="AA312" i="4" s="1"/>
  <c r="AB312" i="4" s="1"/>
  <c r="AC312" i="4" s="1"/>
  <c r="W306" i="4"/>
  <c r="AA306" i="4" s="1"/>
  <c r="AB306" i="4" s="1"/>
  <c r="AC306" i="4" s="1"/>
  <c r="Y306" i="4"/>
  <c r="V300" i="4"/>
  <c r="AA300" i="4" s="1"/>
  <c r="AB300" i="4" s="1"/>
  <c r="AC300" i="4" s="1"/>
  <c r="X298" i="4"/>
  <c r="AA298" i="4" s="1"/>
  <c r="AB298" i="4" s="1"/>
  <c r="AC298" i="4" s="1"/>
  <c r="W297" i="4"/>
  <c r="W294" i="4"/>
  <c r="AA294" i="4" s="1"/>
  <c r="AB294" i="4" s="1"/>
  <c r="AC294" i="4" s="1"/>
  <c r="Y294" i="4"/>
  <c r="V288" i="4"/>
  <c r="W286" i="4"/>
  <c r="AA286" i="4" s="1"/>
  <c r="AB286" i="4" s="1"/>
  <c r="AC286" i="4" s="1"/>
  <c r="Y286" i="4"/>
  <c r="V276" i="4"/>
  <c r="V266" i="4"/>
  <c r="X264" i="4"/>
  <c r="AA264" i="4" s="1"/>
  <c r="AB264" i="4" s="1"/>
  <c r="AC264" i="4" s="1"/>
  <c r="W263" i="4"/>
  <c r="V258" i="4"/>
  <c r="X256" i="4"/>
  <c r="AA256" i="4" s="1"/>
  <c r="AB256" i="4" s="1"/>
  <c r="AC256" i="4" s="1"/>
  <c r="W255" i="4"/>
  <c r="X242" i="4"/>
  <c r="AA242" i="4" s="1"/>
  <c r="AB242" i="4" s="1"/>
  <c r="AC242" i="4" s="1"/>
  <c r="W241" i="4"/>
  <c r="W238" i="4"/>
  <c r="AA238" i="4" s="1"/>
  <c r="AB238" i="4" s="1"/>
  <c r="AC238" i="4" s="1"/>
  <c r="Y238" i="4"/>
  <c r="W234" i="4"/>
  <c r="AA234" i="4" s="1"/>
  <c r="AB234" i="4" s="1"/>
  <c r="AC234" i="4" s="1"/>
  <c r="Y234" i="4"/>
  <c r="X230" i="4"/>
  <c r="AA230" i="4" s="1"/>
  <c r="AB230" i="4" s="1"/>
  <c r="AC230" i="4" s="1"/>
  <c r="W229" i="4"/>
  <c r="X224" i="4"/>
  <c r="AA224" i="4" s="1"/>
  <c r="AB224" i="4" s="1"/>
  <c r="AC224" i="4" s="1"/>
  <c r="W223" i="4"/>
  <c r="Y221" i="4"/>
  <c r="W220" i="4"/>
  <c r="AA220" i="4" s="1"/>
  <c r="AB220" i="4" s="1"/>
  <c r="AC220" i="4" s="1"/>
  <c r="Y220" i="4"/>
  <c r="W207" i="4"/>
  <c r="AA207" i="4" s="1"/>
  <c r="AB207" i="4" s="1"/>
  <c r="AC207" i="4" s="1"/>
  <c r="V200" i="4"/>
  <c r="AA200" i="4" s="1"/>
  <c r="AB200" i="4" s="1"/>
  <c r="AC200" i="4" s="1"/>
  <c r="X198" i="4"/>
  <c r="AA198" i="4" s="1"/>
  <c r="AB198" i="4" s="1"/>
  <c r="AC198" i="4" s="1"/>
  <c r="W197" i="4"/>
  <c r="AA197" i="4" s="1"/>
  <c r="AB197" i="4" s="1"/>
  <c r="AC197" i="4" s="1"/>
  <c r="W189" i="4"/>
  <c r="AA189" i="4" s="1"/>
  <c r="AB189" i="4" s="1"/>
  <c r="AC189" i="4" s="1"/>
  <c r="V172" i="4"/>
  <c r="AA172" i="4" s="1"/>
  <c r="AB172" i="4" s="1"/>
  <c r="AC172" i="4" s="1"/>
  <c r="V168" i="4"/>
  <c r="AA168" i="4" s="1"/>
  <c r="AB168" i="4" s="1"/>
  <c r="AC168" i="4" s="1"/>
  <c r="V160" i="4"/>
  <c r="AA160" i="4" s="1"/>
  <c r="AB160" i="4" s="1"/>
  <c r="AC160" i="4" s="1"/>
  <c r="BG154" i="4"/>
  <c r="K25" i="4"/>
  <c r="X152" i="4"/>
  <c r="W151" i="4"/>
  <c r="AA151" i="4" s="1"/>
  <c r="AB151" i="4" s="1"/>
  <c r="AC151" i="4" s="1"/>
  <c r="X148" i="4"/>
  <c r="W147" i="4"/>
  <c r="AA147" i="4" s="1"/>
  <c r="AB147" i="4" s="1"/>
  <c r="AC147" i="4" s="1"/>
  <c r="AK499" i="3"/>
  <c r="AK491" i="3"/>
  <c r="AE491" i="3"/>
  <c r="AK473" i="3"/>
  <c r="Q471" i="3"/>
  <c r="AK483" i="3"/>
  <c r="Q480" i="3"/>
  <c r="AK462" i="3"/>
  <c r="AE462" i="3"/>
  <c r="AK453" i="3"/>
  <c r="W350" i="3"/>
  <c r="W346" i="3"/>
  <c r="AA346" i="3" s="1"/>
  <c r="AB346" i="3" s="1"/>
  <c r="AC346" i="3" s="1"/>
  <c r="Y344" i="3"/>
  <c r="W342" i="3"/>
  <c r="Y340" i="3"/>
  <c r="W334" i="3"/>
  <c r="AA334" i="3" s="1"/>
  <c r="AB334" i="3" s="1"/>
  <c r="AC334" i="3" s="1"/>
  <c r="V329" i="3"/>
  <c r="W325" i="3"/>
  <c r="Y325" i="3"/>
  <c r="W317" i="3"/>
  <c r="AA317" i="3" s="1"/>
  <c r="AB317" i="3" s="1"/>
  <c r="AC317" i="3" s="1"/>
  <c r="Y317" i="3"/>
  <c r="V309" i="3"/>
  <c r="X303" i="3"/>
  <c r="AA303" i="3" s="1"/>
  <c r="AB303" i="3" s="1"/>
  <c r="AC303" i="3" s="1"/>
  <c r="V301" i="3"/>
  <c r="AA301" i="3" s="1"/>
  <c r="AB301" i="3" s="1"/>
  <c r="AC301" i="3" s="1"/>
  <c r="V297" i="3"/>
  <c r="AA297" i="3" s="1"/>
  <c r="AB297" i="3" s="1"/>
  <c r="AC297" i="3" s="1"/>
  <c r="X295" i="3"/>
  <c r="X291" i="3"/>
  <c r="AA291" i="3" s="1"/>
  <c r="AB291" i="3" s="1"/>
  <c r="AC291" i="3" s="1"/>
  <c r="V289" i="3"/>
  <c r="V285" i="3"/>
  <c r="AA285" i="3" s="1"/>
  <c r="AB285" i="3" s="1"/>
  <c r="AC285" i="3" s="1"/>
  <c r="X283" i="3"/>
  <c r="W264" i="3"/>
  <c r="AA264" i="3" s="1"/>
  <c r="AB264" i="3" s="1"/>
  <c r="AC264" i="3" s="1"/>
  <c r="W256" i="3"/>
  <c r="AA256" i="3" s="1"/>
  <c r="AB256" i="3" s="1"/>
  <c r="AC256" i="3" s="1"/>
  <c r="X253" i="3"/>
  <c r="Y249" i="3"/>
  <c r="AA249" i="3" s="1"/>
  <c r="AB249" i="3" s="1"/>
  <c r="AC249" i="3" s="1"/>
  <c r="W202" i="3"/>
  <c r="AA202" i="3" s="1"/>
  <c r="AB202" i="3" s="1"/>
  <c r="AC202" i="3" s="1"/>
  <c r="Y349" i="4"/>
  <c r="X344" i="4"/>
  <c r="Y333" i="4"/>
  <c r="Z324" i="4"/>
  <c r="Y309" i="4"/>
  <c r="X304" i="4"/>
  <c r="Z288" i="4"/>
  <c r="X266" i="4"/>
  <c r="Z242" i="4"/>
  <c r="X218" i="4"/>
  <c r="W212" i="4"/>
  <c r="AA212" i="4" s="1"/>
  <c r="AB212" i="4" s="1"/>
  <c r="AC212" i="4" s="1"/>
  <c r="Y206" i="4"/>
  <c r="X196" i="4"/>
  <c r="AA196" i="4" s="1"/>
  <c r="AB196" i="4" s="1"/>
  <c r="AC196" i="4" s="1"/>
  <c r="V175" i="4"/>
  <c r="AA175" i="4" s="1"/>
  <c r="AB175" i="4" s="1"/>
  <c r="AC175" i="4" s="1"/>
  <c r="W158" i="4"/>
  <c r="Z147" i="4"/>
  <c r="Z347" i="3"/>
  <c r="Y315" i="3"/>
  <c r="Z307" i="3"/>
  <c r="X296" i="3"/>
  <c r="X277" i="3"/>
  <c r="V258" i="3"/>
  <c r="AA258" i="3" s="1"/>
  <c r="AB258" i="3" s="1"/>
  <c r="AC258" i="3" s="1"/>
  <c r="Z239" i="3"/>
  <c r="Z231" i="3"/>
  <c r="AA228" i="3"/>
  <c r="AB228" i="3" s="1"/>
  <c r="AC228" i="3" s="1"/>
  <c r="X223" i="3"/>
  <c r="Y199" i="3"/>
  <c r="W199" i="3"/>
  <c r="W197" i="3"/>
  <c r="AA197" i="3" s="1"/>
  <c r="AB197" i="3" s="1"/>
  <c r="AC197" i="3" s="1"/>
  <c r="Y197" i="3"/>
  <c r="W195" i="3"/>
  <c r="AA195" i="3" s="1"/>
  <c r="AB195" i="3" s="1"/>
  <c r="AC195" i="3" s="1"/>
  <c r="Y195" i="3"/>
  <c r="R183" i="3"/>
  <c r="S183" i="3" s="1"/>
  <c r="AZ183" i="3"/>
  <c r="X173" i="3"/>
  <c r="AA173" i="3" s="1"/>
  <c r="AB173" i="3" s="1"/>
  <c r="AC173" i="3" s="1"/>
  <c r="Y173" i="3"/>
  <c r="AZ167" i="3"/>
  <c r="R167" i="3"/>
  <c r="S167" i="3" s="1"/>
  <c r="AK453" i="2"/>
  <c r="AK499" i="2"/>
  <c r="AK491" i="2"/>
  <c r="AE491" i="2"/>
  <c r="AK473" i="2"/>
  <c r="Q471" i="2"/>
  <c r="AK483" i="2"/>
  <c r="Q480" i="2"/>
  <c r="AK462" i="2"/>
  <c r="AE462" i="2"/>
  <c r="AZ226" i="2"/>
  <c r="R226" i="2"/>
  <c r="S226" i="2" s="1"/>
  <c r="R222" i="2"/>
  <c r="S222" i="2" s="1"/>
  <c r="AZ222" i="2" s="1"/>
  <c r="AZ218" i="2"/>
  <c r="R218" i="2"/>
  <c r="S218" i="2" s="1"/>
  <c r="R214" i="2"/>
  <c r="S214" i="2" s="1"/>
  <c r="AZ214" i="2" s="1"/>
  <c r="AZ210" i="2"/>
  <c r="R210" i="2"/>
  <c r="S210" i="2" s="1"/>
  <c r="R206" i="2"/>
  <c r="S206" i="2" s="1"/>
  <c r="AZ206" i="2" s="1"/>
  <c r="AA317" i="4"/>
  <c r="AB317" i="4" s="1"/>
  <c r="AC317" i="4" s="1"/>
  <c r="Z314" i="4"/>
  <c r="Z308" i="4"/>
  <c r="X296" i="4"/>
  <c r="X276" i="4"/>
  <c r="Z264" i="4"/>
  <c r="Z258" i="4"/>
  <c r="X250" i="4"/>
  <c r="AA243" i="4"/>
  <c r="AB243" i="4" s="1"/>
  <c r="AC243" i="4" s="1"/>
  <c r="W221" i="4"/>
  <c r="AA221" i="4" s="1"/>
  <c r="AB221" i="4" s="1"/>
  <c r="AC221" i="4" s="1"/>
  <c r="W216" i="4"/>
  <c r="AA216" i="4" s="1"/>
  <c r="AB216" i="4" s="1"/>
  <c r="AC216" i="4" s="1"/>
  <c r="X210" i="4"/>
  <c r="X206" i="4"/>
  <c r="Y197" i="4"/>
  <c r="Y192" i="4"/>
  <c r="Y173" i="4"/>
  <c r="Z161" i="4"/>
  <c r="X329" i="3"/>
  <c r="Z319" i="3"/>
  <c r="X315" i="3"/>
  <c r="AA315" i="3" s="1"/>
  <c r="AB315" i="3" s="1"/>
  <c r="AC315" i="3" s="1"/>
  <c r="X309" i="3"/>
  <c r="W283" i="3"/>
  <c r="AA283" i="3" s="1"/>
  <c r="AB283" i="3" s="1"/>
  <c r="AC283" i="3" s="1"/>
  <c r="X272" i="3"/>
  <c r="AA272" i="3" s="1"/>
  <c r="AB272" i="3" s="1"/>
  <c r="AC272" i="3" s="1"/>
  <c r="X267" i="3"/>
  <c r="Y259" i="3"/>
  <c r="Y252" i="3"/>
  <c r="Z247" i="3"/>
  <c r="Z241" i="3"/>
  <c r="W211" i="3"/>
  <c r="AA211" i="3" s="1"/>
  <c r="AB211" i="3" s="1"/>
  <c r="AC211" i="3" s="1"/>
  <c r="Y211" i="3"/>
  <c r="X201" i="3"/>
  <c r="R191" i="3"/>
  <c r="S191" i="3" s="1"/>
  <c r="AZ191" i="3" s="1"/>
  <c r="AZ177" i="3"/>
  <c r="R177" i="3"/>
  <c r="S177" i="3" s="1"/>
  <c r="Y176" i="3"/>
  <c r="R168" i="3"/>
  <c r="S168" i="3" s="1"/>
  <c r="AZ168" i="3"/>
  <c r="R160" i="3"/>
  <c r="S160" i="3" s="1"/>
  <c r="AZ160" i="3" s="1"/>
  <c r="AA152" i="3"/>
  <c r="AB152" i="3" s="1"/>
  <c r="AC152" i="3" s="1"/>
  <c r="BG151" i="3"/>
  <c r="U23" i="3"/>
  <c r="R146" i="3"/>
  <c r="S146" i="3" s="1"/>
  <c r="AZ146" i="3"/>
  <c r="Y487" i="2"/>
  <c r="Y485" i="2"/>
  <c r="R349" i="2"/>
  <c r="S349" i="2" s="1"/>
  <c r="AZ349" i="2"/>
  <c r="R311" i="2"/>
  <c r="S311" i="2" s="1"/>
  <c r="AZ311" i="2"/>
  <c r="AA298" i="2"/>
  <c r="AB298" i="2" s="1"/>
  <c r="AC298" i="2" s="1"/>
  <c r="AA286" i="2"/>
  <c r="AB286" i="2" s="1"/>
  <c r="AC286" i="2" s="1"/>
  <c r="R273" i="2"/>
  <c r="S273" i="2" s="1"/>
  <c r="AZ273" i="2" s="1"/>
  <c r="AA256" i="2"/>
  <c r="AB256" i="2" s="1"/>
  <c r="AC256" i="2" s="1"/>
  <c r="R251" i="2"/>
  <c r="S251" i="2" s="1"/>
  <c r="AZ251" i="2" s="1"/>
  <c r="R245" i="2"/>
  <c r="S245" i="2" s="1"/>
  <c r="AZ245" i="2"/>
  <c r="R233" i="2"/>
  <c r="S233" i="2" s="1"/>
  <c r="AZ233" i="2" s="1"/>
  <c r="R229" i="2"/>
  <c r="S229" i="2" s="1"/>
  <c r="AZ229" i="2"/>
  <c r="R215" i="2"/>
  <c r="S215" i="2" s="1"/>
  <c r="AZ215" i="2" s="1"/>
  <c r="R192" i="2"/>
  <c r="S192" i="2" s="1"/>
  <c r="AZ192" i="2" s="1"/>
  <c r="R185" i="2"/>
  <c r="S185" i="2" s="1"/>
  <c r="AZ185" i="2"/>
  <c r="R180" i="2"/>
  <c r="S180" i="2" s="1"/>
  <c r="AZ180" i="2" s="1"/>
  <c r="R176" i="2"/>
  <c r="S176" i="2" s="1"/>
  <c r="AZ176" i="2" s="1"/>
  <c r="R172" i="2"/>
  <c r="S172" i="2" s="1"/>
  <c r="AZ172" i="2" s="1"/>
  <c r="AZ168" i="2"/>
  <c r="R168" i="2"/>
  <c r="S168" i="2" s="1"/>
  <c r="R160" i="2"/>
  <c r="S160" i="2" s="1"/>
  <c r="AZ160" i="2" s="1"/>
  <c r="AA148" i="2"/>
  <c r="AB148" i="2" s="1"/>
  <c r="AC148" i="2" s="1"/>
  <c r="R146" i="2"/>
  <c r="S146" i="2" s="1"/>
  <c r="AZ146" i="2" s="1"/>
  <c r="Y345" i="4"/>
  <c r="Z334" i="4"/>
  <c r="AA334" i="4" s="1"/>
  <c r="AB334" i="4" s="1"/>
  <c r="AC334" i="4" s="1"/>
  <c r="Y305" i="4"/>
  <c r="Z294" i="4"/>
  <c r="AA291" i="4"/>
  <c r="AB291" i="4" s="1"/>
  <c r="AC291" i="4" s="1"/>
  <c r="Y267" i="4"/>
  <c r="Z218" i="4"/>
  <c r="Z214" i="4"/>
  <c r="Y201" i="4"/>
  <c r="Z196" i="4"/>
  <c r="W153" i="4"/>
  <c r="Z146" i="4"/>
  <c r="Z341" i="3"/>
  <c r="X300" i="3"/>
  <c r="Z291" i="3"/>
  <c r="Z277" i="3"/>
  <c r="Y264" i="3"/>
  <c r="X259" i="3"/>
  <c r="Y232" i="3"/>
  <c r="W229" i="3"/>
  <c r="AA229" i="3" s="1"/>
  <c r="AB229" i="3" s="1"/>
  <c r="AC229" i="3" s="1"/>
  <c r="Y229" i="3"/>
  <c r="Y210" i="3"/>
  <c r="BG201" i="3"/>
  <c r="K35" i="3"/>
  <c r="X197" i="3"/>
  <c r="X195" i="3"/>
  <c r="X192" i="3"/>
  <c r="V192" i="3"/>
  <c r="Z192" i="3"/>
  <c r="AZ189" i="3"/>
  <c r="R189" i="3"/>
  <c r="S189" i="3" s="1"/>
  <c r="K30" i="3"/>
  <c r="BG185" i="3"/>
  <c r="X175" i="3"/>
  <c r="W172" i="3"/>
  <c r="U25" i="3"/>
  <c r="BG162" i="3"/>
  <c r="Z150" i="3"/>
  <c r="V150" i="3"/>
  <c r="V355" i="3" s="1"/>
  <c r="W150" i="3"/>
  <c r="R147" i="3"/>
  <c r="S147" i="3" s="1"/>
  <c r="AZ147" i="3"/>
  <c r="R320" i="2"/>
  <c r="S320" i="2" s="1"/>
  <c r="AZ320" i="2"/>
  <c r="R306" i="2"/>
  <c r="S306" i="2" s="1"/>
  <c r="AZ306" i="2" s="1"/>
  <c r="AA291" i="2"/>
  <c r="AB291" i="2" s="1"/>
  <c r="AC291" i="2" s="1"/>
  <c r="R282" i="2"/>
  <c r="S282" i="2" s="1"/>
  <c r="AZ282" i="2" s="1"/>
  <c r="R260" i="2"/>
  <c r="S260" i="2" s="1"/>
  <c r="AZ260" i="2"/>
  <c r="R252" i="2"/>
  <c r="S252" i="2" s="1"/>
  <c r="AZ252" i="2" s="1"/>
  <c r="R234" i="2"/>
  <c r="S234" i="2" s="1"/>
  <c r="AZ234" i="2"/>
  <c r="R230" i="2"/>
  <c r="S230" i="2" s="1"/>
  <c r="AZ230" i="2" s="1"/>
  <c r="AA227" i="2"/>
  <c r="AB227" i="2" s="1"/>
  <c r="AC227" i="2" s="1"/>
  <c r="BG203" i="2"/>
  <c r="K37" i="2"/>
  <c r="BG199" i="2"/>
  <c r="U31" i="2"/>
  <c r="AA195" i="2"/>
  <c r="AB195" i="2" s="1"/>
  <c r="AC195" i="2" s="1"/>
  <c r="R186" i="2"/>
  <c r="S186" i="2" s="1"/>
  <c r="AZ186" i="2" s="1"/>
  <c r="R182" i="2"/>
  <c r="S182" i="2" s="1"/>
  <c r="AZ182" i="2"/>
  <c r="R161" i="2"/>
  <c r="S161" i="2" s="1"/>
  <c r="AZ161" i="2" s="1"/>
  <c r="BG153" i="2"/>
  <c r="K24" i="2"/>
  <c r="R151" i="2"/>
  <c r="S151" i="2" s="1"/>
  <c r="AZ151" i="2"/>
  <c r="R148" i="2"/>
  <c r="S148" i="2" s="1"/>
  <c r="AZ148" i="2" s="1"/>
  <c r="BG145" i="2"/>
  <c r="U22" i="2"/>
  <c r="K22" i="2"/>
  <c r="AA335" i="4"/>
  <c r="AB335" i="4" s="1"/>
  <c r="AC335" i="4" s="1"/>
  <c r="Z326" i="4"/>
  <c r="Z284" i="4"/>
  <c r="Z270" i="4"/>
  <c r="AA253" i="4"/>
  <c r="AB253" i="4" s="1"/>
  <c r="AC253" i="4" s="1"/>
  <c r="Y229" i="4"/>
  <c r="Y211" i="4"/>
  <c r="Z206" i="4"/>
  <c r="Y196" i="4"/>
  <c r="J28" i="4"/>
  <c r="L28" i="4"/>
  <c r="W170" i="4"/>
  <c r="J26" i="4"/>
  <c r="L26" i="4"/>
  <c r="Z333" i="3"/>
  <c r="AA333" i="3" s="1"/>
  <c r="AB333" i="3" s="1"/>
  <c r="AC333" i="3" s="1"/>
  <c r="X319" i="3"/>
  <c r="Z309" i="3"/>
  <c r="W295" i="3"/>
  <c r="AA295" i="3" s="1"/>
  <c r="AB295" i="3" s="1"/>
  <c r="AC295" i="3" s="1"/>
  <c r="X289" i="3"/>
  <c r="Y263" i="3"/>
  <c r="Y251" i="3"/>
  <c r="X247" i="3"/>
  <c r="AA247" i="3" s="1"/>
  <c r="AB247" i="3" s="1"/>
  <c r="AC247" i="3" s="1"/>
  <c r="AA234" i="3"/>
  <c r="AB234" i="3" s="1"/>
  <c r="AC234" i="3" s="1"/>
  <c r="U33" i="3"/>
  <c r="BG231" i="3"/>
  <c r="W206" i="3"/>
  <c r="W201" i="3"/>
  <c r="AA201" i="3" s="1"/>
  <c r="AB201" i="3" s="1"/>
  <c r="AC201" i="3" s="1"/>
  <c r="Z198" i="3"/>
  <c r="X198" i="3"/>
  <c r="V198" i="3"/>
  <c r="X183" i="3"/>
  <c r="V171" i="3"/>
  <c r="AA171" i="3" s="1"/>
  <c r="AB171" i="3" s="1"/>
  <c r="AC171" i="3" s="1"/>
  <c r="U22" i="3"/>
  <c r="K22" i="3"/>
  <c r="BG145" i="3"/>
  <c r="R176" i="3"/>
  <c r="S176" i="3" s="1"/>
  <c r="AZ176" i="3" s="1"/>
  <c r="W350" i="2"/>
  <c r="AA350" i="2" s="1"/>
  <c r="AB350" i="2" s="1"/>
  <c r="AC350" i="2" s="1"/>
  <c r="X350" i="2"/>
  <c r="BG336" i="2"/>
  <c r="U36" i="2"/>
  <c r="W324" i="2"/>
  <c r="AA324" i="2" s="1"/>
  <c r="AB324" i="2" s="1"/>
  <c r="AC324" i="2" s="1"/>
  <c r="X324" i="2"/>
  <c r="R271" i="2"/>
  <c r="S271" i="2" s="1"/>
  <c r="AZ271" i="2" s="1"/>
  <c r="W242" i="2"/>
  <c r="AA242" i="2" s="1"/>
  <c r="AB242" i="2" s="1"/>
  <c r="AC242" i="2" s="1"/>
  <c r="X242" i="2"/>
  <c r="W238" i="2"/>
  <c r="AA238" i="2" s="1"/>
  <c r="AB238" i="2" s="1"/>
  <c r="AC238" i="2" s="1"/>
  <c r="X238" i="2"/>
  <c r="BG236" i="2"/>
  <c r="U38" i="2"/>
  <c r="AZ205" i="2"/>
  <c r="R205" i="2"/>
  <c r="S205" i="2" s="1"/>
  <c r="W202" i="2"/>
  <c r="X202" i="2"/>
  <c r="W198" i="2"/>
  <c r="AA198" i="2" s="1"/>
  <c r="AB198" i="2" s="1"/>
  <c r="AC198" i="2" s="1"/>
  <c r="X198" i="2"/>
  <c r="BG196" i="2"/>
  <c r="K34" i="2"/>
  <c r="X178" i="2"/>
  <c r="AA178" i="2" s="1"/>
  <c r="AB178" i="2" s="1"/>
  <c r="AC178" i="2" s="1"/>
  <c r="W170" i="2"/>
  <c r="AA170" i="2" s="1"/>
  <c r="AB170" i="2" s="1"/>
  <c r="AC170" i="2" s="1"/>
  <c r="X170" i="2"/>
  <c r="W166" i="2"/>
  <c r="AA166" i="2" s="1"/>
  <c r="AB166" i="2" s="1"/>
  <c r="AC166" i="2" s="1"/>
  <c r="X166" i="2"/>
  <c r="BG154" i="2"/>
  <c r="K25" i="2"/>
  <c r="AA153" i="3"/>
  <c r="AB153" i="3" s="1"/>
  <c r="AC153" i="3" s="1"/>
  <c r="Z148" i="3"/>
  <c r="Y350" i="2"/>
  <c r="AA304" i="2"/>
  <c r="AB304" i="2" s="1"/>
  <c r="AC304" i="2" s="1"/>
  <c r="Y294" i="2"/>
  <c r="AA270" i="2"/>
  <c r="AB270" i="2" s="1"/>
  <c r="AC270" i="2" s="1"/>
  <c r="Z212" i="2"/>
  <c r="Y170" i="3"/>
  <c r="AA170" i="3" s="1"/>
  <c r="AB170" i="3" s="1"/>
  <c r="AC170" i="3" s="1"/>
  <c r="Z147" i="3"/>
  <c r="Z355" i="3" s="1"/>
  <c r="Y355" i="3"/>
  <c r="Y356" i="3"/>
  <c r="Y358" i="3" s="1"/>
  <c r="Y357" i="3"/>
  <c r="Y354" i="3"/>
  <c r="AZ456" i="2"/>
  <c r="D524" i="2"/>
  <c r="Z342" i="2"/>
  <c r="AA342" i="2" s="1"/>
  <c r="AB342" i="2" s="1"/>
  <c r="AC342" i="2" s="1"/>
  <c r="Y324" i="2"/>
  <c r="AA288" i="2"/>
  <c r="AB288" i="2" s="1"/>
  <c r="AC288" i="2" s="1"/>
  <c r="AA276" i="2"/>
  <c r="AB276" i="2" s="1"/>
  <c r="AC276" i="2" s="1"/>
  <c r="Y264" i="2"/>
  <c r="AA258" i="2"/>
  <c r="AB258" i="2" s="1"/>
  <c r="AC258" i="2" s="1"/>
  <c r="Y234" i="2"/>
  <c r="Y230" i="2"/>
  <c r="AA214" i="2"/>
  <c r="AB214" i="2" s="1"/>
  <c r="AC214" i="2" s="1"/>
  <c r="X166" i="3"/>
  <c r="AA166" i="3" s="1"/>
  <c r="AB166" i="3" s="1"/>
  <c r="AC166" i="3" s="1"/>
  <c r="X146" i="3"/>
  <c r="X354" i="3" s="1"/>
  <c r="AA349" i="2"/>
  <c r="AB349" i="2" s="1"/>
  <c r="AC349" i="2" s="1"/>
  <c r="Y346" i="2"/>
  <c r="AA319" i="2"/>
  <c r="AB319" i="2" s="1"/>
  <c r="AC319" i="2" s="1"/>
  <c r="AA300" i="2"/>
  <c r="AB300" i="2" s="1"/>
  <c r="AC300" i="2" s="1"/>
  <c r="AA210" i="2"/>
  <c r="AB210" i="2" s="1"/>
  <c r="AC210" i="2" s="1"/>
  <c r="Z198" i="2"/>
  <c r="AA192" i="2"/>
  <c r="AB192" i="2" s="1"/>
  <c r="AC192" i="2" s="1"/>
  <c r="Z186" i="2"/>
  <c r="J29" i="3"/>
  <c r="L29" i="3"/>
  <c r="J27" i="3"/>
  <c r="L27" i="3"/>
  <c r="AA318" i="2"/>
  <c r="AB318" i="2" s="1"/>
  <c r="AC318" i="2" s="1"/>
  <c r="AA297" i="2"/>
  <c r="AB297" i="2" s="1"/>
  <c r="AC297" i="2" s="1"/>
  <c r="Z260" i="2"/>
  <c r="AA260" i="2" s="1"/>
  <c r="AB260" i="2" s="1"/>
  <c r="AC260" i="2" s="1"/>
  <c r="AA241" i="2"/>
  <c r="AB241" i="2" s="1"/>
  <c r="AC241" i="2" s="1"/>
  <c r="Z216" i="2"/>
  <c r="Y194" i="2"/>
  <c r="AA194" i="2" s="1"/>
  <c r="AB194" i="2" s="1"/>
  <c r="AC194" i="2" s="1"/>
  <c r="AA185" i="2"/>
  <c r="AB185" i="2" s="1"/>
  <c r="AC185" i="2" s="1"/>
  <c r="Z170" i="2"/>
  <c r="X158" i="2"/>
  <c r="AA150" i="2"/>
  <c r="AB150" i="2" s="1"/>
  <c r="AC150" i="2" s="1"/>
  <c r="AA147" i="2"/>
  <c r="AB147" i="2" s="1"/>
  <c r="AC147" i="2" s="1"/>
  <c r="AL493" i="11"/>
  <c r="AL494" i="11" s="1"/>
  <c r="AL495" i="11"/>
  <c r="AL496" i="11" s="1"/>
  <c r="J518" i="11"/>
  <c r="I518" i="11"/>
  <c r="O518" i="11" s="1"/>
  <c r="K518" i="11"/>
  <c r="P518" i="11" s="1"/>
  <c r="M510" i="11"/>
  <c r="J517" i="11"/>
  <c r="I517" i="11"/>
  <c r="M517" i="11" s="1"/>
  <c r="F512" i="11"/>
  <c r="AF492" i="11"/>
  <c r="O510" i="11"/>
  <c r="AL485" i="11"/>
  <c r="AL486" i="11" s="1"/>
  <c r="AL487" i="11"/>
  <c r="AL488" i="11" s="1"/>
  <c r="AG463" i="11"/>
  <c r="G511" i="11"/>
  <c r="M467" i="11"/>
  <c r="M518" i="11"/>
  <c r="J516" i="11"/>
  <c r="I516" i="11"/>
  <c r="F511" i="11"/>
  <c r="L467" i="11"/>
  <c r="AF463" i="11"/>
  <c r="N510" i="11"/>
  <c r="J514" i="11"/>
  <c r="I514" i="11"/>
  <c r="J513" i="11"/>
  <c r="I513" i="11"/>
  <c r="F84" i="11"/>
  <c r="L73" i="11"/>
  <c r="F73" i="11"/>
  <c r="N518" i="10"/>
  <c r="D512" i="10"/>
  <c r="V491" i="10"/>
  <c r="I529" i="10" s="1"/>
  <c r="R491" i="10"/>
  <c r="R492" i="10" s="1"/>
  <c r="V493" i="10"/>
  <c r="K529" i="10" s="1"/>
  <c r="R493" i="10"/>
  <c r="R494" i="10" s="1"/>
  <c r="V492" i="10"/>
  <c r="J529" i="10" s="1"/>
  <c r="F511" i="10"/>
  <c r="L467" i="10"/>
  <c r="AF463" i="10"/>
  <c r="AE463" i="10"/>
  <c r="E511" i="10"/>
  <c r="K467" i="10"/>
  <c r="AL503" i="10"/>
  <c r="AL504" i="10" s="1"/>
  <c r="AL501" i="10"/>
  <c r="AL502" i="10" s="1"/>
  <c r="O513" i="10"/>
  <c r="AE492" i="10"/>
  <c r="E512" i="10"/>
  <c r="J510" i="10"/>
  <c r="I510" i="10"/>
  <c r="L518" i="9"/>
  <c r="L510" i="9"/>
  <c r="J515" i="9"/>
  <c r="I515" i="9"/>
  <c r="D511" i="9"/>
  <c r="V465" i="9"/>
  <c r="H528" i="9" s="1"/>
  <c r="R465" i="9"/>
  <c r="R466" i="9" s="1"/>
  <c r="V463" i="9"/>
  <c r="F528" i="9" s="1"/>
  <c r="R463" i="9"/>
  <c r="R464" i="9" s="1"/>
  <c r="V464" i="9"/>
  <c r="G528" i="9" s="1"/>
  <c r="J467" i="9"/>
  <c r="O517" i="9"/>
  <c r="M510" i="9"/>
  <c r="D512" i="9"/>
  <c r="V492" i="9"/>
  <c r="J529" i="9" s="1"/>
  <c r="R491" i="9"/>
  <c r="R492" i="9" s="1"/>
  <c r="R493" i="9"/>
  <c r="R494" i="9" s="1"/>
  <c r="V491" i="9"/>
  <c r="I529" i="9" s="1"/>
  <c r="V493" i="9"/>
  <c r="K529" i="9" s="1"/>
  <c r="AL457" i="9"/>
  <c r="AL458" i="9" s="1"/>
  <c r="AL455" i="9"/>
  <c r="AL456" i="9" s="1"/>
  <c r="G512" i="8"/>
  <c r="AG492" i="8"/>
  <c r="L515" i="8"/>
  <c r="F85" i="9"/>
  <c r="L74" i="9"/>
  <c r="F74" i="9"/>
  <c r="F81" i="9"/>
  <c r="L70" i="9"/>
  <c r="F70" i="9"/>
  <c r="M516" i="8"/>
  <c r="O518" i="8"/>
  <c r="I517" i="8"/>
  <c r="J517" i="8"/>
  <c r="AE492" i="8"/>
  <c r="E512" i="8"/>
  <c r="M467" i="8"/>
  <c r="AG463" i="8"/>
  <c r="G511" i="8"/>
  <c r="N518" i="8"/>
  <c r="N510" i="8"/>
  <c r="M515" i="8"/>
  <c r="N516" i="7"/>
  <c r="E511" i="7"/>
  <c r="K467" i="7"/>
  <c r="AE463" i="7"/>
  <c r="F87" i="8"/>
  <c r="L76" i="8"/>
  <c r="F76" i="8"/>
  <c r="F83" i="8"/>
  <c r="L72" i="8"/>
  <c r="F72" i="8"/>
  <c r="L510" i="7"/>
  <c r="I515" i="7"/>
  <c r="J515" i="7"/>
  <c r="I513" i="7"/>
  <c r="J513" i="7"/>
  <c r="J518" i="7"/>
  <c r="I518" i="7"/>
  <c r="O518" i="7" s="1"/>
  <c r="AH492" i="7"/>
  <c r="H512" i="7"/>
  <c r="V493" i="7"/>
  <c r="K529" i="7" s="1"/>
  <c r="R493" i="7"/>
  <c r="R494" i="7" s="1"/>
  <c r="V492" i="7"/>
  <c r="J529" i="7" s="1"/>
  <c r="D512" i="7"/>
  <c r="V491" i="7"/>
  <c r="I529" i="7" s="1"/>
  <c r="R491" i="7"/>
  <c r="R492" i="7" s="1"/>
  <c r="AL466" i="7"/>
  <c r="AL467" i="7" s="1"/>
  <c r="AL464" i="7"/>
  <c r="AL465" i="7" s="1"/>
  <c r="D512" i="6"/>
  <c r="V491" i="6"/>
  <c r="I529" i="6" s="1"/>
  <c r="R491" i="6"/>
  <c r="R492" i="6" s="1"/>
  <c r="V492" i="6"/>
  <c r="J529" i="6" s="1"/>
  <c r="V493" i="6"/>
  <c r="K529" i="6" s="1"/>
  <c r="R493" i="6"/>
  <c r="R494" i="6" s="1"/>
  <c r="AL503" i="6"/>
  <c r="AL504" i="6" s="1"/>
  <c r="AL501" i="6"/>
  <c r="AL502" i="6" s="1"/>
  <c r="N467" i="6"/>
  <c r="H511" i="6"/>
  <c r="AH463" i="6"/>
  <c r="J510" i="6"/>
  <c r="I510" i="6"/>
  <c r="L513" i="6"/>
  <c r="E511" i="5"/>
  <c r="K467" i="5"/>
  <c r="AE463" i="5"/>
  <c r="I69" i="6"/>
  <c r="J518" i="6"/>
  <c r="I518" i="6"/>
  <c r="N513" i="6"/>
  <c r="E511" i="4"/>
  <c r="K467" i="4"/>
  <c r="AE463" i="4"/>
  <c r="L517" i="5"/>
  <c r="J516" i="5"/>
  <c r="I516" i="5"/>
  <c r="I513" i="5"/>
  <c r="J513" i="5"/>
  <c r="F87" i="5"/>
  <c r="L76" i="5"/>
  <c r="F76" i="5"/>
  <c r="F83" i="5"/>
  <c r="L72" i="5"/>
  <c r="F72" i="5"/>
  <c r="I515" i="4"/>
  <c r="J515" i="4"/>
  <c r="I513" i="4"/>
  <c r="J513" i="4"/>
  <c r="AH492" i="5"/>
  <c r="H512" i="5"/>
  <c r="L514" i="5"/>
  <c r="AH463" i="5"/>
  <c r="H511" i="5"/>
  <c r="N467" i="5"/>
  <c r="I515" i="5"/>
  <c r="J515" i="5"/>
  <c r="N510" i="4"/>
  <c r="E74" i="4"/>
  <c r="E70" i="4"/>
  <c r="E68" i="4"/>
  <c r="L68" i="4" s="1"/>
  <c r="I68" i="4" s="1"/>
  <c r="L517" i="3"/>
  <c r="F512" i="3"/>
  <c r="AF492" i="3"/>
  <c r="N514" i="3"/>
  <c r="J513" i="3"/>
  <c r="I513" i="3"/>
  <c r="K513" i="3" s="1"/>
  <c r="J516" i="4"/>
  <c r="I516" i="4"/>
  <c r="L514" i="4"/>
  <c r="AG463" i="3"/>
  <c r="G511" i="3"/>
  <c r="M467" i="3"/>
  <c r="N517" i="3"/>
  <c r="AH492" i="3"/>
  <c r="H512" i="3"/>
  <c r="D512" i="3"/>
  <c r="V491" i="3"/>
  <c r="I529" i="3" s="1"/>
  <c r="R491" i="3"/>
  <c r="R492" i="3" s="1"/>
  <c r="V493" i="3"/>
  <c r="K529" i="3" s="1"/>
  <c r="R493" i="3"/>
  <c r="R494" i="3" s="1"/>
  <c r="V492" i="3"/>
  <c r="J529" i="3" s="1"/>
  <c r="AL466" i="3"/>
  <c r="AL467" i="3" s="1"/>
  <c r="AL464" i="3"/>
  <c r="AL465" i="3" s="1"/>
  <c r="L467" i="3"/>
  <c r="AF463" i="3"/>
  <c r="F511" i="3"/>
  <c r="N516" i="3"/>
  <c r="AL477" i="3"/>
  <c r="AL478" i="3" s="1"/>
  <c r="AL475" i="3"/>
  <c r="AL476" i="3" s="1"/>
  <c r="AL457" i="3"/>
  <c r="AL458" i="3" s="1"/>
  <c r="AL455" i="3"/>
  <c r="AL456" i="3" s="1"/>
  <c r="G512" i="2"/>
  <c r="AG492" i="2"/>
  <c r="L515" i="2"/>
  <c r="L513" i="2"/>
  <c r="I68" i="2"/>
  <c r="F85" i="3"/>
  <c r="L74" i="3"/>
  <c r="F74" i="3"/>
  <c r="F81" i="3"/>
  <c r="L70" i="3"/>
  <c r="F70" i="3"/>
  <c r="M516" i="2"/>
  <c r="N514" i="2"/>
  <c r="O518" i="2"/>
  <c r="I517" i="2"/>
  <c r="J517" i="2"/>
  <c r="AE492" i="2"/>
  <c r="E512" i="2"/>
  <c r="M467" i="2"/>
  <c r="AG463" i="2"/>
  <c r="G511" i="2"/>
  <c r="AH492" i="2"/>
  <c r="H512" i="2"/>
  <c r="V493" i="2"/>
  <c r="K529" i="2" s="1"/>
  <c r="R493" i="2"/>
  <c r="R494" i="2" s="1"/>
  <c r="V492" i="2"/>
  <c r="J529" i="2" s="1"/>
  <c r="D512" i="2"/>
  <c r="V491" i="2"/>
  <c r="I529" i="2" s="1"/>
  <c r="R491" i="2"/>
  <c r="R492" i="2" s="1"/>
  <c r="AL466" i="2"/>
  <c r="AL467" i="2" s="1"/>
  <c r="AL464" i="2"/>
  <c r="AL465" i="2" s="1"/>
  <c r="L528" i="11"/>
  <c r="L528" i="7"/>
  <c r="L529" i="11"/>
  <c r="L528" i="6"/>
  <c r="L528" i="10"/>
  <c r="L528" i="8"/>
  <c r="L528" i="4"/>
  <c r="L529" i="8"/>
  <c r="L529" i="5"/>
  <c r="L528" i="9"/>
  <c r="L529" i="7"/>
  <c r="L528" i="5"/>
  <c r="L529" i="10"/>
  <c r="L529" i="9"/>
  <c r="M514" i="8" l="1"/>
  <c r="K517" i="9"/>
  <c r="K515" i="10"/>
  <c r="P515" i="10" s="1"/>
  <c r="K517" i="8"/>
  <c r="P517" i="8" s="1"/>
  <c r="N518" i="5"/>
  <c r="O513" i="11"/>
  <c r="N516" i="11"/>
  <c r="O517" i="5"/>
  <c r="M510" i="4"/>
  <c r="O517" i="7"/>
  <c r="L513" i="8"/>
  <c r="L514" i="9"/>
  <c r="L510" i="4"/>
  <c r="N515" i="6"/>
  <c r="N517" i="7"/>
  <c r="L515" i="10"/>
  <c r="N513" i="2"/>
  <c r="M514" i="9"/>
  <c r="L517" i="2"/>
  <c r="O510" i="4"/>
  <c r="N513" i="4"/>
  <c r="O513" i="7"/>
  <c r="N515" i="11"/>
  <c r="L515" i="11"/>
  <c r="L514" i="8"/>
  <c r="O516" i="9"/>
  <c r="L513" i="10"/>
  <c r="M516" i="10"/>
  <c r="O515" i="11"/>
  <c r="K515" i="8"/>
  <c r="P515" i="8" s="1"/>
  <c r="N514" i="9"/>
  <c r="N513" i="10"/>
  <c r="L514" i="7"/>
  <c r="K510" i="8"/>
  <c r="P510" i="8" s="1"/>
  <c r="N518" i="9"/>
  <c r="O515" i="3"/>
  <c r="M513" i="8"/>
  <c r="N514" i="8"/>
  <c r="O514" i="9"/>
  <c r="K513" i="11"/>
  <c r="P513" i="11" s="1"/>
  <c r="M514" i="2"/>
  <c r="M517" i="7"/>
  <c r="O516" i="8"/>
  <c r="L515" i="5"/>
  <c r="N510" i="6"/>
  <c r="M513" i="6"/>
  <c r="N518" i="2"/>
  <c r="K518" i="5"/>
  <c r="P518" i="5" s="1"/>
  <c r="M516" i="3"/>
  <c r="K517" i="4"/>
  <c r="M518" i="5"/>
  <c r="N517" i="6"/>
  <c r="M516" i="4"/>
  <c r="O513" i="3"/>
  <c r="N513" i="5"/>
  <c r="K516" i="3"/>
  <c r="K517" i="5"/>
  <c r="P517" i="5" s="1"/>
  <c r="L516" i="7"/>
  <c r="M510" i="7"/>
  <c r="L510" i="11"/>
  <c r="M515" i="2"/>
  <c r="K518" i="2"/>
  <c r="K518" i="8"/>
  <c r="P518" i="8" s="1"/>
  <c r="M518" i="9"/>
  <c r="L517" i="8"/>
  <c r="K516" i="2"/>
  <c r="L515" i="3"/>
  <c r="K513" i="2"/>
  <c r="M517" i="3"/>
  <c r="N515" i="4"/>
  <c r="N516" i="5"/>
  <c r="L518" i="6"/>
  <c r="O518" i="6"/>
  <c r="M514" i="6"/>
  <c r="M518" i="10"/>
  <c r="K513" i="10"/>
  <c r="P513" i="10" s="1"/>
  <c r="L514" i="3"/>
  <c r="K514" i="4"/>
  <c r="P514" i="4" s="1"/>
  <c r="O513" i="9"/>
  <c r="K516" i="4"/>
  <c r="O516" i="2"/>
  <c r="K518" i="3"/>
  <c r="O516" i="6"/>
  <c r="K514" i="8"/>
  <c r="P514" i="8" s="1"/>
  <c r="L517" i="9"/>
  <c r="N517" i="10"/>
  <c r="M513" i="2"/>
  <c r="L518" i="2"/>
  <c r="K510" i="4"/>
  <c r="K514" i="9"/>
  <c r="K510" i="9"/>
  <c r="K510" i="2"/>
  <c r="P510" i="2" s="1"/>
  <c r="K517" i="3"/>
  <c r="P517" i="3" s="1"/>
  <c r="P517" i="4"/>
  <c r="N517" i="2"/>
  <c r="L513" i="3"/>
  <c r="L510" i="6"/>
  <c r="O515" i="9"/>
  <c r="K510" i="10"/>
  <c r="P510" i="10" s="1"/>
  <c r="M514" i="11"/>
  <c r="O518" i="3"/>
  <c r="K515" i="3"/>
  <c r="O518" i="4"/>
  <c r="O516" i="7"/>
  <c r="K510" i="7"/>
  <c r="P510" i="7" s="1"/>
  <c r="K513" i="8"/>
  <c r="P513" i="8" s="1"/>
  <c r="O518" i="5"/>
  <c r="K517" i="6"/>
  <c r="K514" i="7"/>
  <c r="P514" i="7" s="1"/>
  <c r="K516" i="8"/>
  <c r="P516" i="8" s="1"/>
  <c r="K517" i="2"/>
  <c r="O513" i="4"/>
  <c r="M513" i="5"/>
  <c r="M510" i="6"/>
  <c r="L515" i="7"/>
  <c r="O515" i="10"/>
  <c r="L518" i="8"/>
  <c r="O513" i="8"/>
  <c r="M513" i="9"/>
  <c r="BA457" i="9"/>
  <c r="BA457" i="10"/>
  <c r="BA456" i="5"/>
  <c r="BA457" i="7"/>
  <c r="BA456" i="9"/>
  <c r="BA457" i="5"/>
  <c r="BA457" i="8"/>
  <c r="BA456" i="4"/>
  <c r="BA456" i="8"/>
  <c r="BA456" i="10"/>
  <c r="BA456" i="6"/>
  <c r="BA457" i="11"/>
  <c r="BA456" i="7"/>
  <c r="BA456" i="11"/>
  <c r="T491" i="2"/>
  <c r="T493" i="2"/>
  <c r="T492" i="2"/>
  <c r="BC186" i="2"/>
  <c r="BD186" i="2" s="1"/>
  <c r="BA186" i="2"/>
  <c r="BA146" i="2"/>
  <c r="BC146" i="2"/>
  <c r="BD146" i="2" s="1"/>
  <c r="BC193" i="5"/>
  <c r="BD193" i="5" s="1"/>
  <c r="BA193" i="5"/>
  <c r="BA262" i="5"/>
  <c r="BC262" i="5"/>
  <c r="BD262" i="5" s="1"/>
  <c r="BC180" i="7"/>
  <c r="BD180" i="7" s="1"/>
  <c r="BA180" i="7"/>
  <c r="BC318" i="7"/>
  <c r="BD318" i="7" s="1"/>
  <c r="BA318" i="7"/>
  <c r="BA194" i="7"/>
  <c r="BC194" i="7"/>
  <c r="BD194" i="7" s="1"/>
  <c r="BA286" i="7"/>
  <c r="BC286" i="7"/>
  <c r="BD286" i="7" s="1"/>
  <c r="BA240" i="8"/>
  <c r="BC240" i="8"/>
  <c r="BD240" i="8" s="1"/>
  <c r="BA147" i="10"/>
  <c r="BC147" i="10"/>
  <c r="BD147" i="10" s="1"/>
  <c r="BC172" i="11"/>
  <c r="BD172" i="11" s="1"/>
  <c r="BA172" i="11"/>
  <c r="T491" i="5"/>
  <c r="T493" i="5"/>
  <c r="T492" i="5"/>
  <c r="BC202" i="4"/>
  <c r="BD202" i="4" s="1"/>
  <c r="BA202" i="4"/>
  <c r="BA164" i="4"/>
  <c r="BC164" i="4"/>
  <c r="BD164" i="4" s="1"/>
  <c r="BA210" i="5"/>
  <c r="BC210" i="5"/>
  <c r="BD210" i="5" s="1"/>
  <c r="BC173" i="3"/>
  <c r="BD173" i="3" s="1"/>
  <c r="BA173" i="3"/>
  <c r="BA322" i="2"/>
  <c r="BC322" i="2"/>
  <c r="BD322" i="2" s="1"/>
  <c r="BC342" i="4"/>
  <c r="BD342" i="4" s="1"/>
  <c r="BA342" i="4"/>
  <c r="BA301" i="4"/>
  <c r="BC301" i="4"/>
  <c r="BD301" i="4" s="1"/>
  <c r="BC185" i="5"/>
  <c r="BD185" i="5" s="1"/>
  <c r="BA185" i="5"/>
  <c r="BC247" i="5"/>
  <c r="BD247" i="5" s="1"/>
  <c r="BA247" i="5"/>
  <c r="BC311" i="5"/>
  <c r="BD311" i="5" s="1"/>
  <c r="BA311" i="5"/>
  <c r="BA150" i="5"/>
  <c r="BC150" i="5"/>
  <c r="BD150" i="5" s="1"/>
  <c r="BA214" i="5"/>
  <c r="BC214" i="5"/>
  <c r="BD214" i="5" s="1"/>
  <c r="BA280" i="5"/>
  <c r="BC280" i="5"/>
  <c r="BD280" i="5" s="1"/>
  <c r="BA332" i="5"/>
  <c r="BC332" i="5"/>
  <c r="BD332" i="5" s="1"/>
  <c r="BA167" i="5"/>
  <c r="BC167" i="5"/>
  <c r="BD167" i="5" s="1"/>
  <c r="BA199" i="5"/>
  <c r="BC199" i="5"/>
  <c r="BD199" i="5" s="1"/>
  <c r="BA257" i="5"/>
  <c r="BC257" i="5"/>
  <c r="BD257" i="5" s="1"/>
  <c r="BC343" i="5"/>
  <c r="BD343" i="5" s="1"/>
  <c r="BA343" i="5"/>
  <c r="BC258" i="7"/>
  <c r="BD258" i="7" s="1"/>
  <c r="BA258" i="7"/>
  <c r="BC332" i="7"/>
  <c r="BD332" i="7" s="1"/>
  <c r="BA332" i="7"/>
  <c r="BA257" i="7"/>
  <c r="BC257" i="7"/>
  <c r="BD257" i="7" s="1"/>
  <c r="BA242" i="7"/>
  <c r="BC242" i="7"/>
  <c r="BD242" i="7" s="1"/>
  <c r="BA188" i="8"/>
  <c r="BC188" i="8"/>
  <c r="BD188" i="8" s="1"/>
  <c r="BA226" i="8"/>
  <c r="BC226" i="8"/>
  <c r="BD226" i="8" s="1"/>
  <c r="BC161" i="9"/>
  <c r="BD161" i="9" s="1"/>
  <c r="BA161" i="9"/>
  <c r="BA180" i="9"/>
  <c r="BC180" i="9"/>
  <c r="BD180" i="9" s="1"/>
  <c r="BC311" i="10"/>
  <c r="BD311" i="10" s="1"/>
  <c r="BA311" i="10"/>
  <c r="BC156" i="10"/>
  <c r="BD156" i="10" s="1"/>
  <c r="BA156" i="10"/>
  <c r="BA155" i="10"/>
  <c r="BC155" i="10"/>
  <c r="BD155" i="10" s="1"/>
  <c r="BC214" i="10"/>
  <c r="BD214" i="10" s="1"/>
  <c r="BA214" i="10"/>
  <c r="BA150" i="10"/>
  <c r="BC150" i="10"/>
  <c r="BD150" i="10" s="1"/>
  <c r="BA210" i="10"/>
  <c r="BC210" i="10"/>
  <c r="BD210" i="10" s="1"/>
  <c r="BA229" i="11"/>
  <c r="BC229" i="11"/>
  <c r="BD229" i="11" s="1"/>
  <c r="BC271" i="11"/>
  <c r="BD271" i="11" s="1"/>
  <c r="BA271" i="11"/>
  <c r="BA158" i="11"/>
  <c r="BC158" i="11"/>
  <c r="BD158" i="11" s="1"/>
  <c r="BC164" i="11"/>
  <c r="BD164" i="11" s="1"/>
  <c r="BA164" i="11"/>
  <c r="BC174" i="2"/>
  <c r="BD174" i="2" s="1"/>
  <c r="BA174" i="2"/>
  <c r="BC208" i="2"/>
  <c r="BD208" i="2" s="1"/>
  <c r="BA208" i="2"/>
  <c r="BC256" i="2"/>
  <c r="BD256" i="2" s="1"/>
  <c r="BA256" i="2"/>
  <c r="BC312" i="2"/>
  <c r="BD312" i="2" s="1"/>
  <c r="BA312" i="2"/>
  <c r="BA189" i="2"/>
  <c r="BC189" i="2"/>
  <c r="BD189" i="2" s="1"/>
  <c r="BA219" i="2"/>
  <c r="BC219" i="2"/>
  <c r="BD219" i="2" s="1"/>
  <c r="BA319" i="2"/>
  <c r="BC319" i="2"/>
  <c r="BD319" i="2" s="1"/>
  <c r="BC230" i="4"/>
  <c r="BD230" i="4" s="1"/>
  <c r="BA230" i="4"/>
  <c r="BC264" i="4"/>
  <c r="BD264" i="4" s="1"/>
  <c r="BA264" i="4"/>
  <c r="BC286" i="4"/>
  <c r="BD286" i="4" s="1"/>
  <c r="BA286" i="4"/>
  <c r="BC330" i="4"/>
  <c r="BD330" i="4" s="1"/>
  <c r="BA330" i="4"/>
  <c r="BA228" i="4"/>
  <c r="BC228" i="4"/>
  <c r="BD228" i="4" s="1"/>
  <c r="BA292" i="4"/>
  <c r="BC292" i="4"/>
  <c r="BD292" i="4" s="1"/>
  <c r="BC165" i="5"/>
  <c r="BD165" i="5" s="1"/>
  <c r="BA165" i="5"/>
  <c r="BC197" i="5"/>
  <c r="BD197" i="5" s="1"/>
  <c r="BA197" i="5"/>
  <c r="BC277" i="5"/>
  <c r="BD277" i="5" s="1"/>
  <c r="BA277" i="5"/>
  <c r="BC329" i="5"/>
  <c r="BD329" i="5" s="1"/>
  <c r="BA329" i="5"/>
  <c r="BA168" i="6"/>
  <c r="BC168" i="6"/>
  <c r="BD168" i="6" s="1"/>
  <c r="BA218" i="5"/>
  <c r="BC218" i="5"/>
  <c r="BD218" i="5" s="1"/>
  <c r="BA284" i="5"/>
  <c r="BC284" i="5"/>
  <c r="BD284" i="5" s="1"/>
  <c r="BA149" i="5"/>
  <c r="BC149" i="5"/>
  <c r="BD149" i="5" s="1"/>
  <c r="BA213" i="5"/>
  <c r="BC213" i="5"/>
  <c r="BD213" i="5" s="1"/>
  <c r="BA261" i="5"/>
  <c r="BC261" i="5"/>
  <c r="BD261" i="5" s="1"/>
  <c r="BA325" i="5"/>
  <c r="BC325" i="5"/>
  <c r="BD325" i="5" s="1"/>
  <c r="BC232" i="7"/>
  <c r="BD232" i="7" s="1"/>
  <c r="BA232" i="7"/>
  <c r="BC296" i="7"/>
  <c r="BD296" i="7" s="1"/>
  <c r="BA296" i="7"/>
  <c r="BA145" i="7"/>
  <c r="BC145" i="7"/>
  <c r="BD145" i="7" s="1"/>
  <c r="BA209" i="7"/>
  <c r="BC209" i="7"/>
  <c r="BD209" i="7" s="1"/>
  <c r="BA261" i="7"/>
  <c r="BC261" i="7"/>
  <c r="BD261" i="7" s="1"/>
  <c r="BA148" i="7"/>
  <c r="BC148" i="7"/>
  <c r="BD148" i="7" s="1"/>
  <c r="BC165" i="7"/>
  <c r="BD165" i="7" s="1"/>
  <c r="BA165" i="7"/>
  <c r="BA212" i="7"/>
  <c r="BC212" i="7"/>
  <c r="BD212" i="7" s="1"/>
  <c r="BC273" i="7"/>
  <c r="BD273" i="7" s="1"/>
  <c r="BA273" i="7"/>
  <c r="BC151" i="8"/>
  <c r="BD151" i="8" s="1"/>
  <c r="BA151" i="8"/>
  <c r="BC173" i="9"/>
  <c r="BD173" i="9" s="1"/>
  <c r="BA173" i="9"/>
  <c r="BA229" i="10"/>
  <c r="BC229" i="10"/>
  <c r="BD229" i="10" s="1"/>
  <c r="BC158" i="10"/>
  <c r="BD158" i="10" s="1"/>
  <c r="BA158" i="10"/>
  <c r="BA173" i="10"/>
  <c r="BC173" i="10"/>
  <c r="BD173" i="10" s="1"/>
  <c r="BC146" i="11"/>
  <c r="BD146" i="11" s="1"/>
  <c r="BA146" i="11"/>
  <c r="BA311" i="11"/>
  <c r="BC311" i="11"/>
  <c r="BD311" i="11" s="1"/>
  <c r="BA205" i="11"/>
  <c r="BC205" i="11"/>
  <c r="BD205" i="11" s="1"/>
  <c r="BC211" i="11"/>
  <c r="BD211" i="11" s="1"/>
  <c r="BA211" i="11"/>
  <c r="BC180" i="3"/>
  <c r="BD180" i="3" s="1"/>
  <c r="BA180" i="3"/>
  <c r="BC167" i="2"/>
  <c r="BD167" i="2" s="1"/>
  <c r="BA167" i="2"/>
  <c r="BC239" i="2"/>
  <c r="BD239" i="2" s="1"/>
  <c r="BA239" i="2"/>
  <c r="BC325" i="2"/>
  <c r="BD325" i="2" s="1"/>
  <c r="BA325" i="2"/>
  <c r="BC158" i="3"/>
  <c r="BD158" i="3" s="1"/>
  <c r="BA158" i="3"/>
  <c r="BA268" i="3"/>
  <c r="BC268" i="3"/>
  <c r="BD268" i="3" s="1"/>
  <c r="BA302" i="3"/>
  <c r="BC302" i="3"/>
  <c r="BD302" i="3" s="1"/>
  <c r="BA334" i="3"/>
  <c r="BC334" i="3"/>
  <c r="BD334" i="3" s="1"/>
  <c r="BC215" i="3"/>
  <c r="BD215" i="3" s="1"/>
  <c r="BA215" i="3"/>
  <c r="BA263" i="3"/>
  <c r="BC263" i="3"/>
  <c r="BD263" i="3" s="1"/>
  <c r="BA301" i="3"/>
  <c r="BC301" i="3"/>
  <c r="BD301" i="3" s="1"/>
  <c r="BC304" i="3"/>
  <c r="BD304" i="3" s="1"/>
  <c r="BA304" i="3"/>
  <c r="BC145" i="4"/>
  <c r="BD145" i="4" s="1"/>
  <c r="BA145" i="4"/>
  <c r="BC221" i="4"/>
  <c r="BD221" i="4" s="1"/>
  <c r="BA221" i="4"/>
  <c r="BC303" i="4"/>
  <c r="BD303" i="4" s="1"/>
  <c r="BA303" i="4"/>
  <c r="BC339" i="5"/>
  <c r="BD339" i="5" s="1"/>
  <c r="BA339" i="5"/>
  <c r="BC297" i="6"/>
  <c r="BD297" i="6" s="1"/>
  <c r="BA297" i="6"/>
  <c r="BA232" i="6"/>
  <c r="BC232" i="6"/>
  <c r="BD232" i="6" s="1"/>
  <c r="BA284" i="6"/>
  <c r="BC284" i="6"/>
  <c r="BD284" i="6" s="1"/>
  <c r="BA332" i="6"/>
  <c r="BC332" i="6"/>
  <c r="BD332" i="6" s="1"/>
  <c r="BC178" i="8"/>
  <c r="BD178" i="8" s="1"/>
  <c r="BA178" i="8"/>
  <c r="BC248" i="8"/>
  <c r="BD248" i="8" s="1"/>
  <c r="BA248" i="8"/>
  <c r="BA340" i="8"/>
  <c r="BC340" i="8"/>
  <c r="BD340" i="8" s="1"/>
  <c r="BC259" i="9"/>
  <c r="BD259" i="9" s="1"/>
  <c r="BA259" i="9"/>
  <c r="BA294" i="9"/>
  <c r="BC294" i="9"/>
  <c r="BD294" i="9" s="1"/>
  <c r="BA320" i="9"/>
  <c r="BC320" i="9"/>
  <c r="BD320" i="9" s="1"/>
  <c r="BA254" i="9"/>
  <c r="BC254" i="9"/>
  <c r="BD254" i="9" s="1"/>
  <c r="BA290" i="9"/>
  <c r="BC290" i="9"/>
  <c r="BD290" i="9" s="1"/>
  <c r="BC321" i="9"/>
  <c r="BD321" i="9" s="1"/>
  <c r="BA321" i="9"/>
  <c r="BA338" i="9"/>
  <c r="BC338" i="9"/>
  <c r="BD338" i="9" s="1"/>
  <c r="BC348" i="9"/>
  <c r="BD348" i="9" s="1"/>
  <c r="BA348" i="9"/>
  <c r="BA303" i="10"/>
  <c r="BC303" i="10"/>
  <c r="BD303" i="10" s="1"/>
  <c r="BA273" i="10"/>
  <c r="BC273" i="10"/>
  <c r="BD273" i="10" s="1"/>
  <c r="BC302" i="10"/>
  <c r="BD302" i="10" s="1"/>
  <c r="BA302" i="10"/>
  <c r="BA245" i="11"/>
  <c r="BC245" i="11"/>
  <c r="BD245" i="11" s="1"/>
  <c r="BC266" i="11"/>
  <c r="BD266" i="11" s="1"/>
  <c r="BA266" i="11"/>
  <c r="BC282" i="11"/>
  <c r="BD282" i="11" s="1"/>
  <c r="BA282" i="11"/>
  <c r="BC352" i="11"/>
  <c r="BD352" i="11" s="1"/>
  <c r="BA352" i="11"/>
  <c r="BC204" i="3"/>
  <c r="BD204" i="3" s="1"/>
  <c r="BA204" i="3"/>
  <c r="BC213" i="2"/>
  <c r="BD213" i="2" s="1"/>
  <c r="BA213" i="2"/>
  <c r="BC295" i="2"/>
  <c r="BD295" i="2" s="1"/>
  <c r="BA295" i="2"/>
  <c r="BA203" i="3"/>
  <c r="BC203" i="3"/>
  <c r="BD203" i="3" s="1"/>
  <c r="BC303" i="3"/>
  <c r="BD303" i="3" s="1"/>
  <c r="BA303" i="3"/>
  <c r="BA242" i="3"/>
  <c r="BC242" i="3"/>
  <c r="BD242" i="3" s="1"/>
  <c r="BA251" i="3"/>
  <c r="BC251" i="3"/>
  <c r="BD251" i="3" s="1"/>
  <c r="BC258" i="3"/>
  <c r="BD258" i="3" s="1"/>
  <c r="BA258" i="3"/>
  <c r="BC340" i="3"/>
  <c r="BD340" i="3" s="1"/>
  <c r="BA340" i="3"/>
  <c r="BC199" i="4"/>
  <c r="BD199" i="4" s="1"/>
  <c r="BA199" i="4"/>
  <c r="BC287" i="4"/>
  <c r="BD287" i="4" s="1"/>
  <c r="BA287" i="4"/>
  <c r="BA340" i="5"/>
  <c r="BC340" i="5"/>
  <c r="BD340" i="5" s="1"/>
  <c r="BC158" i="5"/>
  <c r="BD158" i="5" s="1"/>
  <c r="BA158" i="5"/>
  <c r="BC174" i="5"/>
  <c r="BD174" i="5" s="1"/>
  <c r="BA174" i="5"/>
  <c r="BC190" i="5"/>
  <c r="BD190" i="5" s="1"/>
  <c r="BA190" i="5"/>
  <c r="BC241" i="6"/>
  <c r="BD241" i="6" s="1"/>
  <c r="BA241" i="6"/>
  <c r="BA195" i="6"/>
  <c r="BC195" i="6"/>
  <c r="BD195" i="6" s="1"/>
  <c r="BA253" i="6"/>
  <c r="BC253" i="6"/>
  <c r="BD253" i="6" s="1"/>
  <c r="BC166" i="6"/>
  <c r="BD166" i="6" s="1"/>
  <c r="BA166" i="6"/>
  <c r="BC234" i="6"/>
  <c r="BD234" i="6" s="1"/>
  <c r="BA234" i="6"/>
  <c r="BC290" i="6"/>
  <c r="BD290" i="6" s="1"/>
  <c r="BA290" i="6"/>
  <c r="BA341" i="7"/>
  <c r="BC341" i="7"/>
  <c r="BD341" i="7" s="1"/>
  <c r="BC148" i="8"/>
  <c r="BD148" i="8" s="1"/>
  <c r="BA148" i="8"/>
  <c r="BC291" i="8"/>
  <c r="BD291" i="8" s="1"/>
  <c r="BA291" i="8"/>
  <c r="BA318" i="8"/>
  <c r="BC318" i="8"/>
  <c r="BD318" i="8" s="1"/>
  <c r="BC152" i="9"/>
  <c r="BD152" i="9" s="1"/>
  <c r="BA152" i="9"/>
  <c r="BC237" i="9"/>
  <c r="BD237" i="9" s="1"/>
  <c r="BA237" i="9"/>
  <c r="BC325" i="9"/>
  <c r="BD325" i="9" s="1"/>
  <c r="BA325" i="9"/>
  <c r="BC347" i="9"/>
  <c r="BD347" i="9" s="1"/>
  <c r="BA347" i="9"/>
  <c r="BC285" i="10"/>
  <c r="BD285" i="10" s="1"/>
  <c r="BA285" i="10"/>
  <c r="BA352" i="10"/>
  <c r="BC352" i="10"/>
  <c r="BD352" i="10" s="1"/>
  <c r="BA218" i="11"/>
  <c r="BC218" i="11"/>
  <c r="BD218" i="11" s="1"/>
  <c r="BC275" i="11"/>
  <c r="BD275" i="11" s="1"/>
  <c r="BA275" i="11"/>
  <c r="BC257" i="11"/>
  <c r="BD257" i="11" s="1"/>
  <c r="BA257" i="11"/>
  <c r="BC253" i="11"/>
  <c r="BD253" i="11" s="1"/>
  <c r="BA253" i="11"/>
  <c r="BC216" i="11"/>
  <c r="BD216" i="11" s="1"/>
  <c r="BA216" i="11"/>
  <c r="BC344" i="11"/>
  <c r="BD344" i="11" s="1"/>
  <c r="BA344" i="11"/>
  <c r="BA225" i="3"/>
  <c r="BC225" i="3"/>
  <c r="BD225" i="3" s="1"/>
  <c r="BC222" i="3"/>
  <c r="BD222" i="3" s="1"/>
  <c r="BA222" i="3"/>
  <c r="BC249" i="3"/>
  <c r="BD249" i="3" s="1"/>
  <c r="BA249" i="3"/>
  <c r="BA230" i="3"/>
  <c r="BC230" i="3"/>
  <c r="BD230" i="3" s="1"/>
  <c r="BC237" i="3"/>
  <c r="BD237" i="3" s="1"/>
  <c r="BA237" i="3"/>
  <c r="BA281" i="3"/>
  <c r="BC281" i="3"/>
  <c r="BD281" i="3" s="1"/>
  <c r="BA329" i="3"/>
  <c r="BC329" i="3"/>
  <c r="BD329" i="3" s="1"/>
  <c r="BC308" i="3"/>
  <c r="BD308" i="3" s="1"/>
  <c r="BA308" i="3"/>
  <c r="BC159" i="4"/>
  <c r="BD159" i="4" s="1"/>
  <c r="BA159" i="4"/>
  <c r="BC209" i="4"/>
  <c r="BD209" i="4" s="1"/>
  <c r="BA209" i="4"/>
  <c r="BC253" i="4"/>
  <c r="BD253" i="4" s="1"/>
  <c r="BA253" i="4"/>
  <c r="BC269" i="4"/>
  <c r="BD269" i="4" s="1"/>
  <c r="BA269" i="4"/>
  <c r="BC331" i="4"/>
  <c r="BD331" i="4" s="1"/>
  <c r="BA331" i="4"/>
  <c r="BC343" i="4"/>
  <c r="BD343" i="4" s="1"/>
  <c r="BA343" i="4"/>
  <c r="BC251" i="6"/>
  <c r="BD251" i="6" s="1"/>
  <c r="BA251" i="6"/>
  <c r="BC341" i="6"/>
  <c r="BD341" i="6" s="1"/>
  <c r="BA341" i="6"/>
  <c r="BA236" i="6"/>
  <c r="BC236" i="6"/>
  <c r="BD236" i="6" s="1"/>
  <c r="BA308" i="6"/>
  <c r="BC308" i="6"/>
  <c r="BD308" i="6" s="1"/>
  <c r="BC347" i="7"/>
  <c r="BD347" i="7" s="1"/>
  <c r="BA347" i="7"/>
  <c r="BC208" i="8"/>
  <c r="BD208" i="8" s="1"/>
  <c r="BA208" i="8"/>
  <c r="BC278" i="8"/>
  <c r="BD278" i="8" s="1"/>
  <c r="BA278" i="8"/>
  <c r="BC202" i="9"/>
  <c r="BD202" i="9" s="1"/>
  <c r="BA202" i="9"/>
  <c r="BC251" i="9"/>
  <c r="BD251" i="9" s="1"/>
  <c r="BA251" i="9"/>
  <c r="BA218" i="9"/>
  <c r="BC218" i="9"/>
  <c r="BD218" i="9" s="1"/>
  <c r="BA272" i="9"/>
  <c r="BC272" i="9"/>
  <c r="BD272" i="9" s="1"/>
  <c r="BC339" i="9"/>
  <c r="BD339" i="9" s="1"/>
  <c r="BA339" i="9"/>
  <c r="BA327" i="9"/>
  <c r="BC327" i="9"/>
  <c r="BD327" i="9" s="1"/>
  <c r="BC187" i="10"/>
  <c r="BD187" i="10" s="1"/>
  <c r="BA187" i="10"/>
  <c r="BC322" i="9"/>
  <c r="BD322" i="9" s="1"/>
  <c r="BA322" i="9"/>
  <c r="BA281" i="10"/>
  <c r="BC281" i="10"/>
  <c r="BD281" i="10" s="1"/>
  <c r="BA331" i="10"/>
  <c r="BC331" i="10"/>
  <c r="BD331" i="10" s="1"/>
  <c r="BC310" i="10"/>
  <c r="BD310" i="10" s="1"/>
  <c r="BA310" i="10"/>
  <c r="BA302" i="11"/>
  <c r="BC302" i="11"/>
  <c r="BD302" i="11" s="1"/>
  <c r="BC240" i="11"/>
  <c r="BD240" i="11" s="1"/>
  <c r="BA240" i="11"/>
  <c r="BC329" i="11"/>
  <c r="BD329" i="11" s="1"/>
  <c r="BA329" i="11"/>
  <c r="BC179" i="2"/>
  <c r="BD179" i="2" s="1"/>
  <c r="BA179" i="2"/>
  <c r="BC249" i="2"/>
  <c r="BD249" i="2" s="1"/>
  <c r="BA249" i="2"/>
  <c r="BC313" i="2"/>
  <c r="BD313" i="2" s="1"/>
  <c r="BA313" i="2"/>
  <c r="BC166" i="3"/>
  <c r="BD166" i="3" s="1"/>
  <c r="BA166" i="3"/>
  <c r="BA327" i="3"/>
  <c r="BC327" i="3"/>
  <c r="BD327" i="3" s="1"/>
  <c r="BC292" i="3"/>
  <c r="BD292" i="3" s="1"/>
  <c r="BA292" i="3"/>
  <c r="BC235" i="4"/>
  <c r="BD235" i="4" s="1"/>
  <c r="BA235" i="4"/>
  <c r="BC156" i="5"/>
  <c r="BD156" i="5" s="1"/>
  <c r="BA156" i="5"/>
  <c r="BC220" i="5"/>
  <c r="BD220" i="5" s="1"/>
  <c r="BA220" i="5"/>
  <c r="BA150" i="6"/>
  <c r="BC150" i="6"/>
  <c r="BD150" i="6" s="1"/>
  <c r="BA199" i="6"/>
  <c r="BC199" i="6"/>
  <c r="BD199" i="6" s="1"/>
  <c r="BA261" i="6"/>
  <c r="BC261" i="6"/>
  <c r="BD261" i="6" s="1"/>
  <c r="BA303" i="6"/>
  <c r="BC303" i="6"/>
  <c r="BD303" i="6" s="1"/>
  <c r="BA351" i="6"/>
  <c r="BC351" i="6"/>
  <c r="BD351" i="6" s="1"/>
  <c r="BC208" i="6"/>
  <c r="BD208" i="6" s="1"/>
  <c r="BA208" i="6"/>
  <c r="BC343" i="7"/>
  <c r="BD343" i="7" s="1"/>
  <c r="BA343" i="7"/>
  <c r="BC320" i="8"/>
  <c r="BD320" i="8" s="1"/>
  <c r="BA320" i="8"/>
  <c r="BC334" i="8"/>
  <c r="BD334" i="8" s="1"/>
  <c r="BA334" i="8"/>
  <c r="BA326" i="8"/>
  <c r="BC326" i="8"/>
  <c r="BD326" i="8" s="1"/>
  <c r="BC343" i="8"/>
  <c r="BD343" i="8" s="1"/>
  <c r="BA343" i="8"/>
  <c r="BA262" i="9"/>
  <c r="BC262" i="9"/>
  <c r="BD262" i="9" s="1"/>
  <c r="BC212" i="9"/>
  <c r="BD212" i="9" s="1"/>
  <c r="BA212" i="9"/>
  <c r="BC282" i="9"/>
  <c r="BD282" i="9" s="1"/>
  <c r="BA282" i="9"/>
  <c r="BA219" i="10"/>
  <c r="BC219" i="10"/>
  <c r="BD219" i="10" s="1"/>
  <c r="BC292" i="9"/>
  <c r="BD292" i="9" s="1"/>
  <c r="BA292" i="9"/>
  <c r="BA317" i="10"/>
  <c r="BC317" i="10"/>
  <c r="BD317" i="10" s="1"/>
  <c r="BC298" i="10"/>
  <c r="BD298" i="10" s="1"/>
  <c r="BA298" i="10"/>
  <c r="BC224" i="11"/>
  <c r="BD224" i="11" s="1"/>
  <c r="BA224" i="11"/>
  <c r="BA241" i="11"/>
  <c r="BC241" i="11"/>
  <c r="BD241" i="11" s="1"/>
  <c r="BC262" i="11"/>
  <c r="BD262" i="11" s="1"/>
  <c r="BA262" i="11"/>
  <c r="BC321" i="11"/>
  <c r="BD321" i="11" s="1"/>
  <c r="BA321" i="11"/>
  <c r="BC229" i="5"/>
  <c r="BD229" i="5" s="1"/>
  <c r="BA229" i="5"/>
  <c r="BC211" i="6"/>
  <c r="BD211" i="6" s="1"/>
  <c r="BA211" i="6"/>
  <c r="BA153" i="5"/>
  <c r="BC153" i="5"/>
  <c r="BD153" i="5" s="1"/>
  <c r="BA275" i="5"/>
  <c r="BC275" i="5"/>
  <c r="BD275" i="5" s="1"/>
  <c r="BC218" i="7"/>
  <c r="BD218" i="7" s="1"/>
  <c r="BA218" i="7"/>
  <c r="BA337" i="2"/>
  <c r="BC337" i="2"/>
  <c r="BD337" i="2" s="1"/>
  <c r="BA240" i="2"/>
  <c r="BC240" i="2"/>
  <c r="BD240" i="2" s="1"/>
  <c r="BA146" i="5"/>
  <c r="BC146" i="5"/>
  <c r="BD146" i="5" s="1"/>
  <c r="BA171" i="7"/>
  <c r="BC171" i="7"/>
  <c r="BD171" i="7" s="1"/>
  <c r="BA184" i="9"/>
  <c r="BC184" i="9"/>
  <c r="BD184" i="9" s="1"/>
  <c r="BA153" i="9"/>
  <c r="BC153" i="9"/>
  <c r="BD153" i="9" s="1"/>
  <c r="BA185" i="10"/>
  <c r="BC185" i="10"/>
  <c r="BD185" i="10" s="1"/>
  <c r="BA164" i="10"/>
  <c r="BC164" i="10"/>
  <c r="BD164" i="10" s="1"/>
  <c r="BC176" i="3"/>
  <c r="BD176" i="3" s="1"/>
  <c r="BA176" i="3"/>
  <c r="BA161" i="2"/>
  <c r="BC161" i="2"/>
  <c r="BD161" i="2" s="1"/>
  <c r="BC282" i="2"/>
  <c r="BD282" i="2" s="1"/>
  <c r="BA282" i="2"/>
  <c r="BA172" i="2"/>
  <c r="BC172" i="2"/>
  <c r="BD172" i="2" s="1"/>
  <c r="BA251" i="2"/>
  <c r="BC251" i="2"/>
  <c r="BD251" i="2" s="1"/>
  <c r="BA160" i="3"/>
  <c r="BC160" i="3"/>
  <c r="BD160" i="3" s="1"/>
  <c r="BA222" i="2"/>
  <c r="BC222" i="2"/>
  <c r="BD222" i="2" s="1"/>
  <c r="BC198" i="4"/>
  <c r="BD198" i="4" s="1"/>
  <c r="BA198" i="4"/>
  <c r="BC316" i="4"/>
  <c r="BD316" i="4" s="1"/>
  <c r="BA316" i="4"/>
  <c r="BA255" i="4"/>
  <c r="BC255" i="4"/>
  <c r="BD255" i="4" s="1"/>
  <c r="BC151" i="5"/>
  <c r="BD151" i="5" s="1"/>
  <c r="BA151" i="5"/>
  <c r="BC177" i="5"/>
  <c r="BD177" i="5" s="1"/>
  <c r="BA177" i="5"/>
  <c r="BC245" i="5"/>
  <c r="BD245" i="5" s="1"/>
  <c r="BA245" i="5"/>
  <c r="BC305" i="5"/>
  <c r="BD305" i="5" s="1"/>
  <c r="BA305" i="5"/>
  <c r="BC201" i="6"/>
  <c r="BD201" i="6" s="1"/>
  <c r="BA201" i="6"/>
  <c r="BA206" i="5"/>
  <c r="BC206" i="5"/>
  <c r="BD206" i="5" s="1"/>
  <c r="BA272" i="5"/>
  <c r="BC272" i="5"/>
  <c r="BD272" i="5" s="1"/>
  <c r="BC342" i="5"/>
  <c r="BD342" i="5" s="1"/>
  <c r="BA342" i="5"/>
  <c r="BA159" i="5"/>
  <c r="BC159" i="5"/>
  <c r="BD159" i="5" s="1"/>
  <c r="BA175" i="5"/>
  <c r="BC175" i="5"/>
  <c r="BD175" i="5" s="1"/>
  <c r="BA291" i="5"/>
  <c r="BC291" i="5"/>
  <c r="BD291" i="5" s="1"/>
  <c r="BC168" i="7"/>
  <c r="BD168" i="7" s="1"/>
  <c r="BA168" i="7"/>
  <c r="BC184" i="7"/>
  <c r="BD184" i="7" s="1"/>
  <c r="BA184" i="7"/>
  <c r="BC200" i="7"/>
  <c r="BD200" i="7" s="1"/>
  <c r="BA200" i="7"/>
  <c r="BC222" i="7"/>
  <c r="BD222" i="7" s="1"/>
  <c r="BA222" i="7"/>
  <c r="BC266" i="7"/>
  <c r="BD266" i="7" s="1"/>
  <c r="BA266" i="7"/>
  <c r="BC328" i="7"/>
  <c r="BD328" i="7" s="1"/>
  <c r="BA328" i="7"/>
  <c r="BA149" i="7"/>
  <c r="BC149" i="7"/>
  <c r="BD149" i="7" s="1"/>
  <c r="BA158" i="7"/>
  <c r="BC158" i="7"/>
  <c r="BD158" i="7" s="1"/>
  <c r="BA174" i="7"/>
  <c r="BC174" i="7"/>
  <c r="BD174" i="7" s="1"/>
  <c r="BA186" i="7"/>
  <c r="BC186" i="7"/>
  <c r="BD186" i="7" s="1"/>
  <c r="BA274" i="7"/>
  <c r="BC274" i="7"/>
  <c r="BD274" i="7" s="1"/>
  <c r="BA290" i="7"/>
  <c r="BC290" i="7"/>
  <c r="BD290" i="7" s="1"/>
  <c r="BA324" i="7"/>
  <c r="BC324" i="7"/>
  <c r="BD324" i="7" s="1"/>
  <c r="BC177" i="8"/>
  <c r="BD177" i="8" s="1"/>
  <c r="BA177" i="8"/>
  <c r="BC255" i="8"/>
  <c r="BD255" i="8" s="1"/>
  <c r="BA255" i="8"/>
  <c r="BA228" i="8"/>
  <c r="BC228" i="8"/>
  <c r="BD228" i="8" s="1"/>
  <c r="BA153" i="8"/>
  <c r="BC153" i="8"/>
  <c r="BD153" i="8" s="1"/>
  <c r="BA225" i="8"/>
  <c r="BC225" i="8"/>
  <c r="BD225" i="8" s="1"/>
  <c r="BC205" i="9"/>
  <c r="BD205" i="9" s="1"/>
  <c r="BA205" i="9"/>
  <c r="BA233" i="10"/>
  <c r="BC233" i="10"/>
  <c r="BD233" i="10" s="1"/>
  <c r="BC180" i="10"/>
  <c r="BD180" i="10" s="1"/>
  <c r="BA180" i="10"/>
  <c r="BA161" i="10"/>
  <c r="BC161" i="10"/>
  <c r="BD161" i="10" s="1"/>
  <c r="BC159" i="10"/>
  <c r="BD159" i="10" s="1"/>
  <c r="BA159" i="10"/>
  <c r="BA145" i="11"/>
  <c r="BC145" i="11"/>
  <c r="BD145" i="11" s="1"/>
  <c r="BA184" i="11"/>
  <c r="BC184" i="11"/>
  <c r="BD184" i="11" s="1"/>
  <c r="BC186" i="11"/>
  <c r="BD186" i="11" s="1"/>
  <c r="BA186" i="11"/>
  <c r="BC246" i="3"/>
  <c r="BD246" i="3" s="1"/>
  <c r="BA246" i="3"/>
  <c r="BC310" i="2"/>
  <c r="BD310" i="2" s="1"/>
  <c r="BA310" i="2"/>
  <c r="BA223" i="2"/>
  <c r="BC223" i="2"/>
  <c r="BD223" i="2" s="1"/>
  <c r="BA267" i="2"/>
  <c r="BC267" i="2"/>
  <c r="BD267" i="2" s="1"/>
  <c r="BA341" i="2"/>
  <c r="BC341" i="2"/>
  <c r="BD341" i="2" s="1"/>
  <c r="BA228" i="2"/>
  <c r="BC228" i="2"/>
  <c r="BD228" i="2" s="1"/>
  <c r="BA244" i="2"/>
  <c r="BC244" i="2"/>
  <c r="BD244" i="2" s="1"/>
  <c r="BC271" i="4"/>
  <c r="BD271" i="4" s="1"/>
  <c r="BA271" i="4"/>
  <c r="BC208" i="4"/>
  <c r="BD208" i="4" s="1"/>
  <c r="BA208" i="4"/>
  <c r="BA219" i="4"/>
  <c r="BC219" i="4"/>
  <c r="BD219" i="4" s="1"/>
  <c r="BA241" i="4"/>
  <c r="BC241" i="4"/>
  <c r="BD241" i="4" s="1"/>
  <c r="BA305" i="4"/>
  <c r="BC305" i="4"/>
  <c r="BD305" i="4" s="1"/>
  <c r="BA210" i="4"/>
  <c r="BC210" i="4"/>
  <c r="BD210" i="4" s="1"/>
  <c r="BA284" i="4"/>
  <c r="BC284" i="4"/>
  <c r="BD284" i="4" s="1"/>
  <c r="BA271" i="6"/>
  <c r="BC271" i="6"/>
  <c r="BD271" i="6" s="1"/>
  <c r="BA168" i="5"/>
  <c r="BC168" i="5"/>
  <c r="BD168" i="5" s="1"/>
  <c r="BA226" i="5"/>
  <c r="BC226" i="5"/>
  <c r="BD226" i="5" s="1"/>
  <c r="BA266" i="5"/>
  <c r="BC266" i="5"/>
  <c r="BD266" i="5" s="1"/>
  <c r="BA163" i="5"/>
  <c r="BC163" i="5"/>
  <c r="BD163" i="5" s="1"/>
  <c r="BA221" i="5"/>
  <c r="BC221" i="5"/>
  <c r="BD221" i="5" s="1"/>
  <c r="BA279" i="5"/>
  <c r="BC279" i="5"/>
  <c r="BD279" i="5" s="1"/>
  <c r="BC162" i="6"/>
  <c r="BD162" i="6" s="1"/>
  <c r="BA162" i="6"/>
  <c r="BC326" i="7"/>
  <c r="BD326" i="7" s="1"/>
  <c r="BA326" i="7"/>
  <c r="BA187" i="7"/>
  <c r="BC187" i="7"/>
  <c r="BD187" i="7" s="1"/>
  <c r="BA253" i="7"/>
  <c r="BC253" i="7"/>
  <c r="BD253" i="7" s="1"/>
  <c r="BA303" i="7"/>
  <c r="BC303" i="7"/>
  <c r="BD303" i="7" s="1"/>
  <c r="BC237" i="7"/>
  <c r="BD237" i="7" s="1"/>
  <c r="BA237" i="7"/>
  <c r="BA252" i="7"/>
  <c r="BC252" i="7"/>
  <c r="BD252" i="7" s="1"/>
  <c r="BC165" i="8"/>
  <c r="BD165" i="8" s="1"/>
  <c r="BA165" i="8"/>
  <c r="BC297" i="8"/>
  <c r="BD297" i="8" s="1"/>
  <c r="BA297" i="8"/>
  <c r="BA239" i="8"/>
  <c r="BC239" i="8"/>
  <c r="BD239" i="8" s="1"/>
  <c r="BA279" i="8"/>
  <c r="BC279" i="8"/>
  <c r="BD279" i="8" s="1"/>
  <c r="BC147" i="9"/>
  <c r="BD147" i="9" s="1"/>
  <c r="BA147" i="9"/>
  <c r="BA160" i="9"/>
  <c r="BC160" i="9"/>
  <c r="BD160" i="9" s="1"/>
  <c r="BC231" i="10"/>
  <c r="BD231" i="10" s="1"/>
  <c r="BA231" i="10"/>
  <c r="BC166" i="10"/>
  <c r="BD166" i="10" s="1"/>
  <c r="BA166" i="10"/>
  <c r="BA151" i="10"/>
  <c r="BC151" i="10"/>
  <c r="BD151" i="10" s="1"/>
  <c r="BA168" i="10"/>
  <c r="BC168" i="10"/>
  <c r="BD168" i="10" s="1"/>
  <c r="BC192" i="10"/>
  <c r="BD192" i="10" s="1"/>
  <c r="BA192" i="10"/>
  <c r="BC254" i="10"/>
  <c r="BD254" i="10" s="1"/>
  <c r="BA254" i="10"/>
  <c r="BC183" i="11"/>
  <c r="BD183" i="11" s="1"/>
  <c r="BA183" i="11"/>
  <c r="BA156" i="11"/>
  <c r="BC156" i="11"/>
  <c r="BD156" i="11" s="1"/>
  <c r="BC152" i="2"/>
  <c r="BD152" i="2" s="1"/>
  <c r="BA152" i="2"/>
  <c r="BC190" i="2"/>
  <c r="BD190" i="2" s="1"/>
  <c r="BA190" i="2"/>
  <c r="BC224" i="2"/>
  <c r="BD224" i="2" s="1"/>
  <c r="BA224" i="2"/>
  <c r="BC334" i="2"/>
  <c r="BD334" i="2" s="1"/>
  <c r="BA334" i="2"/>
  <c r="BC161" i="3"/>
  <c r="BD161" i="3" s="1"/>
  <c r="BA161" i="3"/>
  <c r="BA169" i="2"/>
  <c r="BC169" i="2"/>
  <c r="BD169" i="2" s="1"/>
  <c r="BA150" i="3"/>
  <c r="BC150" i="3"/>
  <c r="BD150" i="3" s="1"/>
  <c r="BA262" i="2"/>
  <c r="BC262" i="2"/>
  <c r="BD262" i="2" s="1"/>
  <c r="BA326" i="2"/>
  <c r="BC326" i="2"/>
  <c r="BD326" i="2" s="1"/>
  <c r="BC148" i="4"/>
  <c r="BD148" i="4" s="1"/>
  <c r="BA148" i="4"/>
  <c r="BA200" i="4"/>
  <c r="BC200" i="4"/>
  <c r="BD200" i="4" s="1"/>
  <c r="BC169" i="5"/>
  <c r="BD169" i="5" s="1"/>
  <c r="BA169" i="5"/>
  <c r="BC201" i="5"/>
  <c r="BD201" i="5" s="1"/>
  <c r="BA201" i="5"/>
  <c r="BC263" i="5"/>
  <c r="BD263" i="5" s="1"/>
  <c r="BA263" i="5"/>
  <c r="BC323" i="5"/>
  <c r="BD323" i="5" s="1"/>
  <c r="BA323" i="5"/>
  <c r="BA172" i="5"/>
  <c r="BC172" i="5"/>
  <c r="BD172" i="5" s="1"/>
  <c r="BA240" i="5"/>
  <c r="BC240" i="5"/>
  <c r="BD240" i="5" s="1"/>
  <c r="BA296" i="5"/>
  <c r="BC296" i="5"/>
  <c r="BD296" i="5" s="1"/>
  <c r="BA183" i="5"/>
  <c r="BC183" i="5"/>
  <c r="BD183" i="5" s="1"/>
  <c r="BA209" i="5"/>
  <c r="BC209" i="5"/>
  <c r="BD209" i="5" s="1"/>
  <c r="BA283" i="5"/>
  <c r="BC283" i="5"/>
  <c r="BD283" i="5" s="1"/>
  <c r="BC152" i="6"/>
  <c r="BD152" i="6" s="1"/>
  <c r="BA152" i="6"/>
  <c r="BC280" i="7"/>
  <c r="BD280" i="7" s="1"/>
  <c r="BA280" i="7"/>
  <c r="BA205" i="7"/>
  <c r="BC205" i="7"/>
  <c r="BD205" i="7" s="1"/>
  <c r="BA271" i="7"/>
  <c r="BC271" i="7"/>
  <c r="BD271" i="7" s="1"/>
  <c r="BA230" i="7"/>
  <c r="BC230" i="7"/>
  <c r="BD230" i="7" s="1"/>
  <c r="BA316" i="7"/>
  <c r="BC316" i="7"/>
  <c r="BD316" i="7" s="1"/>
  <c r="BA200" i="8"/>
  <c r="BC200" i="8"/>
  <c r="BD200" i="8" s="1"/>
  <c r="BA244" i="8"/>
  <c r="BC244" i="8"/>
  <c r="BD244" i="8" s="1"/>
  <c r="BC305" i="8"/>
  <c r="BD305" i="8" s="1"/>
  <c r="BA305" i="8"/>
  <c r="BC328" i="9"/>
  <c r="BD328" i="9" s="1"/>
  <c r="BA328" i="9"/>
  <c r="BC165" i="9"/>
  <c r="BD165" i="9" s="1"/>
  <c r="BA165" i="9"/>
  <c r="BA193" i="9"/>
  <c r="BC193" i="9"/>
  <c r="BD193" i="9" s="1"/>
  <c r="BC309" i="10"/>
  <c r="BD309" i="10" s="1"/>
  <c r="BA309" i="10"/>
  <c r="BC162" i="10"/>
  <c r="BD162" i="10" s="1"/>
  <c r="BA162" i="10"/>
  <c r="BA194" i="10"/>
  <c r="BC194" i="10"/>
  <c r="BD194" i="10" s="1"/>
  <c r="BA248" i="11"/>
  <c r="BC248" i="11"/>
  <c r="BD248" i="11" s="1"/>
  <c r="BA166" i="11"/>
  <c r="BC166" i="11"/>
  <c r="BD166" i="11" s="1"/>
  <c r="BC156" i="2"/>
  <c r="BD156" i="2" s="1"/>
  <c r="BA156" i="2"/>
  <c r="BC212" i="2"/>
  <c r="BD212" i="2" s="1"/>
  <c r="BA212" i="2"/>
  <c r="BC264" i="2"/>
  <c r="BD264" i="2" s="1"/>
  <c r="BA264" i="2"/>
  <c r="BC316" i="2"/>
  <c r="BD316" i="2" s="1"/>
  <c r="BA316" i="2"/>
  <c r="BC155" i="3"/>
  <c r="BD155" i="3" s="1"/>
  <c r="BA155" i="3"/>
  <c r="BA237" i="2"/>
  <c r="BC237" i="2"/>
  <c r="BD237" i="2" s="1"/>
  <c r="BA329" i="2"/>
  <c r="BC329" i="2"/>
  <c r="BD329" i="2" s="1"/>
  <c r="BC248" i="4"/>
  <c r="BD248" i="4" s="1"/>
  <c r="BA248" i="4"/>
  <c r="BC312" i="4"/>
  <c r="BD312" i="4" s="1"/>
  <c r="BA312" i="4"/>
  <c r="BA250" i="4"/>
  <c r="BC250" i="4"/>
  <c r="BD250" i="4" s="1"/>
  <c r="BA296" i="4"/>
  <c r="BC296" i="4"/>
  <c r="BD296" i="4" s="1"/>
  <c r="BC215" i="5"/>
  <c r="BD215" i="5" s="1"/>
  <c r="BA215" i="5"/>
  <c r="BC293" i="5"/>
  <c r="BD293" i="5" s="1"/>
  <c r="BA293" i="5"/>
  <c r="BC346" i="5"/>
  <c r="BD346" i="5" s="1"/>
  <c r="BA346" i="5"/>
  <c r="BA160" i="5"/>
  <c r="BC160" i="5"/>
  <c r="BD160" i="5" s="1"/>
  <c r="BA228" i="5"/>
  <c r="BC228" i="5"/>
  <c r="BD228" i="5" s="1"/>
  <c r="BA300" i="5"/>
  <c r="BC300" i="5"/>
  <c r="BD300" i="5" s="1"/>
  <c r="BA171" i="5"/>
  <c r="BC171" i="5"/>
  <c r="BD171" i="5" s="1"/>
  <c r="BA271" i="5"/>
  <c r="BC271" i="5"/>
  <c r="BD271" i="5" s="1"/>
  <c r="BC150" i="7"/>
  <c r="BD150" i="7" s="1"/>
  <c r="BA150" i="7"/>
  <c r="BC254" i="7"/>
  <c r="BD254" i="7" s="1"/>
  <c r="BA254" i="7"/>
  <c r="BC304" i="7"/>
  <c r="BD304" i="7" s="1"/>
  <c r="BA304" i="7"/>
  <c r="BA163" i="7"/>
  <c r="BC163" i="7"/>
  <c r="BD163" i="7" s="1"/>
  <c r="BA225" i="7"/>
  <c r="BC225" i="7"/>
  <c r="BD225" i="7" s="1"/>
  <c r="BA275" i="7"/>
  <c r="BC275" i="7"/>
  <c r="BD275" i="7" s="1"/>
  <c r="BA152" i="7"/>
  <c r="BC152" i="7"/>
  <c r="BD152" i="7" s="1"/>
  <c r="BC169" i="7"/>
  <c r="BD169" i="7" s="1"/>
  <c r="BA169" i="7"/>
  <c r="BA216" i="7"/>
  <c r="BC216" i="7"/>
  <c r="BD216" i="7" s="1"/>
  <c r="BC277" i="7"/>
  <c r="BD277" i="7" s="1"/>
  <c r="BA277" i="7"/>
  <c r="BA304" i="8"/>
  <c r="BC304" i="8"/>
  <c r="BD304" i="8" s="1"/>
  <c r="BA179" i="9"/>
  <c r="BC179" i="9"/>
  <c r="BD179" i="9" s="1"/>
  <c r="BC174" i="10"/>
  <c r="BD174" i="10" s="1"/>
  <c r="BA174" i="10"/>
  <c r="BC198" i="10"/>
  <c r="BD198" i="10" s="1"/>
  <c r="BA198" i="10"/>
  <c r="BA233" i="11"/>
  <c r="BC233" i="11"/>
  <c r="BD233" i="11" s="1"/>
  <c r="BA185" i="11"/>
  <c r="BC185" i="11"/>
  <c r="BD185" i="11" s="1"/>
  <c r="BC183" i="2"/>
  <c r="BD183" i="2" s="1"/>
  <c r="BA183" i="2"/>
  <c r="BC261" i="2"/>
  <c r="BD261" i="2" s="1"/>
  <c r="BA261" i="2"/>
  <c r="BC331" i="2"/>
  <c r="BD331" i="2" s="1"/>
  <c r="BA331" i="2"/>
  <c r="BC171" i="3"/>
  <c r="BD171" i="3" s="1"/>
  <c r="BA171" i="3"/>
  <c r="BC200" i="3"/>
  <c r="BD200" i="3" s="1"/>
  <c r="BA200" i="3"/>
  <c r="BA278" i="3"/>
  <c r="BC278" i="3"/>
  <c r="BD278" i="3" s="1"/>
  <c r="BA310" i="3"/>
  <c r="BC310" i="3"/>
  <c r="BD310" i="3" s="1"/>
  <c r="BA342" i="3"/>
  <c r="BC342" i="3"/>
  <c r="BD342" i="3" s="1"/>
  <c r="BC229" i="3"/>
  <c r="BD229" i="3" s="1"/>
  <c r="BA229" i="3"/>
  <c r="BA285" i="3"/>
  <c r="BC285" i="3"/>
  <c r="BD285" i="3" s="1"/>
  <c r="BA309" i="3"/>
  <c r="BC309" i="3"/>
  <c r="BD309" i="3" s="1"/>
  <c r="BC314" i="3"/>
  <c r="BD314" i="3" s="1"/>
  <c r="BA314" i="3"/>
  <c r="BC149" i="4"/>
  <c r="BD149" i="4" s="1"/>
  <c r="BA149" i="4"/>
  <c r="BC231" i="4"/>
  <c r="BD231" i="4" s="1"/>
  <c r="BA231" i="4"/>
  <c r="BC307" i="4"/>
  <c r="BD307" i="4" s="1"/>
  <c r="BA307" i="4"/>
  <c r="BC273" i="6"/>
  <c r="BD273" i="6" s="1"/>
  <c r="BA273" i="6"/>
  <c r="BC319" i="6"/>
  <c r="BD319" i="6" s="1"/>
  <c r="BA319" i="6"/>
  <c r="BA244" i="6"/>
  <c r="BC244" i="6"/>
  <c r="BD244" i="6" s="1"/>
  <c r="BA292" i="6"/>
  <c r="BC292" i="6"/>
  <c r="BD292" i="6" s="1"/>
  <c r="BA340" i="6"/>
  <c r="BC340" i="6"/>
  <c r="BD340" i="6" s="1"/>
  <c r="BC194" i="8"/>
  <c r="BD194" i="8" s="1"/>
  <c r="BA194" i="8"/>
  <c r="BC264" i="8"/>
  <c r="BD264" i="8" s="1"/>
  <c r="BA264" i="8"/>
  <c r="BA348" i="8"/>
  <c r="BC348" i="8"/>
  <c r="BD348" i="8" s="1"/>
  <c r="BC263" i="9"/>
  <c r="BD263" i="9" s="1"/>
  <c r="BA263" i="9"/>
  <c r="BA298" i="9"/>
  <c r="BC298" i="9"/>
  <c r="BD298" i="9" s="1"/>
  <c r="BA270" i="9"/>
  <c r="BC270" i="9"/>
  <c r="BD270" i="9" s="1"/>
  <c r="BA312" i="9"/>
  <c r="BC312" i="9"/>
  <c r="BD312" i="9" s="1"/>
  <c r="BC296" i="9"/>
  <c r="BD296" i="9" s="1"/>
  <c r="BA296" i="9"/>
  <c r="BC191" i="10"/>
  <c r="BD191" i="10" s="1"/>
  <c r="BA191" i="10"/>
  <c r="BA295" i="10"/>
  <c r="BC295" i="10"/>
  <c r="BD295" i="10" s="1"/>
  <c r="BA307" i="10"/>
  <c r="BC307" i="10"/>
  <c r="BD307" i="10" s="1"/>
  <c r="BC334" i="10"/>
  <c r="BD334" i="10" s="1"/>
  <c r="BA334" i="10"/>
  <c r="BA259" i="11"/>
  <c r="BC259" i="11"/>
  <c r="BD259" i="11" s="1"/>
  <c r="BC280" i="11"/>
  <c r="BD280" i="11" s="1"/>
  <c r="BA280" i="11"/>
  <c r="BA298" i="11"/>
  <c r="BC298" i="11"/>
  <c r="BD298" i="11" s="1"/>
  <c r="BC293" i="11"/>
  <c r="BD293" i="11" s="1"/>
  <c r="BA293" i="11"/>
  <c r="BA342" i="11"/>
  <c r="BC342" i="11"/>
  <c r="BD342" i="11" s="1"/>
  <c r="BC153" i="2"/>
  <c r="BD153" i="2" s="1"/>
  <c r="BA153" i="2"/>
  <c r="BC235" i="2"/>
  <c r="BD235" i="2" s="1"/>
  <c r="BA235" i="2"/>
  <c r="BC321" i="2"/>
  <c r="BD321" i="2" s="1"/>
  <c r="BA321" i="2"/>
  <c r="BC210" i="3"/>
  <c r="BD210" i="3" s="1"/>
  <c r="BA210" i="3"/>
  <c r="BC313" i="3"/>
  <c r="BD313" i="3" s="1"/>
  <c r="BA313" i="3"/>
  <c r="BA208" i="3"/>
  <c r="BC208" i="3"/>
  <c r="BD208" i="3" s="1"/>
  <c r="BC219" i="3"/>
  <c r="BD219" i="3" s="1"/>
  <c r="BA219" i="3"/>
  <c r="BA267" i="3"/>
  <c r="BC267" i="3"/>
  <c r="BD267" i="3" s="1"/>
  <c r="BC266" i="3"/>
  <c r="BD266" i="3" s="1"/>
  <c r="BA266" i="3"/>
  <c r="BC163" i="4"/>
  <c r="BD163" i="4" s="1"/>
  <c r="BA163" i="4"/>
  <c r="BC203" i="4"/>
  <c r="BD203" i="4" s="1"/>
  <c r="BA203" i="4"/>
  <c r="BC291" i="4"/>
  <c r="BD291" i="4" s="1"/>
  <c r="BA291" i="4"/>
  <c r="BC162" i="5"/>
  <c r="BD162" i="5" s="1"/>
  <c r="BA162" i="5"/>
  <c r="BC178" i="5"/>
  <c r="BD178" i="5" s="1"/>
  <c r="BA178" i="5"/>
  <c r="BC194" i="5"/>
  <c r="BD194" i="5" s="1"/>
  <c r="BA194" i="5"/>
  <c r="BC334" i="5"/>
  <c r="BD334" i="5" s="1"/>
  <c r="BA334" i="5"/>
  <c r="BC245" i="6"/>
  <c r="BD245" i="6" s="1"/>
  <c r="BA245" i="6"/>
  <c r="BA203" i="6"/>
  <c r="BC203" i="6"/>
  <c r="BD203" i="6" s="1"/>
  <c r="BA291" i="6"/>
  <c r="BC291" i="6"/>
  <c r="BD291" i="6" s="1"/>
  <c r="BC182" i="6"/>
  <c r="BD182" i="6" s="1"/>
  <c r="BA182" i="6"/>
  <c r="BC256" i="6"/>
  <c r="BD256" i="6" s="1"/>
  <c r="BA256" i="6"/>
  <c r="BC260" i="8"/>
  <c r="BD260" i="8" s="1"/>
  <c r="BA260" i="8"/>
  <c r="BC321" i="8"/>
  <c r="BD321" i="8" s="1"/>
  <c r="BA321" i="8"/>
  <c r="BC156" i="9"/>
  <c r="BD156" i="9" s="1"/>
  <c r="BA156" i="9"/>
  <c r="BC190" i="9"/>
  <c r="BD190" i="9" s="1"/>
  <c r="BA190" i="9"/>
  <c r="BC247" i="9"/>
  <c r="BD247" i="9" s="1"/>
  <c r="BA247" i="9"/>
  <c r="BC285" i="9"/>
  <c r="BD285" i="9" s="1"/>
  <c r="BA285" i="9"/>
  <c r="BA264" i="11"/>
  <c r="BC264" i="11"/>
  <c r="BD264" i="11" s="1"/>
  <c r="BC189" i="11"/>
  <c r="BD189" i="11" s="1"/>
  <c r="BA189" i="11"/>
  <c r="BA295" i="11"/>
  <c r="BC295" i="11"/>
  <c r="BD295" i="11" s="1"/>
  <c r="BC269" i="11"/>
  <c r="BD269" i="11" s="1"/>
  <c r="BA269" i="11"/>
  <c r="BC288" i="11"/>
  <c r="BD288" i="11" s="1"/>
  <c r="BA288" i="11"/>
  <c r="BA306" i="11"/>
  <c r="BC306" i="11"/>
  <c r="BD306" i="11" s="1"/>
  <c r="BC340" i="11"/>
  <c r="BD340" i="11" s="1"/>
  <c r="BA340" i="11"/>
  <c r="BC236" i="3"/>
  <c r="BD236" i="3" s="1"/>
  <c r="BA236" i="3"/>
  <c r="BC196" i="3"/>
  <c r="BD196" i="3" s="1"/>
  <c r="BA196" i="3"/>
  <c r="BC175" i="2"/>
  <c r="BD175" i="2" s="1"/>
  <c r="BA175" i="2"/>
  <c r="BC261" i="3"/>
  <c r="BD261" i="3" s="1"/>
  <c r="BA261" i="3"/>
  <c r="BA248" i="3"/>
  <c r="BC248" i="3"/>
  <c r="BD248" i="3" s="1"/>
  <c r="BA255" i="3"/>
  <c r="BC255" i="3"/>
  <c r="BD255" i="3" s="1"/>
  <c r="BA293" i="3"/>
  <c r="BC293" i="3"/>
  <c r="BD293" i="3" s="1"/>
  <c r="BC318" i="3"/>
  <c r="BD318" i="3" s="1"/>
  <c r="BA318" i="3"/>
  <c r="BC183" i="4"/>
  <c r="BD183" i="4" s="1"/>
  <c r="BA183" i="4"/>
  <c r="BC213" i="4"/>
  <c r="BD213" i="4" s="1"/>
  <c r="BA213" i="4"/>
  <c r="BC257" i="4"/>
  <c r="BD257" i="4" s="1"/>
  <c r="BA257" i="4"/>
  <c r="BC275" i="4"/>
  <c r="BD275" i="4" s="1"/>
  <c r="BA275" i="4"/>
  <c r="BC335" i="4"/>
  <c r="BD335" i="4" s="1"/>
  <c r="BA335" i="4"/>
  <c r="BC229" i="6"/>
  <c r="BD229" i="6" s="1"/>
  <c r="BA229" i="6"/>
  <c r="BA214" i="6"/>
  <c r="BC214" i="6"/>
  <c r="BD214" i="6" s="1"/>
  <c r="BA254" i="6"/>
  <c r="BC254" i="6"/>
  <c r="BD254" i="6" s="1"/>
  <c r="BA352" i="6"/>
  <c r="BC352" i="6"/>
  <c r="BD352" i="6" s="1"/>
  <c r="BA349" i="7"/>
  <c r="BC349" i="7"/>
  <c r="BD349" i="7" s="1"/>
  <c r="BC170" i="8"/>
  <c r="BD170" i="8" s="1"/>
  <c r="BA170" i="8"/>
  <c r="BC224" i="8"/>
  <c r="BD224" i="8" s="1"/>
  <c r="BA224" i="8"/>
  <c r="BC306" i="8"/>
  <c r="BD306" i="8" s="1"/>
  <c r="BA306" i="8"/>
  <c r="BA337" i="8"/>
  <c r="BC337" i="8"/>
  <c r="BD337" i="8" s="1"/>
  <c r="BC207" i="9"/>
  <c r="BD207" i="9" s="1"/>
  <c r="BA207" i="9"/>
  <c r="BA228" i="9"/>
  <c r="BC228" i="9"/>
  <c r="BD228" i="9" s="1"/>
  <c r="BC291" i="9"/>
  <c r="BD291" i="9" s="1"/>
  <c r="BA291" i="9"/>
  <c r="BA333" i="9"/>
  <c r="BC333" i="9"/>
  <c r="BD333" i="9" s="1"/>
  <c r="BA284" i="10"/>
  <c r="BC284" i="10"/>
  <c r="BD284" i="10" s="1"/>
  <c r="BC340" i="9"/>
  <c r="BD340" i="9" s="1"/>
  <c r="BA340" i="9"/>
  <c r="BC250" i="10"/>
  <c r="BD250" i="10" s="1"/>
  <c r="BA250" i="10"/>
  <c r="BA343" i="10"/>
  <c r="BC343" i="10"/>
  <c r="BD343" i="10" s="1"/>
  <c r="BC324" i="10"/>
  <c r="BD324" i="10" s="1"/>
  <c r="BA324" i="10"/>
  <c r="BA191" i="11"/>
  <c r="BC191" i="11"/>
  <c r="BD191" i="11" s="1"/>
  <c r="BC202" i="11"/>
  <c r="BD202" i="11" s="1"/>
  <c r="BA202" i="11"/>
  <c r="BA237" i="11"/>
  <c r="BC237" i="11"/>
  <c r="BD237" i="11" s="1"/>
  <c r="BC258" i="11"/>
  <c r="BD258" i="11" s="1"/>
  <c r="BA258" i="11"/>
  <c r="BA290" i="11"/>
  <c r="BC290" i="11"/>
  <c r="BD290" i="11" s="1"/>
  <c r="BC318" i="11"/>
  <c r="BD318" i="11" s="1"/>
  <c r="BA318" i="11"/>
  <c r="BA352" i="2"/>
  <c r="BC352" i="2"/>
  <c r="BD352" i="2" s="1"/>
  <c r="BC199" i="2"/>
  <c r="BD199" i="2" s="1"/>
  <c r="BA199" i="2"/>
  <c r="BC265" i="2"/>
  <c r="BD265" i="2" s="1"/>
  <c r="BA265" i="2"/>
  <c r="BC335" i="2"/>
  <c r="BD335" i="2" s="1"/>
  <c r="BA335" i="2"/>
  <c r="BC192" i="3"/>
  <c r="BD192" i="3" s="1"/>
  <c r="BA192" i="3"/>
  <c r="BA319" i="3"/>
  <c r="BC319" i="3"/>
  <c r="BD319" i="3" s="1"/>
  <c r="BA345" i="3"/>
  <c r="BC345" i="3"/>
  <c r="BD345" i="3" s="1"/>
  <c r="BC270" i="3"/>
  <c r="BD270" i="3" s="1"/>
  <c r="BA270" i="3"/>
  <c r="BC179" i="4"/>
  <c r="BD179" i="4" s="1"/>
  <c r="BA179" i="4"/>
  <c r="BC208" i="5"/>
  <c r="BD208" i="5" s="1"/>
  <c r="BA208" i="5"/>
  <c r="BC224" i="5"/>
  <c r="BD224" i="5" s="1"/>
  <c r="BA224" i="5"/>
  <c r="BC256" i="5"/>
  <c r="BD256" i="5" s="1"/>
  <c r="BA256" i="5"/>
  <c r="BA154" i="6"/>
  <c r="BC154" i="6"/>
  <c r="BD154" i="6" s="1"/>
  <c r="BA175" i="6"/>
  <c r="BC175" i="6"/>
  <c r="BD175" i="6" s="1"/>
  <c r="BA225" i="6"/>
  <c r="BC225" i="6"/>
  <c r="BD225" i="6" s="1"/>
  <c r="BA269" i="6"/>
  <c r="BC269" i="6"/>
  <c r="BD269" i="6" s="1"/>
  <c r="BA313" i="6"/>
  <c r="BC313" i="6"/>
  <c r="BD313" i="6" s="1"/>
  <c r="BC158" i="6"/>
  <c r="BD158" i="6" s="1"/>
  <c r="BA158" i="6"/>
  <c r="BC302" i="6"/>
  <c r="BD302" i="6" s="1"/>
  <c r="BA302" i="6"/>
  <c r="BC350" i="7"/>
  <c r="BD350" i="7" s="1"/>
  <c r="BA350" i="7"/>
  <c r="BC298" i="8"/>
  <c r="BD298" i="8" s="1"/>
  <c r="BA298" i="8"/>
  <c r="BC338" i="8"/>
  <c r="BD338" i="8" s="1"/>
  <c r="BA338" i="8"/>
  <c r="BA352" i="8"/>
  <c r="BC352" i="8"/>
  <c r="BD352" i="8" s="1"/>
  <c r="BC158" i="9"/>
  <c r="BD158" i="9" s="1"/>
  <c r="BA158" i="9"/>
  <c r="BA266" i="9"/>
  <c r="BC266" i="9"/>
  <c r="BD266" i="9" s="1"/>
  <c r="BC230" i="9"/>
  <c r="BD230" i="9" s="1"/>
  <c r="BA230" i="9"/>
  <c r="BA329" i="9"/>
  <c r="BC329" i="9"/>
  <c r="BD329" i="9" s="1"/>
  <c r="BC235" i="10"/>
  <c r="BD235" i="10" s="1"/>
  <c r="BA235" i="10"/>
  <c r="BC308" i="9"/>
  <c r="BD308" i="9" s="1"/>
  <c r="BA308" i="9"/>
  <c r="BA299" i="10"/>
  <c r="BC299" i="10"/>
  <c r="BD299" i="10" s="1"/>
  <c r="BA251" i="10"/>
  <c r="BC251" i="10"/>
  <c r="BD251" i="10" s="1"/>
  <c r="BA313" i="10"/>
  <c r="BC313" i="10"/>
  <c r="BD313" i="10" s="1"/>
  <c r="BC312" i="10"/>
  <c r="BD312" i="10" s="1"/>
  <c r="BA312" i="10"/>
  <c r="BA309" i="11"/>
  <c r="BC309" i="11"/>
  <c r="BD309" i="11" s="1"/>
  <c r="BA255" i="11"/>
  <c r="BC255" i="11"/>
  <c r="BD255" i="11" s="1"/>
  <c r="BC276" i="11"/>
  <c r="BD276" i="11" s="1"/>
  <c r="BA276" i="11"/>
  <c r="BA319" i="11"/>
  <c r="BC319" i="11"/>
  <c r="BD319" i="11" s="1"/>
  <c r="BA338" i="11"/>
  <c r="BC338" i="11"/>
  <c r="BD338" i="11" s="1"/>
  <c r="BC274" i="4"/>
  <c r="BD274" i="4" s="1"/>
  <c r="BA274" i="4"/>
  <c r="BA151" i="4"/>
  <c r="BC151" i="4"/>
  <c r="BD151" i="4" s="1"/>
  <c r="BC289" i="5"/>
  <c r="BD289" i="5" s="1"/>
  <c r="BA289" i="5"/>
  <c r="BA326" i="5"/>
  <c r="BC326" i="5"/>
  <c r="BD326" i="5" s="1"/>
  <c r="BC164" i="7"/>
  <c r="BD164" i="7" s="1"/>
  <c r="BA164" i="7"/>
  <c r="BA218" i="8"/>
  <c r="BC218" i="8"/>
  <c r="BD218" i="8" s="1"/>
  <c r="BA146" i="9"/>
  <c r="BC146" i="9"/>
  <c r="BD146" i="9" s="1"/>
  <c r="BC286" i="10"/>
  <c r="BD286" i="10" s="1"/>
  <c r="BA286" i="10"/>
  <c r="BC204" i="10"/>
  <c r="BD204" i="10" s="1"/>
  <c r="BA204" i="10"/>
  <c r="BC227" i="11"/>
  <c r="BD227" i="11" s="1"/>
  <c r="BA227" i="11"/>
  <c r="T496" i="5"/>
  <c r="T494" i="5"/>
  <c r="T495" i="5"/>
  <c r="BA263" i="2"/>
  <c r="BC263" i="2"/>
  <c r="BD263" i="2" s="1"/>
  <c r="BA344" i="4"/>
  <c r="BC344" i="4"/>
  <c r="BD344" i="4" s="1"/>
  <c r="BA308" i="5"/>
  <c r="BC308" i="5"/>
  <c r="BD308" i="5" s="1"/>
  <c r="BA269" i="5"/>
  <c r="BC269" i="5"/>
  <c r="BD269" i="5" s="1"/>
  <c r="BC148" i="6"/>
  <c r="BD148" i="6" s="1"/>
  <c r="BA148" i="6"/>
  <c r="BA231" i="7"/>
  <c r="BC231" i="7"/>
  <c r="BD231" i="7" s="1"/>
  <c r="BA248" i="7"/>
  <c r="BC248" i="7"/>
  <c r="BD248" i="7" s="1"/>
  <c r="BA235" i="8"/>
  <c r="BC235" i="8"/>
  <c r="BD235" i="8" s="1"/>
  <c r="BA175" i="9"/>
  <c r="BC175" i="9"/>
  <c r="BD175" i="9" s="1"/>
  <c r="BC209" i="10"/>
  <c r="BD209" i="10" s="1"/>
  <c r="BA209" i="10"/>
  <c r="BC240" i="10"/>
  <c r="BD240" i="10" s="1"/>
  <c r="BA240" i="10"/>
  <c r="BA191" i="7"/>
  <c r="BC191" i="7"/>
  <c r="BD191" i="7" s="1"/>
  <c r="T496" i="3"/>
  <c r="T495" i="3"/>
  <c r="T494" i="3"/>
  <c r="BC271" i="2"/>
  <c r="BD271" i="2" s="1"/>
  <c r="BA271" i="2"/>
  <c r="BC252" i="2"/>
  <c r="BD252" i="2" s="1"/>
  <c r="BA252" i="2"/>
  <c r="BA160" i="2"/>
  <c r="BC160" i="2"/>
  <c r="BD160" i="2" s="1"/>
  <c r="BA176" i="2"/>
  <c r="BC176" i="2"/>
  <c r="BD176" i="2" s="1"/>
  <c r="BA192" i="2"/>
  <c r="BC192" i="2"/>
  <c r="BD192" i="2" s="1"/>
  <c r="BA233" i="2"/>
  <c r="BC233" i="2"/>
  <c r="BD233" i="2" s="1"/>
  <c r="BA214" i="2"/>
  <c r="BC214" i="2"/>
  <c r="BD214" i="2" s="1"/>
  <c r="BC334" i="4"/>
  <c r="BD334" i="4" s="1"/>
  <c r="BA334" i="4"/>
  <c r="BA245" i="4"/>
  <c r="BC245" i="4"/>
  <c r="BD245" i="4" s="1"/>
  <c r="BA259" i="4"/>
  <c r="BC259" i="4"/>
  <c r="BD259" i="4" s="1"/>
  <c r="BC161" i="5"/>
  <c r="BD161" i="5" s="1"/>
  <c r="BA161" i="5"/>
  <c r="BC255" i="5"/>
  <c r="BD255" i="5" s="1"/>
  <c r="BA255" i="5"/>
  <c r="BC315" i="5"/>
  <c r="BD315" i="5" s="1"/>
  <c r="BA315" i="5"/>
  <c r="BA164" i="5"/>
  <c r="BC164" i="5"/>
  <c r="BD164" i="5" s="1"/>
  <c r="BA222" i="5"/>
  <c r="BC222" i="5"/>
  <c r="BD222" i="5" s="1"/>
  <c r="BA288" i="5"/>
  <c r="BC288" i="5"/>
  <c r="BD288" i="5" s="1"/>
  <c r="BA249" i="5"/>
  <c r="BC249" i="5"/>
  <c r="BD249" i="5" s="1"/>
  <c r="BA307" i="5"/>
  <c r="BC307" i="5"/>
  <c r="BD307" i="5" s="1"/>
  <c r="BC146" i="7"/>
  <c r="BD146" i="7" s="1"/>
  <c r="BA146" i="7"/>
  <c r="BC172" i="7"/>
  <c r="BD172" i="7" s="1"/>
  <c r="BA172" i="7"/>
  <c r="BC188" i="7"/>
  <c r="BD188" i="7" s="1"/>
  <c r="BA188" i="7"/>
  <c r="BC210" i="7"/>
  <c r="BD210" i="7" s="1"/>
  <c r="BA210" i="7"/>
  <c r="BC228" i="7"/>
  <c r="BD228" i="7" s="1"/>
  <c r="BA228" i="7"/>
  <c r="BC272" i="7"/>
  <c r="BD272" i="7" s="1"/>
  <c r="BA272" i="7"/>
  <c r="BC340" i="7"/>
  <c r="BD340" i="7" s="1"/>
  <c r="BA340" i="7"/>
  <c r="BA167" i="7"/>
  <c r="BC167" i="7"/>
  <c r="BD167" i="7" s="1"/>
  <c r="BA249" i="7"/>
  <c r="BC249" i="7"/>
  <c r="BD249" i="7" s="1"/>
  <c r="BA162" i="7"/>
  <c r="BC162" i="7"/>
  <c r="BD162" i="7" s="1"/>
  <c r="BA178" i="7"/>
  <c r="BC178" i="7"/>
  <c r="BD178" i="7" s="1"/>
  <c r="BA278" i="7"/>
  <c r="BC278" i="7"/>
  <c r="BD278" i="7" s="1"/>
  <c r="BA294" i="7"/>
  <c r="BC294" i="7"/>
  <c r="BD294" i="7" s="1"/>
  <c r="BA306" i="7"/>
  <c r="BC306" i="7"/>
  <c r="BD306" i="7" s="1"/>
  <c r="BA328" i="8"/>
  <c r="BC328" i="8"/>
  <c r="BD328" i="8" s="1"/>
  <c r="BC233" i="8"/>
  <c r="BD233" i="8" s="1"/>
  <c r="BA233" i="8"/>
  <c r="BC295" i="8"/>
  <c r="BD295" i="8" s="1"/>
  <c r="BA295" i="8"/>
  <c r="BA232" i="8"/>
  <c r="BC232" i="8"/>
  <c r="BD232" i="8" s="1"/>
  <c r="BA205" i="8"/>
  <c r="BC205" i="8"/>
  <c r="BD205" i="8" s="1"/>
  <c r="BA217" i="8"/>
  <c r="BC217" i="8"/>
  <c r="BD217" i="8" s="1"/>
  <c r="BA269" i="8"/>
  <c r="BC269" i="8"/>
  <c r="BD269" i="8" s="1"/>
  <c r="BA223" i="10"/>
  <c r="BC223" i="10"/>
  <c r="BD223" i="10" s="1"/>
  <c r="BC188" i="10"/>
  <c r="BD188" i="10" s="1"/>
  <c r="BA188" i="10"/>
  <c r="BA177" i="10"/>
  <c r="BC177" i="10"/>
  <c r="BD177" i="10" s="1"/>
  <c r="BC163" i="10"/>
  <c r="BD163" i="10" s="1"/>
  <c r="BA163" i="10"/>
  <c r="BC175" i="10"/>
  <c r="BD175" i="10" s="1"/>
  <c r="BA175" i="10"/>
  <c r="BC215" i="11"/>
  <c r="BD215" i="11" s="1"/>
  <c r="BA215" i="11"/>
  <c r="BA174" i="11"/>
  <c r="BC174" i="11"/>
  <c r="BD174" i="11" s="1"/>
  <c r="BA345" i="2"/>
  <c r="BC345" i="2"/>
  <c r="BD345" i="2" s="1"/>
  <c r="BA232" i="2"/>
  <c r="BC232" i="2"/>
  <c r="BD232" i="2" s="1"/>
  <c r="BC174" i="3"/>
  <c r="BD174" i="3" s="1"/>
  <c r="BA174" i="3"/>
  <c r="BC216" i="4"/>
  <c r="BD216" i="4" s="1"/>
  <c r="BA216" i="4"/>
  <c r="BC310" i="4"/>
  <c r="BD310" i="4" s="1"/>
  <c r="BA310" i="4"/>
  <c r="BC338" i="4"/>
  <c r="BD338" i="4" s="1"/>
  <c r="BA338" i="4"/>
  <c r="BA223" i="4"/>
  <c r="BC223" i="4"/>
  <c r="BD223" i="4" s="1"/>
  <c r="BA247" i="4"/>
  <c r="BC247" i="4"/>
  <c r="BD247" i="4" s="1"/>
  <c r="BA277" i="4"/>
  <c r="BC277" i="4"/>
  <c r="BD277" i="4" s="1"/>
  <c r="BA309" i="4"/>
  <c r="BC309" i="4"/>
  <c r="BD309" i="4" s="1"/>
  <c r="BA244" i="4"/>
  <c r="BC244" i="4"/>
  <c r="BD244" i="4" s="1"/>
  <c r="BA304" i="4"/>
  <c r="BC304" i="4"/>
  <c r="BD304" i="4" s="1"/>
  <c r="BA176" i="6"/>
  <c r="BC176" i="6"/>
  <c r="BD176" i="6" s="1"/>
  <c r="BA184" i="5"/>
  <c r="BC184" i="5"/>
  <c r="BD184" i="5" s="1"/>
  <c r="BA236" i="5"/>
  <c r="BC236" i="5"/>
  <c r="BD236" i="5" s="1"/>
  <c r="BA276" i="5"/>
  <c r="BC276" i="5"/>
  <c r="BD276" i="5" s="1"/>
  <c r="BA145" i="5"/>
  <c r="BC145" i="5"/>
  <c r="BD145" i="5" s="1"/>
  <c r="BA179" i="5"/>
  <c r="BC179" i="5"/>
  <c r="BD179" i="5" s="1"/>
  <c r="BA231" i="5"/>
  <c r="BC231" i="5"/>
  <c r="BD231" i="5" s="1"/>
  <c r="BA295" i="5"/>
  <c r="BC295" i="5"/>
  <c r="BD295" i="5" s="1"/>
  <c r="BC311" i="7"/>
  <c r="BD311" i="7" s="1"/>
  <c r="BA311" i="7"/>
  <c r="BA203" i="7"/>
  <c r="BC203" i="7"/>
  <c r="BD203" i="7" s="1"/>
  <c r="BA269" i="7"/>
  <c r="BC269" i="7"/>
  <c r="BD269" i="7" s="1"/>
  <c r="BA313" i="7"/>
  <c r="BC313" i="7"/>
  <c r="BD313" i="7" s="1"/>
  <c r="BC241" i="7"/>
  <c r="BD241" i="7" s="1"/>
  <c r="BA241" i="7"/>
  <c r="BA334" i="7"/>
  <c r="BC334" i="7"/>
  <c r="BD334" i="7" s="1"/>
  <c r="BC157" i="8"/>
  <c r="BD157" i="8" s="1"/>
  <c r="BA157" i="8"/>
  <c r="BA227" i="8"/>
  <c r="BC227" i="8"/>
  <c r="BD227" i="8" s="1"/>
  <c r="BA243" i="8"/>
  <c r="BC243" i="8"/>
  <c r="BD243" i="8" s="1"/>
  <c r="BA283" i="8"/>
  <c r="BC283" i="8"/>
  <c r="BD283" i="8" s="1"/>
  <c r="BA271" i="9"/>
  <c r="BC271" i="9"/>
  <c r="BD271" i="9" s="1"/>
  <c r="BA237" i="10"/>
  <c r="BC237" i="10"/>
  <c r="BD237" i="10" s="1"/>
  <c r="BC206" i="10"/>
  <c r="BD206" i="10" s="1"/>
  <c r="BA206" i="10"/>
  <c r="BA172" i="10"/>
  <c r="BC172" i="10"/>
  <c r="BD172" i="10" s="1"/>
  <c r="BC270" i="10"/>
  <c r="BD270" i="10" s="1"/>
  <c r="BA270" i="10"/>
  <c r="BC159" i="11"/>
  <c r="BD159" i="11" s="1"/>
  <c r="BA159" i="11"/>
  <c r="BA210" i="11"/>
  <c r="BC210" i="11"/>
  <c r="BD210" i="11" s="1"/>
  <c r="BA165" i="11"/>
  <c r="BC165" i="11"/>
  <c r="BD165" i="11" s="1"/>
  <c r="BC178" i="2"/>
  <c r="BD178" i="2" s="1"/>
  <c r="BA178" i="2"/>
  <c r="BC198" i="2"/>
  <c r="BD198" i="2" s="1"/>
  <c r="BA198" i="2"/>
  <c r="BC151" i="3"/>
  <c r="BD151" i="3" s="1"/>
  <c r="BA151" i="3"/>
  <c r="BA173" i="2"/>
  <c r="BC173" i="2"/>
  <c r="BD173" i="2" s="1"/>
  <c r="BA197" i="2"/>
  <c r="BC197" i="2"/>
  <c r="BD197" i="2" s="1"/>
  <c r="BA281" i="2"/>
  <c r="BC281" i="2"/>
  <c r="BD281" i="2" s="1"/>
  <c r="BA153" i="3"/>
  <c r="BC153" i="3"/>
  <c r="BD153" i="3" s="1"/>
  <c r="BA254" i="2"/>
  <c r="BC254" i="2"/>
  <c r="BD254" i="2" s="1"/>
  <c r="BA314" i="2"/>
  <c r="BC314" i="2"/>
  <c r="BD314" i="2" s="1"/>
  <c r="BC220" i="4"/>
  <c r="BD220" i="4" s="1"/>
  <c r="BA220" i="4"/>
  <c r="BC260" i="4"/>
  <c r="BD260" i="4" s="1"/>
  <c r="BA260" i="4"/>
  <c r="BC157" i="5"/>
  <c r="BD157" i="5" s="1"/>
  <c r="BA157" i="5"/>
  <c r="BC219" i="5"/>
  <c r="BD219" i="5" s="1"/>
  <c r="BA219" i="5"/>
  <c r="BC281" i="5"/>
  <c r="BD281" i="5" s="1"/>
  <c r="BA281" i="5"/>
  <c r="BC333" i="5"/>
  <c r="BD333" i="5" s="1"/>
  <c r="BA333" i="5"/>
  <c r="BA188" i="5"/>
  <c r="BC188" i="5"/>
  <c r="BD188" i="5" s="1"/>
  <c r="BA254" i="5"/>
  <c r="BC254" i="5"/>
  <c r="BD254" i="5" s="1"/>
  <c r="BA318" i="5"/>
  <c r="BC318" i="5"/>
  <c r="BD318" i="5" s="1"/>
  <c r="BA225" i="5"/>
  <c r="BC225" i="5"/>
  <c r="BD225" i="5" s="1"/>
  <c r="BA299" i="5"/>
  <c r="BC299" i="5"/>
  <c r="BD299" i="5" s="1"/>
  <c r="BC314" i="7"/>
  <c r="BD314" i="7" s="1"/>
  <c r="BA314" i="7"/>
  <c r="BA159" i="7"/>
  <c r="BC159" i="7"/>
  <c r="BD159" i="7" s="1"/>
  <c r="BA221" i="7"/>
  <c r="BC221" i="7"/>
  <c r="BD221" i="7" s="1"/>
  <c r="BA287" i="7"/>
  <c r="BC287" i="7"/>
  <c r="BD287" i="7" s="1"/>
  <c r="BC155" i="7"/>
  <c r="BD155" i="7" s="1"/>
  <c r="BA155" i="7"/>
  <c r="BA234" i="7"/>
  <c r="BC234" i="7"/>
  <c r="BD234" i="7" s="1"/>
  <c r="BA338" i="7"/>
  <c r="BC338" i="7"/>
  <c r="BD338" i="7" s="1"/>
  <c r="BA204" i="8"/>
  <c r="BC204" i="8"/>
  <c r="BD204" i="8" s="1"/>
  <c r="BA250" i="8"/>
  <c r="BC250" i="8"/>
  <c r="BD250" i="8" s="1"/>
  <c r="BC151" i="9"/>
  <c r="BD151" i="9" s="1"/>
  <c r="BA151" i="9"/>
  <c r="BC169" i="9"/>
  <c r="BD169" i="9" s="1"/>
  <c r="BA169" i="9"/>
  <c r="BA187" i="9"/>
  <c r="BC187" i="9"/>
  <c r="BD187" i="9" s="1"/>
  <c r="BA291" i="10"/>
  <c r="BC291" i="10"/>
  <c r="BD291" i="10" s="1"/>
  <c r="BC271" i="10"/>
  <c r="BD271" i="10" s="1"/>
  <c r="BA271" i="10"/>
  <c r="BA178" i="10"/>
  <c r="BC178" i="10"/>
  <c r="BD178" i="10" s="1"/>
  <c r="BC200" i="10"/>
  <c r="BD200" i="10" s="1"/>
  <c r="BA200" i="10"/>
  <c r="BC230" i="11"/>
  <c r="BD230" i="11" s="1"/>
  <c r="BA230" i="11"/>
  <c r="BA169" i="11"/>
  <c r="BC169" i="11"/>
  <c r="BD169" i="11" s="1"/>
  <c r="BC328" i="3"/>
  <c r="BD328" i="3" s="1"/>
  <c r="BA328" i="3"/>
  <c r="BC166" i="2"/>
  <c r="BD166" i="2" s="1"/>
  <c r="BA166" i="2"/>
  <c r="BC216" i="2"/>
  <c r="BD216" i="2" s="1"/>
  <c r="BA216" i="2"/>
  <c r="BC169" i="3"/>
  <c r="BD169" i="3" s="1"/>
  <c r="BA169" i="3"/>
  <c r="BA150" i="2"/>
  <c r="BC150" i="2"/>
  <c r="BD150" i="2" s="1"/>
  <c r="BA241" i="2"/>
  <c r="BC241" i="2"/>
  <c r="BD241" i="2" s="1"/>
  <c r="BA333" i="2"/>
  <c r="BC333" i="2"/>
  <c r="BD333" i="2" s="1"/>
  <c r="BC212" i="4"/>
  <c r="BD212" i="4" s="1"/>
  <c r="BA212" i="4"/>
  <c r="BA155" i="4"/>
  <c r="BC155" i="4"/>
  <c r="BD155" i="4" s="1"/>
  <c r="BA177" i="4"/>
  <c r="BC177" i="4"/>
  <c r="BD177" i="4" s="1"/>
  <c r="BA211" i="4"/>
  <c r="BC211" i="4"/>
  <c r="BD211" i="4" s="1"/>
  <c r="BA285" i="4"/>
  <c r="BC285" i="4"/>
  <c r="BD285" i="4" s="1"/>
  <c r="BA146" i="4"/>
  <c r="BC146" i="4"/>
  <c r="BD146" i="4" s="1"/>
  <c r="BA254" i="4"/>
  <c r="BC254" i="4"/>
  <c r="BD254" i="4" s="1"/>
  <c r="BC233" i="5"/>
  <c r="BD233" i="5" s="1"/>
  <c r="BA233" i="5"/>
  <c r="BC309" i="5"/>
  <c r="BD309" i="5" s="1"/>
  <c r="BA309" i="5"/>
  <c r="BA349" i="5"/>
  <c r="BC349" i="5"/>
  <c r="BD349" i="5" s="1"/>
  <c r="BA176" i="5"/>
  <c r="BC176" i="5"/>
  <c r="BD176" i="5" s="1"/>
  <c r="BA244" i="5"/>
  <c r="BC244" i="5"/>
  <c r="BD244" i="5" s="1"/>
  <c r="BA322" i="5"/>
  <c r="BC322" i="5"/>
  <c r="BD322" i="5" s="1"/>
  <c r="BC151" i="6"/>
  <c r="BD151" i="6" s="1"/>
  <c r="BA151" i="6"/>
  <c r="BA187" i="5"/>
  <c r="BC187" i="5"/>
  <c r="BD187" i="5" s="1"/>
  <c r="BA287" i="5"/>
  <c r="BC287" i="5"/>
  <c r="BD287" i="5" s="1"/>
  <c r="BC156" i="6"/>
  <c r="BD156" i="6" s="1"/>
  <c r="BA156" i="6"/>
  <c r="BC206" i="7"/>
  <c r="BD206" i="7" s="1"/>
  <c r="BA206" i="7"/>
  <c r="BC270" i="7"/>
  <c r="BD270" i="7" s="1"/>
  <c r="BA270" i="7"/>
  <c r="BA179" i="7"/>
  <c r="BC179" i="7"/>
  <c r="BD179" i="7" s="1"/>
  <c r="BA291" i="7"/>
  <c r="BC291" i="7"/>
  <c r="BD291" i="7" s="1"/>
  <c r="BA156" i="7"/>
  <c r="BC156" i="7"/>
  <c r="BD156" i="7" s="1"/>
  <c r="BC173" i="7"/>
  <c r="BD173" i="7" s="1"/>
  <c r="BA173" i="7"/>
  <c r="BC185" i="7"/>
  <c r="BD185" i="7" s="1"/>
  <c r="BA185" i="7"/>
  <c r="BA220" i="7"/>
  <c r="BC220" i="7"/>
  <c r="BD220" i="7" s="1"/>
  <c r="BC281" i="7"/>
  <c r="BD281" i="7" s="1"/>
  <c r="BA281" i="7"/>
  <c r="BC181" i="8"/>
  <c r="BD181" i="8" s="1"/>
  <c r="BA181" i="8"/>
  <c r="BC277" i="8"/>
  <c r="BD277" i="8" s="1"/>
  <c r="BA277" i="8"/>
  <c r="BA160" i="8"/>
  <c r="BC160" i="8"/>
  <c r="BD160" i="8" s="1"/>
  <c r="BA266" i="8"/>
  <c r="BC266" i="8"/>
  <c r="BD266" i="8" s="1"/>
  <c r="BA311" i="9"/>
  <c r="BC311" i="9"/>
  <c r="BD311" i="9" s="1"/>
  <c r="BA163" i="9"/>
  <c r="BC163" i="9"/>
  <c r="BD163" i="9" s="1"/>
  <c r="BA191" i="9"/>
  <c r="BC191" i="9"/>
  <c r="BD191" i="9" s="1"/>
  <c r="BC236" i="10"/>
  <c r="BD236" i="10" s="1"/>
  <c r="BA236" i="10"/>
  <c r="BC224" i="10"/>
  <c r="BD224" i="10" s="1"/>
  <c r="BA224" i="10"/>
  <c r="BC328" i="11"/>
  <c r="BD328" i="11" s="1"/>
  <c r="BA328" i="11"/>
  <c r="BA173" i="11"/>
  <c r="BC173" i="11"/>
  <c r="BD173" i="11" s="1"/>
  <c r="BC195" i="2"/>
  <c r="BD195" i="2" s="1"/>
  <c r="BA195" i="2"/>
  <c r="BC283" i="2"/>
  <c r="BD283" i="2" s="1"/>
  <c r="BA283" i="2"/>
  <c r="BC347" i="2"/>
  <c r="BD347" i="2" s="1"/>
  <c r="BA347" i="2"/>
  <c r="BA186" i="3"/>
  <c r="BC186" i="3"/>
  <c r="BD186" i="3" s="1"/>
  <c r="BC269" i="3"/>
  <c r="BD269" i="3" s="1"/>
  <c r="BA269" i="3"/>
  <c r="BA252" i="3"/>
  <c r="BC252" i="3"/>
  <c r="BD252" i="3" s="1"/>
  <c r="BA286" i="3"/>
  <c r="BC286" i="3"/>
  <c r="BD286" i="3" s="1"/>
  <c r="BA316" i="3"/>
  <c r="BC316" i="3"/>
  <c r="BD316" i="3" s="1"/>
  <c r="BA350" i="3"/>
  <c r="BC350" i="3"/>
  <c r="BD350" i="3" s="1"/>
  <c r="BC245" i="3"/>
  <c r="BD245" i="3" s="1"/>
  <c r="BA245" i="3"/>
  <c r="BA289" i="3"/>
  <c r="BC289" i="3"/>
  <c r="BD289" i="3" s="1"/>
  <c r="BC272" i="3"/>
  <c r="BD272" i="3" s="1"/>
  <c r="BA272" i="3"/>
  <c r="BC326" i="3"/>
  <c r="BD326" i="3" s="1"/>
  <c r="BA326" i="3"/>
  <c r="BC153" i="4"/>
  <c r="BD153" i="4" s="1"/>
  <c r="BA153" i="4"/>
  <c r="BC295" i="4"/>
  <c r="BD295" i="4" s="1"/>
  <c r="BA295" i="4"/>
  <c r="BC289" i="6"/>
  <c r="BD289" i="6" s="1"/>
  <c r="BA289" i="6"/>
  <c r="BC329" i="6"/>
  <c r="BD329" i="6" s="1"/>
  <c r="BA329" i="6"/>
  <c r="BA262" i="6"/>
  <c r="BC262" i="6"/>
  <c r="BD262" i="6" s="1"/>
  <c r="BA314" i="6"/>
  <c r="BC314" i="6"/>
  <c r="BD314" i="6" s="1"/>
  <c r="BC312" i="8"/>
  <c r="BD312" i="8" s="1"/>
  <c r="BA312" i="8"/>
  <c r="BC152" i="8"/>
  <c r="BD152" i="8" s="1"/>
  <c r="BA152" i="8"/>
  <c r="BC216" i="8"/>
  <c r="BD216" i="8" s="1"/>
  <c r="BA216" i="8"/>
  <c r="BC286" i="8"/>
  <c r="BD286" i="8" s="1"/>
  <c r="BA286" i="8"/>
  <c r="BC219" i="9"/>
  <c r="BD219" i="9" s="1"/>
  <c r="BA219" i="9"/>
  <c r="BC267" i="9"/>
  <c r="BD267" i="9" s="1"/>
  <c r="BA267" i="9"/>
  <c r="BA306" i="9"/>
  <c r="BC306" i="9"/>
  <c r="BD306" i="9" s="1"/>
  <c r="BA280" i="9"/>
  <c r="BC280" i="9"/>
  <c r="BD280" i="9" s="1"/>
  <c r="BC314" i="9"/>
  <c r="BD314" i="9" s="1"/>
  <c r="BA314" i="9"/>
  <c r="BC258" i="10"/>
  <c r="BD258" i="10" s="1"/>
  <c r="BA258" i="10"/>
  <c r="BA339" i="10"/>
  <c r="BC339" i="10"/>
  <c r="BD339" i="10" s="1"/>
  <c r="BC350" i="10"/>
  <c r="BD350" i="10" s="1"/>
  <c r="BA350" i="10"/>
  <c r="BA199" i="11"/>
  <c r="BC199" i="11"/>
  <c r="BD199" i="11" s="1"/>
  <c r="BA277" i="11"/>
  <c r="BC277" i="11"/>
  <c r="BD277" i="11" s="1"/>
  <c r="BA305" i="11"/>
  <c r="BC305" i="11"/>
  <c r="BD305" i="11" s="1"/>
  <c r="BC326" i="11"/>
  <c r="BD326" i="11" s="1"/>
  <c r="BA326" i="11"/>
  <c r="BC333" i="11"/>
  <c r="BD333" i="11" s="1"/>
  <c r="BA333" i="11"/>
  <c r="BC171" i="2"/>
  <c r="BD171" i="2" s="1"/>
  <c r="BA171" i="2"/>
  <c r="BC257" i="2"/>
  <c r="BD257" i="2" s="1"/>
  <c r="BA257" i="2"/>
  <c r="BC343" i="2"/>
  <c r="BD343" i="2" s="1"/>
  <c r="BA343" i="2"/>
  <c r="BC218" i="3"/>
  <c r="BD218" i="3" s="1"/>
  <c r="BA218" i="3"/>
  <c r="BC321" i="3"/>
  <c r="BD321" i="3" s="1"/>
  <c r="BA321" i="3"/>
  <c r="BA216" i="3"/>
  <c r="BC216" i="3"/>
  <c r="BD216" i="3" s="1"/>
  <c r="BC233" i="3"/>
  <c r="BD233" i="3" s="1"/>
  <c r="BA233" i="3"/>
  <c r="BA333" i="3"/>
  <c r="BC333" i="3"/>
  <c r="BD333" i="3" s="1"/>
  <c r="BC276" i="3"/>
  <c r="BD276" i="3" s="1"/>
  <c r="BA276" i="3"/>
  <c r="BC167" i="4"/>
  <c r="BD167" i="4" s="1"/>
  <c r="BA167" i="4"/>
  <c r="BC217" i="4"/>
  <c r="BD217" i="4" s="1"/>
  <c r="BA217" i="4"/>
  <c r="BC321" i="4"/>
  <c r="BD321" i="4" s="1"/>
  <c r="BA321" i="4"/>
  <c r="BC166" i="5"/>
  <c r="BD166" i="5" s="1"/>
  <c r="BA166" i="5"/>
  <c r="BC182" i="5"/>
  <c r="BD182" i="5" s="1"/>
  <c r="BA182" i="5"/>
  <c r="BC198" i="5"/>
  <c r="BD198" i="5" s="1"/>
  <c r="BA198" i="5"/>
  <c r="BC234" i="5"/>
  <c r="BD234" i="5" s="1"/>
  <c r="BA234" i="5"/>
  <c r="BC350" i="5"/>
  <c r="BD350" i="5" s="1"/>
  <c r="BA350" i="5"/>
  <c r="BC263" i="6"/>
  <c r="BD263" i="6" s="1"/>
  <c r="BA263" i="6"/>
  <c r="BA179" i="6"/>
  <c r="BC179" i="6"/>
  <c r="BD179" i="6" s="1"/>
  <c r="BA217" i="6"/>
  <c r="BC217" i="6"/>
  <c r="BD217" i="6" s="1"/>
  <c r="BA295" i="6"/>
  <c r="BC295" i="6"/>
  <c r="BD295" i="6" s="1"/>
  <c r="BC198" i="6"/>
  <c r="BD198" i="6" s="1"/>
  <c r="BA198" i="6"/>
  <c r="BC264" i="6"/>
  <c r="BD264" i="6" s="1"/>
  <c r="BA264" i="6"/>
  <c r="BC293" i="7"/>
  <c r="BD293" i="7" s="1"/>
  <c r="BA293" i="7"/>
  <c r="BC212" i="8"/>
  <c r="BD212" i="8" s="1"/>
  <c r="BA212" i="8"/>
  <c r="BC339" i="8"/>
  <c r="BD339" i="8" s="1"/>
  <c r="BA339" i="8"/>
  <c r="BC166" i="9"/>
  <c r="BD166" i="9" s="1"/>
  <c r="BA166" i="9"/>
  <c r="BC223" i="9"/>
  <c r="BD223" i="9" s="1"/>
  <c r="BA223" i="9"/>
  <c r="BC277" i="9"/>
  <c r="BD277" i="9" s="1"/>
  <c r="BA277" i="9"/>
  <c r="BA319" i="9"/>
  <c r="BC319" i="9"/>
  <c r="BD319" i="9" s="1"/>
  <c r="BA240" i="9"/>
  <c r="BC240" i="9"/>
  <c r="BD240" i="9" s="1"/>
  <c r="BA310" i="9"/>
  <c r="BC310" i="9"/>
  <c r="BD310" i="9" s="1"/>
  <c r="BC275" i="10"/>
  <c r="BD275" i="10" s="1"/>
  <c r="BA275" i="10"/>
  <c r="BA296" i="10"/>
  <c r="BC296" i="10"/>
  <c r="BD296" i="10" s="1"/>
  <c r="BA348" i="10"/>
  <c r="BC348" i="10"/>
  <c r="BD348" i="10" s="1"/>
  <c r="BC265" i="11"/>
  <c r="BD265" i="11" s="1"/>
  <c r="BA265" i="11"/>
  <c r="BA204" i="11"/>
  <c r="BC204" i="11"/>
  <c r="BD204" i="11" s="1"/>
  <c r="BC231" i="11"/>
  <c r="BD231" i="11" s="1"/>
  <c r="BA231" i="11"/>
  <c r="BC317" i="11"/>
  <c r="BD317" i="11" s="1"/>
  <c r="BA317" i="11"/>
  <c r="BC346" i="11"/>
  <c r="BD346" i="11" s="1"/>
  <c r="BA346" i="11"/>
  <c r="BA182" i="3"/>
  <c r="BC182" i="3"/>
  <c r="BD182" i="3" s="1"/>
  <c r="BC228" i="3"/>
  <c r="BD228" i="3" s="1"/>
  <c r="BA228" i="3"/>
  <c r="BC279" i="3"/>
  <c r="BD279" i="3" s="1"/>
  <c r="BA279" i="3"/>
  <c r="BC207" i="3"/>
  <c r="BD207" i="3" s="1"/>
  <c r="BA207" i="3"/>
  <c r="BA273" i="3"/>
  <c r="BC273" i="3"/>
  <c r="BD273" i="3" s="1"/>
  <c r="BA305" i="3"/>
  <c r="BC305" i="3"/>
  <c r="BD305" i="3" s="1"/>
  <c r="BC332" i="3"/>
  <c r="BD332" i="3" s="1"/>
  <c r="BA332" i="3"/>
  <c r="BC187" i="4"/>
  <c r="BD187" i="4" s="1"/>
  <c r="BA187" i="4"/>
  <c r="BC239" i="4"/>
  <c r="BD239" i="4" s="1"/>
  <c r="BA239" i="4"/>
  <c r="BC261" i="4"/>
  <c r="BD261" i="4" s="1"/>
  <c r="BA261" i="4"/>
  <c r="BC279" i="4"/>
  <c r="BD279" i="4" s="1"/>
  <c r="BA279" i="4"/>
  <c r="BA149" i="6"/>
  <c r="BC149" i="6"/>
  <c r="BD149" i="6" s="1"/>
  <c r="BA146" i="6"/>
  <c r="BC146" i="6"/>
  <c r="BD146" i="6" s="1"/>
  <c r="BC219" i="6"/>
  <c r="BD219" i="6" s="1"/>
  <c r="BA219" i="6"/>
  <c r="BC327" i="6"/>
  <c r="BD327" i="6" s="1"/>
  <c r="BA327" i="6"/>
  <c r="BA218" i="6"/>
  <c r="BC218" i="6"/>
  <c r="BD218" i="6" s="1"/>
  <c r="BA270" i="6"/>
  <c r="BC270" i="6"/>
  <c r="BD270" i="6" s="1"/>
  <c r="BC346" i="7"/>
  <c r="BD346" i="7" s="1"/>
  <c r="BA346" i="7"/>
  <c r="BA308" i="8"/>
  <c r="BC308" i="8"/>
  <c r="BD308" i="8" s="1"/>
  <c r="BC186" i="8"/>
  <c r="BD186" i="8" s="1"/>
  <c r="BA186" i="8"/>
  <c r="BC230" i="8"/>
  <c r="BD230" i="8" s="1"/>
  <c r="BA230" i="8"/>
  <c r="BA197" i="9"/>
  <c r="BC197" i="9"/>
  <c r="BD197" i="9" s="1"/>
  <c r="BC211" i="9"/>
  <c r="BD211" i="9" s="1"/>
  <c r="BA211" i="9"/>
  <c r="BA244" i="9"/>
  <c r="BC244" i="9"/>
  <c r="BD244" i="9" s="1"/>
  <c r="BC288" i="9"/>
  <c r="BD288" i="9" s="1"/>
  <c r="BA288" i="9"/>
  <c r="BA247" i="10"/>
  <c r="BC247" i="10"/>
  <c r="BD247" i="10" s="1"/>
  <c r="BC266" i="10"/>
  <c r="BD266" i="10" s="1"/>
  <c r="BA266" i="10"/>
  <c r="BA351" i="10"/>
  <c r="BC351" i="10"/>
  <c r="BD351" i="10" s="1"/>
  <c r="BC342" i="10"/>
  <c r="BD342" i="10" s="1"/>
  <c r="BA342" i="10"/>
  <c r="BA209" i="11"/>
  <c r="BC209" i="11"/>
  <c r="BD209" i="11" s="1"/>
  <c r="BC220" i="11"/>
  <c r="BD220" i="11" s="1"/>
  <c r="BA220" i="11"/>
  <c r="BA251" i="11"/>
  <c r="BC251" i="11"/>
  <c r="BD251" i="11" s="1"/>
  <c r="BC272" i="11"/>
  <c r="BD272" i="11" s="1"/>
  <c r="BA272" i="11"/>
  <c r="BC301" i="11"/>
  <c r="BD301" i="11" s="1"/>
  <c r="BA301" i="11"/>
  <c r="BC323" i="11"/>
  <c r="BD323" i="11" s="1"/>
  <c r="BA323" i="11"/>
  <c r="BC341" i="11"/>
  <c r="BD341" i="11" s="1"/>
  <c r="BA341" i="11"/>
  <c r="BC145" i="2"/>
  <c r="BD145" i="2" s="1"/>
  <c r="BA145" i="2"/>
  <c r="BC221" i="2"/>
  <c r="BD221" i="2" s="1"/>
  <c r="BA221" i="2"/>
  <c r="BC287" i="2"/>
  <c r="BD287" i="2" s="1"/>
  <c r="BA287" i="2"/>
  <c r="BC351" i="2"/>
  <c r="BD351" i="2" s="1"/>
  <c r="BA351" i="2"/>
  <c r="BA231" i="3"/>
  <c r="BC231" i="3"/>
  <c r="BD231" i="3" s="1"/>
  <c r="BC295" i="3"/>
  <c r="BD295" i="3" s="1"/>
  <c r="BA295" i="3"/>
  <c r="BC211" i="3"/>
  <c r="BD211" i="3" s="1"/>
  <c r="BA211" i="3"/>
  <c r="BC254" i="3"/>
  <c r="BD254" i="3" s="1"/>
  <c r="BA254" i="3"/>
  <c r="BC344" i="3"/>
  <c r="BD344" i="3" s="1"/>
  <c r="BA344" i="3"/>
  <c r="BC148" i="5"/>
  <c r="BD148" i="5" s="1"/>
  <c r="BA148" i="5"/>
  <c r="BC212" i="5"/>
  <c r="BD212" i="5" s="1"/>
  <c r="BA212" i="5"/>
  <c r="BC248" i="5"/>
  <c r="BD248" i="5" s="1"/>
  <c r="BA248" i="5"/>
  <c r="BC165" i="6"/>
  <c r="BD165" i="6" s="1"/>
  <c r="BA165" i="6"/>
  <c r="BA183" i="6"/>
  <c r="BC183" i="6"/>
  <c r="BD183" i="6" s="1"/>
  <c r="BA235" i="6"/>
  <c r="BC235" i="6"/>
  <c r="BD235" i="6" s="1"/>
  <c r="BA275" i="6"/>
  <c r="BC275" i="6"/>
  <c r="BD275" i="6" s="1"/>
  <c r="BA317" i="6"/>
  <c r="BC317" i="6"/>
  <c r="BD317" i="6" s="1"/>
  <c r="BC174" i="6"/>
  <c r="BD174" i="6" s="1"/>
  <c r="BA174" i="6"/>
  <c r="BC286" i="6"/>
  <c r="BD286" i="6" s="1"/>
  <c r="BA286" i="6"/>
  <c r="BA292" i="8"/>
  <c r="BC292" i="8"/>
  <c r="BD292" i="8" s="1"/>
  <c r="BA323" i="8"/>
  <c r="BC323" i="8"/>
  <c r="BD323" i="8" s="1"/>
  <c r="BC346" i="8"/>
  <c r="BD346" i="8" s="1"/>
  <c r="BA346" i="8"/>
  <c r="BC313" i="8"/>
  <c r="BD313" i="8" s="1"/>
  <c r="BA313" i="8"/>
  <c r="BC174" i="9"/>
  <c r="BD174" i="9" s="1"/>
  <c r="BA174" i="9"/>
  <c r="BA276" i="9"/>
  <c r="BC276" i="9"/>
  <c r="BD276" i="9" s="1"/>
  <c r="BC248" i="9"/>
  <c r="BD248" i="9" s="1"/>
  <c r="BA248" i="9"/>
  <c r="BA345" i="9"/>
  <c r="BC345" i="9"/>
  <c r="BD345" i="9" s="1"/>
  <c r="BC326" i="9"/>
  <c r="BD326" i="9" s="1"/>
  <c r="BA326" i="9"/>
  <c r="BA287" i="10"/>
  <c r="BC287" i="10"/>
  <c r="BD287" i="10" s="1"/>
  <c r="BA267" i="10"/>
  <c r="BC267" i="10"/>
  <c r="BD267" i="10" s="1"/>
  <c r="BC330" i="10"/>
  <c r="BD330" i="10" s="1"/>
  <c r="BA330" i="10"/>
  <c r="BA195" i="11"/>
  <c r="BC195" i="11"/>
  <c r="BD195" i="11" s="1"/>
  <c r="BC190" i="11"/>
  <c r="BD190" i="11" s="1"/>
  <c r="BA190" i="11"/>
  <c r="BA273" i="11"/>
  <c r="BC273" i="11"/>
  <c r="BD273" i="11" s="1"/>
  <c r="BA294" i="11"/>
  <c r="BC294" i="11"/>
  <c r="BD294" i="11" s="1"/>
  <c r="BC327" i="11"/>
  <c r="BD327" i="11" s="1"/>
  <c r="BA327" i="11"/>
  <c r="BC304" i="11"/>
  <c r="BD304" i="11" s="1"/>
  <c r="BA304" i="11"/>
  <c r="BA345" i="11"/>
  <c r="BC345" i="11"/>
  <c r="BD345" i="11" s="1"/>
  <c r="T496" i="2"/>
  <c r="T495" i="2"/>
  <c r="T494" i="2"/>
  <c r="BC148" i="2"/>
  <c r="BD148" i="2" s="1"/>
  <c r="BA148" i="2"/>
  <c r="BA328" i="6"/>
  <c r="BC328" i="6"/>
  <c r="BD328" i="6" s="1"/>
  <c r="BA196" i="5"/>
  <c r="BC196" i="5"/>
  <c r="BD196" i="5" s="1"/>
  <c r="BC196" i="7"/>
  <c r="BD196" i="7" s="1"/>
  <c r="BA196" i="7"/>
  <c r="BC250" i="7"/>
  <c r="BD250" i="7" s="1"/>
  <c r="BA250" i="7"/>
  <c r="BA199" i="7"/>
  <c r="BC199" i="7"/>
  <c r="BD199" i="7" s="1"/>
  <c r="BA170" i="7"/>
  <c r="BC170" i="7"/>
  <c r="BD170" i="7" s="1"/>
  <c r="BC193" i="8"/>
  <c r="BD193" i="8" s="1"/>
  <c r="BA193" i="8"/>
  <c r="BC273" i="8"/>
  <c r="BD273" i="8" s="1"/>
  <c r="BA273" i="8"/>
  <c r="BA176" i="8"/>
  <c r="BC176" i="8"/>
  <c r="BD176" i="8" s="1"/>
  <c r="BA149" i="8"/>
  <c r="BC149" i="8"/>
  <c r="BD149" i="8" s="1"/>
  <c r="BA253" i="8"/>
  <c r="BC253" i="8"/>
  <c r="BD253" i="8" s="1"/>
  <c r="BC238" i="10"/>
  <c r="BD238" i="10" s="1"/>
  <c r="BA238" i="10"/>
  <c r="BA205" i="3"/>
  <c r="BC205" i="3"/>
  <c r="BD205" i="3" s="1"/>
  <c r="BA165" i="2"/>
  <c r="BC165" i="2"/>
  <c r="BD165" i="2" s="1"/>
  <c r="BA280" i="4"/>
  <c r="BC280" i="4"/>
  <c r="BD280" i="4" s="1"/>
  <c r="BA335" i="5"/>
  <c r="BC335" i="5"/>
  <c r="BD335" i="5" s="1"/>
  <c r="BA250" i="5"/>
  <c r="BC250" i="5"/>
  <c r="BD250" i="5" s="1"/>
  <c r="BA205" i="5"/>
  <c r="BC205" i="5"/>
  <c r="BD205" i="5" s="1"/>
  <c r="BC338" i="5"/>
  <c r="BD338" i="5" s="1"/>
  <c r="BA338" i="5"/>
  <c r="BA295" i="7"/>
  <c r="BC295" i="7"/>
  <c r="BD295" i="7" s="1"/>
  <c r="BC233" i="7"/>
  <c r="BD233" i="7" s="1"/>
  <c r="BA233" i="7"/>
  <c r="BA260" i="7"/>
  <c r="BC260" i="7"/>
  <c r="BD260" i="7" s="1"/>
  <c r="BA275" i="8"/>
  <c r="BC275" i="8"/>
  <c r="BD275" i="8" s="1"/>
  <c r="BC184" i="10"/>
  <c r="BD184" i="10" s="1"/>
  <c r="BA184" i="10"/>
  <c r="BC184" i="3"/>
  <c r="BD184" i="3" s="1"/>
  <c r="BA184" i="3"/>
  <c r="BA147" i="2"/>
  <c r="BC147" i="2"/>
  <c r="BD147" i="2" s="1"/>
  <c r="T491" i="3"/>
  <c r="J537" i="3" s="1"/>
  <c r="J538" i="3" s="1"/>
  <c r="T493" i="3"/>
  <c r="L537" i="3" s="1"/>
  <c r="L538" i="3" s="1"/>
  <c r="T492" i="3"/>
  <c r="K537" i="3" s="1"/>
  <c r="K538" i="3" s="1"/>
  <c r="BC230" i="2"/>
  <c r="BD230" i="2" s="1"/>
  <c r="BA230" i="2"/>
  <c r="BC306" i="2"/>
  <c r="BD306" i="2" s="1"/>
  <c r="BA306" i="2"/>
  <c r="BA180" i="2"/>
  <c r="BC180" i="2"/>
  <c r="BD180" i="2" s="1"/>
  <c r="BA215" i="2"/>
  <c r="BC215" i="2"/>
  <c r="BD215" i="2" s="1"/>
  <c r="BA273" i="2"/>
  <c r="BC273" i="2"/>
  <c r="BD273" i="2" s="1"/>
  <c r="BC191" i="3"/>
  <c r="BD191" i="3" s="1"/>
  <c r="BA191" i="3"/>
  <c r="BA206" i="2"/>
  <c r="BC206" i="2"/>
  <c r="BD206" i="2" s="1"/>
  <c r="BC166" i="4"/>
  <c r="BD166" i="4" s="1"/>
  <c r="BA166" i="4"/>
  <c r="BC268" i="4"/>
  <c r="BD268" i="4" s="1"/>
  <c r="BA268" i="4"/>
  <c r="BA273" i="4"/>
  <c r="BC273" i="4"/>
  <c r="BD273" i="4" s="1"/>
  <c r="BA150" i="4"/>
  <c r="BC150" i="4"/>
  <c r="BD150" i="4" s="1"/>
  <c r="BC211" i="5"/>
  <c r="BD211" i="5" s="1"/>
  <c r="BA211" i="5"/>
  <c r="BC273" i="5"/>
  <c r="BD273" i="5" s="1"/>
  <c r="BA273" i="5"/>
  <c r="BA145" i="6"/>
  <c r="BC145" i="6"/>
  <c r="BD145" i="6" s="1"/>
  <c r="BA172" i="6"/>
  <c r="BC172" i="6"/>
  <c r="BD172" i="6" s="1"/>
  <c r="BA180" i="5"/>
  <c r="BC180" i="5"/>
  <c r="BD180" i="5" s="1"/>
  <c r="BA232" i="5"/>
  <c r="BC232" i="5"/>
  <c r="BD232" i="5" s="1"/>
  <c r="BA304" i="5"/>
  <c r="BC304" i="5"/>
  <c r="BD304" i="5" s="1"/>
  <c r="BA265" i="5"/>
  <c r="BC265" i="5"/>
  <c r="BD265" i="5" s="1"/>
  <c r="BA313" i="5"/>
  <c r="BC313" i="5"/>
  <c r="BD313" i="5" s="1"/>
  <c r="BC160" i="7"/>
  <c r="BD160" i="7" s="1"/>
  <c r="BA160" i="7"/>
  <c r="BC176" i="7"/>
  <c r="BD176" i="7" s="1"/>
  <c r="BA176" i="7"/>
  <c r="BC192" i="7"/>
  <c r="BD192" i="7" s="1"/>
  <c r="BA192" i="7"/>
  <c r="BC214" i="7"/>
  <c r="BD214" i="7" s="1"/>
  <c r="BA214" i="7"/>
  <c r="BC244" i="7"/>
  <c r="BD244" i="7" s="1"/>
  <c r="BA244" i="7"/>
  <c r="BC288" i="7"/>
  <c r="BD288" i="7" s="1"/>
  <c r="BA288" i="7"/>
  <c r="BA183" i="7"/>
  <c r="BC183" i="7"/>
  <c r="BD183" i="7" s="1"/>
  <c r="BA227" i="7"/>
  <c r="BC227" i="7"/>
  <c r="BD227" i="7" s="1"/>
  <c r="BA166" i="7"/>
  <c r="BC166" i="7"/>
  <c r="BD166" i="7" s="1"/>
  <c r="BA282" i="7"/>
  <c r="BC282" i="7"/>
  <c r="BD282" i="7" s="1"/>
  <c r="BA298" i="7"/>
  <c r="BC298" i="7"/>
  <c r="BD298" i="7" s="1"/>
  <c r="BA311" i="8"/>
  <c r="BC311" i="8"/>
  <c r="BD311" i="8" s="1"/>
  <c r="BA184" i="8"/>
  <c r="BC184" i="8"/>
  <c r="BD184" i="8" s="1"/>
  <c r="BA236" i="8"/>
  <c r="BC236" i="8"/>
  <c r="BD236" i="8" s="1"/>
  <c r="BA145" i="8"/>
  <c r="BC145" i="8"/>
  <c r="BD145" i="8" s="1"/>
  <c r="BA209" i="8"/>
  <c r="BC209" i="8"/>
  <c r="BD209" i="8" s="1"/>
  <c r="BA261" i="8"/>
  <c r="BC261" i="8"/>
  <c r="BD261" i="8" s="1"/>
  <c r="BA207" i="10"/>
  <c r="BC207" i="10"/>
  <c r="BD207" i="10" s="1"/>
  <c r="BC221" i="10"/>
  <c r="BD221" i="10" s="1"/>
  <c r="BA221" i="10"/>
  <c r="BC196" i="10"/>
  <c r="BD196" i="10" s="1"/>
  <c r="BA196" i="10"/>
  <c r="BC222" i="10"/>
  <c r="BD222" i="10" s="1"/>
  <c r="BA222" i="10"/>
  <c r="BC167" i="10"/>
  <c r="BD167" i="10" s="1"/>
  <c r="BA167" i="10"/>
  <c r="BA234" i="10"/>
  <c r="BC234" i="10"/>
  <c r="BD234" i="10" s="1"/>
  <c r="BC179" i="11"/>
  <c r="BD179" i="11" s="1"/>
  <c r="BA179" i="11"/>
  <c r="BA155" i="11"/>
  <c r="BC155" i="11"/>
  <c r="BD155" i="11" s="1"/>
  <c r="BA177" i="11"/>
  <c r="BC177" i="11"/>
  <c r="BD177" i="11" s="1"/>
  <c r="BA227" i="3"/>
  <c r="BC227" i="3"/>
  <c r="BD227" i="3" s="1"/>
  <c r="BC194" i="2"/>
  <c r="BD194" i="2" s="1"/>
  <c r="BA194" i="2"/>
  <c r="BC185" i="3"/>
  <c r="BD185" i="3" s="1"/>
  <c r="BA185" i="3"/>
  <c r="BA236" i="2"/>
  <c r="BC236" i="2"/>
  <c r="BD236" i="2" s="1"/>
  <c r="BC170" i="4"/>
  <c r="BD170" i="4" s="1"/>
  <c r="BA170" i="4"/>
  <c r="BC256" i="4"/>
  <c r="BD256" i="4" s="1"/>
  <c r="BA256" i="4"/>
  <c r="BC320" i="4"/>
  <c r="BD320" i="4" s="1"/>
  <c r="BA320" i="4"/>
  <c r="BA251" i="4"/>
  <c r="BC251" i="4"/>
  <c r="BD251" i="4" s="1"/>
  <c r="BA160" i="4"/>
  <c r="BC160" i="4"/>
  <c r="BD160" i="4" s="1"/>
  <c r="BA262" i="4"/>
  <c r="BC262" i="4"/>
  <c r="BD262" i="4" s="1"/>
  <c r="BA328" i="4"/>
  <c r="BC328" i="4"/>
  <c r="BD328" i="4" s="1"/>
  <c r="BC311" i="6"/>
  <c r="BD311" i="6" s="1"/>
  <c r="BA311" i="6"/>
  <c r="BA200" i="5"/>
  <c r="BC200" i="5"/>
  <c r="BD200" i="5" s="1"/>
  <c r="BA246" i="5"/>
  <c r="BC246" i="5"/>
  <c r="BD246" i="5" s="1"/>
  <c r="BA292" i="5"/>
  <c r="BC292" i="5"/>
  <c r="BD292" i="5" s="1"/>
  <c r="BA195" i="5"/>
  <c r="BC195" i="5"/>
  <c r="BD195" i="5" s="1"/>
  <c r="BA253" i="5"/>
  <c r="BC253" i="5"/>
  <c r="BD253" i="5" s="1"/>
  <c r="BA317" i="5"/>
  <c r="BC317" i="5"/>
  <c r="BD317" i="5" s="1"/>
  <c r="BA153" i="7"/>
  <c r="BC153" i="7"/>
  <c r="BD153" i="7" s="1"/>
  <c r="BA217" i="7"/>
  <c r="BC217" i="7"/>
  <c r="BD217" i="7" s="1"/>
  <c r="BA283" i="7"/>
  <c r="BC283" i="7"/>
  <c r="BD283" i="7" s="1"/>
  <c r="BA321" i="7"/>
  <c r="BC321" i="7"/>
  <c r="BD321" i="7" s="1"/>
  <c r="BC229" i="7"/>
  <c r="BD229" i="7" s="1"/>
  <c r="BA229" i="7"/>
  <c r="BC245" i="7"/>
  <c r="BD245" i="7" s="1"/>
  <c r="BA245" i="7"/>
  <c r="BA268" i="7"/>
  <c r="BC268" i="7"/>
  <c r="BD268" i="7" s="1"/>
  <c r="BA222" i="8"/>
  <c r="BC222" i="8"/>
  <c r="BD222" i="8" s="1"/>
  <c r="BC301" i="8"/>
  <c r="BD301" i="8" s="1"/>
  <c r="BA301" i="8"/>
  <c r="BA231" i="8"/>
  <c r="BC231" i="8"/>
  <c r="BD231" i="8" s="1"/>
  <c r="BA271" i="8"/>
  <c r="BC271" i="8"/>
  <c r="BD271" i="8" s="1"/>
  <c r="BA287" i="8"/>
  <c r="BC287" i="8"/>
  <c r="BD287" i="8" s="1"/>
  <c r="BA246" i="9"/>
  <c r="BC246" i="9"/>
  <c r="BD246" i="9" s="1"/>
  <c r="BA167" i="9"/>
  <c r="BC167" i="9"/>
  <c r="BD167" i="9" s="1"/>
  <c r="BA201" i="10"/>
  <c r="BC201" i="10"/>
  <c r="BD201" i="10" s="1"/>
  <c r="BA160" i="10"/>
  <c r="BC160" i="10"/>
  <c r="BD160" i="10" s="1"/>
  <c r="BA176" i="10"/>
  <c r="BC176" i="10"/>
  <c r="BD176" i="10" s="1"/>
  <c r="BC160" i="11"/>
  <c r="BD160" i="11" s="1"/>
  <c r="BA160" i="11"/>
  <c r="BA311" i="3"/>
  <c r="BC311" i="3"/>
  <c r="BD311" i="3" s="1"/>
  <c r="BC202" i="2"/>
  <c r="BD202" i="2" s="1"/>
  <c r="BA202" i="2"/>
  <c r="BA177" i="2"/>
  <c r="BC177" i="2"/>
  <c r="BD177" i="2" s="1"/>
  <c r="BA259" i="2"/>
  <c r="BC259" i="2"/>
  <c r="BD259" i="2" s="1"/>
  <c r="BA246" i="2"/>
  <c r="BC246" i="2"/>
  <c r="BD246" i="2" s="1"/>
  <c r="BA318" i="2"/>
  <c r="BC318" i="2"/>
  <c r="BD318" i="2" s="1"/>
  <c r="BC298" i="4"/>
  <c r="BD298" i="4" s="1"/>
  <c r="BA298" i="4"/>
  <c r="BA341" i="4"/>
  <c r="BC341" i="4"/>
  <c r="BD341" i="4" s="1"/>
  <c r="BC237" i="5"/>
  <c r="BD237" i="5" s="1"/>
  <c r="BA237" i="5"/>
  <c r="BC297" i="5"/>
  <c r="BD297" i="5" s="1"/>
  <c r="BA297" i="5"/>
  <c r="BA204" i="5"/>
  <c r="BC204" i="5"/>
  <c r="BD204" i="5" s="1"/>
  <c r="BA270" i="5"/>
  <c r="BC270" i="5"/>
  <c r="BD270" i="5" s="1"/>
  <c r="BA328" i="5"/>
  <c r="BC328" i="5"/>
  <c r="BD328" i="5" s="1"/>
  <c r="BA235" i="5"/>
  <c r="BC235" i="5"/>
  <c r="BD235" i="5" s="1"/>
  <c r="BA321" i="5"/>
  <c r="BC321" i="5"/>
  <c r="BD321" i="5" s="1"/>
  <c r="BC236" i="7"/>
  <c r="BD236" i="7" s="1"/>
  <c r="BA236" i="7"/>
  <c r="BC322" i="7"/>
  <c r="BD322" i="7" s="1"/>
  <c r="BA322" i="7"/>
  <c r="BA175" i="7"/>
  <c r="BC175" i="7"/>
  <c r="BD175" i="7" s="1"/>
  <c r="BA235" i="7"/>
  <c r="BC235" i="7"/>
  <c r="BD235" i="7" s="1"/>
  <c r="BC147" i="7"/>
  <c r="BD147" i="7" s="1"/>
  <c r="BA147" i="7"/>
  <c r="BA238" i="7"/>
  <c r="BC238" i="7"/>
  <c r="BD238" i="7" s="1"/>
  <c r="BA210" i="8"/>
  <c r="BC210" i="8"/>
  <c r="BD210" i="8" s="1"/>
  <c r="BC155" i="9"/>
  <c r="BD155" i="9" s="1"/>
  <c r="BA155" i="9"/>
  <c r="BA189" i="10"/>
  <c r="BC189" i="10"/>
  <c r="BD189" i="10" s="1"/>
  <c r="BC213" i="10"/>
  <c r="BD213" i="10" s="1"/>
  <c r="BA213" i="10"/>
  <c r="BC228" i="10"/>
  <c r="BD228" i="10" s="1"/>
  <c r="BA228" i="10"/>
  <c r="BC190" i="10"/>
  <c r="BD190" i="10" s="1"/>
  <c r="BA190" i="10"/>
  <c r="BA146" i="10"/>
  <c r="BC146" i="10"/>
  <c r="BD146" i="10" s="1"/>
  <c r="BC208" i="10"/>
  <c r="BD208" i="10" s="1"/>
  <c r="BA208" i="10"/>
  <c r="BC272" i="10"/>
  <c r="BD272" i="10" s="1"/>
  <c r="BA272" i="10"/>
  <c r="BC316" i="10"/>
  <c r="BD316" i="10" s="1"/>
  <c r="BA316" i="10"/>
  <c r="BA214" i="11"/>
  <c r="BC214" i="11"/>
  <c r="BD214" i="11" s="1"/>
  <c r="BC151" i="11"/>
  <c r="BD151" i="11" s="1"/>
  <c r="BA151" i="11"/>
  <c r="BA182" i="11"/>
  <c r="BC182" i="11"/>
  <c r="BD182" i="11" s="1"/>
  <c r="BC194" i="11"/>
  <c r="BD194" i="11" s="1"/>
  <c r="BA194" i="11"/>
  <c r="BC188" i="3"/>
  <c r="BD188" i="3" s="1"/>
  <c r="BA188" i="3"/>
  <c r="BC170" i="2"/>
  <c r="BD170" i="2" s="1"/>
  <c r="BA170" i="2"/>
  <c r="BC220" i="2"/>
  <c r="BD220" i="2" s="1"/>
  <c r="BA220" i="2"/>
  <c r="BA184" i="2"/>
  <c r="BC184" i="2"/>
  <c r="BD184" i="2" s="1"/>
  <c r="BA211" i="2"/>
  <c r="BC211" i="2"/>
  <c r="BD211" i="2" s="1"/>
  <c r="BA315" i="2"/>
  <c r="BC315" i="2"/>
  <c r="BD315" i="2" s="1"/>
  <c r="BA149" i="3"/>
  <c r="BC149" i="3"/>
  <c r="BD149" i="3" s="1"/>
  <c r="BC224" i="4"/>
  <c r="BD224" i="4" s="1"/>
  <c r="BA224" i="4"/>
  <c r="BA165" i="4"/>
  <c r="BC165" i="4"/>
  <c r="BD165" i="4" s="1"/>
  <c r="BA189" i="4"/>
  <c r="BC189" i="4"/>
  <c r="BD189" i="4" s="1"/>
  <c r="BA263" i="4"/>
  <c r="BC263" i="4"/>
  <c r="BD263" i="4" s="1"/>
  <c r="BA204" i="4"/>
  <c r="BC204" i="4"/>
  <c r="BD204" i="4" s="1"/>
  <c r="BA270" i="4"/>
  <c r="BC270" i="4"/>
  <c r="BD270" i="4" s="1"/>
  <c r="BA348" i="5"/>
  <c r="BC348" i="5"/>
  <c r="BD348" i="5" s="1"/>
  <c r="BC155" i="5"/>
  <c r="BD155" i="5" s="1"/>
  <c r="BA155" i="5"/>
  <c r="BC181" i="5"/>
  <c r="BD181" i="5" s="1"/>
  <c r="BA181" i="5"/>
  <c r="BC259" i="5"/>
  <c r="BD259" i="5" s="1"/>
  <c r="BA259" i="5"/>
  <c r="BC319" i="5"/>
  <c r="BD319" i="5" s="1"/>
  <c r="BA319" i="5"/>
  <c r="BA200" i="6"/>
  <c r="BC200" i="6"/>
  <c r="BD200" i="6" s="1"/>
  <c r="BA192" i="5"/>
  <c r="BC192" i="5"/>
  <c r="BD192" i="5" s="1"/>
  <c r="BA258" i="5"/>
  <c r="BC258" i="5"/>
  <c r="BD258" i="5" s="1"/>
  <c r="BC345" i="5"/>
  <c r="BD345" i="5" s="1"/>
  <c r="BA345" i="5"/>
  <c r="BA203" i="5"/>
  <c r="BC203" i="5"/>
  <c r="BD203" i="5" s="1"/>
  <c r="BA239" i="5"/>
  <c r="BC239" i="5"/>
  <c r="BD239" i="5" s="1"/>
  <c r="BA303" i="5"/>
  <c r="BC303" i="5"/>
  <c r="BD303" i="5" s="1"/>
  <c r="BC226" i="7"/>
  <c r="BD226" i="7" s="1"/>
  <c r="BA226" i="7"/>
  <c r="BC276" i="7"/>
  <c r="BD276" i="7" s="1"/>
  <c r="BA276" i="7"/>
  <c r="BA195" i="7"/>
  <c r="BC195" i="7"/>
  <c r="BD195" i="7" s="1"/>
  <c r="BC161" i="7"/>
  <c r="BD161" i="7" s="1"/>
  <c r="BA161" i="7"/>
  <c r="BC177" i="7"/>
  <c r="BD177" i="7" s="1"/>
  <c r="BA177" i="7"/>
  <c r="BA208" i="7"/>
  <c r="BC208" i="7"/>
  <c r="BD208" i="7" s="1"/>
  <c r="BA224" i="7"/>
  <c r="BC224" i="7"/>
  <c r="BD224" i="7" s="1"/>
  <c r="BC285" i="7"/>
  <c r="BD285" i="7" s="1"/>
  <c r="BA285" i="7"/>
  <c r="BC169" i="8"/>
  <c r="BD169" i="8" s="1"/>
  <c r="BA169" i="8"/>
  <c r="BC263" i="8"/>
  <c r="BD263" i="8" s="1"/>
  <c r="BA263" i="8"/>
  <c r="BA246" i="8"/>
  <c r="BC246" i="8"/>
  <c r="BD246" i="8" s="1"/>
  <c r="BA270" i="8"/>
  <c r="BC270" i="8"/>
  <c r="BD270" i="8" s="1"/>
  <c r="BA300" i="10"/>
  <c r="BC300" i="10"/>
  <c r="BD300" i="10" s="1"/>
  <c r="BC152" i="10"/>
  <c r="BD152" i="10" s="1"/>
  <c r="BA152" i="10"/>
  <c r="BA157" i="10"/>
  <c r="BC157" i="10"/>
  <c r="BD157" i="10" s="1"/>
  <c r="BC322" i="11"/>
  <c r="BD322" i="11" s="1"/>
  <c r="BA322" i="11"/>
  <c r="BC246" i="11"/>
  <c r="BD246" i="11" s="1"/>
  <c r="BA246" i="11"/>
  <c r="BC149" i="2"/>
  <c r="BD149" i="2" s="1"/>
  <c r="BA149" i="2"/>
  <c r="BC217" i="2"/>
  <c r="BD217" i="2" s="1"/>
  <c r="BA217" i="2"/>
  <c r="BC299" i="2"/>
  <c r="BD299" i="2" s="1"/>
  <c r="BA299" i="2"/>
  <c r="BC148" i="3"/>
  <c r="BD148" i="3" s="1"/>
  <c r="BA148" i="3"/>
  <c r="BC347" i="3"/>
  <c r="BD347" i="3" s="1"/>
  <c r="BA347" i="3"/>
  <c r="BA260" i="3"/>
  <c r="BC260" i="3"/>
  <c r="BD260" i="3" s="1"/>
  <c r="BA294" i="3"/>
  <c r="BC294" i="3"/>
  <c r="BD294" i="3" s="1"/>
  <c r="BA324" i="3"/>
  <c r="BC324" i="3"/>
  <c r="BD324" i="3" s="1"/>
  <c r="BC201" i="3"/>
  <c r="BD201" i="3" s="1"/>
  <c r="BA201" i="3"/>
  <c r="BA259" i="3"/>
  <c r="BC259" i="3"/>
  <c r="BD259" i="3" s="1"/>
  <c r="BA297" i="3"/>
  <c r="BC297" i="3"/>
  <c r="BD297" i="3" s="1"/>
  <c r="BC284" i="3"/>
  <c r="BD284" i="3" s="1"/>
  <c r="BA284" i="3"/>
  <c r="BC348" i="3"/>
  <c r="BD348" i="3" s="1"/>
  <c r="BA348" i="3"/>
  <c r="BC171" i="4"/>
  <c r="BD171" i="4" s="1"/>
  <c r="BA171" i="4"/>
  <c r="BC299" i="4"/>
  <c r="BD299" i="4" s="1"/>
  <c r="BA299" i="4"/>
  <c r="BC293" i="6"/>
  <c r="BD293" i="6" s="1"/>
  <c r="BA293" i="6"/>
  <c r="BA226" i="6"/>
  <c r="BC226" i="6"/>
  <c r="BD226" i="6" s="1"/>
  <c r="BA272" i="6"/>
  <c r="BC272" i="6"/>
  <c r="BD272" i="6" s="1"/>
  <c r="BA322" i="6"/>
  <c r="BC322" i="6"/>
  <c r="BD322" i="6" s="1"/>
  <c r="BA329" i="8"/>
  <c r="BC329" i="8"/>
  <c r="BD329" i="8" s="1"/>
  <c r="BC162" i="8"/>
  <c r="BD162" i="8" s="1"/>
  <c r="BA162" i="8"/>
  <c r="BC238" i="8"/>
  <c r="BD238" i="8" s="1"/>
  <c r="BA238" i="8"/>
  <c r="BA314" i="8"/>
  <c r="BC314" i="8"/>
  <c r="BD314" i="8" s="1"/>
  <c r="BC229" i="9"/>
  <c r="BD229" i="9" s="1"/>
  <c r="BA229" i="9"/>
  <c r="BC273" i="9"/>
  <c r="BD273" i="9" s="1"/>
  <c r="BA273" i="9"/>
  <c r="BC307" i="9"/>
  <c r="BD307" i="9" s="1"/>
  <c r="BA307" i="9"/>
  <c r="BA236" i="9"/>
  <c r="BC236" i="9"/>
  <c r="BD236" i="9" s="1"/>
  <c r="BA284" i="9"/>
  <c r="BC284" i="9"/>
  <c r="BD284" i="9" s="1"/>
  <c r="BA330" i="9"/>
  <c r="BC330" i="9"/>
  <c r="BD330" i="9" s="1"/>
  <c r="BC332" i="9"/>
  <c r="BD332" i="9" s="1"/>
  <c r="BA332" i="9"/>
  <c r="BA255" i="10"/>
  <c r="BC255" i="10"/>
  <c r="BD255" i="10" s="1"/>
  <c r="BA347" i="10"/>
  <c r="BC347" i="10"/>
  <c r="BD347" i="10" s="1"/>
  <c r="BA188" i="11"/>
  <c r="BC188" i="11"/>
  <c r="BD188" i="11" s="1"/>
  <c r="BA217" i="11"/>
  <c r="BC217" i="11"/>
  <c r="BD217" i="11" s="1"/>
  <c r="BC250" i="11"/>
  <c r="BD250" i="11" s="1"/>
  <c r="BA250" i="11"/>
  <c r="BC308" i="11"/>
  <c r="BD308" i="11" s="1"/>
  <c r="BA308" i="11"/>
  <c r="BA198" i="3"/>
  <c r="BC198" i="3"/>
  <c r="BD198" i="3" s="1"/>
  <c r="BC187" i="2"/>
  <c r="BD187" i="2" s="1"/>
  <c r="BA187" i="2"/>
  <c r="BC279" i="2"/>
  <c r="BD279" i="2" s="1"/>
  <c r="BA279" i="2"/>
  <c r="BC152" i="3"/>
  <c r="BD152" i="3" s="1"/>
  <c r="BA152" i="3"/>
  <c r="BC287" i="3"/>
  <c r="BD287" i="3" s="1"/>
  <c r="BA287" i="3"/>
  <c r="BA224" i="3"/>
  <c r="BC224" i="3"/>
  <c r="BD224" i="3" s="1"/>
  <c r="BC247" i="3"/>
  <c r="BD247" i="3" s="1"/>
  <c r="BA247" i="3"/>
  <c r="BC250" i="3"/>
  <c r="BD250" i="3" s="1"/>
  <c r="BA250" i="3"/>
  <c r="BC296" i="3"/>
  <c r="BD296" i="3" s="1"/>
  <c r="BA296" i="3"/>
  <c r="BC195" i="4"/>
  <c r="BD195" i="4" s="1"/>
  <c r="BA195" i="4"/>
  <c r="BC283" i="4"/>
  <c r="BD283" i="4" s="1"/>
  <c r="BA283" i="4"/>
  <c r="BC325" i="4"/>
  <c r="BD325" i="4" s="1"/>
  <c r="BA325" i="4"/>
  <c r="BA352" i="5"/>
  <c r="BC352" i="5"/>
  <c r="BD352" i="5" s="1"/>
  <c r="BC170" i="5"/>
  <c r="BD170" i="5" s="1"/>
  <c r="BA170" i="5"/>
  <c r="BC186" i="5"/>
  <c r="BD186" i="5" s="1"/>
  <c r="BA186" i="5"/>
  <c r="BC202" i="5"/>
  <c r="BD202" i="5" s="1"/>
  <c r="BA202" i="5"/>
  <c r="BC237" i="6"/>
  <c r="BD237" i="6" s="1"/>
  <c r="BA237" i="6"/>
  <c r="BC267" i="6"/>
  <c r="BD267" i="6" s="1"/>
  <c r="BA267" i="6"/>
  <c r="BA187" i="6"/>
  <c r="BC187" i="6"/>
  <c r="BD187" i="6" s="1"/>
  <c r="BA249" i="6"/>
  <c r="BC249" i="6"/>
  <c r="BD249" i="6" s="1"/>
  <c r="BA343" i="6"/>
  <c r="BC343" i="6"/>
  <c r="BD343" i="6" s="1"/>
  <c r="BC224" i="6"/>
  <c r="BD224" i="6" s="1"/>
  <c r="BA224" i="6"/>
  <c r="BC282" i="6"/>
  <c r="BD282" i="6" s="1"/>
  <c r="BA282" i="6"/>
  <c r="BC306" i="6"/>
  <c r="BD306" i="6" s="1"/>
  <c r="BA306" i="6"/>
  <c r="BA300" i="8"/>
  <c r="BC300" i="8"/>
  <c r="BD300" i="8" s="1"/>
  <c r="BA309" i="8"/>
  <c r="BC309" i="8"/>
  <c r="BD309" i="8" s="1"/>
  <c r="BC174" i="8"/>
  <c r="BD174" i="8" s="1"/>
  <c r="BA174" i="8"/>
  <c r="BC342" i="8"/>
  <c r="BD342" i="8" s="1"/>
  <c r="BA342" i="8"/>
  <c r="BC351" i="8"/>
  <c r="BD351" i="8" s="1"/>
  <c r="BA351" i="8"/>
  <c r="BC233" i="9"/>
  <c r="BD233" i="9" s="1"/>
  <c r="BA233" i="9"/>
  <c r="BA206" i="9"/>
  <c r="BC206" i="9"/>
  <c r="BD206" i="9" s="1"/>
  <c r="BC295" i="9"/>
  <c r="BD295" i="9" s="1"/>
  <c r="BA295" i="9"/>
  <c r="BA324" i="9"/>
  <c r="BC324" i="9"/>
  <c r="BD324" i="9" s="1"/>
  <c r="BA346" i="9"/>
  <c r="BC346" i="9"/>
  <c r="BD346" i="9" s="1"/>
  <c r="BC257" i="10"/>
  <c r="BD257" i="10" s="1"/>
  <c r="BA257" i="10"/>
  <c r="BC283" i="10"/>
  <c r="BD283" i="10" s="1"/>
  <c r="BA283" i="10"/>
  <c r="BC337" i="10"/>
  <c r="BD337" i="10" s="1"/>
  <c r="BA337" i="10"/>
  <c r="BA318" i="10"/>
  <c r="BC318" i="10"/>
  <c r="BD318" i="10" s="1"/>
  <c r="BA314" i="10"/>
  <c r="BC314" i="10"/>
  <c r="BD314" i="10" s="1"/>
  <c r="BC349" i="10"/>
  <c r="BD349" i="10" s="1"/>
  <c r="BA349" i="10"/>
  <c r="BA274" i="11"/>
  <c r="BC274" i="11"/>
  <c r="BD274" i="11" s="1"/>
  <c r="BA256" i="11"/>
  <c r="BC256" i="11"/>
  <c r="BD256" i="11" s="1"/>
  <c r="BC235" i="11"/>
  <c r="BD235" i="11" s="1"/>
  <c r="BA235" i="11"/>
  <c r="BC206" i="3"/>
  <c r="BD206" i="3" s="1"/>
  <c r="BA206" i="3"/>
  <c r="BA213" i="3"/>
  <c r="BC213" i="3"/>
  <c r="BD213" i="3" s="1"/>
  <c r="BA202" i="3"/>
  <c r="BC202" i="3"/>
  <c r="BD202" i="3" s="1"/>
  <c r="BC223" i="3"/>
  <c r="BD223" i="3" s="1"/>
  <c r="BA223" i="3"/>
  <c r="BA277" i="3"/>
  <c r="BC277" i="3"/>
  <c r="BD277" i="3" s="1"/>
  <c r="BA315" i="3"/>
  <c r="BC315" i="3"/>
  <c r="BD315" i="3" s="1"/>
  <c r="BC288" i="3"/>
  <c r="BD288" i="3" s="1"/>
  <c r="BA288" i="3"/>
  <c r="BC352" i="3"/>
  <c r="BD352" i="3" s="1"/>
  <c r="BA352" i="3"/>
  <c r="BC191" i="4"/>
  <c r="BD191" i="4" s="1"/>
  <c r="BA191" i="4"/>
  <c r="BC243" i="4"/>
  <c r="BD243" i="4" s="1"/>
  <c r="BA243" i="4"/>
  <c r="BC265" i="4"/>
  <c r="BD265" i="4" s="1"/>
  <c r="BA265" i="4"/>
  <c r="BC317" i="4"/>
  <c r="BD317" i="4" s="1"/>
  <c r="BA317" i="4"/>
  <c r="BC351" i="4"/>
  <c r="BD351" i="4" s="1"/>
  <c r="BA351" i="4"/>
  <c r="BA192" i="6"/>
  <c r="BC192" i="6"/>
  <c r="BD192" i="6" s="1"/>
  <c r="BA204" i="6"/>
  <c r="BC204" i="6"/>
  <c r="BD204" i="6" s="1"/>
  <c r="BC259" i="6"/>
  <c r="BD259" i="6" s="1"/>
  <c r="BA259" i="6"/>
  <c r="BC337" i="6"/>
  <c r="BD337" i="6" s="1"/>
  <c r="BA337" i="6"/>
  <c r="BA228" i="6"/>
  <c r="BC228" i="6"/>
  <c r="BD228" i="6" s="1"/>
  <c r="BA300" i="6"/>
  <c r="BC300" i="6"/>
  <c r="BD300" i="6" s="1"/>
  <c r="BA327" i="8"/>
  <c r="BC327" i="8"/>
  <c r="BD327" i="8" s="1"/>
  <c r="BC202" i="8"/>
  <c r="BD202" i="8" s="1"/>
  <c r="BA202" i="8"/>
  <c r="BC256" i="8"/>
  <c r="BD256" i="8" s="1"/>
  <c r="BA256" i="8"/>
  <c r="BC241" i="9"/>
  <c r="BD241" i="9" s="1"/>
  <c r="BA241" i="9"/>
  <c r="BA214" i="9"/>
  <c r="BC214" i="9"/>
  <c r="BD214" i="9" s="1"/>
  <c r="BA258" i="9"/>
  <c r="BC258" i="9"/>
  <c r="BD258" i="9" s="1"/>
  <c r="BA337" i="9"/>
  <c r="BC337" i="9"/>
  <c r="BD337" i="9" s="1"/>
  <c r="BC304" i="9"/>
  <c r="BD304" i="9" s="1"/>
  <c r="BA304" i="9"/>
  <c r="BA263" i="10"/>
  <c r="BC263" i="10"/>
  <c r="BD263" i="10" s="1"/>
  <c r="BA335" i="10"/>
  <c r="BC335" i="10"/>
  <c r="BD335" i="10" s="1"/>
  <c r="BC294" i="10"/>
  <c r="BD294" i="10" s="1"/>
  <c r="BA294" i="10"/>
  <c r="BA225" i="11"/>
  <c r="BC225" i="11"/>
  <c r="BD225" i="11" s="1"/>
  <c r="BA267" i="11"/>
  <c r="BC267" i="11"/>
  <c r="BD267" i="11" s="1"/>
  <c r="BA324" i="11"/>
  <c r="BC324" i="11"/>
  <c r="BD324" i="11" s="1"/>
  <c r="BA334" i="11"/>
  <c r="BC334" i="11"/>
  <c r="BD334" i="11" s="1"/>
  <c r="BA350" i="11"/>
  <c r="BC350" i="11"/>
  <c r="BD350" i="11" s="1"/>
  <c r="BC163" i="2"/>
  <c r="BD163" i="2" s="1"/>
  <c r="BA163" i="2"/>
  <c r="BC243" i="2"/>
  <c r="BD243" i="2" s="1"/>
  <c r="BA243" i="2"/>
  <c r="BC303" i="2"/>
  <c r="BD303" i="2" s="1"/>
  <c r="BA303" i="2"/>
  <c r="BC162" i="3"/>
  <c r="BD162" i="3" s="1"/>
  <c r="BA162" i="3"/>
  <c r="BC257" i="3"/>
  <c r="BD257" i="3" s="1"/>
  <c r="BA257" i="3"/>
  <c r="BA220" i="3"/>
  <c r="BC220" i="3"/>
  <c r="BD220" i="3" s="1"/>
  <c r="BC241" i="3"/>
  <c r="BD241" i="3" s="1"/>
  <c r="BA241" i="3"/>
  <c r="BC322" i="3"/>
  <c r="BD322" i="3" s="1"/>
  <c r="BA322" i="3"/>
  <c r="BA164" i="6"/>
  <c r="BC164" i="6"/>
  <c r="BD164" i="6" s="1"/>
  <c r="BC152" i="5"/>
  <c r="BD152" i="5" s="1"/>
  <c r="BA152" i="5"/>
  <c r="BC216" i="5"/>
  <c r="BD216" i="5" s="1"/>
  <c r="BA216" i="5"/>
  <c r="BA191" i="6"/>
  <c r="BC191" i="6"/>
  <c r="BD191" i="6" s="1"/>
  <c r="BA243" i="6"/>
  <c r="BC243" i="6"/>
  <c r="BD243" i="6" s="1"/>
  <c r="BA283" i="6"/>
  <c r="BC283" i="6"/>
  <c r="BD283" i="6" s="1"/>
  <c r="BA335" i="6"/>
  <c r="BC335" i="6"/>
  <c r="BD335" i="6" s="1"/>
  <c r="BC190" i="6"/>
  <c r="BD190" i="6" s="1"/>
  <c r="BA190" i="6"/>
  <c r="BC260" i="6"/>
  <c r="BD260" i="6" s="1"/>
  <c r="BA260" i="6"/>
  <c r="BC302" i="8"/>
  <c r="BD302" i="8" s="1"/>
  <c r="BA302" i="8"/>
  <c r="BC330" i="8"/>
  <c r="BD330" i="8" s="1"/>
  <c r="BA330" i="8"/>
  <c r="BA196" i="9"/>
  <c r="BC196" i="9"/>
  <c r="BD196" i="9" s="1"/>
  <c r="BC331" i="8"/>
  <c r="BD331" i="8" s="1"/>
  <c r="BA331" i="8"/>
  <c r="BA250" i="9"/>
  <c r="BC250" i="9"/>
  <c r="BD250" i="9" s="1"/>
  <c r="BC313" i="9"/>
  <c r="BD313" i="9" s="1"/>
  <c r="BA313" i="9"/>
  <c r="BC264" i="9"/>
  <c r="BD264" i="9" s="1"/>
  <c r="BA264" i="9"/>
  <c r="BA211" i="10"/>
  <c r="BC211" i="10"/>
  <c r="BD211" i="10" s="1"/>
  <c r="BC344" i="9"/>
  <c r="BD344" i="9" s="1"/>
  <c r="BA344" i="9"/>
  <c r="BC346" i="10"/>
  <c r="BD346" i="10" s="1"/>
  <c r="BA346" i="10"/>
  <c r="BA213" i="11"/>
  <c r="BC213" i="11"/>
  <c r="BD213" i="11" s="1"/>
  <c r="BC208" i="11"/>
  <c r="BD208" i="11" s="1"/>
  <c r="BA208" i="11"/>
  <c r="BC244" i="11"/>
  <c r="BD244" i="11" s="1"/>
  <c r="BA244" i="11"/>
  <c r="BC289" i="11"/>
  <c r="BD289" i="11" s="1"/>
  <c r="BA289" i="11"/>
  <c r="BA347" i="11"/>
  <c r="BC347" i="11"/>
  <c r="BD347" i="11" s="1"/>
  <c r="BC349" i="11"/>
  <c r="BD349" i="11" s="1"/>
  <c r="BA349" i="11"/>
  <c r="AF493" i="2"/>
  <c r="AF494" i="2" s="1"/>
  <c r="AF495" i="2"/>
  <c r="AF496" i="2" s="1"/>
  <c r="M70" i="3"/>
  <c r="G70" i="3"/>
  <c r="N70" i="3" s="1"/>
  <c r="K515" i="5"/>
  <c r="P515" i="5" s="1"/>
  <c r="L516" i="4"/>
  <c r="M76" i="5"/>
  <c r="K513" i="5"/>
  <c r="P513" i="5" s="1"/>
  <c r="K516" i="5"/>
  <c r="P516" i="5" s="1"/>
  <c r="E509" i="4"/>
  <c r="Q472" i="4"/>
  <c r="E477" i="4"/>
  <c r="K518" i="6"/>
  <c r="E509" i="5"/>
  <c r="Q472" i="5"/>
  <c r="E477" i="5"/>
  <c r="J512" i="6"/>
  <c r="K512" i="6" s="1"/>
  <c r="I512" i="6"/>
  <c r="L518" i="7"/>
  <c r="M76" i="8"/>
  <c r="E509" i="7"/>
  <c r="Q472" i="7"/>
  <c r="E477" i="7"/>
  <c r="AF493" i="8"/>
  <c r="AF494" i="8" s="1"/>
  <c r="AF495" i="8"/>
  <c r="AF496" i="8" s="1"/>
  <c r="M70" i="9"/>
  <c r="G70" i="9"/>
  <c r="N70" i="9" s="1"/>
  <c r="M517" i="8"/>
  <c r="J512" i="9"/>
  <c r="I512" i="9"/>
  <c r="K515" i="9"/>
  <c r="E477" i="10"/>
  <c r="E509" i="10"/>
  <c r="Q472" i="10"/>
  <c r="K514" i="11"/>
  <c r="P514" i="11" s="1"/>
  <c r="L34" i="2"/>
  <c r="J34" i="2"/>
  <c r="BC205" i="2"/>
  <c r="BD205" i="2" s="1"/>
  <c r="BA205" i="2"/>
  <c r="V22" i="2"/>
  <c r="W22" i="2" s="1"/>
  <c r="W23" i="2" s="1"/>
  <c r="W24" i="2" s="1"/>
  <c r="T22" i="2"/>
  <c r="BC182" i="2"/>
  <c r="BD182" i="2" s="1"/>
  <c r="BA182" i="2"/>
  <c r="BC234" i="2"/>
  <c r="BD234" i="2" s="1"/>
  <c r="BA234" i="2"/>
  <c r="BC260" i="2"/>
  <c r="BD260" i="2" s="1"/>
  <c r="BA260" i="2"/>
  <c r="BC320" i="2"/>
  <c r="BD320" i="2" s="1"/>
  <c r="BA320" i="2"/>
  <c r="T25" i="3"/>
  <c r="V25" i="3"/>
  <c r="BC189" i="3"/>
  <c r="BD189" i="3" s="1"/>
  <c r="BA189" i="3"/>
  <c r="BA168" i="2"/>
  <c r="BC168" i="2"/>
  <c r="BD168" i="2" s="1"/>
  <c r="T23" i="3"/>
  <c r="V23" i="3"/>
  <c r="AA199" i="3"/>
  <c r="AB199" i="3" s="1"/>
  <c r="AC199" i="3" s="1"/>
  <c r="AA289" i="3"/>
  <c r="AB289" i="3" s="1"/>
  <c r="AC289" i="3" s="1"/>
  <c r="AA329" i="3"/>
  <c r="AB329" i="3" s="1"/>
  <c r="AC329" i="3" s="1"/>
  <c r="AA258" i="4"/>
  <c r="AB258" i="4" s="1"/>
  <c r="AC258" i="4" s="1"/>
  <c r="BC182" i="4"/>
  <c r="BD182" i="4" s="1"/>
  <c r="BA182" i="4"/>
  <c r="BC234" i="4"/>
  <c r="BD234" i="4" s="1"/>
  <c r="BA234" i="4"/>
  <c r="BA185" i="4"/>
  <c r="BC185" i="4"/>
  <c r="BD185" i="4" s="1"/>
  <c r="BA281" i="4"/>
  <c r="BC281" i="4"/>
  <c r="BD281" i="4" s="1"/>
  <c r="BA297" i="4"/>
  <c r="BC297" i="4"/>
  <c r="BD297" i="4" s="1"/>
  <c r="AA308" i="4"/>
  <c r="AB308" i="4" s="1"/>
  <c r="AC308" i="4" s="1"/>
  <c r="BA323" i="4"/>
  <c r="BC323" i="4"/>
  <c r="BD323" i="4" s="1"/>
  <c r="BA206" i="4"/>
  <c r="BC206" i="4"/>
  <c r="BD206" i="4" s="1"/>
  <c r="BA236" i="4"/>
  <c r="BC236" i="4"/>
  <c r="BD236" i="4" s="1"/>
  <c r="BA258" i="4"/>
  <c r="BC258" i="4"/>
  <c r="BD258" i="4" s="1"/>
  <c r="BA276" i="4"/>
  <c r="BC276" i="4"/>
  <c r="BD276" i="4" s="1"/>
  <c r="BA326" i="4"/>
  <c r="BC326" i="4"/>
  <c r="BD326" i="4" s="1"/>
  <c r="BA336" i="5"/>
  <c r="BC336" i="5"/>
  <c r="BD336" i="5" s="1"/>
  <c r="J27" i="5"/>
  <c r="L27" i="5"/>
  <c r="L33" i="7"/>
  <c r="J33" i="7"/>
  <c r="AA253" i="6"/>
  <c r="AB253" i="6" s="1"/>
  <c r="AC253" i="6" s="1"/>
  <c r="BA279" i="7"/>
  <c r="BC279" i="7"/>
  <c r="BD279" i="7" s="1"/>
  <c r="BC339" i="7"/>
  <c r="BD339" i="7" s="1"/>
  <c r="BA339" i="7"/>
  <c r="BA302" i="7"/>
  <c r="BC302" i="7"/>
  <c r="BD302" i="7" s="1"/>
  <c r="BA310" i="7"/>
  <c r="BC310" i="7"/>
  <c r="BD310" i="7" s="1"/>
  <c r="BA330" i="7"/>
  <c r="BC330" i="7"/>
  <c r="BD330" i="7" s="1"/>
  <c r="T28" i="8"/>
  <c r="V28" i="8"/>
  <c r="T37" i="8"/>
  <c r="V37" i="8"/>
  <c r="AA146" i="8"/>
  <c r="AB146" i="8" s="1"/>
  <c r="AC146" i="8" s="1"/>
  <c r="AA218" i="8"/>
  <c r="AB218" i="8" s="1"/>
  <c r="AC218" i="8" s="1"/>
  <c r="BA213" i="8"/>
  <c r="BC213" i="8"/>
  <c r="BD213" i="8" s="1"/>
  <c r="BA221" i="8"/>
  <c r="BC221" i="8"/>
  <c r="BD221" i="8" s="1"/>
  <c r="AA161" i="9"/>
  <c r="AB161" i="9" s="1"/>
  <c r="AC161" i="9" s="1"/>
  <c r="BC194" i="9"/>
  <c r="BD194" i="9" s="1"/>
  <c r="BA194" i="9"/>
  <c r="BA164" i="9"/>
  <c r="BC164" i="9"/>
  <c r="BD164" i="9" s="1"/>
  <c r="J28" i="9"/>
  <c r="L28" i="9"/>
  <c r="T29" i="9"/>
  <c r="V29" i="9"/>
  <c r="BA304" i="10"/>
  <c r="BC304" i="10"/>
  <c r="BD304" i="10" s="1"/>
  <c r="BA197" i="10"/>
  <c r="BC197" i="10"/>
  <c r="BD197" i="10" s="1"/>
  <c r="BC227" i="10"/>
  <c r="BD227" i="10" s="1"/>
  <c r="BA227" i="10"/>
  <c r="BC205" i="10"/>
  <c r="BD205" i="10" s="1"/>
  <c r="BA205" i="10"/>
  <c r="BC148" i="10"/>
  <c r="BD148" i="10" s="1"/>
  <c r="BA148" i="10"/>
  <c r="BC212" i="10"/>
  <c r="BD212" i="10" s="1"/>
  <c r="BA212" i="10"/>
  <c r="V22" i="11"/>
  <c r="W22" i="11" s="1"/>
  <c r="T22" i="11"/>
  <c r="M75" i="3"/>
  <c r="F77" i="2"/>
  <c r="M77" i="2" s="1"/>
  <c r="M76" i="2"/>
  <c r="L516" i="2"/>
  <c r="T464" i="2"/>
  <c r="T465" i="2"/>
  <c r="T463" i="2"/>
  <c r="I511" i="2"/>
  <c r="J511" i="2"/>
  <c r="AF466" i="3"/>
  <c r="AF467" i="3" s="1"/>
  <c r="AF464" i="3"/>
  <c r="AF465" i="3" s="1"/>
  <c r="M86" i="4"/>
  <c r="L518" i="3"/>
  <c r="N515" i="5"/>
  <c r="F85" i="6"/>
  <c r="L74" i="6"/>
  <c r="F74" i="6"/>
  <c r="K513" i="6"/>
  <c r="M84" i="7"/>
  <c r="M75" i="8"/>
  <c r="D477" i="8"/>
  <c r="D509" i="8"/>
  <c r="O469" i="8"/>
  <c r="E526" i="8" s="1"/>
  <c r="O468" i="8"/>
  <c r="D526" i="8" s="1"/>
  <c r="K468" i="8"/>
  <c r="K469" i="8" s="1"/>
  <c r="K470" i="8"/>
  <c r="K471" i="8" s="1"/>
  <c r="T467" i="8"/>
  <c r="T466" i="8"/>
  <c r="T468" i="8"/>
  <c r="L512" i="9"/>
  <c r="M516" i="9"/>
  <c r="M87" i="10"/>
  <c r="F88" i="10"/>
  <c r="M88" i="10" s="1"/>
  <c r="G477" i="10"/>
  <c r="G509" i="10"/>
  <c r="S472" i="10"/>
  <c r="M87" i="11"/>
  <c r="O516" i="11"/>
  <c r="Z354" i="3"/>
  <c r="L23" i="2"/>
  <c r="J23" i="2"/>
  <c r="AA300" i="3"/>
  <c r="AB300" i="3" s="1"/>
  <c r="AC300" i="3" s="1"/>
  <c r="Z357" i="4"/>
  <c r="Z355" i="4"/>
  <c r="Z354" i="4"/>
  <c r="Z356" i="4"/>
  <c r="Z358" i="4" s="1"/>
  <c r="BC158" i="2"/>
  <c r="BD158" i="2" s="1"/>
  <c r="BA158" i="2"/>
  <c r="BC278" i="2"/>
  <c r="BD278" i="2" s="1"/>
  <c r="BA278" i="2"/>
  <c r="BC290" i="2"/>
  <c r="BD290" i="2" s="1"/>
  <c r="BA290" i="2"/>
  <c r="AA154" i="3"/>
  <c r="AB154" i="3" s="1"/>
  <c r="AC154" i="3" s="1"/>
  <c r="AC168" i="3"/>
  <c r="AC177" i="3"/>
  <c r="BA154" i="2"/>
  <c r="BC154" i="2"/>
  <c r="BD154" i="2" s="1"/>
  <c r="BA247" i="2"/>
  <c r="BC247" i="2"/>
  <c r="BD247" i="2" s="1"/>
  <c r="BA285" i="2"/>
  <c r="BC285" i="2"/>
  <c r="BD285" i="2" s="1"/>
  <c r="BA293" i="2"/>
  <c r="BC293" i="2"/>
  <c r="BD293" i="2" s="1"/>
  <c r="BA301" i="2"/>
  <c r="BC301" i="2"/>
  <c r="BD301" i="2" s="1"/>
  <c r="BA309" i="2"/>
  <c r="BC309" i="2"/>
  <c r="BD309" i="2" s="1"/>
  <c r="BA145" i="3"/>
  <c r="BC145" i="3"/>
  <c r="BD145" i="3" s="1"/>
  <c r="BA164" i="3"/>
  <c r="BC164" i="3"/>
  <c r="BD164" i="3" s="1"/>
  <c r="T30" i="3"/>
  <c r="V30" i="3"/>
  <c r="AA183" i="3"/>
  <c r="AB183" i="3" s="1"/>
  <c r="AC183" i="3" s="1"/>
  <c r="AA296" i="3"/>
  <c r="AB296" i="3" s="1"/>
  <c r="AC296" i="3" s="1"/>
  <c r="AA277" i="3"/>
  <c r="AB277" i="3" s="1"/>
  <c r="AC277" i="3" s="1"/>
  <c r="AA337" i="3"/>
  <c r="AB337" i="3" s="1"/>
  <c r="AC337" i="3" s="1"/>
  <c r="AC315" i="4"/>
  <c r="AC150" i="4"/>
  <c r="BC186" i="4"/>
  <c r="BD186" i="4" s="1"/>
  <c r="BA186" i="4"/>
  <c r="BC238" i="4"/>
  <c r="BD238" i="4" s="1"/>
  <c r="BA238" i="4"/>
  <c r="AA259" i="4"/>
  <c r="AB259" i="4" s="1"/>
  <c r="AC259" i="4" s="1"/>
  <c r="BC294" i="4"/>
  <c r="BD294" i="4" s="1"/>
  <c r="BA294" i="4"/>
  <c r="BA157" i="4"/>
  <c r="BC157" i="4"/>
  <c r="BD157" i="4" s="1"/>
  <c r="BA169" i="4"/>
  <c r="BC169" i="4"/>
  <c r="BD169" i="4" s="1"/>
  <c r="T30" i="4"/>
  <c r="V30" i="4"/>
  <c r="BA197" i="4"/>
  <c r="BC197" i="4"/>
  <c r="BD197" i="4" s="1"/>
  <c r="BA207" i="4"/>
  <c r="BC207" i="4"/>
  <c r="BD207" i="4" s="1"/>
  <c r="BA196" i="4"/>
  <c r="BC196" i="4"/>
  <c r="BD196" i="4" s="1"/>
  <c r="BC173" i="5"/>
  <c r="BD173" i="5" s="1"/>
  <c r="BA173" i="5"/>
  <c r="BC207" i="5"/>
  <c r="BD207" i="5" s="1"/>
  <c r="BA207" i="5"/>
  <c r="BC241" i="5"/>
  <c r="BD241" i="5" s="1"/>
  <c r="BA241" i="5"/>
  <c r="BC267" i="5"/>
  <c r="BD267" i="5" s="1"/>
  <c r="BA267" i="5"/>
  <c r="BC301" i="5"/>
  <c r="BD301" i="5" s="1"/>
  <c r="BA301" i="5"/>
  <c r="AC201" i="6"/>
  <c r="J22" i="6"/>
  <c r="L22" i="6"/>
  <c r="M22" i="6" s="1"/>
  <c r="BC157" i="6"/>
  <c r="BD157" i="6" s="1"/>
  <c r="BA157" i="6"/>
  <c r="BC169" i="6"/>
  <c r="BD169" i="6" s="1"/>
  <c r="BA169" i="6"/>
  <c r="T30" i="6"/>
  <c r="V30" i="6"/>
  <c r="AA231" i="6"/>
  <c r="AB231" i="6" s="1"/>
  <c r="AC231" i="6" s="1"/>
  <c r="AA257" i="6"/>
  <c r="AB257" i="6" s="1"/>
  <c r="AC257" i="6" s="1"/>
  <c r="AA325" i="6"/>
  <c r="AB325" i="6" s="1"/>
  <c r="AC325" i="6" s="1"/>
  <c r="AA347" i="6"/>
  <c r="AB347" i="6" s="1"/>
  <c r="AC347" i="6" s="1"/>
  <c r="L24" i="7"/>
  <c r="J24" i="7"/>
  <c r="BC240" i="7"/>
  <c r="BD240" i="7" s="1"/>
  <c r="BA240" i="7"/>
  <c r="BC262" i="7"/>
  <c r="BD262" i="7" s="1"/>
  <c r="BA262" i="7"/>
  <c r="BC292" i="7"/>
  <c r="BD292" i="7" s="1"/>
  <c r="BA292" i="7"/>
  <c r="BC308" i="7"/>
  <c r="BD308" i="7" s="1"/>
  <c r="BA308" i="7"/>
  <c r="W355" i="8"/>
  <c r="AA151" i="8"/>
  <c r="AB151" i="8" s="1"/>
  <c r="AC151" i="8" s="1"/>
  <c r="T25" i="8"/>
  <c r="V25" i="8"/>
  <c r="T27" i="8"/>
  <c r="V27" i="8"/>
  <c r="BA168" i="8"/>
  <c r="BC168" i="8"/>
  <c r="BD168" i="8" s="1"/>
  <c r="T491" i="8"/>
  <c r="T493" i="8"/>
  <c r="T492" i="8"/>
  <c r="W354" i="9"/>
  <c r="BC157" i="9"/>
  <c r="BD157" i="9" s="1"/>
  <c r="BA157" i="9"/>
  <c r="BC181" i="9"/>
  <c r="BD181" i="9" s="1"/>
  <c r="BA181" i="9"/>
  <c r="T23" i="9"/>
  <c r="V23" i="9"/>
  <c r="W23" i="9" s="1"/>
  <c r="BA176" i="9"/>
  <c r="BC176" i="9"/>
  <c r="BD176" i="9" s="1"/>
  <c r="BA188" i="9"/>
  <c r="BC188" i="9"/>
  <c r="BD188" i="9" s="1"/>
  <c r="AA251" i="9"/>
  <c r="AB251" i="9" s="1"/>
  <c r="AC251" i="9" s="1"/>
  <c r="AA222" i="9"/>
  <c r="AB222" i="9" s="1"/>
  <c r="AC222" i="9" s="1"/>
  <c r="AA288" i="9"/>
  <c r="AB288" i="9" s="1"/>
  <c r="AC288" i="9" s="1"/>
  <c r="AA297" i="9"/>
  <c r="AB297" i="9" s="1"/>
  <c r="AC297" i="9" s="1"/>
  <c r="J35" i="10"/>
  <c r="L35" i="10"/>
  <c r="J30" i="10"/>
  <c r="L30" i="10"/>
  <c r="BC220" i="10"/>
  <c r="BD220" i="10" s="1"/>
  <c r="BA220" i="10"/>
  <c r="BC216" i="10"/>
  <c r="BD216" i="10" s="1"/>
  <c r="BA216" i="10"/>
  <c r="F82" i="2"/>
  <c r="L71" i="2"/>
  <c r="F71" i="2"/>
  <c r="O517" i="2"/>
  <c r="M87" i="3"/>
  <c r="L511" i="2"/>
  <c r="R485" i="3"/>
  <c r="M83" i="4"/>
  <c r="M76" i="4"/>
  <c r="L510" i="5"/>
  <c r="O513" i="5"/>
  <c r="L513" i="4"/>
  <c r="AF466" i="6"/>
  <c r="AF467" i="6" s="1"/>
  <c r="AF464" i="6"/>
  <c r="AF465" i="6" s="1"/>
  <c r="T468" i="6"/>
  <c r="T467" i="6"/>
  <c r="T466" i="6"/>
  <c r="M516" i="6"/>
  <c r="N510" i="7"/>
  <c r="F81" i="8"/>
  <c r="L70" i="8"/>
  <c r="F70" i="8"/>
  <c r="O517" i="8"/>
  <c r="F88" i="9"/>
  <c r="M88" i="9" s="1"/>
  <c r="M87" i="9"/>
  <c r="N517" i="9"/>
  <c r="P517" i="9" s="1"/>
  <c r="AL496" i="9"/>
  <c r="F82" i="11"/>
  <c r="F88" i="11" s="1"/>
  <c r="M88" i="11" s="1"/>
  <c r="L71" i="11"/>
  <c r="F71" i="11"/>
  <c r="H509" i="11"/>
  <c r="H477" i="11"/>
  <c r="T472" i="11"/>
  <c r="T491" i="11"/>
  <c r="T492" i="11"/>
  <c r="T493" i="11"/>
  <c r="J512" i="11"/>
  <c r="L512" i="11" s="1"/>
  <c r="I512" i="11"/>
  <c r="L518" i="11"/>
  <c r="AC161" i="2"/>
  <c r="AC293" i="2"/>
  <c r="AC309" i="2"/>
  <c r="AC146" i="2"/>
  <c r="AA186" i="2"/>
  <c r="AB186" i="2" s="1"/>
  <c r="AC186" i="2" s="1"/>
  <c r="AA217" i="4"/>
  <c r="AB217" i="4" s="1"/>
  <c r="AC217" i="4" s="1"/>
  <c r="BA155" i="2"/>
  <c r="BC155" i="2"/>
  <c r="BD155" i="2" s="1"/>
  <c r="V33" i="2"/>
  <c r="T33" i="2"/>
  <c r="BC238" i="2"/>
  <c r="BD238" i="2" s="1"/>
  <c r="BA238" i="2"/>
  <c r="BC294" i="2"/>
  <c r="BD294" i="2" s="1"/>
  <c r="BA294" i="2"/>
  <c r="X357" i="3"/>
  <c r="BA270" i="2"/>
  <c r="BC270" i="2"/>
  <c r="BD270" i="2" s="1"/>
  <c r="AA186" i="3"/>
  <c r="AB186" i="3" s="1"/>
  <c r="AC186" i="3" s="1"/>
  <c r="AA349" i="3"/>
  <c r="AB349" i="3" s="1"/>
  <c r="AC349" i="3" s="1"/>
  <c r="BC227" i="4"/>
  <c r="BD227" i="4" s="1"/>
  <c r="BA227" i="4"/>
  <c r="AA292" i="4"/>
  <c r="AB292" i="4" s="1"/>
  <c r="AC292" i="4" s="1"/>
  <c r="AA348" i="4"/>
  <c r="AB348" i="4" s="1"/>
  <c r="AC348" i="4" s="1"/>
  <c r="AA208" i="3"/>
  <c r="AB208" i="3" s="1"/>
  <c r="AC208" i="3" s="1"/>
  <c r="AA223" i="4"/>
  <c r="AB223" i="4" s="1"/>
  <c r="AC223" i="4" s="1"/>
  <c r="AA229" i="4"/>
  <c r="AB229" i="4" s="1"/>
  <c r="AC229" i="4" s="1"/>
  <c r="BC282" i="4"/>
  <c r="BD282" i="4" s="1"/>
  <c r="BA282" i="4"/>
  <c r="AA301" i="4"/>
  <c r="AB301" i="4" s="1"/>
  <c r="AC301" i="4" s="1"/>
  <c r="BA181" i="4"/>
  <c r="BC181" i="4"/>
  <c r="BD181" i="4" s="1"/>
  <c r="BA215" i="4"/>
  <c r="BC215" i="4"/>
  <c r="BD215" i="4" s="1"/>
  <c r="BA233" i="4"/>
  <c r="BC233" i="4"/>
  <c r="BD233" i="4" s="1"/>
  <c r="BA267" i="4"/>
  <c r="BC267" i="4"/>
  <c r="BD267" i="4" s="1"/>
  <c r="BA289" i="4"/>
  <c r="BC289" i="4"/>
  <c r="BD289" i="4" s="1"/>
  <c r="BA168" i="4"/>
  <c r="BC168" i="4"/>
  <c r="BD168" i="4" s="1"/>
  <c r="BA176" i="4"/>
  <c r="BC176" i="4"/>
  <c r="BD176" i="4" s="1"/>
  <c r="BA218" i="4"/>
  <c r="BC218" i="4"/>
  <c r="BD218" i="4" s="1"/>
  <c r="BA226" i="4"/>
  <c r="BC226" i="4"/>
  <c r="BD226" i="4" s="1"/>
  <c r="BA266" i="4"/>
  <c r="BC266" i="4"/>
  <c r="BD266" i="4" s="1"/>
  <c r="BA308" i="4"/>
  <c r="BC308" i="4"/>
  <c r="BD308" i="4" s="1"/>
  <c r="BA348" i="4"/>
  <c r="BC348" i="4"/>
  <c r="BD348" i="4" s="1"/>
  <c r="T25" i="5"/>
  <c r="V25" i="5"/>
  <c r="W25" i="5" s="1"/>
  <c r="W26" i="5" s="1"/>
  <c r="T30" i="5"/>
  <c r="V30" i="5"/>
  <c r="BA351" i="5"/>
  <c r="BC351" i="5"/>
  <c r="BD351" i="5" s="1"/>
  <c r="BA246" i="6"/>
  <c r="BC246" i="6"/>
  <c r="BD246" i="6" s="1"/>
  <c r="AA196" i="6"/>
  <c r="AB196" i="6" s="1"/>
  <c r="AC196" i="6" s="1"/>
  <c r="AA342" i="6"/>
  <c r="AB342" i="6" s="1"/>
  <c r="AC342" i="6" s="1"/>
  <c r="BA347" i="5"/>
  <c r="BC347" i="5"/>
  <c r="BD347" i="5" s="1"/>
  <c r="BC147" i="6"/>
  <c r="BD147" i="6" s="1"/>
  <c r="BA147" i="6"/>
  <c r="AA163" i="6"/>
  <c r="AB163" i="6" s="1"/>
  <c r="AC163" i="6" s="1"/>
  <c r="AA252" i="6"/>
  <c r="AB252" i="6" s="1"/>
  <c r="AC252" i="6" s="1"/>
  <c r="AA316" i="6"/>
  <c r="AB316" i="6" s="1"/>
  <c r="AC316" i="6" s="1"/>
  <c r="Y357" i="6"/>
  <c r="AA219" i="6"/>
  <c r="AB219" i="6" s="1"/>
  <c r="AC219" i="6" s="1"/>
  <c r="AA223" i="6"/>
  <c r="AB223" i="6" s="1"/>
  <c r="AC223" i="6" s="1"/>
  <c r="AA229" i="6"/>
  <c r="AB229" i="6" s="1"/>
  <c r="AC229" i="6" s="1"/>
  <c r="AA233" i="6"/>
  <c r="AB233" i="6" s="1"/>
  <c r="AC233" i="6" s="1"/>
  <c r="L37" i="7"/>
  <c r="J37" i="7"/>
  <c r="V37" i="7"/>
  <c r="T37" i="7"/>
  <c r="AA175" i="6"/>
  <c r="AB175" i="6" s="1"/>
  <c r="AC175" i="6" s="1"/>
  <c r="AA351" i="6"/>
  <c r="AB351" i="6" s="1"/>
  <c r="AC351" i="6" s="1"/>
  <c r="V26" i="7"/>
  <c r="T26" i="7"/>
  <c r="BC154" i="7"/>
  <c r="BD154" i="7" s="1"/>
  <c r="BA154" i="7"/>
  <c r="Z357" i="8"/>
  <c r="BC211" i="7"/>
  <c r="BD211" i="7" s="1"/>
  <c r="BA211" i="7"/>
  <c r="BC219" i="7"/>
  <c r="BD219" i="7" s="1"/>
  <c r="BA219" i="7"/>
  <c r="AA152" i="8"/>
  <c r="AB152" i="8" s="1"/>
  <c r="AC152" i="8" s="1"/>
  <c r="T22" i="8"/>
  <c r="V22" i="8"/>
  <c r="W22" i="8" s="1"/>
  <c r="W23" i="8" s="1"/>
  <c r="W24" i="8" s="1"/>
  <c r="X355" i="9"/>
  <c r="BC281" i="8"/>
  <c r="BD281" i="8" s="1"/>
  <c r="BA281" i="8"/>
  <c r="BA276" i="8"/>
  <c r="BC276" i="8"/>
  <c r="BD276" i="8" s="1"/>
  <c r="J25" i="9"/>
  <c r="L25" i="9"/>
  <c r="AA294" i="9"/>
  <c r="AB294" i="9" s="1"/>
  <c r="AC294" i="9" s="1"/>
  <c r="AA350" i="9"/>
  <c r="AB350" i="9" s="1"/>
  <c r="AC350" i="9" s="1"/>
  <c r="BA241" i="10"/>
  <c r="BC241" i="10"/>
  <c r="BD241" i="10" s="1"/>
  <c r="L23" i="11"/>
  <c r="J23" i="11"/>
  <c r="BC153" i="11"/>
  <c r="BD153" i="11" s="1"/>
  <c r="BA153" i="11"/>
  <c r="L30" i="11"/>
  <c r="J30" i="11"/>
  <c r="M84" i="3"/>
  <c r="AL488" i="2"/>
  <c r="R483" i="2"/>
  <c r="O514" i="2"/>
  <c r="N518" i="3"/>
  <c r="M514" i="3"/>
  <c r="T491" i="4"/>
  <c r="T493" i="4"/>
  <c r="T492" i="4"/>
  <c r="AL496" i="3"/>
  <c r="M82" i="5"/>
  <c r="M516" i="5"/>
  <c r="G477" i="4"/>
  <c r="G509" i="4"/>
  <c r="S472" i="4"/>
  <c r="F509" i="5"/>
  <c r="F477" i="5"/>
  <c r="R472" i="5"/>
  <c r="N517" i="5"/>
  <c r="G477" i="6"/>
  <c r="G509" i="6"/>
  <c r="S472" i="6"/>
  <c r="O510" i="6"/>
  <c r="M83" i="6"/>
  <c r="L516" i="6"/>
  <c r="M510" i="5"/>
  <c r="N516" i="6"/>
  <c r="O513" i="6"/>
  <c r="M512" i="6"/>
  <c r="G81" i="7"/>
  <c r="N81" i="7" s="1"/>
  <c r="M81" i="7"/>
  <c r="I81" i="7" s="1"/>
  <c r="F509" i="6"/>
  <c r="R472" i="6"/>
  <c r="F477" i="6"/>
  <c r="O512" i="6"/>
  <c r="G82" i="7"/>
  <c r="N82" i="7" s="1"/>
  <c r="M82" i="7"/>
  <c r="N513" i="7"/>
  <c r="D477" i="7"/>
  <c r="D509" i="7"/>
  <c r="O469" i="7"/>
  <c r="E526" i="7" s="1"/>
  <c r="O468" i="7"/>
  <c r="D526" i="7" s="1"/>
  <c r="K468" i="7"/>
  <c r="K469" i="7" s="1"/>
  <c r="K470" i="7"/>
  <c r="K471" i="7" s="1"/>
  <c r="T467" i="7"/>
  <c r="T466" i="7"/>
  <c r="T468" i="7"/>
  <c r="M518" i="7"/>
  <c r="G71" i="9"/>
  <c r="N71" i="9" s="1"/>
  <c r="M71" i="9"/>
  <c r="O514" i="8"/>
  <c r="AL476" i="9"/>
  <c r="M515" i="9"/>
  <c r="N513" i="9"/>
  <c r="P513" i="9" s="1"/>
  <c r="O510" i="9"/>
  <c r="K89" i="10"/>
  <c r="I89" i="10" s="1"/>
  <c r="K13" i="10"/>
  <c r="M85" i="10"/>
  <c r="D89" i="11"/>
  <c r="M515" i="10"/>
  <c r="T464" i="11"/>
  <c r="T465" i="11"/>
  <c r="T463" i="11"/>
  <c r="M515" i="11"/>
  <c r="N518" i="11"/>
  <c r="AA194" i="3"/>
  <c r="AB194" i="3" s="1"/>
  <c r="AC194" i="3" s="1"/>
  <c r="V35" i="2"/>
  <c r="T35" i="2"/>
  <c r="W355" i="3"/>
  <c r="W356" i="2"/>
  <c r="W358" i="2" s="1"/>
  <c r="V27" i="2"/>
  <c r="T27" i="2"/>
  <c r="V30" i="2"/>
  <c r="T30" i="2"/>
  <c r="J37" i="3"/>
  <c r="L37" i="3"/>
  <c r="AA199" i="4"/>
  <c r="AB199" i="4" s="1"/>
  <c r="AC199" i="4" s="1"/>
  <c r="J27" i="4"/>
  <c r="L27" i="4"/>
  <c r="AA192" i="4"/>
  <c r="AB192" i="4" s="1"/>
  <c r="AC192" i="4" s="1"/>
  <c r="AA210" i="4"/>
  <c r="AB210" i="4" s="1"/>
  <c r="AC210" i="4" s="1"/>
  <c r="AA338" i="3"/>
  <c r="AB338" i="3" s="1"/>
  <c r="AC338" i="3" s="1"/>
  <c r="AA349" i="4"/>
  <c r="AB349" i="4" s="1"/>
  <c r="AC349" i="4" s="1"/>
  <c r="T27" i="4"/>
  <c r="V27" i="4"/>
  <c r="AA280" i="4"/>
  <c r="AB280" i="4" s="1"/>
  <c r="AC280" i="4" s="1"/>
  <c r="AA242" i="6"/>
  <c r="AB242" i="6" s="1"/>
  <c r="AC242" i="6" s="1"/>
  <c r="J29" i="6"/>
  <c r="L29" i="6"/>
  <c r="J36" i="6"/>
  <c r="L36" i="6"/>
  <c r="AA224" i="6"/>
  <c r="AB224" i="6" s="1"/>
  <c r="AC224" i="6" s="1"/>
  <c r="J34" i="6"/>
  <c r="L34" i="6"/>
  <c r="J23" i="5"/>
  <c r="L23" i="5"/>
  <c r="M23" i="5" s="1"/>
  <c r="M24" i="5" s="1"/>
  <c r="T38" i="5"/>
  <c r="V38" i="5"/>
  <c r="J38" i="5"/>
  <c r="L38" i="5"/>
  <c r="V354" i="6"/>
  <c r="AA305" i="6"/>
  <c r="AB305" i="6" s="1"/>
  <c r="AC305" i="6" s="1"/>
  <c r="V28" i="7"/>
  <c r="T28" i="7"/>
  <c r="V32" i="7"/>
  <c r="T32" i="7"/>
  <c r="AA174" i="8"/>
  <c r="AB174" i="8" s="1"/>
  <c r="AC174" i="8" s="1"/>
  <c r="BC193" i="7"/>
  <c r="BD193" i="7" s="1"/>
  <c r="BA193" i="7"/>
  <c r="BC201" i="7"/>
  <c r="BD201" i="7" s="1"/>
  <c r="BA201" i="7"/>
  <c r="AA178" i="8"/>
  <c r="AB178" i="8" s="1"/>
  <c r="AC178" i="8" s="1"/>
  <c r="V354" i="8"/>
  <c r="T26" i="8"/>
  <c r="V26" i="8"/>
  <c r="Z355" i="9"/>
  <c r="J29" i="8"/>
  <c r="L29" i="8"/>
  <c r="AA192" i="8"/>
  <c r="AB192" i="8" s="1"/>
  <c r="AC192" i="8" s="1"/>
  <c r="AA226" i="8"/>
  <c r="AB226" i="8" s="1"/>
  <c r="AC226" i="8" s="1"/>
  <c r="X355" i="8"/>
  <c r="AC225" i="8"/>
  <c r="AC304" i="8"/>
  <c r="BA159" i="8"/>
  <c r="BC159" i="8"/>
  <c r="BD159" i="8" s="1"/>
  <c r="BA167" i="8"/>
  <c r="BC167" i="8"/>
  <c r="BD167" i="8" s="1"/>
  <c r="BA175" i="8"/>
  <c r="BC175" i="8"/>
  <c r="BD175" i="8" s="1"/>
  <c r="BA183" i="8"/>
  <c r="BC183" i="8"/>
  <c r="BD183" i="8" s="1"/>
  <c r="BA191" i="8"/>
  <c r="BC191" i="8"/>
  <c r="BD191" i="8" s="1"/>
  <c r="BA199" i="8"/>
  <c r="BC199" i="8"/>
  <c r="BD199" i="8" s="1"/>
  <c r="J38" i="8"/>
  <c r="L38" i="8"/>
  <c r="BC189" i="9"/>
  <c r="BD189" i="9" s="1"/>
  <c r="BA189" i="9"/>
  <c r="T24" i="9"/>
  <c r="V24" i="9"/>
  <c r="W24" i="9" s="1"/>
  <c r="BA149" i="9"/>
  <c r="BC149" i="9"/>
  <c r="BD149" i="9" s="1"/>
  <c r="T32" i="9"/>
  <c r="V32" i="9"/>
  <c r="T25" i="10"/>
  <c r="V25" i="10"/>
  <c r="J34" i="10"/>
  <c r="L34" i="10"/>
  <c r="BC239" i="10"/>
  <c r="BD239" i="10" s="1"/>
  <c r="BA239" i="10"/>
  <c r="J33" i="10"/>
  <c r="L33" i="10"/>
  <c r="BA226" i="10"/>
  <c r="BC226" i="10"/>
  <c r="BD226" i="10" s="1"/>
  <c r="BC244" i="10"/>
  <c r="BD244" i="10" s="1"/>
  <c r="BA244" i="10"/>
  <c r="V27" i="11"/>
  <c r="T27" i="11"/>
  <c r="BA149" i="11"/>
  <c r="BC149" i="11"/>
  <c r="BD149" i="11" s="1"/>
  <c r="BC175" i="11"/>
  <c r="BD175" i="11" s="1"/>
  <c r="BA175" i="11"/>
  <c r="BA148" i="11"/>
  <c r="BC148" i="11"/>
  <c r="BD148" i="11" s="1"/>
  <c r="BA161" i="11"/>
  <c r="BC161" i="11"/>
  <c r="BD161" i="11" s="1"/>
  <c r="BC168" i="11"/>
  <c r="BD168" i="11" s="1"/>
  <c r="BA168" i="11"/>
  <c r="M82" i="3"/>
  <c r="M73" i="9"/>
  <c r="BA172" i="3"/>
  <c r="BC172" i="3"/>
  <c r="BD172" i="3" s="1"/>
  <c r="BC214" i="3"/>
  <c r="BD214" i="3" s="1"/>
  <c r="BA214" i="3"/>
  <c r="BA194" i="3"/>
  <c r="BC194" i="3"/>
  <c r="BD194" i="3" s="1"/>
  <c r="BC240" i="3"/>
  <c r="BD240" i="3" s="1"/>
  <c r="BA240" i="3"/>
  <c r="BC283" i="3"/>
  <c r="BD283" i="3" s="1"/>
  <c r="BA283" i="3"/>
  <c r="BC331" i="3"/>
  <c r="BD331" i="3" s="1"/>
  <c r="BA331" i="3"/>
  <c r="BA341" i="3"/>
  <c r="BC341" i="3"/>
  <c r="BD341" i="3" s="1"/>
  <c r="BA160" i="6"/>
  <c r="BC160" i="6"/>
  <c r="BD160" i="6" s="1"/>
  <c r="BC181" i="6"/>
  <c r="BD181" i="6" s="1"/>
  <c r="BA181" i="6"/>
  <c r="BC185" i="6"/>
  <c r="BD185" i="6" s="1"/>
  <c r="BA185" i="6"/>
  <c r="BC337" i="5"/>
  <c r="BD337" i="5" s="1"/>
  <c r="BA337" i="5"/>
  <c r="BA279" i="6"/>
  <c r="BC279" i="6"/>
  <c r="BD279" i="6" s="1"/>
  <c r="BA307" i="6"/>
  <c r="BC307" i="6"/>
  <c r="BD307" i="6" s="1"/>
  <c r="BA339" i="6"/>
  <c r="BC339" i="6"/>
  <c r="BD339" i="6" s="1"/>
  <c r="BC194" i="6"/>
  <c r="BD194" i="6" s="1"/>
  <c r="BA194" i="6"/>
  <c r="BC220" i="6"/>
  <c r="BD220" i="6" s="1"/>
  <c r="BA220" i="6"/>
  <c r="BC252" i="6"/>
  <c r="BD252" i="6" s="1"/>
  <c r="BA252" i="6"/>
  <c r="BC316" i="6"/>
  <c r="BD316" i="6" s="1"/>
  <c r="BA316" i="6"/>
  <c r="BC342" i="6"/>
  <c r="BD342" i="6" s="1"/>
  <c r="BA342" i="6"/>
  <c r="BC329" i="7"/>
  <c r="BD329" i="7" s="1"/>
  <c r="BA329" i="7"/>
  <c r="BC337" i="7"/>
  <c r="BD337" i="7" s="1"/>
  <c r="BA337" i="7"/>
  <c r="BA315" i="8"/>
  <c r="BC315" i="8"/>
  <c r="BD315" i="8" s="1"/>
  <c r="BC198" i="9"/>
  <c r="BD198" i="9" s="1"/>
  <c r="BA198" i="9"/>
  <c r="BC335" i="8"/>
  <c r="BD335" i="8" s="1"/>
  <c r="BA335" i="8"/>
  <c r="BC162" i="9"/>
  <c r="BD162" i="9" s="1"/>
  <c r="BA162" i="9"/>
  <c r="BC182" i="9"/>
  <c r="BD182" i="9" s="1"/>
  <c r="BA182" i="9"/>
  <c r="BA200" i="9"/>
  <c r="BC200" i="9"/>
  <c r="BD200" i="9" s="1"/>
  <c r="BC203" i="9"/>
  <c r="BD203" i="9" s="1"/>
  <c r="BA203" i="9"/>
  <c r="BA217" i="9"/>
  <c r="BC217" i="9"/>
  <c r="BD217" i="9" s="1"/>
  <c r="BA243" i="9"/>
  <c r="BC243" i="9"/>
  <c r="BD243" i="9" s="1"/>
  <c r="BA269" i="9"/>
  <c r="BC269" i="9"/>
  <c r="BD269" i="9" s="1"/>
  <c r="BA283" i="9"/>
  <c r="BC283" i="9"/>
  <c r="BD283" i="9" s="1"/>
  <c r="BC216" i="9"/>
  <c r="BD216" i="9" s="1"/>
  <c r="BA216" i="9"/>
  <c r="BC252" i="9"/>
  <c r="BD252" i="9" s="1"/>
  <c r="BA252" i="9"/>
  <c r="BC286" i="9"/>
  <c r="BD286" i="9" s="1"/>
  <c r="BA286" i="9"/>
  <c r="BA305" i="9"/>
  <c r="BC305" i="9"/>
  <c r="BD305" i="9" s="1"/>
  <c r="BA323" i="9"/>
  <c r="BC323" i="9"/>
  <c r="BD323" i="9" s="1"/>
  <c r="BA325" i="10"/>
  <c r="BC325" i="10"/>
  <c r="BD325" i="10" s="1"/>
  <c r="BC243" i="10"/>
  <c r="BD243" i="10" s="1"/>
  <c r="BA243" i="10"/>
  <c r="BC261" i="10"/>
  <c r="BD261" i="10" s="1"/>
  <c r="BA261" i="10"/>
  <c r="BA278" i="10"/>
  <c r="BC278" i="10"/>
  <c r="BD278" i="10" s="1"/>
  <c r="BC315" i="10"/>
  <c r="BD315" i="10" s="1"/>
  <c r="BA315" i="10"/>
  <c r="BC329" i="10"/>
  <c r="BD329" i="10" s="1"/>
  <c r="BA329" i="10"/>
  <c r="BC341" i="10"/>
  <c r="BD341" i="10" s="1"/>
  <c r="BA341" i="10"/>
  <c r="BC323" i="10"/>
  <c r="BD323" i="10" s="1"/>
  <c r="BA323" i="10"/>
  <c r="BC223" i="11"/>
  <c r="BD223" i="11" s="1"/>
  <c r="BA223" i="11"/>
  <c r="BA242" i="11"/>
  <c r="BC242" i="11"/>
  <c r="BD242" i="11" s="1"/>
  <c r="BA310" i="11"/>
  <c r="BC310" i="11"/>
  <c r="BD310" i="11" s="1"/>
  <c r="BC303" i="11"/>
  <c r="BD303" i="11" s="1"/>
  <c r="BA303" i="11"/>
  <c r="BC320" i="11"/>
  <c r="BD320" i="11" s="1"/>
  <c r="BA320" i="11"/>
  <c r="BC307" i="11"/>
  <c r="BD307" i="11" s="1"/>
  <c r="BA307" i="11"/>
  <c r="G70" i="2"/>
  <c r="N70" i="2" s="1"/>
  <c r="M70" i="2"/>
  <c r="I70" i="2" s="1"/>
  <c r="M84" i="2"/>
  <c r="M82" i="6"/>
  <c r="BC335" i="3"/>
  <c r="BD335" i="3" s="1"/>
  <c r="BA335" i="3"/>
  <c r="BA188" i="6"/>
  <c r="BC188" i="6"/>
  <c r="BD188" i="6" s="1"/>
  <c r="BA206" i="6"/>
  <c r="BC206" i="6"/>
  <c r="BD206" i="6" s="1"/>
  <c r="BA201" i="9"/>
  <c r="BC201" i="9"/>
  <c r="BD201" i="9" s="1"/>
  <c r="BA349" i="8"/>
  <c r="BC349" i="8"/>
  <c r="BD349" i="8" s="1"/>
  <c r="M71" i="4"/>
  <c r="M73" i="6"/>
  <c r="M82" i="10"/>
  <c r="Y356" i="4"/>
  <c r="Y358" i="4" s="1"/>
  <c r="Z356" i="6"/>
  <c r="Z358" i="6" s="1"/>
  <c r="M85" i="11"/>
  <c r="X354" i="2"/>
  <c r="BC313" i="4"/>
  <c r="BD313" i="4" s="1"/>
  <c r="BA313" i="4"/>
  <c r="BA153" i="6"/>
  <c r="BC153" i="6"/>
  <c r="BD153" i="6" s="1"/>
  <c r="BC177" i="6"/>
  <c r="BD177" i="6" s="1"/>
  <c r="BA177" i="6"/>
  <c r="BA184" i="6"/>
  <c r="BC184" i="6"/>
  <c r="BD184" i="6" s="1"/>
  <c r="BC324" i="6"/>
  <c r="BD324" i="6" s="1"/>
  <c r="BA324" i="6"/>
  <c r="BC156" i="8"/>
  <c r="BD156" i="8" s="1"/>
  <c r="BA156" i="8"/>
  <c r="BC182" i="8"/>
  <c r="BD182" i="8" s="1"/>
  <c r="BA182" i="8"/>
  <c r="BC220" i="8"/>
  <c r="BD220" i="8" s="1"/>
  <c r="BA220" i="8"/>
  <c r="BC252" i="8"/>
  <c r="BD252" i="8" s="1"/>
  <c r="BA252" i="8"/>
  <c r="BC274" i="8"/>
  <c r="BD274" i="8" s="1"/>
  <c r="BA274" i="8"/>
  <c r="BC294" i="8"/>
  <c r="BD294" i="8" s="1"/>
  <c r="BA294" i="8"/>
  <c r="BA341" i="8"/>
  <c r="BC341" i="8"/>
  <c r="BD341" i="8" s="1"/>
  <c r="BC245" i="9"/>
  <c r="BD245" i="9" s="1"/>
  <c r="BA245" i="9"/>
  <c r="BA222" i="9"/>
  <c r="BC222" i="9"/>
  <c r="BD222" i="9" s="1"/>
  <c r="BA232" i="9"/>
  <c r="BC232" i="9"/>
  <c r="BD232" i="9" s="1"/>
  <c r="BA209" i="9"/>
  <c r="BC209" i="9"/>
  <c r="BD209" i="9" s="1"/>
  <c r="BC303" i="9"/>
  <c r="BD303" i="9" s="1"/>
  <c r="BA303" i="9"/>
  <c r="BA302" i="9"/>
  <c r="BC302" i="9"/>
  <c r="BD302" i="9" s="1"/>
  <c r="BC317" i="9"/>
  <c r="BD317" i="9" s="1"/>
  <c r="BA317" i="9"/>
  <c r="BA350" i="9"/>
  <c r="BC350" i="9"/>
  <c r="BD350" i="9" s="1"/>
  <c r="BA256" i="10"/>
  <c r="BC256" i="10"/>
  <c r="BD256" i="10" s="1"/>
  <c r="BA274" i="10"/>
  <c r="BC274" i="10"/>
  <c r="BD274" i="10" s="1"/>
  <c r="BA289" i="10"/>
  <c r="BC289" i="10"/>
  <c r="BD289" i="10" s="1"/>
  <c r="BC293" i="10"/>
  <c r="BD293" i="10" s="1"/>
  <c r="BA293" i="10"/>
  <c r="BC305" i="10"/>
  <c r="BD305" i="10" s="1"/>
  <c r="BA305" i="10"/>
  <c r="BA326" i="10"/>
  <c r="BC326" i="10"/>
  <c r="BD326" i="10" s="1"/>
  <c r="BC333" i="10"/>
  <c r="BD333" i="10" s="1"/>
  <c r="BA333" i="10"/>
  <c r="BC243" i="11"/>
  <c r="BD243" i="11" s="1"/>
  <c r="BA243" i="11"/>
  <c r="BA278" i="11"/>
  <c r="BC278" i="11"/>
  <c r="BD278" i="11" s="1"/>
  <c r="BC285" i="11"/>
  <c r="BD285" i="11" s="1"/>
  <c r="BA285" i="11"/>
  <c r="BA284" i="11"/>
  <c r="BC284" i="11"/>
  <c r="BD284" i="11" s="1"/>
  <c r="BA331" i="11"/>
  <c r="BC331" i="11"/>
  <c r="BD331" i="11" s="1"/>
  <c r="J512" i="2"/>
  <c r="I512" i="2"/>
  <c r="M74" i="3"/>
  <c r="M517" i="2"/>
  <c r="P517" i="2" s="1"/>
  <c r="F477" i="3"/>
  <c r="F509" i="3"/>
  <c r="R472" i="3"/>
  <c r="J512" i="3"/>
  <c r="I512" i="3"/>
  <c r="L70" i="4"/>
  <c r="F70" i="4"/>
  <c r="F81" i="4"/>
  <c r="K513" i="4"/>
  <c r="K515" i="4"/>
  <c r="M72" i="5"/>
  <c r="K510" i="6"/>
  <c r="P510" i="6" s="1"/>
  <c r="H509" i="6"/>
  <c r="T472" i="6"/>
  <c r="H477" i="6"/>
  <c r="T491" i="7"/>
  <c r="T493" i="7"/>
  <c r="T492" i="7"/>
  <c r="T496" i="7"/>
  <c r="T495" i="7"/>
  <c r="T494" i="7"/>
  <c r="K513" i="7"/>
  <c r="P513" i="7" s="1"/>
  <c r="K515" i="7"/>
  <c r="P515" i="7" s="1"/>
  <c r="M72" i="8"/>
  <c r="M74" i="9"/>
  <c r="T496" i="9"/>
  <c r="T495" i="9"/>
  <c r="T494" i="9"/>
  <c r="L515" i="9"/>
  <c r="T463" i="9"/>
  <c r="T465" i="9"/>
  <c r="T464" i="9"/>
  <c r="J511" i="9"/>
  <c r="I511" i="9"/>
  <c r="L510" i="10"/>
  <c r="T496" i="10"/>
  <c r="T495" i="10"/>
  <c r="T494" i="10"/>
  <c r="J512" i="10"/>
  <c r="I512" i="10"/>
  <c r="M73" i="11"/>
  <c r="F509" i="11"/>
  <c r="F477" i="11"/>
  <c r="R472" i="11"/>
  <c r="N517" i="11"/>
  <c r="L25" i="2"/>
  <c r="J25" i="2"/>
  <c r="V38" i="2"/>
  <c r="T38" i="2"/>
  <c r="T33" i="3"/>
  <c r="V33" i="3"/>
  <c r="BA151" i="2"/>
  <c r="BC151" i="2"/>
  <c r="BD151" i="2" s="1"/>
  <c r="V31" i="2"/>
  <c r="T31" i="2"/>
  <c r="AA150" i="3"/>
  <c r="AB150" i="3" s="1"/>
  <c r="AC150" i="3" s="1"/>
  <c r="BA229" i="2"/>
  <c r="BC229" i="2"/>
  <c r="BD229" i="2" s="1"/>
  <c r="BA245" i="2"/>
  <c r="BC245" i="2"/>
  <c r="BD245" i="2" s="1"/>
  <c r="BA168" i="3"/>
  <c r="BC168" i="3"/>
  <c r="BD168" i="3" s="1"/>
  <c r="BC177" i="3"/>
  <c r="BD177" i="3" s="1"/>
  <c r="BA177" i="3"/>
  <c r="BA210" i="2"/>
  <c r="BC210" i="2"/>
  <c r="BD210" i="2" s="1"/>
  <c r="BA218" i="2"/>
  <c r="BC218" i="2"/>
  <c r="BD218" i="2" s="1"/>
  <c r="BA226" i="2"/>
  <c r="BC226" i="2"/>
  <c r="BD226" i="2" s="1"/>
  <c r="BA167" i="3"/>
  <c r="BC167" i="3"/>
  <c r="BD167" i="3" s="1"/>
  <c r="J25" i="4"/>
  <c r="L25" i="4"/>
  <c r="AA288" i="4"/>
  <c r="AB288" i="4" s="1"/>
  <c r="AC288" i="4" s="1"/>
  <c r="AA255" i="4"/>
  <c r="AB255" i="4" s="1"/>
  <c r="AC255" i="4" s="1"/>
  <c r="AA309" i="4"/>
  <c r="AB309" i="4" s="1"/>
  <c r="AC309" i="4" s="1"/>
  <c r="BA171" i="6"/>
  <c r="BC171" i="6"/>
  <c r="BD171" i="6" s="1"/>
  <c r="AA192" i="6"/>
  <c r="AB192" i="6" s="1"/>
  <c r="AC192" i="6" s="1"/>
  <c r="AA206" i="6"/>
  <c r="AB206" i="6" s="1"/>
  <c r="AC206" i="6" s="1"/>
  <c r="T29" i="5"/>
  <c r="V29" i="5"/>
  <c r="BA191" i="5"/>
  <c r="BC191" i="5"/>
  <c r="BD191" i="5" s="1"/>
  <c r="BA227" i="5"/>
  <c r="BC227" i="5"/>
  <c r="BD227" i="5" s="1"/>
  <c r="BC341" i="5"/>
  <c r="BD341" i="5" s="1"/>
  <c r="BA341" i="5"/>
  <c r="T28" i="6"/>
  <c r="V28" i="6"/>
  <c r="BA182" i="7"/>
  <c r="BC182" i="7"/>
  <c r="BD182" i="7" s="1"/>
  <c r="BA190" i="7"/>
  <c r="BC190" i="7"/>
  <c r="BD190" i="7" s="1"/>
  <c r="BA198" i="7"/>
  <c r="BC198" i="7"/>
  <c r="BD198" i="7" s="1"/>
  <c r="BC247" i="7"/>
  <c r="BD247" i="7" s="1"/>
  <c r="BA247" i="7"/>
  <c r="BC255" i="7"/>
  <c r="BD255" i="7" s="1"/>
  <c r="BA255" i="7"/>
  <c r="BC263" i="7"/>
  <c r="BD263" i="7" s="1"/>
  <c r="BA263" i="7"/>
  <c r="AA210" i="8"/>
  <c r="AB210" i="8" s="1"/>
  <c r="AC210" i="8" s="1"/>
  <c r="AA214" i="8"/>
  <c r="AB214" i="8" s="1"/>
  <c r="AC214" i="8" s="1"/>
  <c r="AA228" i="8"/>
  <c r="AB228" i="8" s="1"/>
  <c r="AC228" i="8" s="1"/>
  <c r="BC237" i="8"/>
  <c r="BD237" i="8" s="1"/>
  <c r="BA237" i="8"/>
  <c r="AA250" i="8"/>
  <c r="AB250" i="8" s="1"/>
  <c r="AC250" i="8" s="1"/>
  <c r="BC259" i="8"/>
  <c r="BD259" i="8" s="1"/>
  <c r="BA259" i="8"/>
  <c r="BA172" i="8"/>
  <c r="BC172" i="8"/>
  <c r="BD172" i="8" s="1"/>
  <c r="BA180" i="8"/>
  <c r="BC180" i="8"/>
  <c r="BD180" i="8" s="1"/>
  <c r="BA192" i="8"/>
  <c r="BC192" i="8"/>
  <c r="BD192" i="8" s="1"/>
  <c r="BA284" i="8"/>
  <c r="BC284" i="8"/>
  <c r="BD284" i="8" s="1"/>
  <c r="BC303" i="8"/>
  <c r="BD303" i="8" s="1"/>
  <c r="BA303" i="8"/>
  <c r="BA249" i="8"/>
  <c r="BC249" i="8"/>
  <c r="BD249" i="8" s="1"/>
  <c r="BA257" i="8"/>
  <c r="BC257" i="8"/>
  <c r="BD257" i="8" s="1"/>
  <c r="BA265" i="8"/>
  <c r="BC265" i="8"/>
  <c r="BD265" i="8" s="1"/>
  <c r="BA307" i="8"/>
  <c r="BC307" i="8"/>
  <c r="BD307" i="8" s="1"/>
  <c r="T25" i="9"/>
  <c r="V25" i="9"/>
  <c r="W25" i="9" s="1"/>
  <c r="W26" i="9" s="1"/>
  <c r="T30" i="9"/>
  <c r="V30" i="9"/>
  <c r="AA237" i="9"/>
  <c r="AB237" i="9" s="1"/>
  <c r="AC237" i="9" s="1"/>
  <c r="AA301" i="9"/>
  <c r="AB301" i="9" s="1"/>
  <c r="AC301" i="9" s="1"/>
  <c r="AA323" i="9"/>
  <c r="AB323" i="9" s="1"/>
  <c r="AC323" i="9" s="1"/>
  <c r="L29" i="11"/>
  <c r="J29" i="11"/>
  <c r="M511" i="2"/>
  <c r="H477" i="2"/>
  <c r="H509" i="2"/>
  <c r="T472" i="2"/>
  <c r="AL494" i="2"/>
  <c r="E477" i="3"/>
  <c r="E509" i="3"/>
  <c r="Q472" i="3"/>
  <c r="M513" i="3"/>
  <c r="M75" i="4"/>
  <c r="K514" i="6"/>
  <c r="O514" i="6"/>
  <c r="N512" i="6"/>
  <c r="F88" i="7"/>
  <c r="M88" i="7" s="1"/>
  <c r="M87" i="7"/>
  <c r="N518" i="6"/>
  <c r="N516" i="9"/>
  <c r="M86" i="10"/>
  <c r="AF495" i="9"/>
  <c r="AF496" i="9" s="1"/>
  <c r="AF493" i="9"/>
  <c r="AF494" i="9" s="1"/>
  <c r="M83" i="10"/>
  <c r="M76" i="10"/>
  <c r="F77" i="10"/>
  <c r="M77" i="10" s="1"/>
  <c r="K518" i="10"/>
  <c r="P518" i="10" s="1"/>
  <c r="L516" i="10"/>
  <c r="L518" i="10"/>
  <c r="M510" i="10"/>
  <c r="F77" i="11"/>
  <c r="M77" i="11" s="1"/>
  <c r="M76" i="11"/>
  <c r="L513" i="11"/>
  <c r="K510" i="11"/>
  <c r="P510" i="11" s="1"/>
  <c r="N512" i="11"/>
  <c r="Z357" i="3"/>
  <c r="AA346" i="2"/>
  <c r="AB346" i="2" s="1"/>
  <c r="AC346" i="2" s="1"/>
  <c r="V358" i="2"/>
  <c r="V28" i="2"/>
  <c r="T28" i="2"/>
  <c r="AA179" i="3"/>
  <c r="AB179" i="3" s="1"/>
  <c r="AC179" i="3" s="1"/>
  <c r="AA206" i="3"/>
  <c r="AB206" i="3" s="1"/>
  <c r="AC206" i="3" s="1"/>
  <c r="AA149" i="4"/>
  <c r="AB149" i="4" s="1"/>
  <c r="AC149" i="4" s="1"/>
  <c r="AC188" i="4"/>
  <c r="J23" i="4"/>
  <c r="L23" i="4"/>
  <c r="M23" i="4" s="1"/>
  <c r="M24" i="4" s="1"/>
  <c r="AA178" i="4"/>
  <c r="AB178" i="4" s="1"/>
  <c r="AC178" i="4" s="1"/>
  <c r="AA206" i="4"/>
  <c r="AB206" i="4" s="1"/>
  <c r="AC206" i="4" s="1"/>
  <c r="AA228" i="4"/>
  <c r="AB228" i="4" s="1"/>
  <c r="AC228" i="4" s="1"/>
  <c r="AA252" i="4"/>
  <c r="AB252" i="4" s="1"/>
  <c r="AC252" i="4" s="1"/>
  <c r="AA296" i="4"/>
  <c r="AB296" i="4" s="1"/>
  <c r="AC296" i="4" s="1"/>
  <c r="T464" i="5"/>
  <c r="T465" i="5"/>
  <c r="T463" i="5"/>
  <c r="T23" i="6"/>
  <c r="V23" i="6"/>
  <c r="W23" i="6" s="1"/>
  <c r="AA159" i="6"/>
  <c r="AB159" i="6" s="1"/>
  <c r="AC159" i="6" s="1"/>
  <c r="J25" i="5"/>
  <c r="L25" i="5"/>
  <c r="M25" i="5" s="1"/>
  <c r="T22" i="6"/>
  <c r="V22" i="6"/>
  <c r="W22" i="6" s="1"/>
  <c r="L22" i="7"/>
  <c r="M22" i="7" s="1"/>
  <c r="J22" i="7"/>
  <c r="V35" i="7"/>
  <c r="T35" i="7"/>
  <c r="W354" i="8"/>
  <c r="T31" i="8"/>
  <c r="V31" i="8"/>
  <c r="AA291" i="8"/>
  <c r="AB291" i="8" s="1"/>
  <c r="AC291" i="8" s="1"/>
  <c r="AA314" i="8"/>
  <c r="AB314" i="8" s="1"/>
  <c r="AC314" i="8" s="1"/>
  <c r="BC173" i="8"/>
  <c r="BD173" i="8" s="1"/>
  <c r="BA173" i="8"/>
  <c r="BC207" i="8"/>
  <c r="BD207" i="8" s="1"/>
  <c r="BA207" i="8"/>
  <c r="BC215" i="8"/>
  <c r="BD215" i="8" s="1"/>
  <c r="BA215" i="8"/>
  <c r="BC229" i="8"/>
  <c r="BD229" i="8" s="1"/>
  <c r="BA229" i="8"/>
  <c r="BC251" i="8"/>
  <c r="BD251" i="8" s="1"/>
  <c r="BA251" i="8"/>
  <c r="BA154" i="8"/>
  <c r="BC154" i="8"/>
  <c r="BD154" i="8" s="1"/>
  <c r="BA254" i="8"/>
  <c r="BC254" i="8"/>
  <c r="BD254" i="8" s="1"/>
  <c r="BC299" i="8"/>
  <c r="BD299" i="8" s="1"/>
  <c r="BA299" i="8"/>
  <c r="T496" i="8"/>
  <c r="T495" i="8"/>
  <c r="T494" i="8"/>
  <c r="AA258" i="9"/>
  <c r="AB258" i="9" s="1"/>
  <c r="AC258" i="9" s="1"/>
  <c r="AA272" i="9"/>
  <c r="AB272" i="9" s="1"/>
  <c r="AC272" i="9" s="1"/>
  <c r="AA341" i="9"/>
  <c r="AB341" i="9" s="1"/>
  <c r="AC341" i="9" s="1"/>
  <c r="BC182" i="10"/>
  <c r="BD182" i="10" s="1"/>
  <c r="BA182" i="10"/>
  <c r="BC246" i="10"/>
  <c r="BD246" i="10" s="1"/>
  <c r="BA246" i="10"/>
  <c r="BC149" i="10"/>
  <c r="BD149" i="10" s="1"/>
  <c r="BA149" i="10"/>
  <c r="T37" i="10"/>
  <c r="V37" i="10"/>
  <c r="L38" i="11"/>
  <c r="J38" i="11"/>
  <c r="E524" i="11"/>
  <c r="AZ457" i="11"/>
  <c r="M75" i="2"/>
  <c r="P513" i="2"/>
  <c r="P515" i="2"/>
  <c r="F83" i="3"/>
  <c r="L72" i="3"/>
  <c r="F72" i="3"/>
  <c r="N516" i="2"/>
  <c r="H509" i="3"/>
  <c r="T472" i="3"/>
  <c r="H477" i="3"/>
  <c r="M72" i="4"/>
  <c r="M515" i="5"/>
  <c r="M86" i="6"/>
  <c r="D477" i="5"/>
  <c r="D509" i="5"/>
  <c r="K470" i="5"/>
  <c r="K471" i="5" s="1"/>
  <c r="O469" i="5"/>
  <c r="E526" i="5" s="1"/>
  <c r="O468" i="5"/>
  <c r="D526" i="5" s="1"/>
  <c r="K468" i="5"/>
  <c r="K469" i="5" s="1"/>
  <c r="L515" i="4"/>
  <c r="L516" i="5"/>
  <c r="L513" i="5"/>
  <c r="M517" i="5"/>
  <c r="N518" i="7"/>
  <c r="G477" i="7"/>
  <c r="G509" i="7"/>
  <c r="S472" i="7"/>
  <c r="K517" i="7"/>
  <c r="P517" i="7" s="1"/>
  <c r="M516" i="7"/>
  <c r="F85" i="8"/>
  <c r="L74" i="8"/>
  <c r="F74" i="8"/>
  <c r="F77" i="8" s="1"/>
  <c r="M77" i="8" s="1"/>
  <c r="N517" i="8"/>
  <c r="F83" i="9"/>
  <c r="L72" i="9"/>
  <c r="F72" i="9"/>
  <c r="AF466" i="8"/>
  <c r="AF467" i="8" s="1"/>
  <c r="AF464" i="8"/>
  <c r="AF465" i="8" s="1"/>
  <c r="AF466" i="9"/>
  <c r="AF467" i="9" s="1"/>
  <c r="AF464" i="9"/>
  <c r="AF465" i="9" s="1"/>
  <c r="AL465" i="9"/>
  <c r="L516" i="9"/>
  <c r="M75" i="11"/>
  <c r="Q472" i="11"/>
  <c r="E509" i="11"/>
  <c r="E477" i="11"/>
  <c r="T496" i="11"/>
  <c r="T495" i="11"/>
  <c r="T494" i="11"/>
  <c r="N513" i="11"/>
  <c r="AF493" i="11"/>
  <c r="AF494" i="11" s="1"/>
  <c r="AF495" i="11"/>
  <c r="AF496" i="11" s="1"/>
  <c r="V354" i="3"/>
  <c r="AC215" i="2"/>
  <c r="AC247" i="2"/>
  <c r="AC244" i="2"/>
  <c r="J24" i="3"/>
  <c r="L24" i="3"/>
  <c r="J32" i="3"/>
  <c r="L32" i="3"/>
  <c r="T38" i="3"/>
  <c r="V38" i="3"/>
  <c r="V357" i="4"/>
  <c r="V354" i="4"/>
  <c r="V356" i="4"/>
  <c r="V358" i="4" s="1"/>
  <c r="AA145" i="4"/>
  <c r="AB145" i="4" s="1"/>
  <c r="AC145" i="4" s="1"/>
  <c r="V355" i="4"/>
  <c r="AA202" i="4"/>
  <c r="AB202" i="4" s="1"/>
  <c r="AC202" i="4" s="1"/>
  <c r="BA188" i="2"/>
  <c r="BC188" i="2"/>
  <c r="BD188" i="2" s="1"/>
  <c r="X356" i="3"/>
  <c r="X358" i="3" s="1"/>
  <c r="BA159" i="3"/>
  <c r="BC159" i="3"/>
  <c r="BD159" i="3" s="1"/>
  <c r="AA209" i="4"/>
  <c r="AB209" i="4" s="1"/>
  <c r="AC209" i="4" s="1"/>
  <c r="AA225" i="4"/>
  <c r="AB225" i="4" s="1"/>
  <c r="AC225" i="4" s="1"/>
  <c r="AA341" i="3"/>
  <c r="AB341" i="3" s="1"/>
  <c r="AC341" i="3" s="1"/>
  <c r="AA218" i="4"/>
  <c r="AB218" i="4" s="1"/>
  <c r="AC218" i="4" s="1"/>
  <c r="AA247" i="4"/>
  <c r="AB247" i="4" s="1"/>
  <c r="AC247" i="4" s="1"/>
  <c r="AA329" i="4"/>
  <c r="AB329" i="4" s="1"/>
  <c r="AC329" i="4" s="1"/>
  <c r="AA158" i="6"/>
  <c r="AB158" i="6" s="1"/>
  <c r="AC158" i="6" s="1"/>
  <c r="AA312" i="6"/>
  <c r="AB312" i="6" s="1"/>
  <c r="AC312" i="6" s="1"/>
  <c r="AA268" i="6"/>
  <c r="AB268" i="6" s="1"/>
  <c r="AC268" i="6" s="1"/>
  <c r="J34" i="5"/>
  <c r="L34" i="5"/>
  <c r="Y356" i="6"/>
  <c r="Y358" i="6" s="1"/>
  <c r="T24" i="6"/>
  <c r="V24" i="6"/>
  <c r="W24" i="6" s="1"/>
  <c r="AA172" i="6"/>
  <c r="AB172" i="6" s="1"/>
  <c r="AC172" i="6" s="1"/>
  <c r="AA337" i="6"/>
  <c r="AB337" i="6" s="1"/>
  <c r="AC337" i="6" s="1"/>
  <c r="AA341" i="6"/>
  <c r="AB341" i="6" s="1"/>
  <c r="AC341" i="6" s="1"/>
  <c r="Z356" i="8"/>
  <c r="Z358" i="8" s="1"/>
  <c r="X354" i="9"/>
  <c r="AA169" i="9"/>
  <c r="AB169" i="9" s="1"/>
  <c r="AC169" i="9" s="1"/>
  <c r="T30" i="8"/>
  <c r="V30" i="8"/>
  <c r="J36" i="8"/>
  <c r="L36" i="8"/>
  <c r="AA262" i="8"/>
  <c r="AB262" i="8" s="1"/>
  <c r="AC262" i="8" s="1"/>
  <c r="AA147" i="8"/>
  <c r="AB147" i="8" s="1"/>
  <c r="AC147" i="8" s="1"/>
  <c r="AA334" i="8"/>
  <c r="AB334" i="8" s="1"/>
  <c r="AC334" i="8" s="1"/>
  <c r="AA195" i="9"/>
  <c r="AB195" i="9" s="1"/>
  <c r="AC195" i="9" s="1"/>
  <c r="AA200" i="9"/>
  <c r="AB200" i="9" s="1"/>
  <c r="AC200" i="9" s="1"/>
  <c r="AA232" i="9"/>
  <c r="AB232" i="9" s="1"/>
  <c r="AC232" i="9" s="1"/>
  <c r="AA250" i="9"/>
  <c r="AB250" i="9" s="1"/>
  <c r="AC250" i="9" s="1"/>
  <c r="AA276" i="9"/>
  <c r="AB276" i="9" s="1"/>
  <c r="AC276" i="9" s="1"/>
  <c r="AA298" i="9"/>
  <c r="AB298" i="9" s="1"/>
  <c r="AC298" i="9" s="1"/>
  <c r="AA334" i="9"/>
  <c r="AB334" i="9" s="1"/>
  <c r="AC334" i="9" s="1"/>
  <c r="BA154" i="10"/>
  <c r="BC154" i="10"/>
  <c r="BD154" i="10" s="1"/>
  <c r="V25" i="11"/>
  <c r="T25" i="11"/>
  <c r="V35" i="11"/>
  <c r="T35" i="11"/>
  <c r="L514" i="2"/>
  <c r="AL486" i="2"/>
  <c r="M512" i="2"/>
  <c r="AL502" i="2"/>
  <c r="M83" i="2"/>
  <c r="K514" i="3"/>
  <c r="P514" i="3" s="1"/>
  <c r="L512" i="3"/>
  <c r="J512" i="4"/>
  <c r="I512" i="4"/>
  <c r="D509" i="3"/>
  <c r="O469" i="3"/>
  <c r="E526" i="3" s="1"/>
  <c r="O468" i="3"/>
  <c r="D526" i="3" s="1"/>
  <c r="K468" i="3"/>
  <c r="K469" i="3" s="1"/>
  <c r="K470" i="3"/>
  <c r="K471" i="3" s="1"/>
  <c r="D477" i="3"/>
  <c r="T467" i="3"/>
  <c r="T466" i="3"/>
  <c r="T468" i="3"/>
  <c r="AL494" i="3"/>
  <c r="O516" i="4"/>
  <c r="M75" i="5"/>
  <c r="O516" i="5"/>
  <c r="T464" i="4"/>
  <c r="T465" i="4"/>
  <c r="T463" i="4"/>
  <c r="I511" i="4"/>
  <c r="J511" i="4"/>
  <c r="O515" i="4"/>
  <c r="M518" i="4"/>
  <c r="O515" i="5"/>
  <c r="M518" i="6"/>
  <c r="M76" i="6"/>
  <c r="F77" i="6"/>
  <c r="M77" i="6" s="1"/>
  <c r="N514" i="6"/>
  <c r="L517" i="6"/>
  <c r="P517" i="6" s="1"/>
  <c r="K13" i="7"/>
  <c r="K89" i="7"/>
  <c r="I89" i="7" s="1"/>
  <c r="M85" i="7"/>
  <c r="M75" i="7"/>
  <c r="M73" i="8"/>
  <c r="N515" i="7"/>
  <c r="M86" i="9"/>
  <c r="N510" i="9"/>
  <c r="P510" i="9" s="1"/>
  <c r="M84" i="10"/>
  <c r="N515" i="9"/>
  <c r="P518" i="9"/>
  <c r="M70" i="10"/>
  <c r="G70" i="10"/>
  <c r="N70" i="10" s="1"/>
  <c r="M74" i="10"/>
  <c r="H477" i="10"/>
  <c r="H509" i="10"/>
  <c r="T472" i="10"/>
  <c r="M70" i="11"/>
  <c r="G70" i="11"/>
  <c r="N70" i="11" s="1"/>
  <c r="D509" i="11"/>
  <c r="D477" i="11"/>
  <c r="O469" i="11"/>
  <c r="E526" i="11" s="1"/>
  <c r="O468" i="11"/>
  <c r="D526" i="11" s="1"/>
  <c r="K468" i="11"/>
  <c r="K469" i="11" s="1"/>
  <c r="K470" i="11"/>
  <c r="K471" i="11" s="1"/>
  <c r="J511" i="11"/>
  <c r="I511" i="11"/>
  <c r="M511" i="11" s="1"/>
  <c r="M513" i="11"/>
  <c r="L516" i="11"/>
  <c r="AA210" i="3"/>
  <c r="AB210" i="3" s="1"/>
  <c r="AC210" i="3" s="1"/>
  <c r="AA216" i="2"/>
  <c r="AB216" i="2" s="1"/>
  <c r="AC216" i="2" s="1"/>
  <c r="BC227" i="2"/>
  <c r="BD227" i="2" s="1"/>
  <c r="BA227" i="2"/>
  <c r="T26" i="3"/>
  <c r="V26" i="3"/>
  <c r="J28" i="3"/>
  <c r="L28" i="3"/>
  <c r="BC248" i="2"/>
  <c r="BD248" i="2" s="1"/>
  <c r="BA248" i="2"/>
  <c r="BC302" i="2"/>
  <c r="BD302" i="2" s="1"/>
  <c r="BA302" i="2"/>
  <c r="BC324" i="2"/>
  <c r="BD324" i="2" s="1"/>
  <c r="BA324" i="2"/>
  <c r="BC342" i="2"/>
  <c r="BD342" i="2" s="1"/>
  <c r="BA342" i="2"/>
  <c r="BC350" i="2"/>
  <c r="BD350" i="2" s="1"/>
  <c r="BA350" i="2"/>
  <c r="W354" i="3"/>
  <c r="BC193" i="3"/>
  <c r="BD193" i="3" s="1"/>
  <c r="BA193" i="3"/>
  <c r="W355" i="2"/>
  <c r="BA201" i="2"/>
  <c r="BC201" i="2"/>
  <c r="BD201" i="2" s="1"/>
  <c r="AA209" i="3"/>
  <c r="AB209" i="3" s="1"/>
  <c r="AC209" i="3" s="1"/>
  <c r="AA152" i="4"/>
  <c r="AB152" i="4" s="1"/>
  <c r="AC152" i="4" s="1"/>
  <c r="BA196" i="2"/>
  <c r="BC196" i="2"/>
  <c r="BD196" i="2" s="1"/>
  <c r="BA204" i="2"/>
  <c r="BC204" i="2"/>
  <c r="BD204" i="2" s="1"/>
  <c r="BA276" i="2"/>
  <c r="BC276" i="2"/>
  <c r="BD276" i="2" s="1"/>
  <c r="BA284" i="2"/>
  <c r="BC284" i="2"/>
  <c r="BD284" i="2" s="1"/>
  <c r="BA292" i="2"/>
  <c r="BC292" i="2"/>
  <c r="BD292" i="2" s="1"/>
  <c r="BA300" i="2"/>
  <c r="BC300" i="2"/>
  <c r="BD300" i="2" s="1"/>
  <c r="BA308" i="2"/>
  <c r="BC308" i="2"/>
  <c r="BD308" i="2" s="1"/>
  <c r="BA332" i="2"/>
  <c r="BC332" i="2"/>
  <c r="BD332" i="2" s="1"/>
  <c r="BA340" i="2"/>
  <c r="BC340" i="2"/>
  <c r="BD340" i="2" s="1"/>
  <c r="BA348" i="2"/>
  <c r="BC348" i="2"/>
  <c r="BD348" i="2" s="1"/>
  <c r="AA259" i="3"/>
  <c r="AB259" i="3" s="1"/>
  <c r="AC259" i="3" s="1"/>
  <c r="T29" i="4"/>
  <c r="V29" i="4"/>
  <c r="AA214" i="4"/>
  <c r="AB214" i="4" s="1"/>
  <c r="AC214" i="4" s="1"/>
  <c r="AA270" i="4"/>
  <c r="AB270" i="4" s="1"/>
  <c r="AC270" i="4" s="1"/>
  <c r="AA322" i="4"/>
  <c r="AB322" i="4" s="1"/>
  <c r="AC322" i="4" s="1"/>
  <c r="AA340" i="4"/>
  <c r="AB340" i="4" s="1"/>
  <c r="AC340" i="4" s="1"/>
  <c r="AA330" i="3"/>
  <c r="AB330" i="3" s="1"/>
  <c r="AC330" i="3" s="1"/>
  <c r="BC162" i="4"/>
  <c r="BD162" i="4" s="1"/>
  <c r="BA162" i="4"/>
  <c r="BC178" i="4"/>
  <c r="BD178" i="4" s="1"/>
  <c r="BA178" i="4"/>
  <c r="AA289" i="4"/>
  <c r="AB289" i="4" s="1"/>
  <c r="AC289" i="4" s="1"/>
  <c r="BC346" i="4"/>
  <c r="BD346" i="4" s="1"/>
  <c r="BA346" i="4"/>
  <c r="AA314" i="4"/>
  <c r="AB314" i="4" s="1"/>
  <c r="AC314" i="4" s="1"/>
  <c r="BA327" i="4"/>
  <c r="BC327" i="4"/>
  <c r="BD327" i="4" s="1"/>
  <c r="BA337" i="4"/>
  <c r="BC337" i="4"/>
  <c r="BD337" i="4" s="1"/>
  <c r="BA349" i="4"/>
  <c r="BC349" i="4"/>
  <c r="BD349" i="4" s="1"/>
  <c r="BA180" i="4"/>
  <c r="BC180" i="4"/>
  <c r="BD180" i="4" s="1"/>
  <c r="BA314" i="4"/>
  <c r="BC314" i="4"/>
  <c r="BD314" i="4" s="1"/>
  <c r="BA322" i="4"/>
  <c r="BC322" i="4"/>
  <c r="BD322" i="4" s="1"/>
  <c r="BC352" i="4"/>
  <c r="BD352" i="4" s="1"/>
  <c r="BA352" i="4"/>
  <c r="J29" i="5"/>
  <c r="L29" i="5"/>
  <c r="BA227" i="6"/>
  <c r="BC227" i="6"/>
  <c r="BD227" i="6" s="1"/>
  <c r="BA167" i="6"/>
  <c r="BC167" i="6"/>
  <c r="BD167" i="6" s="1"/>
  <c r="AA211" i="6"/>
  <c r="AB211" i="6" s="1"/>
  <c r="AC211" i="6" s="1"/>
  <c r="BA154" i="5"/>
  <c r="BC154" i="5"/>
  <c r="BD154" i="5" s="1"/>
  <c r="AA170" i="6"/>
  <c r="AB170" i="6" s="1"/>
  <c r="AC170" i="6" s="1"/>
  <c r="V357" i="6"/>
  <c r="V358" i="6" s="1"/>
  <c r="X360" i="6" s="1"/>
  <c r="BC161" i="6"/>
  <c r="BD161" i="6" s="1"/>
  <c r="BA161" i="6"/>
  <c r="AA306" i="6"/>
  <c r="AB306" i="6" s="1"/>
  <c r="AC306" i="6" s="1"/>
  <c r="AA277" i="6"/>
  <c r="AB277" i="6" s="1"/>
  <c r="AC277" i="6" s="1"/>
  <c r="AA301" i="6"/>
  <c r="AB301" i="6" s="1"/>
  <c r="AC301" i="6" s="1"/>
  <c r="AA209" i="6"/>
  <c r="AB209" i="6" s="1"/>
  <c r="AC209" i="6" s="1"/>
  <c r="BA307" i="7"/>
  <c r="BC307" i="7"/>
  <c r="BD307" i="7" s="1"/>
  <c r="BA325" i="7"/>
  <c r="BC325" i="7"/>
  <c r="BD325" i="7" s="1"/>
  <c r="BC289" i="7"/>
  <c r="BD289" i="7" s="1"/>
  <c r="BA289" i="7"/>
  <c r="AA324" i="8"/>
  <c r="AB324" i="8" s="1"/>
  <c r="AC324" i="8" s="1"/>
  <c r="V357" i="8"/>
  <c r="Z357" i="9"/>
  <c r="J31" i="8"/>
  <c r="L31" i="8"/>
  <c r="X354" i="8"/>
  <c r="AC164" i="8"/>
  <c r="AC213" i="8"/>
  <c r="AC243" i="8"/>
  <c r="J30" i="9"/>
  <c r="L30" i="9"/>
  <c r="AA289" i="9"/>
  <c r="AB289" i="9" s="1"/>
  <c r="AC289" i="9" s="1"/>
  <c r="T32" i="10"/>
  <c r="V32" i="10"/>
  <c r="V358" i="11"/>
  <c r="X360" i="11" s="1"/>
  <c r="M71" i="8"/>
  <c r="M73" i="2"/>
  <c r="BC230" i="5"/>
  <c r="BD230" i="5" s="1"/>
  <c r="BA230" i="5"/>
  <c r="BC238" i="5"/>
  <c r="BD238" i="5" s="1"/>
  <c r="BA238" i="5"/>
  <c r="BC274" i="5"/>
  <c r="BD274" i="5" s="1"/>
  <c r="BA274" i="5"/>
  <c r="BC282" i="5"/>
  <c r="BD282" i="5" s="1"/>
  <c r="BA282" i="5"/>
  <c r="BC290" i="5"/>
  <c r="BD290" i="5" s="1"/>
  <c r="BA290" i="5"/>
  <c r="BC298" i="5"/>
  <c r="BD298" i="5" s="1"/>
  <c r="BA298" i="5"/>
  <c r="BC306" i="5"/>
  <c r="BD306" i="5" s="1"/>
  <c r="BA306" i="5"/>
  <c r="BC330" i="5"/>
  <c r="BD330" i="5" s="1"/>
  <c r="BA330" i="5"/>
  <c r="BA163" i="6"/>
  <c r="BC163" i="6"/>
  <c r="BD163" i="6" s="1"/>
  <c r="BC285" i="6"/>
  <c r="BD285" i="6" s="1"/>
  <c r="BA285" i="6"/>
  <c r="BC345" i="6"/>
  <c r="BD345" i="6" s="1"/>
  <c r="BA345" i="6"/>
  <c r="BA250" i="6"/>
  <c r="BC250" i="6"/>
  <c r="BD250" i="6" s="1"/>
  <c r="BA280" i="6"/>
  <c r="BC280" i="6"/>
  <c r="BD280" i="6" s="1"/>
  <c r="BA296" i="6"/>
  <c r="BC296" i="6"/>
  <c r="BD296" i="6" s="1"/>
  <c r="BA318" i="6"/>
  <c r="BC318" i="6"/>
  <c r="BD318" i="6" s="1"/>
  <c r="BA336" i="6"/>
  <c r="BC336" i="6"/>
  <c r="BD336" i="6" s="1"/>
  <c r="BA348" i="6"/>
  <c r="BC348" i="6"/>
  <c r="BD348" i="6" s="1"/>
  <c r="BC186" i="9"/>
  <c r="BD186" i="9" s="1"/>
  <c r="BA186" i="9"/>
  <c r="BA221" i="9"/>
  <c r="BC221" i="9"/>
  <c r="BD221" i="9" s="1"/>
  <c r="BA279" i="9"/>
  <c r="BC279" i="9"/>
  <c r="BD279" i="9" s="1"/>
  <c r="BC238" i="9"/>
  <c r="BD238" i="9" s="1"/>
  <c r="BA238" i="9"/>
  <c r="BC274" i="9"/>
  <c r="BD274" i="9" s="1"/>
  <c r="BA274" i="9"/>
  <c r="BC318" i="9"/>
  <c r="BD318" i="9" s="1"/>
  <c r="BA318" i="9"/>
  <c r="BC352" i="9"/>
  <c r="BD352" i="9" s="1"/>
  <c r="BA352" i="9"/>
  <c r="BA259" i="10"/>
  <c r="BC259" i="10"/>
  <c r="BD259" i="10" s="1"/>
  <c r="BC276" i="10"/>
  <c r="BD276" i="10" s="1"/>
  <c r="BA276" i="10"/>
  <c r="BC306" i="10"/>
  <c r="BD306" i="10" s="1"/>
  <c r="BA306" i="10"/>
  <c r="BC338" i="10"/>
  <c r="BD338" i="10" s="1"/>
  <c r="BA338" i="10"/>
  <c r="BA315" i="11"/>
  <c r="BC315" i="11"/>
  <c r="BD315" i="11" s="1"/>
  <c r="BA221" i="11"/>
  <c r="BC221" i="11"/>
  <c r="BD221" i="11" s="1"/>
  <c r="BA247" i="11"/>
  <c r="BC247" i="11"/>
  <c r="BD247" i="11" s="1"/>
  <c r="BA281" i="11"/>
  <c r="BC281" i="11"/>
  <c r="BD281" i="11" s="1"/>
  <c r="BC236" i="11"/>
  <c r="BD236" i="11" s="1"/>
  <c r="BA236" i="11"/>
  <c r="BC270" i="11"/>
  <c r="BD270" i="11" s="1"/>
  <c r="BA270" i="11"/>
  <c r="BC314" i="11"/>
  <c r="BD314" i="11" s="1"/>
  <c r="BA314" i="11"/>
  <c r="BA330" i="11"/>
  <c r="BC330" i="11"/>
  <c r="BD330" i="11" s="1"/>
  <c r="M73" i="5"/>
  <c r="M71" i="10"/>
  <c r="G71" i="10"/>
  <c r="N71" i="10" s="1"/>
  <c r="BC203" i="2"/>
  <c r="BD203" i="2" s="1"/>
  <c r="BA203" i="2"/>
  <c r="BC225" i="2"/>
  <c r="BD225" i="2" s="1"/>
  <c r="BA225" i="2"/>
  <c r="BC253" i="2"/>
  <c r="BD253" i="2" s="1"/>
  <c r="BA253" i="2"/>
  <c r="BC275" i="2"/>
  <c r="BD275" i="2" s="1"/>
  <c r="BA275" i="2"/>
  <c r="BC307" i="2"/>
  <c r="BD307" i="2" s="1"/>
  <c r="BA307" i="2"/>
  <c r="BC339" i="2"/>
  <c r="BD339" i="2" s="1"/>
  <c r="BA339" i="2"/>
  <c r="BC170" i="3"/>
  <c r="BD170" i="3" s="1"/>
  <c r="BA170" i="3"/>
  <c r="BA181" i="3"/>
  <c r="BC181" i="3"/>
  <c r="BD181" i="3" s="1"/>
  <c r="BC291" i="3"/>
  <c r="BD291" i="3" s="1"/>
  <c r="BA291" i="3"/>
  <c r="BC317" i="3"/>
  <c r="BD317" i="3" s="1"/>
  <c r="BA317" i="3"/>
  <c r="BC339" i="3"/>
  <c r="BD339" i="3" s="1"/>
  <c r="BA339" i="3"/>
  <c r="Y354" i="4"/>
  <c r="BA256" i="3"/>
  <c r="BC256" i="3"/>
  <c r="BD256" i="3" s="1"/>
  <c r="BA274" i="3"/>
  <c r="BC274" i="3"/>
  <c r="BD274" i="3" s="1"/>
  <c r="BA290" i="3"/>
  <c r="BC290" i="3"/>
  <c r="BD290" i="3" s="1"/>
  <c r="BA306" i="3"/>
  <c r="BC306" i="3"/>
  <c r="BD306" i="3" s="1"/>
  <c r="BA320" i="3"/>
  <c r="BC320" i="3"/>
  <c r="BD320" i="3" s="1"/>
  <c r="BA338" i="3"/>
  <c r="BC338" i="3"/>
  <c r="BD338" i="3" s="1"/>
  <c r="BA349" i="3"/>
  <c r="BC349" i="3"/>
  <c r="BD349" i="3" s="1"/>
  <c r="Z355" i="6"/>
  <c r="BA221" i="6"/>
  <c r="BC221" i="6"/>
  <c r="BD221" i="6" s="1"/>
  <c r="BA239" i="6"/>
  <c r="BC239" i="6"/>
  <c r="BD239" i="6" s="1"/>
  <c r="BA265" i="6"/>
  <c r="BC265" i="6"/>
  <c r="BD265" i="6" s="1"/>
  <c r="BA321" i="6"/>
  <c r="BC321" i="6"/>
  <c r="BD321" i="6" s="1"/>
  <c r="BA347" i="6"/>
  <c r="BC347" i="6"/>
  <c r="BD347" i="6" s="1"/>
  <c r="BC186" i="6"/>
  <c r="BD186" i="6" s="1"/>
  <c r="BA186" i="6"/>
  <c r="BC216" i="6"/>
  <c r="BD216" i="6" s="1"/>
  <c r="BA216" i="6"/>
  <c r="BC248" i="6"/>
  <c r="BD248" i="6" s="1"/>
  <c r="BA248" i="6"/>
  <c r="BC310" i="6"/>
  <c r="BD310" i="6" s="1"/>
  <c r="BA310" i="6"/>
  <c r="BC330" i="6"/>
  <c r="BD330" i="6" s="1"/>
  <c r="BA330" i="6"/>
  <c r="BC305" i="7"/>
  <c r="BD305" i="7" s="1"/>
  <c r="BA305" i="7"/>
  <c r="BC319" i="7"/>
  <c r="BD319" i="7" s="1"/>
  <c r="BA319" i="7"/>
  <c r="BC327" i="7"/>
  <c r="BD327" i="7" s="1"/>
  <c r="BA327" i="7"/>
  <c r="BA345" i="7"/>
  <c r="BC345" i="7"/>
  <c r="BD345" i="7" s="1"/>
  <c r="BA352" i="7"/>
  <c r="BC352" i="7"/>
  <c r="BD352" i="7" s="1"/>
  <c r="BC310" i="8"/>
  <c r="BD310" i="8" s="1"/>
  <c r="BA310" i="8"/>
  <c r="BA332" i="8"/>
  <c r="BC332" i="8"/>
  <c r="BD332" i="8" s="1"/>
  <c r="BA344" i="8"/>
  <c r="BC344" i="8"/>
  <c r="BD344" i="8" s="1"/>
  <c r="BC325" i="8"/>
  <c r="BD325" i="8" s="1"/>
  <c r="BA325" i="8"/>
  <c r="BC170" i="9"/>
  <c r="BD170" i="9" s="1"/>
  <c r="BA170" i="9"/>
  <c r="BA301" i="9"/>
  <c r="BC301" i="9"/>
  <c r="BD301" i="9" s="1"/>
  <c r="BA225" i="9"/>
  <c r="BC225" i="9"/>
  <c r="BD225" i="9" s="1"/>
  <c r="BA235" i="9"/>
  <c r="BC235" i="9"/>
  <c r="BD235" i="9" s="1"/>
  <c r="BA253" i="9"/>
  <c r="BC253" i="9"/>
  <c r="BD253" i="9" s="1"/>
  <c r="BA309" i="9"/>
  <c r="BC309" i="9"/>
  <c r="BD309" i="9" s="1"/>
  <c r="BC224" i="9"/>
  <c r="BD224" i="9" s="1"/>
  <c r="BA224" i="9"/>
  <c r="BC260" i="9"/>
  <c r="BD260" i="9" s="1"/>
  <c r="BA260" i="9"/>
  <c r="BC331" i="9"/>
  <c r="BD331" i="9" s="1"/>
  <c r="BA331" i="9"/>
  <c r="BA342" i="9"/>
  <c r="BC342" i="9"/>
  <c r="BD342" i="9" s="1"/>
  <c r="BC351" i="9"/>
  <c r="BD351" i="9" s="1"/>
  <c r="BA351" i="9"/>
  <c r="BC253" i="10"/>
  <c r="BD253" i="10" s="1"/>
  <c r="BA253" i="10"/>
  <c r="BC269" i="10"/>
  <c r="BD269" i="10" s="1"/>
  <c r="BA269" i="10"/>
  <c r="BA336" i="10"/>
  <c r="BC336" i="10"/>
  <c r="BD336" i="10" s="1"/>
  <c r="BC301" i="10"/>
  <c r="BD301" i="10" s="1"/>
  <c r="BA301" i="10"/>
  <c r="BA344" i="10"/>
  <c r="BC344" i="10"/>
  <c r="BD344" i="10" s="1"/>
  <c r="BA288" i="10"/>
  <c r="BC288" i="10"/>
  <c r="BD288" i="10" s="1"/>
  <c r="BA308" i="10"/>
  <c r="BC308" i="10"/>
  <c r="BD308" i="10" s="1"/>
  <c r="BA200" i="11"/>
  <c r="BC200" i="11"/>
  <c r="BD200" i="11" s="1"/>
  <c r="BA222" i="11"/>
  <c r="BC222" i="11"/>
  <c r="BD222" i="11" s="1"/>
  <c r="BA234" i="11"/>
  <c r="BC234" i="11"/>
  <c r="BD234" i="11" s="1"/>
  <c r="BA268" i="11"/>
  <c r="BC268" i="11"/>
  <c r="BD268" i="11" s="1"/>
  <c r="BA291" i="11"/>
  <c r="BC291" i="11"/>
  <c r="BD291" i="11" s="1"/>
  <c r="BA343" i="11"/>
  <c r="BC343" i="11"/>
  <c r="BD343" i="11" s="1"/>
  <c r="BA339" i="11"/>
  <c r="BC339" i="11"/>
  <c r="BD339" i="11" s="1"/>
  <c r="BC351" i="11"/>
  <c r="BD351" i="11" s="1"/>
  <c r="BA351" i="11"/>
  <c r="M74" i="11"/>
  <c r="X357" i="2"/>
  <c r="BC226" i="3"/>
  <c r="BD226" i="3" s="1"/>
  <c r="BA226" i="3"/>
  <c r="BA243" i="3"/>
  <c r="BC243" i="3"/>
  <c r="BD243" i="3" s="1"/>
  <c r="BA209" i="3"/>
  <c r="BC209" i="3"/>
  <c r="BD209" i="3" s="1"/>
  <c r="BC197" i="3"/>
  <c r="BD197" i="3" s="1"/>
  <c r="BA197" i="3"/>
  <c r="BA212" i="3"/>
  <c r="BC212" i="3"/>
  <c r="BD212" i="3" s="1"/>
  <c r="BA234" i="3"/>
  <c r="BC234" i="3"/>
  <c r="BD234" i="3" s="1"/>
  <c r="BA323" i="3"/>
  <c r="BC323" i="3"/>
  <c r="BD323" i="3" s="1"/>
  <c r="BC252" i="5"/>
  <c r="BD252" i="5" s="1"/>
  <c r="BA252" i="5"/>
  <c r="BC260" i="5"/>
  <c r="BD260" i="5" s="1"/>
  <c r="BA260" i="5"/>
  <c r="BC268" i="5"/>
  <c r="BD268" i="5" s="1"/>
  <c r="BA268" i="5"/>
  <c r="BC316" i="5"/>
  <c r="BD316" i="5" s="1"/>
  <c r="BA316" i="5"/>
  <c r="BC324" i="5"/>
  <c r="BD324" i="5" s="1"/>
  <c r="BA324" i="5"/>
  <c r="BC247" i="6"/>
  <c r="BD247" i="6" s="1"/>
  <c r="BA247" i="6"/>
  <c r="BC301" i="6"/>
  <c r="BD301" i="6" s="1"/>
  <c r="BA301" i="6"/>
  <c r="BC309" i="6"/>
  <c r="BD309" i="6" s="1"/>
  <c r="BA309" i="6"/>
  <c r="BC333" i="6"/>
  <c r="BD333" i="6" s="1"/>
  <c r="BA333" i="6"/>
  <c r="BA222" i="6"/>
  <c r="BC222" i="6"/>
  <c r="BD222" i="6" s="1"/>
  <c r="BA258" i="6"/>
  <c r="BC258" i="6"/>
  <c r="BD258" i="6" s="1"/>
  <c r="M512" i="3"/>
  <c r="L74" i="4"/>
  <c r="F74" i="4"/>
  <c r="F85" i="4"/>
  <c r="H477" i="5"/>
  <c r="H509" i="5"/>
  <c r="T472" i="5"/>
  <c r="M87" i="5"/>
  <c r="N516" i="4"/>
  <c r="P516" i="4" s="1"/>
  <c r="T491" i="6"/>
  <c r="T493" i="6"/>
  <c r="T492" i="6"/>
  <c r="F88" i="8"/>
  <c r="M88" i="8" s="1"/>
  <c r="M87" i="8"/>
  <c r="G477" i="8"/>
  <c r="G509" i="8"/>
  <c r="S472" i="8"/>
  <c r="T491" i="9"/>
  <c r="J537" i="9" s="1"/>
  <c r="J538" i="9" s="1"/>
  <c r="T493" i="9"/>
  <c r="L537" i="9" s="1"/>
  <c r="L538" i="9" s="1"/>
  <c r="T492" i="9"/>
  <c r="L512" i="10"/>
  <c r="AF466" i="10"/>
  <c r="AF467" i="10" s="1"/>
  <c r="AF464" i="10"/>
  <c r="AF465" i="10" s="1"/>
  <c r="F509" i="10"/>
  <c r="R472" i="10"/>
  <c r="F477" i="10"/>
  <c r="N510" i="10"/>
  <c r="N514" i="11"/>
  <c r="AA202" i="2"/>
  <c r="AB202" i="2" s="1"/>
  <c r="AC202" i="2" s="1"/>
  <c r="J22" i="3"/>
  <c r="L22" i="3"/>
  <c r="M22" i="3" s="1"/>
  <c r="M23" i="3" s="1"/>
  <c r="AA198" i="3"/>
  <c r="AB198" i="3" s="1"/>
  <c r="AC198" i="3" s="1"/>
  <c r="BC147" i="3"/>
  <c r="BD147" i="3" s="1"/>
  <c r="BA147" i="3"/>
  <c r="J30" i="3"/>
  <c r="L30" i="3"/>
  <c r="AA192" i="3"/>
  <c r="AB192" i="3" s="1"/>
  <c r="AC192" i="3" s="1"/>
  <c r="J35" i="3"/>
  <c r="L35" i="3"/>
  <c r="BA185" i="2"/>
  <c r="BC185" i="2"/>
  <c r="BD185" i="2" s="1"/>
  <c r="BA311" i="2"/>
  <c r="BC311" i="2"/>
  <c r="BD311" i="2" s="1"/>
  <c r="BA349" i="2"/>
  <c r="BC349" i="2"/>
  <c r="BD349" i="2" s="1"/>
  <c r="BA146" i="3"/>
  <c r="BC146" i="3"/>
  <c r="BD146" i="3" s="1"/>
  <c r="BA183" i="3"/>
  <c r="BC183" i="3"/>
  <c r="BD183" i="3" s="1"/>
  <c r="AA276" i="4"/>
  <c r="AB276" i="4" s="1"/>
  <c r="AC276" i="4" s="1"/>
  <c r="AA344" i="4"/>
  <c r="AB344" i="4" s="1"/>
  <c r="AC344" i="4" s="1"/>
  <c r="BC156" i="4"/>
  <c r="BD156" i="4" s="1"/>
  <c r="BA156" i="4"/>
  <c r="BC252" i="4"/>
  <c r="BD252" i="4" s="1"/>
  <c r="BA252" i="4"/>
  <c r="BC290" i="4"/>
  <c r="BD290" i="4" s="1"/>
  <c r="BA290" i="4"/>
  <c r="BC306" i="4"/>
  <c r="BD306" i="4" s="1"/>
  <c r="BA306" i="4"/>
  <c r="BC350" i="4"/>
  <c r="BD350" i="4" s="1"/>
  <c r="BA350" i="4"/>
  <c r="BA147" i="4"/>
  <c r="BC147" i="4"/>
  <c r="BD147" i="4" s="1"/>
  <c r="BA315" i="4"/>
  <c r="BC315" i="4"/>
  <c r="BD315" i="4" s="1"/>
  <c r="BA329" i="4"/>
  <c r="BC329" i="4"/>
  <c r="BD329" i="4" s="1"/>
  <c r="BA188" i="4"/>
  <c r="BC188" i="4"/>
  <c r="BD188" i="4" s="1"/>
  <c r="BA232" i="4"/>
  <c r="BC232" i="4"/>
  <c r="BD232" i="4" s="1"/>
  <c r="BA240" i="4"/>
  <c r="BC240" i="4"/>
  <c r="BD240" i="4" s="1"/>
  <c r="BA272" i="4"/>
  <c r="BC272" i="4"/>
  <c r="BD272" i="4" s="1"/>
  <c r="BA300" i="4"/>
  <c r="BC300" i="4"/>
  <c r="BD300" i="4" s="1"/>
  <c r="BA340" i="4"/>
  <c r="BC340" i="4"/>
  <c r="BD340" i="4" s="1"/>
  <c r="W355" i="6"/>
  <c r="W356" i="6"/>
  <c r="W358" i="6" s="1"/>
  <c r="W357" i="6"/>
  <c r="W354" i="6"/>
  <c r="T27" i="5"/>
  <c r="T40" i="5" s="1"/>
  <c r="U40" i="5" s="1"/>
  <c r="V27" i="5"/>
  <c r="W27" i="5" s="1"/>
  <c r="W28" i="5" s="1"/>
  <c r="J31" i="5"/>
  <c r="L31" i="5"/>
  <c r="J36" i="5"/>
  <c r="L36" i="5"/>
  <c r="BA210" i="6"/>
  <c r="BC210" i="6"/>
  <c r="BD210" i="6" s="1"/>
  <c r="J28" i="6"/>
  <c r="L28" i="6"/>
  <c r="AA194" i="6"/>
  <c r="AB194" i="6" s="1"/>
  <c r="AC194" i="6" s="1"/>
  <c r="AA297" i="6"/>
  <c r="AB297" i="6" s="1"/>
  <c r="AC297" i="6" s="1"/>
  <c r="AA329" i="6"/>
  <c r="AB329" i="6" s="1"/>
  <c r="AC329" i="6" s="1"/>
  <c r="AA195" i="6"/>
  <c r="AB195" i="6" s="1"/>
  <c r="AC195" i="6" s="1"/>
  <c r="AA217" i="6"/>
  <c r="AB217" i="6" s="1"/>
  <c r="AC217" i="6" s="1"/>
  <c r="AA291" i="6"/>
  <c r="AB291" i="6" s="1"/>
  <c r="AC291" i="6" s="1"/>
  <c r="AA295" i="6"/>
  <c r="AB295" i="6" s="1"/>
  <c r="AC295" i="6" s="1"/>
  <c r="BA213" i="7"/>
  <c r="BC213" i="7"/>
  <c r="BD213" i="7" s="1"/>
  <c r="BA243" i="7"/>
  <c r="BC243" i="7"/>
  <c r="BD243" i="7" s="1"/>
  <c r="BA265" i="7"/>
  <c r="BC265" i="7"/>
  <c r="BD265" i="7" s="1"/>
  <c r="BA331" i="7"/>
  <c r="BC331" i="7"/>
  <c r="BD331" i="7" s="1"/>
  <c r="T33" i="8"/>
  <c r="V33" i="8"/>
  <c r="BC189" i="8"/>
  <c r="BD189" i="8" s="1"/>
  <c r="BA189" i="8"/>
  <c r="BC201" i="8"/>
  <c r="BD201" i="8" s="1"/>
  <c r="BA201" i="8"/>
  <c r="BC223" i="8"/>
  <c r="BD223" i="8" s="1"/>
  <c r="BA223" i="8"/>
  <c r="BA146" i="8"/>
  <c r="BC146" i="8"/>
  <c r="BD146" i="8" s="1"/>
  <c r="BA258" i="8"/>
  <c r="BC258" i="8"/>
  <c r="BD258" i="8" s="1"/>
  <c r="AA147" i="9"/>
  <c r="AB147" i="9" s="1"/>
  <c r="AC147" i="9" s="1"/>
  <c r="AA146" i="9"/>
  <c r="AB146" i="9" s="1"/>
  <c r="AC146" i="9" s="1"/>
  <c r="BC185" i="9"/>
  <c r="BD185" i="9" s="1"/>
  <c r="BA185" i="9"/>
  <c r="BA168" i="9"/>
  <c r="BC168" i="9"/>
  <c r="BD168" i="9" s="1"/>
  <c r="AA175" i="9"/>
  <c r="AB175" i="9" s="1"/>
  <c r="AC175" i="9" s="1"/>
  <c r="BA183" i="9"/>
  <c r="BC183" i="9"/>
  <c r="BD183" i="9" s="1"/>
  <c r="BA181" i="10"/>
  <c r="BC181" i="10"/>
  <c r="BD181" i="10" s="1"/>
  <c r="BC199" i="10"/>
  <c r="BD199" i="10" s="1"/>
  <c r="BA199" i="10"/>
  <c r="BC170" i="10"/>
  <c r="BD170" i="10" s="1"/>
  <c r="BA170" i="10"/>
  <c r="J37" i="10"/>
  <c r="L37" i="10"/>
  <c r="T465" i="10"/>
  <c r="T463" i="10"/>
  <c r="T464" i="10"/>
  <c r="L22" i="11"/>
  <c r="M22" i="11" s="1"/>
  <c r="J22" i="11"/>
  <c r="V29" i="11"/>
  <c r="T29" i="11"/>
  <c r="L31" i="11"/>
  <c r="J31" i="11"/>
  <c r="V37" i="11"/>
  <c r="T37" i="11"/>
  <c r="D524" i="11"/>
  <c r="AZ456" i="11"/>
  <c r="M86" i="3"/>
  <c r="D477" i="2"/>
  <c r="D509" i="2"/>
  <c r="O469" i="2"/>
  <c r="E526" i="2" s="1"/>
  <c r="O468" i="2"/>
  <c r="D526" i="2" s="1"/>
  <c r="K468" i="2"/>
  <c r="K469" i="2" s="1"/>
  <c r="K470" i="2"/>
  <c r="K471" i="2" s="1"/>
  <c r="T467" i="2"/>
  <c r="T466" i="2"/>
  <c r="T468" i="2"/>
  <c r="O511" i="2"/>
  <c r="AL456" i="2"/>
  <c r="K514" i="2"/>
  <c r="P514" i="2" s="1"/>
  <c r="M515" i="3"/>
  <c r="P515" i="3" s="1"/>
  <c r="O516" i="3"/>
  <c r="N513" i="3"/>
  <c r="G509" i="5"/>
  <c r="G477" i="5"/>
  <c r="S472" i="5"/>
  <c r="K518" i="4"/>
  <c r="L512" i="6"/>
  <c r="K515" i="6"/>
  <c r="R485" i="6"/>
  <c r="G83" i="7"/>
  <c r="N83" i="7" s="1"/>
  <c r="M83" i="7"/>
  <c r="F77" i="7"/>
  <c r="M77" i="7" s="1"/>
  <c r="M76" i="7"/>
  <c r="M73" i="7"/>
  <c r="K516" i="7"/>
  <c r="P516" i="7" s="1"/>
  <c r="M86" i="8"/>
  <c r="T464" i="8"/>
  <c r="H536" i="8" s="1"/>
  <c r="H538" i="8" s="1"/>
  <c r="T465" i="8"/>
  <c r="I536" i="8" s="1"/>
  <c r="I538" i="8" s="1"/>
  <c r="T463" i="8"/>
  <c r="G536" i="8" s="1"/>
  <c r="G538" i="8" s="1"/>
  <c r="I511" i="8"/>
  <c r="J511" i="8"/>
  <c r="K516" i="9"/>
  <c r="P516" i="9" s="1"/>
  <c r="M75" i="10"/>
  <c r="H509" i="9"/>
  <c r="T472" i="9"/>
  <c r="H477" i="9"/>
  <c r="M72" i="10"/>
  <c r="K517" i="10"/>
  <c r="P517" i="10" s="1"/>
  <c r="J511" i="10"/>
  <c r="I511" i="10"/>
  <c r="K516" i="10"/>
  <c r="P516" i="10" s="1"/>
  <c r="O517" i="11"/>
  <c r="Z355" i="2"/>
  <c r="Z356" i="2"/>
  <c r="Z358" i="2" s="1"/>
  <c r="Z357" i="2"/>
  <c r="Z354" i="2"/>
  <c r="Z356" i="3"/>
  <c r="Z358" i="3" s="1"/>
  <c r="AA175" i="3"/>
  <c r="AB175" i="3" s="1"/>
  <c r="AC175" i="3" s="1"/>
  <c r="AA153" i="4"/>
  <c r="AB153" i="4" s="1"/>
  <c r="AC153" i="4" s="1"/>
  <c r="V32" i="2"/>
  <c r="T32" i="2"/>
  <c r="BC274" i="2"/>
  <c r="BD274" i="2" s="1"/>
  <c r="BA274" i="2"/>
  <c r="BC286" i="2"/>
  <c r="BD286" i="2" s="1"/>
  <c r="BA286" i="2"/>
  <c r="L38" i="2"/>
  <c r="J38" i="2"/>
  <c r="T27" i="3"/>
  <c r="V27" i="3"/>
  <c r="BA187" i="3"/>
  <c r="BC187" i="3"/>
  <c r="BD187" i="3" s="1"/>
  <c r="BA181" i="2"/>
  <c r="BC181" i="2"/>
  <c r="BD181" i="2" s="1"/>
  <c r="L36" i="2"/>
  <c r="J36" i="2"/>
  <c r="BA289" i="2"/>
  <c r="BC289" i="2"/>
  <c r="BD289" i="2" s="1"/>
  <c r="BA297" i="2"/>
  <c r="BC297" i="2"/>
  <c r="BD297" i="2" s="1"/>
  <c r="BA305" i="2"/>
  <c r="BC305" i="2"/>
  <c r="BD305" i="2" s="1"/>
  <c r="BA154" i="3"/>
  <c r="BC154" i="3"/>
  <c r="BD154" i="3" s="1"/>
  <c r="BC179" i="3"/>
  <c r="BD179" i="3" s="1"/>
  <c r="BA179" i="3"/>
  <c r="AA216" i="3"/>
  <c r="AB216" i="3" s="1"/>
  <c r="AC216" i="3" s="1"/>
  <c r="AA319" i="3"/>
  <c r="AB319" i="3" s="1"/>
  <c r="AC319" i="3" s="1"/>
  <c r="AC323" i="4"/>
  <c r="J34" i="4"/>
  <c r="L34" i="4"/>
  <c r="AA240" i="4"/>
  <c r="AB240" i="4" s="1"/>
  <c r="AC240" i="4" s="1"/>
  <c r="AA350" i="3"/>
  <c r="AB350" i="3" s="1"/>
  <c r="AC350" i="3" s="1"/>
  <c r="AA219" i="4"/>
  <c r="AB219" i="4" s="1"/>
  <c r="AC219" i="4" s="1"/>
  <c r="BC278" i="4"/>
  <c r="BD278" i="4" s="1"/>
  <c r="BA278" i="4"/>
  <c r="BA161" i="4"/>
  <c r="BC161" i="4"/>
  <c r="BD161" i="4" s="1"/>
  <c r="BA173" i="4"/>
  <c r="BC173" i="4"/>
  <c r="BD173" i="4" s="1"/>
  <c r="BA193" i="4"/>
  <c r="BC193" i="4"/>
  <c r="BD193" i="4" s="1"/>
  <c r="BA201" i="4"/>
  <c r="BC201" i="4"/>
  <c r="BD201" i="4" s="1"/>
  <c r="BA293" i="4"/>
  <c r="BC293" i="4"/>
  <c r="BD293" i="4" s="1"/>
  <c r="BA154" i="4"/>
  <c r="BC154" i="4"/>
  <c r="BD154" i="4" s="1"/>
  <c r="BA192" i="4"/>
  <c r="BC192" i="4"/>
  <c r="BD192" i="4" s="1"/>
  <c r="T468" i="5"/>
  <c r="T467" i="5"/>
  <c r="T466" i="5"/>
  <c r="J35" i="6"/>
  <c r="L35" i="6"/>
  <c r="BC147" i="5"/>
  <c r="BD147" i="5" s="1"/>
  <c r="BA147" i="5"/>
  <c r="BC189" i="5"/>
  <c r="BD189" i="5" s="1"/>
  <c r="BA189" i="5"/>
  <c r="BC223" i="5"/>
  <c r="BD223" i="5" s="1"/>
  <c r="BA223" i="5"/>
  <c r="BC251" i="5"/>
  <c r="BD251" i="5" s="1"/>
  <c r="BA251" i="5"/>
  <c r="BC285" i="5"/>
  <c r="BD285" i="5" s="1"/>
  <c r="BA285" i="5"/>
  <c r="BC327" i="5"/>
  <c r="BD327" i="5" s="1"/>
  <c r="BA327" i="5"/>
  <c r="BA314" i="5"/>
  <c r="BC314" i="5"/>
  <c r="BD314" i="5" s="1"/>
  <c r="AA148" i="6"/>
  <c r="AB148" i="6" s="1"/>
  <c r="AC148" i="6" s="1"/>
  <c r="AA334" i="6"/>
  <c r="AB334" i="6" s="1"/>
  <c r="AC334" i="6" s="1"/>
  <c r="AA241" i="6"/>
  <c r="AB241" i="6" s="1"/>
  <c r="AC241" i="6" s="1"/>
  <c r="AA267" i="6"/>
  <c r="AB267" i="6" s="1"/>
  <c r="AC267" i="6" s="1"/>
  <c r="AA285" i="6"/>
  <c r="AB285" i="6" s="1"/>
  <c r="AC285" i="6" s="1"/>
  <c r="AA244" i="6"/>
  <c r="AB244" i="6" s="1"/>
  <c r="AC244" i="6" s="1"/>
  <c r="V22" i="7"/>
  <c r="W22" i="7" s="1"/>
  <c r="W23" i="7" s="1"/>
  <c r="W24" i="7" s="1"/>
  <c r="W25" i="7" s="1"/>
  <c r="T22" i="7"/>
  <c r="BC204" i="7"/>
  <c r="BD204" i="7" s="1"/>
  <c r="BA204" i="7"/>
  <c r="BC246" i="7"/>
  <c r="BD246" i="7" s="1"/>
  <c r="BA246" i="7"/>
  <c r="BC284" i="7"/>
  <c r="BD284" i="7" s="1"/>
  <c r="BA284" i="7"/>
  <c r="BC300" i="7"/>
  <c r="BD300" i="7" s="1"/>
  <c r="BA300" i="7"/>
  <c r="BC336" i="7"/>
  <c r="BD336" i="7" s="1"/>
  <c r="BA336" i="7"/>
  <c r="W357" i="8"/>
  <c r="W358" i="8" s="1"/>
  <c r="W355" i="9"/>
  <c r="AA154" i="9"/>
  <c r="AB154" i="9" s="1"/>
  <c r="AC154" i="9" s="1"/>
  <c r="J29" i="9"/>
  <c r="L29" i="9"/>
  <c r="AA244" i="9"/>
  <c r="AB244" i="9" s="1"/>
  <c r="AC244" i="9" s="1"/>
  <c r="AA293" i="9"/>
  <c r="AB293" i="9" s="1"/>
  <c r="AC293" i="9" s="1"/>
  <c r="J26" i="10"/>
  <c r="L26" i="10"/>
  <c r="M26" i="10" s="1"/>
  <c r="M27" i="10" s="1"/>
  <c r="M28" i="10" s="1"/>
  <c r="AA348" i="9"/>
  <c r="AB348" i="9" s="1"/>
  <c r="AC348" i="9" s="1"/>
  <c r="BA181" i="11"/>
  <c r="BC181" i="11"/>
  <c r="BD181" i="11" s="1"/>
  <c r="M76" i="3"/>
  <c r="F77" i="3"/>
  <c r="M77" i="3" s="1"/>
  <c r="AF466" i="2"/>
  <c r="AF467" i="2" s="1"/>
  <c r="AF464" i="2"/>
  <c r="AF465" i="2" s="1"/>
  <c r="N518" i="4"/>
  <c r="F477" i="4"/>
  <c r="F509" i="4"/>
  <c r="R472" i="4"/>
  <c r="AL502" i="3"/>
  <c r="O512" i="4"/>
  <c r="N510" i="5"/>
  <c r="D89" i="5"/>
  <c r="F81" i="5"/>
  <c r="L70" i="5"/>
  <c r="D78" i="5"/>
  <c r="F70" i="5"/>
  <c r="I511" i="5"/>
  <c r="J511" i="5"/>
  <c r="T465" i="6"/>
  <c r="I536" i="6" s="1"/>
  <c r="I538" i="6" s="1"/>
  <c r="T463" i="6"/>
  <c r="G536" i="6" s="1"/>
  <c r="G538" i="6" s="1"/>
  <c r="T464" i="6"/>
  <c r="H536" i="6" s="1"/>
  <c r="H538" i="6" s="1"/>
  <c r="J511" i="6"/>
  <c r="L511" i="6" s="1"/>
  <c r="I511" i="6"/>
  <c r="AL494" i="6"/>
  <c r="M513" i="7"/>
  <c r="L517" i="7"/>
  <c r="L513" i="7"/>
  <c r="M76" i="9"/>
  <c r="F77" i="9"/>
  <c r="M77" i="9" s="1"/>
  <c r="E509" i="8"/>
  <c r="Q472" i="8"/>
  <c r="E477" i="8"/>
  <c r="L511" i="9"/>
  <c r="F477" i="9"/>
  <c r="F509" i="9"/>
  <c r="R472" i="9"/>
  <c r="N512" i="9"/>
  <c r="O512" i="9"/>
  <c r="G477" i="9"/>
  <c r="G509" i="9"/>
  <c r="S472" i="9"/>
  <c r="O510" i="10"/>
  <c r="L517" i="10"/>
  <c r="O511" i="11"/>
  <c r="L514" i="11"/>
  <c r="V357" i="3"/>
  <c r="AC251" i="2"/>
  <c r="AC267" i="2"/>
  <c r="AC154" i="2"/>
  <c r="AC172" i="2"/>
  <c r="AC218" i="2"/>
  <c r="AA172" i="3"/>
  <c r="AB172" i="3" s="1"/>
  <c r="AC172" i="3" s="1"/>
  <c r="AA292" i="3"/>
  <c r="AB292" i="3" s="1"/>
  <c r="AC292" i="3" s="1"/>
  <c r="BC162" i="2"/>
  <c r="BD162" i="2" s="1"/>
  <c r="BA162" i="2"/>
  <c r="V37" i="2"/>
  <c r="T37" i="2"/>
  <c r="BC268" i="2"/>
  <c r="BD268" i="2" s="1"/>
  <c r="BA268" i="2"/>
  <c r="J31" i="3"/>
  <c r="L31" i="3"/>
  <c r="AA200" i="3"/>
  <c r="AB200" i="3" s="1"/>
  <c r="AC200" i="3" s="1"/>
  <c r="V25" i="2"/>
  <c r="W25" i="2" s="1"/>
  <c r="T25" i="2"/>
  <c r="J31" i="2"/>
  <c r="L31" i="2"/>
  <c r="BA193" i="2"/>
  <c r="BC193" i="2"/>
  <c r="BD193" i="2" s="1"/>
  <c r="BA207" i="2"/>
  <c r="BC207" i="2"/>
  <c r="BD207" i="2" s="1"/>
  <c r="BA255" i="2"/>
  <c r="BC255" i="2"/>
  <c r="BD255" i="2" s="1"/>
  <c r="BA277" i="2"/>
  <c r="BC277" i="2"/>
  <c r="BD277" i="2" s="1"/>
  <c r="BA327" i="2"/>
  <c r="BC327" i="2"/>
  <c r="BD327" i="2" s="1"/>
  <c r="X355" i="3"/>
  <c r="J26" i="3"/>
  <c r="L26" i="3"/>
  <c r="BA250" i="2"/>
  <c r="BC250" i="2"/>
  <c r="BD250" i="2" s="1"/>
  <c r="BA258" i="2"/>
  <c r="BC258" i="2"/>
  <c r="BD258" i="2" s="1"/>
  <c r="BA266" i="2"/>
  <c r="BC266" i="2"/>
  <c r="BD266" i="2" s="1"/>
  <c r="AA255" i="3"/>
  <c r="AB255" i="3" s="1"/>
  <c r="AC255" i="3" s="1"/>
  <c r="AA158" i="4"/>
  <c r="AB158" i="4" s="1"/>
  <c r="AC158" i="4" s="1"/>
  <c r="BC158" i="4"/>
  <c r="BD158" i="4" s="1"/>
  <c r="BA158" i="4"/>
  <c r="BC174" i="4"/>
  <c r="BD174" i="4" s="1"/>
  <c r="BA174" i="4"/>
  <c r="BC190" i="4"/>
  <c r="BD190" i="4" s="1"/>
  <c r="BA190" i="4"/>
  <c r="BC242" i="4"/>
  <c r="BD242" i="4" s="1"/>
  <c r="BA242" i="4"/>
  <c r="AA263" i="4"/>
  <c r="AB263" i="4" s="1"/>
  <c r="AC263" i="4" s="1"/>
  <c r="BC324" i="4"/>
  <c r="BD324" i="4" s="1"/>
  <c r="BA324" i="4"/>
  <c r="AA345" i="4"/>
  <c r="AB345" i="4" s="1"/>
  <c r="AC345" i="4" s="1"/>
  <c r="J31" i="4"/>
  <c r="L31" i="4"/>
  <c r="BA229" i="4"/>
  <c r="BC229" i="4"/>
  <c r="BD229" i="4" s="1"/>
  <c r="BA237" i="4"/>
  <c r="BC237" i="4"/>
  <c r="BD237" i="4" s="1"/>
  <c r="BA172" i="4"/>
  <c r="BC172" i="4"/>
  <c r="BD172" i="4" s="1"/>
  <c r="BA214" i="4"/>
  <c r="BC214" i="4"/>
  <c r="BD214" i="4" s="1"/>
  <c r="BA222" i="4"/>
  <c r="BC222" i="4"/>
  <c r="BD222" i="4" s="1"/>
  <c r="BA246" i="4"/>
  <c r="BC246" i="4"/>
  <c r="BD246" i="4" s="1"/>
  <c r="BA288" i="4"/>
  <c r="BC288" i="4"/>
  <c r="BD288" i="4" s="1"/>
  <c r="BA332" i="4"/>
  <c r="BC332" i="4"/>
  <c r="BD332" i="4" s="1"/>
  <c r="AA153" i="6"/>
  <c r="AB153" i="6" s="1"/>
  <c r="AC153" i="6" s="1"/>
  <c r="AA264" i="6"/>
  <c r="AB264" i="6" s="1"/>
  <c r="AC264" i="6" s="1"/>
  <c r="AA150" i="6"/>
  <c r="AB150" i="6" s="1"/>
  <c r="AC150" i="6" s="1"/>
  <c r="AA298" i="6"/>
  <c r="AB298" i="6" s="1"/>
  <c r="AC298" i="6" s="1"/>
  <c r="Y355" i="6"/>
  <c r="L32" i="7"/>
  <c r="J32" i="7"/>
  <c r="AA225" i="6"/>
  <c r="AB225" i="6" s="1"/>
  <c r="AC225" i="6" s="1"/>
  <c r="AA303" i="6"/>
  <c r="AB303" i="6" s="1"/>
  <c r="AC303" i="6" s="1"/>
  <c r="V33" i="7"/>
  <c r="T33" i="7"/>
  <c r="Z355" i="8"/>
  <c r="AA190" i="8"/>
  <c r="AB190" i="8" s="1"/>
  <c r="AC190" i="8" s="1"/>
  <c r="BC151" i="7"/>
  <c r="BD151" i="7" s="1"/>
  <c r="BA151" i="7"/>
  <c r="BC207" i="7"/>
  <c r="BD207" i="7" s="1"/>
  <c r="BA207" i="7"/>
  <c r="BC215" i="7"/>
  <c r="BD215" i="7" s="1"/>
  <c r="BA215" i="7"/>
  <c r="BC223" i="7"/>
  <c r="BD223" i="7" s="1"/>
  <c r="BA223" i="7"/>
  <c r="AA263" i="8"/>
  <c r="AB263" i="8" s="1"/>
  <c r="AC263" i="8" s="1"/>
  <c r="X357" i="9"/>
  <c r="X358" i="9" s="1"/>
  <c r="BC155" i="8"/>
  <c r="BD155" i="8" s="1"/>
  <c r="BA155" i="8"/>
  <c r="BC197" i="8"/>
  <c r="BD197" i="8" s="1"/>
  <c r="BA197" i="8"/>
  <c r="BC245" i="8"/>
  <c r="BD245" i="8" s="1"/>
  <c r="BA245" i="8"/>
  <c r="BC289" i="8"/>
  <c r="BD289" i="8" s="1"/>
  <c r="BA289" i="8"/>
  <c r="BA150" i="8"/>
  <c r="BC150" i="8"/>
  <c r="BD150" i="8" s="1"/>
  <c r="BA280" i="8"/>
  <c r="BC280" i="8"/>
  <c r="BD280" i="8" s="1"/>
  <c r="AA307" i="8"/>
  <c r="AB307" i="8" s="1"/>
  <c r="AC307" i="8" s="1"/>
  <c r="AA330" i="8"/>
  <c r="AB330" i="8" s="1"/>
  <c r="AC330" i="8" s="1"/>
  <c r="J31" i="9"/>
  <c r="L31" i="9"/>
  <c r="J35" i="9"/>
  <c r="L35" i="9"/>
  <c r="BA172" i="9"/>
  <c r="BC172" i="9"/>
  <c r="BD172" i="9" s="1"/>
  <c r="BA192" i="9"/>
  <c r="BC192" i="9"/>
  <c r="BD192" i="9" s="1"/>
  <c r="BA145" i="9"/>
  <c r="BC145" i="9"/>
  <c r="BD145" i="9" s="1"/>
  <c r="J34" i="9"/>
  <c r="L34" i="9"/>
  <c r="T37" i="9"/>
  <c r="V37" i="9"/>
  <c r="T38" i="10"/>
  <c r="V38" i="10"/>
  <c r="BA215" i="10"/>
  <c r="BC215" i="10"/>
  <c r="BD215" i="10" s="1"/>
  <c r="BC230" i="10"/>
  <c r="BD230" i="10" s="1"/>
  <c r="BA230" i="10"/>
  <c r="BA186" i="10"/>
  <c r="BC186" i="10"/>
  <c r="BD186" i="10" s="1"/>
  <c r="BC232" i="10"/>
  <c r="BD232" i="10" s="1"/>
  <c r="BA232" i="10"/>
  <c r="T36" i="10"/>
  <c r="V36" i="10"/>
  <c r="BC171" i="11"/>
  <c r="BD171" i="11" s="1"/>
  <c r="BA171" i="11"/>
  <c r="BC147" i="11"/>
  <c r="BD147" i="11" s="1"/>
  <c r="BA147" i="11"/>
  <c r="BC180" i="11"/>
  <c r="BD180" i="11" s="1"/>
  <c r="BA180" i="11"/>
  <c r="BC187" i="11"/>
  <c r="BD187" i="11" s="1"/>
  <c r="BA187" i="11"/>
  <c r="BC212" i="11"/>
  <c r="BD212" i="11" s="1"/>
  <c r="BA212" i="11"/>
  <c r="M85" i="2"/>
  <c r="M73" i="3"/>
  <c r="M72" i="2"/>
  <c r="M84" i="4"/>
  <c r="AF495" i="3"/>
  <c r="AF496" i="3" s="1"/>
  <c r="AF493" i="3"/>
  <c r="AF494" i="3" s="1"/>
  <c r="M513" i="4"/>
  <c r="M71" i="5"/>
  <c r="N511" i="4"/>
  <c r="AF493" i="4"/>
  <c r="AF494" i="4" s="1"/>
  <c r="AF495" i="4"/>
  <c r="AF496" i="4" s="1"/>
  <c r="H477" i="4"/>
  <c r="H509" i="4"/>
  <c r="T472" i="4"/>
  <c r="AF493" i="5"/>
  <c r="AF494" i="5" s="1"/>
  <c r="AF495" i="5"/>
  <c r="AF496" i="5" s="1"/>
  <c r="M72" i="6"/>
  <c r="AL456" i="6"/>
  <c r="O515" i="6"/>
  <c r="M70" i="7"/>
  <c r="G70" i="7"/>
  <c r="N70" i="7" s="1"/>
  <c r="M74" i="7"/>
  <c r="M515" i="6"/>
  <c r="M71" i="7"/>
  <c r="T464" i="7"/>
  <c r="H536" i="7" s="1"/>
  <c r="H538" i="7" s="1"/>
  <c r="T465" i="7"/>
  <c r="I536" i="7" s="1"/>
  <c r="I538" i="7" s="1"/>
  <c r="T463" i="7"/>
  <c r="G536" i="7" s="1"/>
  <c r="G538" i="7" s="1"/>
  <c r="I511" i="7"/>
  <c r="J511" i="7"/>
  <c r="O515" i="7"/>
  <c r="M82" i="9"/>
  <c r="AL486" i="9"/>
  <c r="K78" i="10"/>
  <c r="I78" i="10" s="1"/>
  <c r="K12" i="10"/>
  <c r="N515" i="10"/>
  <c r="D78" i="11"/>
  <c r="N516" i="10"/>
  <c r="O512" i="10"/>
  <c r="O514" i="11"/>
  <c r="M516" i="11"/>
  <c r="BB157" i="2"/>
  <c r="BF157" i="2"/>
  <c r="J27" i="2"/>
  <c r="L27" i="2"/>
  <c r="AA195" i="4"/>
  <c r="AB195" i="4" s="1"/>
  <c r="AC195" i="4" s="1"/>
  <c r="W354" i="2"/>
  <c r="L29" i="2"/>
  <c r="J29" i="2"/>
  <c r="AA178" i="3"/>
  <c r="AB178" i="3" s="1"/>
  <c r="AC178" i="3" s="1"/>
  <c r="T31" i="3"/>
  <c r="V31" i="3"/>
  <c r="AA280" i="3"/>
  <c r="AB280" i="3" s="1"/>
  <c r="AC280" i="3" s="1"/>
  <c r="T34" i="3"/>
  <c r="V34" i="3"/>
  <c r="AA272" i="4"/>
  <c r="AB272" i="4" s="1"/>
  <c r="AC272" i="4" s="1"/>
  <c r="AA320" i="3"/>
  <c r="AB320" i="3" s="1"/>
  <c r="AC320" i="3" s="1"/>
  <c r="AA305" i="4"/>
  <c r="AB305" i="4" s="1"/>
  <c r="AC305" i="4" s="1"/>
  <c r="J36" i="4"/>
  <c r="L36" i="4"/>
  <c r="AA160" i="6"/>
  <c r="AB160" i="6" s="1"/>
  <c r="AC160" i="6" s="1"/>
  <c r="AA256" i="6"/>
  <c r="AB256" i="6" s="1"/>
  <c r="AC256" i="6" s="1"/>
  <c r="E524" i="5"/>
  <c r="AZ457" i="5"/>
  <c r="T27" i="6"/>
  <c r="V27" i="6"/>
  <c r="AA324" i="6"/>
  <c r="AB324" i="6" s="1"/>
  <c r="AC324" i="6" s="1"/>
  <c r="J31" i="6"/>
  <c r="L31" i="6"/>
  <c r="AA230" i="6"/>
  <c r="AB230" i="6" s="1"/>
  <c r="AC230" i="6" s="1"/>
  <c r="AA308" i="6"/>
  <c r="AB308" i="6" s="1"/>
  <c r="AC308" i="6" s="1"/>
  <c r="BA239" i="7"/>
  <c r="BC239" i="7"/>
  <c r="BD239" i="7" s="1"/>
  <c r="BC181" i="7"/>
  <c r="BD181" i="7" s="1"/>
  <c r="BA181" i="7"/>
  <c r="BC189" i="7"/>
  <c r="BD189" i="7" s="1"/>
  <c r="BA189" i="7"/>
  <c r="BC197" i="7"/>
  <c r="BD197" i="7" s="1"/>
  <c r="BA197" i="7"/>
  <c r="V356" i="8"/>
  <c r="V358" i="8" s="1"/>
  <c r="Z356" i="9"/>
  <c r="Z358" i="9" s="1"/>
  <c r="BC241" i="8"/>
  <c r="BD241" i="8" s="1"/>
  <c r="BA241" i="8"/>
  <c r="AA258" i="8"/>
  <c r="AB258" i="8" s="1"/>
  <c r="AC258" i="8" s="1"/>
  <c r="BC267" i="8"/>
  <c r="BD267" i="8" s="1"/>
  <c r="BA267" i="8"/>
  <c r="AA296" i="8"/>
  <c r="AB296" i="8" s="1"/>
  <c r="AC296" i="8" s="1"/>
  <c r="X357" i="8"/>
  <c r="X358" i="8" s="1"/>
  <c r="BA164" i="8"/>
  <c r="BC164" i="8"/>
  <c r="BD164" i="8" s="1"/>
  <c r="BA206" i="8"/>
  <c r="BC206" i="8"/>
  <c r="BD206" i="8" s="1"/>
  <c r="AA302" i="8"/>
  <c r="AB302" i="8" s="1"/>
  <c r="AC302" i="8" s="1"/>
  <c r="AC200" i="8"/>
  <c r="BA163" i="8"/>
  <c r="BC163" i="8"/>
  <c r="BD163" i="8" s="1"/>
  <c r="BA171" i="8"/>
  <c r="BC171" i="8"/>
  <c r="BD171" i="8" s="1"/>
  <c r="BA179" i="8"/>
  <c r="BC179" i="8"/>
  <c r="BD179" i="8" s="1"/>
  <c r="BA187" i="8"/>
  <c r="BC187" i="8"/>
  <c r="BD187" i="8" s="1"/>
  <c r="BA195" i="8"/>
  <c r="BC195" i="8"/>
  <c r="BD195" i="8" s="1"/>
  <c r="BA203" i="8"/>
  <c r="BC203" i="8"/>
  <c r="BD203" i="8" s="1"/>
  <c r="BA227" i="9"/>
  <c r="BC227" i="9"/>
  <c r="BD227" i="9" s="1"/>
  <c r="AA151" i="9"/>
  <c r="AB151" i="9" s="1"/>
  <c r="AC151" i="9" s="1"/>
  <c r="AA337" i="8"/>
  <c r="AB337" i="8" s="1"/>
  <c r="AC337" i="8" s="1"/>
  <c r="BA150" i="9"/>
  <c r="BC150" i="9"/>
  <c r="BD150" i="9" s="1"/>
  <c r="AA163" i="9"/>
  <c r="AB163" i="9" s="1"/>
  <c r="AC163" i="9" s="1"/>
  <c r="J23" i="9"/>
  <c r="L23" i="9"/>
  <c r="M23" i="9" s="1"/>
  <c r="M24" i="9" s="1"/>
  <c r="BA171" i="9"/>
  <c r="BC171" i="9"/>
  <c r="BD171" i="9" s="1"/>
  <c r="AA210" i="9"/>
  <c r="AB210" i="9" s="1"/>
  <c r="AC210" i="9" s="1"/>
  <c r="AA280" i="9"/>
  <c r="AB280" i="9" s="1"/>
  <c r="AC280" i="9" s="1"/>
  <c r="T36" i="9"/>
  <c r="V36" i="9"/>
  <c r="T27" i="10"/>
  <c r="V27" i="10"/>
  <c r="BA193" i="10"/>
  <c r="BC193" i="10"/>
  <c r="BD193" i="10" s="1"/>
  <c r="BC217" i="10"/>
  <c r="BD217" i="10" s="1"/>
  <c r="BA217" i="10"/>
  <c r="J32" i="10"/>
  <c r="L32" i="10"/>
  <c r="BA202" i="10"/>
  <c r="BC202" i="10"/>
  <c r="BD202" i="10" s="1"/>
  <c r="BC262" i="10"/>
  <c r="BD262" i="10" s="1"/>
  <c r="BA262" i="10"/>
  <c r="V23" i="11"/>
  <c r="W23" i="11" s="1"/>
  <c r="W24" i="11" s="1"/>
  <c r="T23" i="11"/>
  <c r="BC163" i="11"/>
  <c r="BD163" i="11" s="1"/>
  <c r="BA163" i="11"/>
  <c r="BC239" i="11"/>
  <c r="BD239" i="11" s="1"/>
  <c r="BA239" i="11"/>
  <c r="BA196" i="11"/>
  <c r="BC196" i="11"/>
  <c r="BD196" i="11" s="1"/>
  <c r="BA152" i="11"/>
  <c r="BC152" i="11"/>
  <c r="BD152" i="11" s="1"/>
  <c r="BA170" i="11"/>
  <c r="BC170" i="11"/>
  <c r="BD170" i="11" s="1"/>
  <c r="G71" i="3"/>
  <c r="N71" i="3" s="1"/>
  <c r="M71" i="3"/>
  <c r="M84" i="9"/>
  <c r="BA221" i="3"/>
  <c r="BC221" i="3"/>
  <c r="BD221" i="3" s="1"/>
  <c r="BC195" i="3"/>
  <c r="BD195" i="3" s="1"/>
  <c r="BA195" i="3"/>
  <c r="BC232" i="3"/>
  <c r="BD232" i="3" s="1"/>
  <c r="BA232" i="3"/>
  <c r="BC275" i="3"/>
  <c r="BD275" i="3" s="1"/>
  <c r="BA275" i="3"/>
  <c r="BC299" i="3"/>
  <c r="BD299" i="3" s="1"/>
  <c r="BA299" i="3"/>
  <c r="BA238" i="3"/>
  <c r="BC238" i="3"/>
  <c r="BD238" i="3" s="1"/>
  <c r="BA337" i="3"/>
  <c r="BC337" i="3"/>
  <c r="BD337" i="3" s="1"/>
  <c r="BA180" i="6"/>
  <c r="BC180" i="6"/>
  <c r="BD180" i="6" s="1"/>
  <c r="BA196" i="6"/>
  <c r="BC196" i="6"/>
  <c r="BD196" i="6" s="1"/>
  <c r="BC197" i="6"/>
  <c r="BD197" i="6" s="1"/>
  <c r="BA197" i="6"/>
  <c r="BA209" i="6"/>
  <c r="BC209" i="6"/>
  <c r="BD209" i="6" s="1"/>
  <c r="BA287" i="6"/>
  <c r="BC287" i="6"/>
  <c r="BD287" i="6" s="1"/>
  <c r="BA331" i="6"/>
  <c r="BC331" i="6"/>
  <c r="BD331" i="6" s="1"/>
  <c r="BC178" i="6"/>
  <c r="BD178" i="6" s="1"/>
  <c r="BA178" i="6"/>
  <c r="BC212" i="6"/>
  <c r="BD212" i="6" s="1"/>
  <c r="BA212" i="6"/>
  <c r="BC242" i="6"/>
  <c r="BD242" i="6" s="1"/>
  <c r="BA242" i="6"/>
  <c r="BC278" i="6"/>
  <c r="BD278" i="6" s="1"/>
  <c r="BA278" i="6"/>
  <c r="BC334" i="6"/>
  <c r="BD334" i="6" s="1"/>
  <c r="BA334" i="6"/>
  <c r="BC297" i="7"/>
  <c r="BD297" i="7" s="1"/>
  <c r="BA297" i="7"/>
  <c r="BC333" i="7"/>
  <c r="BD333" i="7" s="1"/>
  <c r="BA333" i="7"/>
  <c r="BC344" i="7"/>
  <c r="BD344" i="7" s="1"/>
  <c r="BA344" i="7"/>
  <c r="BA319" i="8"/>
  <c r="BC319" i="8"/>
  <c r="BD319" i="8" s="1"/>
  <c r="BC316" i="8"/>
  <c r="BD316" i="8" s="1"/>
  <c r="BA316" i="8"/>
  <c r="BC317" i="8"/>
  <c r="BD317" i="8" s="1"/>
  <c r="BA317" i="8"/>
  <c r="BC148" i="9"/>
  <c r="BD148" i="9" s="1"/>
  <c r="BA148" i="9"/>
  <c r="BC178" i="9"/>
  <c r="BD178" i="9" s="1"/>
  <c r="BA178" i="9"/>
  <c r="BA213" i="9"/>
  <c r="BC213" i="9"/>
  <c r="BD213" i="9" s="1"/>
  <c r="BA239" i="9"/>
  <c r="BC239" i="9"/>
  <c r="BD239" i="9" s="1"/>
  <c r="BA261" i="9"/>
  <c r="BC261" i="9"/>
  <c r="BD261" i="9" s="1"/>
  <c r="BA275" i="9"/>
  <c r="BC275" i="9"/>
  <c r="BD275" i="9" s="1"/>
  <c r="BA315" i="9"/>
  <c r="BC315" i="9"/>
  <c r="BD315" i="9" s="1"/>
  <c r="BC234" i="9"/>
  <c r="BD234" i="9" s="1"/>
  <c r="BA234" i="9"/>
  <c r="BC268" i="9"/>
  <c r="BD268" i="9" s="1"/>
  <c r="BA268" i="9"/>
  <c r="BA289" i="9"/>
  <c r="BC289" i="9"/>
  <c r="BD289" i="9" s="1"/>
  <c r="BC203" i="10"/>
  <c r="BD203" i="10" s="1"/>
  <c r="BA203" i="10"/>
  <c r="BA252" i="10"/>
  <c r="BC252" i="10"/>
  <c r="BD252" i="10" s="1"/>
  <c r="BA268" i="10"/>
  <c r="BC268" i="10"/>
  <c r="BD268" i="10" s="1"/>
  <c r="BC319" i="10"/>
  <c r="BD319" i="10" s="1"/>
  <c r="BA319" i="10"/>
  <c r="BA340" i="10"/>
  <c r="BC340" i="10"/>
  <c r="BD340" i="10" s="1"/>
  <c r="BC290" i="10"/>
  <c r="BD290" i="10" s="1"/>
  <c r="BA290" i="10"/>
  <c r="BC327" i="10"/>
  <c r="BD327" i="10" s="1"/>
  <c r="BA327" i="10"/>
  <c r="BC201" i="11"/>
  <c r="BD201" i="11" s="1"/>
  <c r="BA201" i="11"/>
  <c r="BA206" i="11"/>
  <c r="BC206" i="11"/>
  <c r="BD206" i="11" s="1"/>
  <c r="BC296" i="11"/>
  <c r="BD296" i="11" s="1"/>
  <c r="BA296" i="11"/>
  <c r="BA260" i="11"/>
  <c r="BC260" i="11"/>
  <c r="BD260" i="11" s="1"/>
  <c r="BA287" i="11"/>
  <c r="BC287" i="11"/>
  <c r="BD287" i="11" s="1"/>
  <c r="BC313" i="11"/>
  <c r="BD313" i="11" s="1"/>
  <c r="BA313" i="11"/>
  <c r="M81" i="2"/>
  <c r="G81" i="2"/>
  <c r="N81" i="2" s="1"/>
  <c r="M71" i="6"/>
  <c r="M83" i="11"/>
  <c r="BC189" i="6"/>
  <c r="BD189" i="6" s="1"/>
  <c r="BA189" i="6"/>
  <c r="BC298" i="6"/>
  <c r="BD298" i="6" s="1"/>
  <c r="BA298" i="6"/>
  <c r="BC346" i="6"/>
  <c r="BD346" i="6" s="1"/>
  <c r="BA346" i="6"/>
  <c r="BC309" i="7"/>
  <c r="BD309" i="7" s="1"/>
  <c r="BA309" i="7"/>
  <c r="BA348" i="7"/>
  <c r="BC348" i="7"/>
  <c r="BD348" i="7" s="1"/>
  <c r="BC158" i="8"/>
  <c r="BD158" i="8" s="1"/>
  <c r="BA158" i="8"/>
  <c r="BC190" i="8"/>
  <c r="BD190" i="8" s="1"/>
  <c r="BA190" i="8"/>
  <c r="BC234" i="8"/>
  <c r="BD234" i="8" s="1"/>
  <c r="BA234" i="8"/>
  <c r="BC282" i="8"/>
  <c r="BD282" i="8" s="1"/>
  <c r="BA282" i="8"/>
  <c r="BA296" i="8"/>
  <c r="BC296" i="8"/>
  <c r="BD296" i="8" s="1"/>
  <c r="BC350" i="8"/>
  <c r="BD350" i="8" s="1"/>
  <c r="BA350" i="8"/>
  <c r="BA345" i="8"/>
  <c r="BC345" i="8"/>
  <c r="BD345" i="8" s="1"/>
  <c r="BC195" i="10"/>
  <c r="BD195" i="10" s="1"/>
  <c r="BA195" i="10"/>
  <c r="M84" i="6"/>
  <c r="Y355" i="4"/>
  <c r="BC339" i="4"/>
  <c r="BD339" i="4" s="1"/>
  <c r="BA339" i="4"/>
  <c r="BC347" i="4"/>
  <c r="BD347" i="4" s="1"/>
  <c r="BA347" i="4"/>
  <c r="BA344" i="5"/>
  <c r="BC344" i="5"/>
  <c r="BD344" i="5" s="1"/>
  <c r="Z354" i="6"/>
  <c r="X356" i="2"/>
  <c r="X358" i="2" s="1"/>
  <c r="BA217" i="3"/>
  <c r="BC217" i="3"/>
  <c r="BD217" i="3" s="1"/>
  <c r="BC253" i="3"/>
  <c r="BD253" i="3" s="1"/>
  <c r="BA253" i="3"/>
  <c r="BC265" i="3"/>
  <c r="BD265" i="3" s="1"/>
  <c r="BA265" i="3"/>
  <c r="BC262" i="3"/>
  <c r="BD262" i="3" s="1"/>
  <c r="BA262" i="3"/>
  <c r="BC280" i="3"/>
  <c r="BD280" i="3" s="1"/>
  <c r="BA280" i="3"/>
  <c r="BC300" i="3"/>
  <c r="BD300" i="3" s="1"/>
  <c r="BA300" i="3"/>
  <c r="BC336" i="3"/>
  <c r="BD336" i="3" s="1"/>
  <c r="BA336" i="3"/>
  <c r="BC175" i="4"/>
  <c r="BD175" i="4" s="1"/>
  <c r="BA175" i="4"/>
  <c r="BC225" i="4"/>
  <c r="BD225" i="4" s="1"/>
  <c r="BA225" i="4"/>
  <c r="BC249" i="4"/>
  <c r="BD249" i="4" s="1"/>
  <c r="BA249" i="4"/>
  <c r="BC207" i="6"/>
  <c r="BD207" i="6" s="1"/>
  <c r="BA207" i="6"/>
  <c r="BC230" i="6"/>
  <c r="BD230" i="6" s="1"/>
  <c r="BA230" i="6"/>
  <c r="BC268" i="6"/>
  <c r="BD268" i="6" s="1"/>
  <c r="BA268" i="6"/>
  <c r="BC294" i="6"/>
  <c r="BD294" i="6" s="1"/>
  <c r="BA294" i="6"/>
  <c r="BC312" i="6"/>
  <c r="BD312" i="6" s="1"/>
  <c r="BA312" i="6"/>
  <c r="BC350" i="6"/>
  <c r="BD350" i="6" s="1"/>
  <c r="BA350" i="6"/>
  <c r="BC301" i="7"/>
  <c r="BD301" i="7" s="1"/>
  <c r="BA301" i="7"/>
  <c r="BC351" i="7"/>
  <c r="BD351" i="7" s="1"/>
  <c r="BA351" i="7"/>
  <c r="BC166" i="8"/>
  <c r="BD166" i="8" s="1"/>
  <c r="BA166" i="8"/>
  <c r="BC198" i="8"/>
  <c r="BD198" i="8" s="1"/>
  <c r="BA198" i="8"/>
  <c r="BC242" i="8"/>
  <c r="BD242" i="8" s="1"/>
  <c r="BA242" i="8"/>
  <c r="BC268" i="8"/>
  <c r="BD268" i="8" s="1"/>
  <c r="BA268" i="8"/>
  <c r="BC290" i="8"/>
  <c r="BD290" i="8" s="1"/>
  <c r="BA290" i="8"/>
  <c r="BA333" i="8"/>
  <c r="BC333" i="8"/>
  <c r="BD333" i="8" s="1"/>
  <c r="BC215" i="9"/>
  <c r="BD215" i="9" s="1"/>
  <c r="BA215" i="9"/>
  <c r="BC255" i="9"/>
  <c r="BD255" i="9" s="1"/>
  <c r="BA255" i="9"/>
  <c r="BA226" i="9"/>
  <c r="BC226" i="9"/>
  <c r="BD226" i="9" s="1"/>
  <c r="BC199" i="9"/>
  <c r="BD199" i="9" s="1"/>
  <c r="BA199" i="9"/>
  <c r="BC299" i="9"/>
  <c r="BD299" i="9" s="1"/>
  <c r="BA299" i="9"/>
  <c r="BA316" i="9"/>
  <c r="BC316" i="9"/>
  <c r="BD316" i="9" s="1"/>
  <c r="BC343" i="9"/>
  <c r="BD343" i="9" s="1"/>
  <c r="BA343" i="9"/>
  <c r="BA334" i="9"/>
  <c r="BC334" i="9"/>
  <c r="BD334" i="9" s="1"/>
  <c r="BA248" i="10"/>
  <c r="BC248" i="10"/>
  <c r="BD248" i="10" s="1"/>
  <c r="BA264" i="10"/>
  <c r="BC264" i="10"/>
  <c r="BD264" i="10" s="1"/>
  <c r="BA282" i="10"/>
  <c r="BC282" i="10"/>
  <c r="BD282" i="10" s="1"/>
  <c r="BC219" i="11"/>
  <c r="BD219" i="11" s="1"/>
  <c r="BA219" i="11"/>
  <c r="BC261" i="11"/>
  <c r="BD261" i="11" s="1"/>
  <c r="BA261" i="11"/>
  <c r="BC300" i="11"/>
  <c r="BD300" i="11" s="1"/>
  <c r="BA300" i="11"/>
  <c r="BA316" i="11"/>
  <c r="BC316" i="11"/>
  <c r="BD316" i="11" s="1"/>
  <c r="BC292" i="11"/>
  <c r="BD292" i="11" s="1"/>
  <c r="BA292" i="11"/>
  <c r="BA312" i="11"/>
  <c r="BC312" i="11"/>
  <c r="BD312" i="11" s="1"/>
  <c r="BA335" i="11"/>
  <c r="BC335" i="11"/>
  <c r="BD335" i="11" s="1"/>
  <c r="BA325" i="11"/>
  <c r="BC325" i="11"/>
  <c r="BD325" i="11" s="1"/>
  <c r="G477" i="2"/>
  <c r="G509" i="2"/>
  <c r="S472" i="2"/>
  <c r="O512" i="3"/>
  <c r="L512" i="2"/>
  <c r="M81" i="3"/>
  <c r="G81" i="3"/>
  <c r="N81" i="3" s="1"/>
  <c r="M85" i="3"/>
  <c r="G477" i="3"/>
  <c r="G509" i="3"/>
  <c r="S472" i="3"/>
  <c r="M515" i="4"/>
  <c r="O511" i="5"/>
  <c r="M83" i="5"/>
  <c r="AF466" i="4"/>
  <c r="AF467" i="4" s="1"/>
  <c r="AF464" i="4"/>
  <c r="AF465" i="4" s="1"/>
  <c r="AF466" i="5"/>
  <c r="AF467" i="5" s="1"/>
  <c r="AF464" i="5"/>
  <c r="AF465" i="5" s="1"/>
  <c r="T495" i="6"/>
  <c r="T494" i="6"/>
  <c r="T496" i="6"/>
  <c r="J512" i="7"/>
  <c r="I512" i="7"/>
  <c r="K518" i="7"/>
  <c r="P518" i="7" s="1"/>
  <c r="M83" i="8"/>
  <c r="AF466" i="7"/>
  <c r="AF467" i="7" s="1"/>
  <c r="AF464" i="7"/>
  <c r="AF465" i="7" s="1"/>
  <c r="M81" i="9"/>
  <c r="G81" i="9"/>
  <c r="N81" i="9" s="1"/>
  <c r="M85" i="9"/>
  <c r="D509" i="9"/>
  <c r="O469" i="9"/>
  <c r="E526" i="9" s="1"/>
  <c r="O468" i="9"/>
  <c r="D526" i="9" s="1"/>
  <c r="K468" i="9"/>
  <c r="K469" i="9" s="1"/>
  <c r="K470" i="9"/>
  <c r="K471" i="9" s="1"/>
  <c r="D477" i="9"/>
  <c r="T467" i="9"/>
  <c r="T466" i="9"/>
  <c r="T468" i="9"/>
  <c r="AF493" i="10"/>
  <c r="AF494" i="10" s="1"/>
  <c r="AF495" i="10"/>
  <c r="AF496" i="10" s="1"/>
  <c r="M511" i="10"/>
  <c r="T491" i="10"/>
  <c r="J537" i="10" s="1"/>
  <c r="J538" i="10" s="1"/>
  <c r="T493" i="10"/>
  <c r="L537" i="10" s="1"/>
  <c r="L538" i="10" s="1"/>
  <c r="T492" i="10"/>
  <c r="K537" i="10" s="1"/>
  <c r="K538" i="10" s="1"/>
  <c r="M84" i="11"/>
  <c r="K516" i="11"/>
  <c r="P516" i="11" s="1"/>
  <c r="G509" i="11"/>
  <c r="G477" i="11"/>
  <c r="S472" i="11"/>
  <c r="K517" i="11"/>
  <c r="P517" i="11" s="1"/>
  <c r="V36" i="2"/>
  <c r="T36" i="2"/>
  <c r="T22" i="3"/>
  <c r="V22" i="3"/>
  <c r="W22" i="3" s="1"/>
  <c r="L22" i="2"/>
  <c r="M22" i="2" s="1"/>
  <c r="J22" i="2"/>
  <c r="L24" i="2"/>
  <c r="J24" i="2"/>
  <c r="L37" i="2"/>
  <c r="J37" i="2"/>
  <c r="AA309" i="3"/>
  <c r="AB309" i="3" s="1"/>
  <c r="AC309" i="3" s="1"/>
  <c r="AA325" i="3"/>
  <c r="AB325" i="3" s="1"/>
  <c r="AC325" i="3" s="1"/>
  <c r="AA266" i="4"/>
  <c r="AB266" i="4" s="1"/>
  <c r="AC266" i="4" s="1"/>
  <c r="AA212" i="3"/>
  <c r="AB212" i="3" s="1"/>
  <c r="AC212" i="3" s="1"/>
  <c r="X356" i="6"/>
  <c r="X358" i="6" s="1"/>
  <c r="X357" i="6"/>
  <c r="X354" i="6"/>
  <c r="X355" i="6"/>
  <c r="AA149" i="6"/>
  <c r="AB149" i="6" s="1"/>
  <c r="AC149" i="6" s="1"/>
  <c r="BA217" i="5"/>
  <c r="BC217" i="5"/>
  <c r="BD217" i="5" s="1"/>
  <c r="BA243" i="5"/>
  <c r="BC243" i="5"/>
  <c r="BD243" i="5" s="1"/>
  <c r="BC155" i="6"/>
  <c r="BD155" i="6" s="1"/>
  <c r="BA155" i="6"/>
  <c r="BC173" i="6"/>
  <c r="BD173" i="6" s="1"/>
  <c r="BA173" i="6"/>
  <c r="AA289" i="6"/>
  <c r="AB289" i="6" s="1"/>
  <c r="AC289" i="6" s="1"/>
  <c r="V38" i="7"/>
  <c r="T38" i="7"/>
  <c r="L23" i="7"/>
  <c r="M23" i="7" s="1"/>
  <c r="J23" i="7"/>
  <c r="AA179" i="6"/>
  <c r="AB179" i="6" s="1"/>
  <c r="AC179" i="6" s="1"/>
  <c r="BA202" i="7"/>
  <c r="BC202" i="7"/>
  <c r="BD202" i="7" s="1"/>
  <c r="BC251" i="7"/>
  <c r="BD251" i="7" s="1"/>
  <c r="BA251" i="7"/>
  <c r="BC259" i="7"/>
  <c r="BD259" i="7" s="1"/>
  <c r="BA259" i="7"/>
  <c r="BC267" i="7"/>
  <c r="BD267" i="7" s="1"/>
  <c r="BA267" i="7"/>
  <c r="J24" i="8"/>
  <c r="L24" i="8"/>
  <c r="J32" i="8"/>
  <c r="L32" i="8"/>
  <c r="L38" i="7"/>
  <c r="J38" i="7"/>
  <c r="BA196" i="8"/>
  <c r="BC196" i="8"/>
  <c r="BD196" i="8" s="1"/>
  <c r="J36" i="9"/>
  <c r="L36" i="9"/>
  <c r="Y355" i="9"/>
  <c r="Y356" i="9"/>
  <c r="Y358" i="9" s="1"/>
  <c r="Y357" i="9"/>
  <c r="Y354" i="9"/>
  <c r="T27" i="9"/>
  <c r="V27" i="9"/>
  <c r="W27" i="9" s="1"/>
  <c r="W28" i="9" s="1"/>
  <c r="J27" i="9"/>
  <c r="L27" i="9"/>
  <c r="AA214" i="9"/>
  <c r="AB214" i="9" s="1"/>
  <c r="AC214" i="9" s="1"/>
  <c r="AA240" i="9"/>
  <c r="AB240" i="9" s="1"/>
  <c r="AC240" i="9" s="1"/>
  <c r="J29" i="10"/>
  <c r="L29" i="10"/>
  <c r="M29" i="10" s="1"/>
  <c r="BC171" i="10"/>
  <c r="BD171" i="10" s="1"/>
  <c r="BA171" i="10"/>
  <c r="BC179" i="10"/>
  <c r="BD179" i="10" s="1"/>
  <c r="BA179" i="10"/>
  <c r="BC280" i="10"/>
  <c r="BD280" i="10" s="1"/>
  <c r="BA280" i="10"/>
  <c r="V30" i="11"/>
  <c r="T30" i="11"/>
  <c r="T468" i="10"/>
  <c r="T467" i="10"/>
  <c r="T466" i="10"/>
  <c r="L25" i="11"/>
  <c r="J25" i="11"/>
  <c r="L27" i="11"/>
  <c r="J27" i="11"/>
  <c r="BA162" i="11"/>
  <c r="BC162" i="11"/>
  <c r="BD162" i="11" s="1"/>
  <c r="BC154" i="11"/>
  <c r="BD154" i="11" s="1"/>
  <c r="BA154" i="11"/>
  <c r="L36" i="11"/>
  <c r="J36" i="11"/>
  <c r="V36" i="11"/>
  <c r="T36" i="11"/>
  <c r="F477" i="2"/>
  <c r="F509" i="2"/>
  <c r="R472" i="2"/>
  <c r="M87" i="2"/>
  <c r="F88" i="2"/>
  <c r="M88" i="2" s="1"/>
  <c r="P516" i="3"/>
  <c r="P518" i="3"/>
  <c r="M512" i="4"/>
  <c r="J512" i="5"/>
  <c r="I512" i="5"/>
  <c r="AL478" i="6"/>
  <c r="D89" i="6"/>
  <c r="F81" i="6"/>
  <c r="L70" i="6"/>
  <c r="F70" i="6"/>
  <c r="AF493" i="6"/>
  <c r="AF494" i="6" s="1"/>
  <c r="AF495" i="6"/>
  <c r="AF496" i="6" s="1"/>
  <c r="M72" i="7"/>
  <c r="F477" i="7"/>
  <c r="F509" i="7"/>
  <c r="R472" i="7"/>
  <c r="H477" i="8"/>
  <c r="H509" i="8"/>
  <c r="T472" i="8"/>
  <c r="O511" i="9"/>
  <c r="D477" i="10"/>
  <c r="D509" i="10"/>
  <c r="O469" i="10"/>
  <c r="E526" i="10" s="1"/>
  <c r="O468" i="10"/>
  <c r="D526" i="10" s="1"/>
  <c r="K468" i="10"/>
  <c r="K469" i="10" s="1"/>
  <c r="K470" i="10"/>
  <c r="K471" i="10" s="1"/>
  <c r="O516" i="10"/>
  <c r="L517" i="11"/>
  <c r="Y354" i="2"/>
  <c r="Y355" i="2"/>
  <c r="Y356" i="2"/>
  <c r="Y358" i="2" s="1"/>
  <c r="Y357" i="2"/>
  <c r="V26" i="2"/>
  <c r="W26" i="2" s="1"/>
  <c r="T26" i="2"/>
  <c r="T28" i="3"/>
  <c r="V28" i="3"/>
  <c r="AA176" i="3"/>
  <c r="AB176" i="3" s="1"/>
  <c r="AC176" i="3" s="1"/>
  <c r="T32" i="3"/>
  <c r="V32" i="3"/>
  <c r="AA344" i="3"/>
  <c r="AB344" i="3" s="1"/>
  <c r="AC344" i="3" s="1"/>
  <c r="AA267" i="3"/>
  <c r="AB267" i="3" s="1"/>
  <c r="AC267" i="3" s="1"/>
  <c r="AA326" i="4"/>
  <c r="AB326" i="4" s="1"/>
  <c r="AC326" i="4" s="1"/>
  <c r="AA342" i="3"/>
  <c r="AB342" i="3" s="1"/>
  <c r="AC342" i="3" s="1"/>
  <c r="AA241" i="4"/>
  <c r="AB241" i="4" s="1"/>
  <c r="AC241" i="4" s="1"/>
  <c r="AA297" i="4"/>
  <c r="AB297" i="4" s="1"/>
  <c r="AC297" i="4" s="1"/>
  <c r="AC173" i="6"/>
  <c r="AA198" i="6"/>
  <c r="AB198" i="6" s="1"/>
  <c r="AC198" i="6" s="1"/>
  <c r="AA294" i="6"/>
  <c r="AB294" i="6" s="1"/>
  <c r="AC294" i="6" s="1"/>
  <c r="J26" i="6"/>
  <c r="L26" i="6"/>
  <c r="M26" i="6" s="1"/>
  <c r="M27" i="6" s="1"/>
  <c r="AA345" i="6"/>
  <c r="AB345" i="6" s="1"/>
  <c r="AC345" i="6" s="1"/>
  <c r="AA349" i="6"/>
  <c r="AB349" i="6" s="1"/>
  <c r="AC349" i="6" s="1"/>
  <c r="L25" i="7"/>
  <c r="J25" i="7"/>
  <c r="BA256" i="7"/>
  <c r="BC256" i="7"/>
  <c r="BD256" i="7" s="1"/>
  <c r="BA264" i="7"/>
  <c r="BC264" i="7"/>
  <c r="BD264" i="7" s="1"/>
  <c r="BA312" i="7"/>
  <c r="BC312" i="7"/>
  <c r="BD312" i="7" s="1"/>
  <c r="J33" i="8"/>
  <c r="L33" i="8"/>
  <c r="BC147" i="8"/>
  <c r="BD147" i="8" s="1"/>
  <c r="BA147" i="8"/>
  <c r="BC185" i="8"/>
  <c r="BD185" i="8" s="1"/>
  <c r="BA185" i="8"/>
  <c r="BC211" i="8"/>
  <c r="BD211" i="8" s="1"/>
  <c r="BA211" i="8"/>
  <c r="BC219" i="8"/>
  <c r="BD219" i="8" s="1"/>
  <c r="BA219" i="8"/>
  <c r="BC247" i="8"/>
  <c r="BD247" i="8" s="1"/>
  <c r="BA247" i="8"/>
  <c r="BC285" i="8"/>
  <c r="BD285" i="8" s="1"/>
  <c r="BA285" i="8"/>
  <c r="BA214" i="8"/>
  <c r="BC214" i="8"/>
  <c r="BD214" i="8" s="1"/>
  <c r="BA272" i="8"/>
  <c r="BC272" i="8"/>
  <c r="BD272" i="8" s="1"/>
  <c r="BA288" i="8"/>
  <c r="BC288" i="8"/>
  <c r="BD288" i="8" s="1"/>
  <c r="AA292" i="8"/>
  <c r="AB292" i="8" s="1"/>
  <c r="AC292" i="8" s="1"/>
  <c r="W356" i="9"/>
  <c r="W358" i="9" s="1"/>
  <c r="X360" i="9" s="1"/>
  <c r="J33" i="9"/>
  <c r="L33" i="9"/>
  <c r="AC183" i="9"/>
  <c r="BA159" i="9"/>
  <c r="BC159" i="9"/>
  <c r="BD159" i="9" s="1"/>
  <c r="T33" i="9"/>
  <c r="V33" i="9"/>
  <c r="AA228" i="9"/>
  <c r="AB228" i="9" s="1"/>
  <c r="AC228" i="9" s="1"/>
  <c r="BA328" i="10"/>
  <c r="BC328" i="10"/>
  <c r="BD328" i="10" s="1"/>
  <c r="BC225" i="10"/>
  <c r="BD225" i="10" s="1"/>
  <c r="BA225" i="10"/>
  <c r="BA165" i="10"/>
  <c r="BC165" i="10"/>
  <c r="BD165" i="10" s="1"/>
  <c r="BC145" i="10"/>
  <c r="BD145" i="10" s="1"/>
  <c r="BA145" i="10"/>
  <c r="BC153" i="10"/>
  <c r="BD153" i="10" s="1"/>
  <c r="BA153" i="10"/>
  <c r="BA218" i="10"/>
  <c r="BC218" i="10"/>
  <c r="BD218" i="10" s="1"/>
  <c r="BC167" i="11"/>
  <c r="BD167" i="11" s="1"/>
  <c r="BA167" i="11"/>
  <c r="L34" i="11"/>
  <c r="J34" i="11"/>
  <c r="BA226" i="11"/>
  <c r="BC226" i="11"/>
  <c r="BD226" i="11" s="1"/>
  <c r="BC193" i="11"/>
  <c r="BD193" i="11" s="1"/>
  <c r="BA193" i="11"/>
  <c r="BA178" i="11"/>
  <c r="BC178" i="11"/>
  <c r="BD178" i="11" s="1"/>
  <c r="BC176" i="11"/>
  <c r="BD176" i="11" s="1"/>
  <c r="BA176" i="11"/>
  <c r="V38" i="11"/>
  <c r="T38" i="11"/>
  <c r="M86" i="2"/>
  <c r="P518" i="2"/>
  <c r="E509" i="2"/>
  <c r="Q472" i="2"/>
  <c r="E477" i="2"/>
  <c r="M87" i="4"/>
  <c r="F88" i="4"/>
  <c r="M88" i="4" s="1"/>
  <c r="P510" i="4"/>
  <c r="M75" i="6"/>
  <c r="F85" i="5"/>
  <c r="L74" i="5"/>
  <c r="F74" i="5"/>
  <c r="F77" i="5" s="1"/>
  <c r="M77" i="5" s="1"/>
  <c r="N512" i="4"/>
  <c r="AL486" i="6"/>
  <c r="E477" i="6"/>
  <c r="E509" i="6"/>
  <c r="Q472" i="6"/>
  <c r="D509" i="6"/>
  <c r="O469" i="6"/>
  <c r="E526" i="6" s="1"/>
  <c r="O468" i="6"/>
  <c r="D526" i="6" s="1"/>
  <c r="K468" i="6"/>
  <c r="K469" i="6" s="1"/>
  <c r="D477" i="6"/>
  <c r="K470" i="6"/>
  <c r="K471" i="6" s="1"/>
  <c r="L514" i="6"/>
  <c r="M515" i="7"/>
  <c r="N511" i="7"/>
  <c r="AF493" i="7"/>
  <c r="AF494" i="7" s="1"/>
  <c r="AF495" i="7"/>
  <c r="AF496" i="7" s="1"/>
  <c r="J512" i="8"/>
  <c r="I512" i="8"/>
  <c r="L511" i="8"/>
  <c r="E509" i="9"/>
  <c r="E477" i="9"/>
  <c r="Q472" i="9"/>
  <c r="P514" i="9"/>
  <c r="N511" i="9"/>
  <c r="M512" i="9"/>
  <c r="N512" i="10"/>
  <c r="M86" i="11"/>
  <c r="AF466" i="11"/>
  <c r="AF467" i="11" s="1"/>
  <c r="AF464" i="11"/>
  <c r="AF465" i="11" s="1"/>
  <c r="O512" i="11"/>
  <c r="AC145" i="3"/>
  <c r="V356" i="3"/>
  <c r="V358" i="3" s="1"/>
  <c r="X360" i="3" s="1"/>
  <c r="AC289" i="2"/>
  <c r="AC305" i="2"/>
  <c r="AC160" i="2"/>
  <c r="AC206" i="2"/>
  <c r="AC185" i="3"/>
  <c r="J32" i="2"/>
  <c r="L32" i="2"/>
  <c r="BC338" i="2"/>
  <c r="BD338" i="2" s="1"/>
  <c r="BA338" i="2"/>
  <c r="AA146" i="3"/>
  <c r="AB146" i="3" s="1"/>
  <c r="AC146" i="3" s="1"/>
  <c r="BC157" i="3"/>
  <c r="BD157" i="3" s="1"/>
  <c r="BA157" i="3"/>
  <c r="BC165" i="3"/>
  <c r="BD165" i="3" s="1"/>
  <c r="BA165" i="3"/>
  <c r="BA323" i="2"/>
  <c r="BC323" i="2"/>
  <c r="BD323" i="2" s="1"/>
  <c r="AA224" i="3"/>
  <c r="AB224" i="3" s="1"/>
  <c r="AC224" i="3" s="1"/>
  <c r="X355" i="4"/>
  <c r="X357" i="4"/>
  <c r="X356" i="4"/>
  <c r="X358" i="4" s="1"/>
  <c r="X354" i="4"/>
  <c r="AA263" i="3"/>
  <c r="AB263" i="3" s="1"/>
  <c r="AC263" i="3" s="1"/>
  <c r="AA170" i="4"/>
  <c r="AB170" i="4" s="1"/>
  <c r="AC170" i="4" s="1"/>
  <c r="AA284" i="4"/>
  <c r="AB284" i="4" s="1"/>
  <c r="AC284" i="4" s="1"/>
  <c r="AA318" i="4"/>
  <c r="AB318" i="4" s="1"/>
  <c r="AC318" i="4" s="1"/>
  <c r="T36" i="4"/>
  <c r="T40" i="4" s="1"/>
  <c r="U40" i="4" s="1"/>
  <c r="V36" i="4"/>
  <c r="AA346" i="4"/>
  <c r="AB346" i="4" s="1"/>
  <c r="AC346" i="4" s="1"/>
  <c r="AA285" i="4"/>
  <c r="AB285" i="4" s="1"/>
  <c r="AC285" i="4" s="1"/>
  <c r="AA165" i="6"/>
  <c r="AB165" i="6" s="1"/>
  <c r="AC165" i="6" s="1"/>
  <c r="J23" i="6"/>
  <c r="L23" i="6"/>
  <c r="M23" i="6" s="1"/>
  <c r="M24" i="6" s="1"/>
  <c r="M25" i="6" s="1"/>
  <c r="T26" i="6"/>
  <c r="V26" i="6"/>
  <c r="AA216" i="6"/>
  <c r="AB216" i="6" s="1"/>
  <c r="AC216" i="6" s="1"/>
  <c r="AA255" i="6"/>
  <c r="AB255" i="6" s="1"/>
  <c r="AC255" i="6" s="1"/>
  <c r="AA259" i="6"/>
  <c r="AB259" i="6" s="1"/>
  <c r="AC259" i="6" s="1"/>
  <c r="AA183" i="6"/>
  <c r="AB183" i="6" s="1"/>
  <c r="AC183" i="6" s="1"/>
  <c r="T34" i="6"/>
  <c r="V34" i="6"/>
  <c r="AA313" i="6"/>
  <c r="AB313" i="6" s="1"/>
  <c r="AC313" i="6" s="1"/>
  <c r="V31" i="7"/>
  <c r="T31" i="7"/>
  <c r="BA335" i="7"/>
  <c r="BC335" i="7"/>
  <c r="BD335" i="7" s="1"/>
  <c r="AA186" i="8"/>
  <c r="AB186" i="8" s="1"/>
  <c r="AC186" i="8" s="1"/>
  <c r="J22" i="8"/>
  <c r="L22" i="8"/>
  <c r="M22" i="8" s="1"/>
  <c r="M23" i="8" s="1"/>
  <c r="T32" i="8"/>
  <c r="V32" i="8"/>
  <c r="AA299" i="8"/>
  <c r="AB299" i="8" s="1"/>
  <c r="AC299" i="8" s="1"/>
  <c r="BC177" i="9"/>
  <c r="BD177" i="9" s="1"/>
  <c r="BA177" i="9"/>
  <c r="T31" i="9"/>
  <c r="V31" i="9"/>
  <c r="BA154" i="9"/>
  <c r="BC154" i="9"/>
  <c r="BD154" i="9" s="1"/>
  <c r="T35" i="9"/>
  <c r="V35" i="9"/>
  <c r="AA304" i="9"/>
  <c r="AB304" i="9" s="1"/>
  <c r="AC304" i="9" s="1"/>
  <c r="AA324" i="9"/>
  <c r="AB324" i="9" s="1"/>
  <c r="AC324" i="9" s="1"/>
  <c r="T23" i="10"/>
  <c r="T40" i="10" s="1"/>
  <c r="U40" i="10" s="1"/>
  <c r="V23" i="10"/>
  <c r="W23" i="10" s="1"/>
  <c r="W24" i="10" s="1"/>
  <c r="J38" i="9"/>
  <c r="L38" i="9"/>
  <c r="BA169" i="10"/>
  <c r="BC169" i="10"/>
  <c r="BD169" i="10" s="1"/>
  <c r="BC150" i="11"/>
  <c r="BD150" i="11" s="1"/>
  <c r="BA150" i="11"/>
  <c r="BA238" i="11"/>
  <c r="BC238" i="11"/>
  <c r="BD238" i="11" s="1"/>
  <c r="BC249" i="11"/>
  <c r="BD249" i="11" s="1"/>
  <c r="BA249" i="11"/>
  <c r="BA192" i="11"/>
  <c r="BC192" i="11"/>
  <c r="BD192" i="11" s="1"/>
  <c r="BC197" i="11"/>
  <c r="BD197" i="11" s="1"/>
  <c r="BA197" i="11"/>
  <c r="M74" i="2"/>
  <c r="R485" i="2"/>
  <c r="M73" i="4"/>
  <c r="P510" i="3"/>
  <c r="T496" i="4"/>
  <c r="T495" i="4"/>
  <c r="T494" i="4"/>
  <c r="T465" i="3"/>
  <c r="I536" i="3" s="1"/>
  <c r="I538" i="3" s="1"/>
  <c r="T463" i="3"/>
  <c r="G536" i="3" s="1"/>
  <c r="G538" i="3" s="1"/>
  <c r="T464" i="3"/>
  <c r="H536" i="3" s="1"/>
  <c r="H538" i="3" s="1"/>
  <c r="J511" i="3"/>
  <c r="I511" i="3"/>
  <c r="M86" i="5"/>
  <c r="D477" i="4"/>
  <c r="D509" i="4"/>
  <c r="O469" i="4"/>
  <c r="E526" i="4" s="1"/>
  <c r="O468" i="4"/>
  <c r="D526" i="4" s="1"/>
  <c r="K468" i="4"/>
  <c r="K469" i="4" s="1"/>
  <c r="K470" i="4"/>
  <c r="K471" i="4" s="1"/>
  <c r="T467" i="4"/>
  <c r="T466" i="4"/>
  <c r="T468" i="4"/>
  <c r="O511" i="4"/>
  <c r="AL478" i="4"/>
  <c r="M511" i="5"/>
  <c r="L512" i="5"/>
  <c r="F88" i="6"/>
  <c r="M88" i="6" s="1"/>
  <c r="M87" i="6"/>
  <c r="AL458" i="6"/>
  <c r="K78" i="7"/>
  <c r="I78" i="7" s="1"/>
  <c r="K12" i="7"/>
  <c r="M86" i="7"/>
  <c r="M84" i="8"/>
  <c r="O510" i="7"/>
  <c r="H477" i="7"/>
  <c r="H509" i="7"/>
  <c r="T472" i="7"/>
  <c r="F477" i="8"/>
  <c r="F509" i="8"/>
  <c r="R472" i="8"/>
  <c r="M75" i="9"/>
  <c r="M73" i="10"/>
  <c r="M81" i="10"/>
  <c r="G81" i="10"/>
  <c r="N81" i="10" s="1"/>
  <c r="O517" i="10"/>
  <c r="O511" i="10"/>
  <c r="G81" i="11"/>
  <c r="N81" i="11" s="1"/>
  <c r="M81" i="11"/>
  <c r="M517" i="10"/>
  <c r="T467" i="11"/>
  <c r="T466" i="11"/>
  <c r="T468" i="11"/>
  <c r="V29" i="2"/>
  <c r="T29" i="2"/>
  <c r="BC271" i="3"/>
  <c r="BD271" i="3" s="1"/>
  <c r="BA271" i="3"/>
  <c r="AA169" i="3"/>
  <c r="AB169" i="3" s="1"/>
  <c r="AC169" i="3" s="1"/>
  <c r="J33" i="2"/>
  <c r="L33" i="2"/>
  <c r="BC242" i="2"/>
  <c r="BD242" i="2" s="1"/>
  <c r="BA242" i="2"/>
  <c r="BC298" i="2"/>
  <c r="BD298" i="2" s="1"/>
  <c r="BA298" i="2"/>
  <c r="BC330" i="2"/>
  <c r="BD330" i="2" s="1"/>
  <c r="BA330" i="2"/>
  <c r="BC346" i="2"/>
  <c r="BD346" i="2" s="1"/>
  <c r="BA346" i="2"/>
  <c r="W356" i="3"/>
  <c r="W358" i="3" s="1"/>
  <c r="AA276" i="3"/>
  <c r="AB276" i="3" s="1"/>
  <c r="AC276" i="3" s="1"/>
  <c r="W354" i="4"/>
  <c r="W356" i="4"/>
  <c r="W358" i="4" s="1"/>
  <c r="W355" i="4"/>
  <c r="W357" i="4"/>
  <c r="BA164" i="2"/>
  <c r="BC164" i="2"/>
  <c r="BD164" i="2" s="1"/>
  <c r="AA270" i="3"/>
  <c r="AB270" i="3" s="1"/>
  <c r="AC270" i="3" s="1"/>
  <c r="AA304" i="3"/>
  <c r="AB304" i="3" s="1"/>
  <c r="AC304" i="3" s="1"/>
  <c r="BA200" i="2"/>
  <c r="BC200" i="2"/>
  <c r="BD200" i="2" s="1"/>
  <c r="BA272" i="2"/>
  <c r="BC272" i="2"/>
  <c r="BD272" i="2" s="1"/>
  <c r="BA280" i="2"/>
  <c r="BC280" i="2"/>
  <c r="BD280" i="2" s="1"/>
  <c r="BA288" i="2"/>
  <c r="BC288" i="2"/>
  <c r="BD288" i="2" s="1"/>
  <c r="BA296" i="2"/>
  <c r="BC296" i="2"/>
  <c r="BD296" i="2" s="1"/>
  <c r="BA304" i="2"/>
  <c r="BC304" i="2"/>
  <c r="BD304" i="2" s="1"/>
  <c r="BA328" i="2"/>
  <c r="BC328" i="2"/>
  <c r="BD328" i="2" s="1"/>
  <c r="BA336" i="2"/>
  <c r="BC336" i="2"/>
  <c r="BD336" i="2" s="1"/>
  <c r="BA344" i="2"/>
  <c r="BC344" i="2"/>
  <c r="BD344" i="2" s="1"/>
  <c r="BA163" i="3"/>
  <c r="BC163" i="3"/>
  <c r="BD163" i="3" s="1"/>
  <c r="J33" i="3"/>
  <c r="L33" i="3"/>
  <c r="W24" i="4"/>
  <c r="W25" i="4" s="1"/>
  <c r="W26" i="4" s="1"/>
  <c r="AA169" i="4"/>
  <c r="AB169" i="4" s="1"/>
  <c r="AC169" i="4" s="1"/>
  <c r="BC205" i="4"/>
  <c r="BD205" i="4" s="1"/>
  <c r="BA205" i="4"/>
  <c r="T38" i="4"/>
  <c r="V38" i="4"/>
  <c r="AA250" i="4"/>
  <c r="AB250" i="4" s="1"/>
  <c r="AC250" i="4" s="1"/>
  <c r="M26" i="5"/>
  <c r="BC152" i="4"/>
  <c r="BD152" i="4" s="1"/>
  <c r="BA152" i="4"/>
  <c r="BC194" i="4"/>
  <c r="BD194" i="4" s="1"/>
  <c r="BA194" i="4"/>
  <c r="AA267" i="4"/>
  <c r="AB267" i="4" s="1"/>
  <c r="AC267" i="4" s="1"/>
  <c r="BC302" i="4"/>
  <c r="BD302" i="4" s="1"/>
  <c r="BA302" i="4"/>
  <c r="AA333" i="4"/>
  <c r="AB333" i="4" s="1"/>
  <c r="AC333" i="4" s="1"/>
  <c r="AA244" i="4"/>
  <c r="AB244" i="4" s="1"/>
  <c r="AC244" i="4" s="1"/>
  <c r="BA311" i="4"/>
  <c r="BC311" i="4"/>
  <c r="BD311" i="4" s="1"/>
  <c r="BA319" i="4"/>
  <c r="BC319" i="4"/>
  <c r="BD319" i="4" s="1"/>
  <c r="BA333" i="4"/>
  <c r="BC333" i="4"/>
  <c r="BD333" i="4" s="1"/>
  <c r="BA345" i="4"/>
  <c r="BC345" i="4"/>
  <c r="BD345" i="4" s="1"/>
  <c r="BA184" i="4"/>
  <c r="BC184" i="4"/>
  <c r="BD184" i="4" s="1"/>
  <c r="BA318" i="4"/>
  <c r="BC318" i="4"/>
  <c r="BD318" i="4" s="1"/>
  <c r="BA336" i="4"/>
  <c r="BC336" i="4"/>
  <c r="BD336" i="4" s="1"/>
  <c r="BA205" i="6"/>
  <c r="BC205" i="6"/>
  <c r="BD205" i="6" s="1"/>
  <c r="T25" i="6"/>
  <c r="V25" i="6"/>
  <c r="W25" i="6" s="1"/>
  <c r="J30" i="6"/>
  <c r="L30" i="6"/>
  <c r="BA331" i="5"/>
  <c r="BC331" i="5"/>
  <c r="BD331" i="5" s="1"/>
  <c r="V355" i="6"/>
  <c r="AA238" i="6"/>
  <c r="AB238" i="6" s="1"/>
  <c r="AC238" i="6" s="1"/>
  <c r="AA309" i="6"/>
  <c r="AB309" i="6" s="1"/>
  <c r="AC309" i="6" s="1"/>
  <c r="AA352" i="6"/>
  <c r="AB352" i="6" s="1"/>
  <c r="AC352" i="6" s="1"/>
  <c r="AA307" i="6"/>
  <c r="AB307" i="6" s="1"/>
  <c r="AC307" i="6" s="1"/>
  <c r="AA339" i="6"/>
  <c r="AB339" i="6" s="1"/>
  <c r="AC339" i="6" s="1"/>
  <c r="BA299" i="7"/>
  <c r="BC299" i="7"/>
  <c r="BD299" i="7" s="1"/>
  <c r="BA317" i="7"/>
  <c r="BC317" i="7"/>
  <c r="BD317" i="7" s="1"/>
  <c r="BA320" i="7"/>
  <c r="BC320" i="7"/>
  <c r="BD320" i="7" s="1"/>
  <c r="V355" i="8"/>
  <c r="J37" i="8"/>
  <c r="L37" i="8"/>
  <c r="T35" i="8"/>
  <c r="V35" i="8"/>
  <c r="BC161" i="8"/>
  <c r="BD161" i="8" s="1"/>
  <c r="BA161" i="8"/>
  <c r="AA232" i="8"/>
  <c r="AB232" i="8" s="1"/>
  <c r="AC232" i="8" s="1"/>
  <c r="AA294" i="8"/>
  <c r="AB294" i="8" s="1"/>
  <c r="AC294" i="8" s="1"/>
  <c r="BA262" i="8"/>
  <c r="BC262" i="8"/>
  <c r="BD262" i="8" s="1"/>
  <c r="BC293" i="8"/>
  <c r="BD293" i="8" s="1"/>
  <c r="BA293" i="8"/>
  <c r="AA300" i="8"/>
  <c r="AB300" i="8" s="1"/>
  <c r="AC300" i="8" s="1"/>
  <c r="AA300" i="9"/>
  <c r="AB300" i="9" s="1"/>
  <c r="AC300" i="9" s="1"/>
  <c r="AA206" i="9"/>
  <c r="AB206" i="9" s="1"/>
  <c r="AC206" i="9" s="1"/>
  <c r="AA270" i="9"/>
  <c r="AB270" i="9" s="1"/>
  <c r="AC270" i="9" s="1"/>
  <c r="AA332" i="9"/>
  <c r="AB332" i="9" s="1"/>
  <c r="AC332" i="9" s="1"/>
  <c r="V354" i="11"/>
  <c r="M82" i="8"/>
  <c r="M72" i="11"/>
  <c r="BC242" i="5"/>
  <c r="BD242" i="5" s="1"/>
  <c r="BA242" i="5"/>
  <c r="BC278" i="5"/>
  <c r="BD278" i="5" s="1"/>
  <c r="BA278" i="5"/>
  <c r="BC286" i="5"/>
  <c r="BD286" i="5" s="1"/>
  <c r="BA286" i="5"/>
  <c r="BC294" i="5"/>
  <c r="BD294" i="5" s="1"/>
  <c r="BA294" i="5"/>
  <c r="BC302" i="5"/>
  <c r="BD302" i="5" s="1"/>
  <c r="BA302" i="5"/>
  <c r="BC310" i="5"/>
  <c r="BD310" i="5" s="1"/>
  <c r="BA310" i="5"/>
  <c r="BA159" i="6"/>
  <c r="BC159" i="6"/>
  <c r="BD159" i="6" s="1"/>
  <c r="BC315" i="6"/>
  <c r="BD315" i="6" s="1"/>
  <c r="BA315" i="6"/>
  <c r="BC349" i="6"/>
  <c r="BD349" i="6" s="1"/>
  <c r="BA349" i="6"/>
  <c r="BA266" i="6"/>
  <c r="BC266" i="6"/>
  <c r="BD266" i="6" s="1"/>
  <c r="BA288" i="6"/>
  <c r="BC288" i="6"/>
  <c r="BD288" i="6" s="1"/>
  <c r="BA304" i="6"/>
  <c r="BC304" i="6"/>
  <c r="BD304" i="6" s="1"/>
  <c r="BA326" i="6"/>
  <c r="BC326" i="6"/>
  <c r="BD326" i="6" s="1"/>
  <c r="BA344" i="6"/>
  <c r="BC344" i="6"/>
  <c r="BD344" i="6" s="1"/>
  <c r="BA342" i="7"/>
  <c r="BC342" i="7"/>
  <c r="BD342" i="7" s="1"/>
  <c r="BC281" i="9"/>
  <c r="BD281" i="9" s="1"/>
  <c r="BA281" i="9"/>
  <c r="BA210" i="9"/>
  <c r="BC210" i="9"/>
  <c r="BD210" i="9" s="1"/>
  <c r="BA265" i="9"/>
  <c r="BC265" i="9"/>
  <c r="BD265" i="9" s="1"/>
  <c r="BC287" i="9"/>
  <c r="BD287" i="9" s="1"/>
  <c r="BA287" i="9"/>
  <c r="BA297" i="9"/>
  <c r="BC297" i="9"/>
  <c r="BD297" i="9" s="1"/>
  <c r="BC220" i="9"/>
  <c r="BD220" i="9" s="1"/>
  <c r="BA220" i="9"/>
  <c r="BC256" i="9"/>
  <c r="BD256" i="9" s="1"/>
  <c r="BA256" i="9"/>
  <c r="BA341" i="9"/>
  <c r="BC341" i="9"/>
  <c r="BD341" i="9" s="1"/>
  <c r="BA349" i="9"/>
  <c r="BC349" i="9"/>
  <c r="BD349" i="9" s="1"/>
  <c r="BC249" i="10"/>
  <c r="BD249" i="10" s="1"/>
  <c r="BA249" i="10"/>
  <c r="BC265" i="10"/>
  <c r="BD265" i="10" s="1"/>
  <c r="BA265" i="10"/>
  <c r="BA292" i="10"/>
  <c r="BC292" i="10"/>
  <c r="BD292" i="10" s="1"/>
  <c r="BC300" i="9"/>
  <c r="BD300" i="9" s="1"/>
  <c r="BA300" i="9"/>
  <c r="BC336" i="9"/>
  <c r="BD336" i="9" s="1"/>
  <c r="BA336" i="9"/>
  <c r="BC183" i="10"/>
  <c r="BD183" i="10" s="1"/>
  <c r="BA183" i="10"/>
  <c r="BA245" i="10"/>
  <c r="BC245" i="10"/>
  <c r="BD245" i="10" s="1"/>
  <c r="BA277" i="10"/>
  <c r="BC277" i="10"/>
  <c r="BD277" i="10" s="1"/>
  <c r="BA321" i="10"/>
  <c r="BC321" i="10"/>
  <c r="BD321" i="10" s="1"/>
  <c r="BC320" i="10"/>
  <c r="BD320" i="10" s="1"/>
  <c r="BA320" i="10"/>
  <c r="BC232" i="11"/>
  <c r="BD232" i="11" s="1"/>
  <c r="BA232" i="11"/>
  <c r="BA203" i="11"/>
  <c r="BC203" i="11"/>
  <c r="BD203" i="11" s="1"/>
  <c r="BC198" i="11"/>
  <c r="BD198" i="11" s="1"/>
  <c r="BA198" i="11"/>
  <c r="BC228" i="11"/>
  <c r="BD228" i="11" s="1"/>
  <c r="BA228" i="11"/>
  <c r="BA263" i="11"/>
  <c r="BC263" i="11"/>
  <c r="BD263" i="11" s="1"/>
  <c r="BC254" i="11"/>
  <c r="BD254" i="11" s="1"/>
  <c r="BA254" i="11"/>
  <c r="BA283" i="11"/>
  <c r="BC283" i="11"/>
  <c r="BD283" i="11" s="1"/>
  <c r="BA286" i="11"/>
  <c r="BC286" i="11"/>
  <c r="BD286" i="11" s="1"/>
  <c r="BC297" i="11"/>
  <c r="BD297" i="11" s="1"/>
  <c r="BA297" i="11"/>
  <c r="BA348" i="11"/>
  <c r="BC348" i="11"/>
  <c r="BD348" i="11" s="1"/>
  <c r="BC337" i="11"/>
  <c r="BD337" i="11" s="1"/>
  <c r="BA337" i="11"/>
  <c r="M82" i="4"/>
  <c r="M84" i="5"/>
  <c r="BC159" i="2"/>
  <c r="BD159" i="2" s="1"/>
  <c r="BA159" i="2"/>
  <c r="BC191" i="2"/>
  <c r="BD191" i="2" s="1"/>
  <c r="BA191" i="2"/>
  <c r="BC209" i="2"/>
  <c r="BD209" i="2" s="1"/>
  <c r="BA209" i="2"/>
  <c r="BC231" i="2"/>
  <c r="BD231" i="2" s="1"/>
  <c r="BA231" i="2"/>
  <c r="BC269" i="2"/>
  <c r="BD269" i="2" s="1"/>
  <c r="BA269" i="2"/>
  <c r="BC291" i="2"/>
  <c r="BD291" i="2" s="1"/>
  <c r="BA291" i="2"/>
  <c r="BC317" i="2"/>
  <c r="BD317" i="2" s="1"/>
  <c r="BA317" i="2"/>
  <c r="BC156" i="3"/>
  <c r="BD156" i="3" s="1"/>
  <c r="BA156" i="3"/>
  <c r="BC175" i="3"/>
  <c r="BD175" i="3" s="1"/>
  <c r="BA175" i="3"/>
  <c r="BC199" i="3"/>
  <c r="BD199" i="3" s="1"/>
  <c r="BA199" i="3"/>
  <c r="BC307" i="3"/>
  <c r="BD307" i="3" s="1"/>
  <c r="BA307" i="3"/>
  <c r="BC325" i="3"/>
  <c r="BD325" i="3" s="1"/>
  <c r="BA325" i="3"/>
  <c r="BC351" i="3"/>
  <c r="BD351" i="3" s="1"/>
  <c r="BA351" i="3"/>
  <c r="BA264" i="3"/>
  <c r="BC264" i="3"/>
  <c r="BD264" i="3" s="1"/>
  <c r="BA282" i="3"/>
  <c r="BC282" i="3"/>
  <c r="BD282" i="3" s="1"/>
  <c r="BA298" i="3"/>
  <c r="BC298" i="3"/>
  <c r="BD298" i="3" s="1"/>
  <c r="BA312" i="3"/>
  <c r="BC312" i="3"/>
  <c r="BD312" i="3" s="1"/>
  <c r="BA330" i="3"/>
  <c r="BC330" i="3"/>
  <c r="BD330" i="3" s="1"/>
  <c r="BA346" i="3"/>
  <c r="BC346" i="3"/>
  <c r="BD346" i="3" s="1"/>
  <c r="BC193" i="6"/>
  <c r="BD193" i="6" s="1"/>
  <c r="BA193" i="6"/>
  <c r="BC215" i="6"/>
  <c r="BD215" i="6" s="1"/>
  <c r="BA215" i="6"/>
  <c r="BC223" i="6"/>
  <c r="BD223" i="6" s="1"/>
  <c r="BA223" i="6"/>
  <c r="BC233" i="6"/>
  <c r="BD233" i="6" s="1"/>
  <c r="BA233" i="6"/>
  <c r="BC255" i="6"/>
  <c r="BD255" i="6" s="1"/>
  <c r="BA255" i="6"/>
  <c r="BC281" i="6"/>
  <c r="BD281" i="6" s="1"/>
  <c r="BA281" i="6"/>
  <c r="BA213" i="6"/>
  <c r="BC213" i="6"/>
  <c r="BD213" i="6" s="1"/>
  <c r="BA231" i="6"/>
  <c r="BC231" i="6"/>
  <c r="BD231" i="6" s="1"/>
  <c r="BA257" i="6"/>
  <c r="BC257" i="6"/>
  <c r="BD257" i="6" s="1"/>
  <c r="BA299" i="6"/>
  <c r="BC299" i="6"/>
  <c r="BD299" i="6" s="1"/>
  <c r="BA325" i="6"/>
  <c r="BC325" i="6"/>
  <c r="BD325" i="6" s="1"/>
  <c r="BC170" i="6"/>
  <c r="BD170" i="6" s="1"/>
  <c r="BA170" i="6"/>
  <c r="BC202" i="6"/>
  <c r="BD202" i="6" s="1"/>
  <c r="BA202" i="6"/>
  <c r="BC238" i="6"/>
  <c r="BD238" i="6" s="1"/>
  <c r="BA238" i="6"/>
  <c r="BC274" i="6"/>
  <c r="BD274" i="6" s="1"/>
  <c r="BA274" i="6"/>
  <c r="BC320" i="6"/>
  <c r="BD320" i="6" s="1"/>
  <c r="BA320" i="6"/>
  <c r="BC338" i="6"/>
  <c r="BD338" i="6" s="1"/>
  <c r="BA338" i="6"/>
  <c r="BC315" i="7"/>
  <c r="BD315" i="7" s="1"/>
  <c r="BA315" i="7"/>
  <c r="BC323" i="7"/>
  <c r="BD323" i="7" s="1"/>
  <c r="BA323" i="7"/>
  <c r="BC324" i="8"/>
  <c r="BD324" i="8" s="1"/>
  <c r="BA324" i="8"/>
  <c r="BA322" i="8"/>
  <c r="BC322" i="8"/>
  <c r="BD322" i="8" s="1"/>
  <c r="BA336" i="8"/>
  <c r="BC336" i="8"/>
  <c r="BD336" i="8" s="1"/>
  <c r="BC347" i="8"/>
  <c r="BD347" i="8" s="1"/>
  <c r="BA347" i="8"/>
  <c r="BA204" i="9"/>
  <c r="BC204" i="9"/>
  <c r="BD204" i="9" s="1"/>
  <c r="BC195" i="9"/>
  <c r="BD195" i="9" s="1"/>
  <c r="BA195" i="9"/>
  <c r="BA231" i="9"/>
  <c r="BC231" i="9"/>
  <c r="BD231" i="9" s="1"/>
  <c r="BA249" i="9"/>
  <c r="BC249" i="9"/>
  <c r="BD249" i="9" s="1"/>
  <c r="BA257" i="9"/>
  <c r="BC257" i="9"/>
  <c r="BD257" i="9" s="1"/>
  <c r="BA293" i="9"/>
  <c r="BC293" i="9"/>
  <c r="BD293" i="9" s="1"/>
  <c r="BC208" i="9"/>
  <c r="BD208" i="9" s="1"/>
  <c r="BA208" i="9"/>
  <c r="BC242" i="9"/>
  <c r="BD242" i="9" s="1"/>
  <c r="BA242" i="9"/>
  <c r="BC278" i="9"/>
  <c r="BD278" i="9" s="1"/>
  <c r="BA278" i="9"/>
  <c r="BC335" i="9"/>
  <c r="BD335" i="9" s="1"/>
  <c r="BA335" i="9"/>
  <c r="BA242" i="10"/>
  <c r="BC242" i="10"/>
  <c r="BD242" i="10" s="1"/>
  <c r="BA260" i="10"/>
  <c r="BC260" i="10"/>
  <c r="BD260" i="10" s="1"/>
  <c r="BC279" i="10"/>
  <c r="BD279" i="10" s="1"/>
  <c r="BA279" i="10"/>
  <c r="BA332" i="10"/>
  <c r="BC332" i="10"/>
  <c r="BD332" i="10" s="1"/>
  <c r="BC345" i="10"/>
  <c r="BD345" i="10" s="1"/>
  <c r="BA345" i="10"/>
  <c r="BC297" i="10"/>
  <c r="BD297" i="10" s="1"/>
  <c r="BA297" i="10"/>
  <c r="BA322" i="10"/>
  <c r="BC322" i="10"/>
  <c r="BD322" i="10" s="1"/>
  <c r="BC207" i="11"/>
  <c r="BD207" i="11" s="1"/>
  <c r="BA207" i="11"/>
  <c r="BA252" i="11"/>
  <c r="BC252" i="11"/>
  <c r="BD252" i="11" s="1"/>
  <c r="BC279" i="11"/>
  <c r="BD279" i="11" s="1"/>
  <c r="BA279" i="11"/>
  <c r="BA299" i="11"/>
  <c r="BC299" i="11"/>
  <c r="BD299" i="11" s="1"/>
  <c r="BC336" i="11"/>
  <c r="BD336" i="11" s="1"/>
  <c r="BA336" i="11"/>
  <c r="BC332" i="11"/>
  <c r="BD332" i="11" s="1"/>
  <c r="BA332" i="11"/>
  <c r="BA178" i="3"/>
  <c r="BC178" i="3"/>
  <c r="BD178" i="3" s="1"/>
  <c r="BA235" i="3"/>
  <c r="BC235" i="3"/>
  <c r="BD235" i="3" s="1"/>
  <c r="BC244" i="3"/>
  <c r="BD244" i="3" s="1"/>
  <c r="BA244" i="3"/>
  <c r="BA190" i="3"/>
  <c r="BC190" i="3"/>
  <c r="BD190" i="3" s="1"/>
  <c r="BA239" i="3"/>
  <c r="BC239" i="3"/>
  <c r="BD239" i="3" s="1"/>
  <c r="BC343" i="3"/>
  <c r="BD343" i="3" s="1"/>
  <c r="BA343" i="3"/>
  <c r="BC264" i="5"/>
  <c r="BD264" i="5" s="1"/>
  <c r="BA264" i="5"/>
  <c r="BC312" i="5"/>
  <c r="BD312" i="5" s="1"/>
  <c r="BA312" i="5"/>
  <c r="BC320" i="5"/>
  <c r="BD320" i="5" s="1"/>
  <c r="BA320" i="5"/>
  <c r="BC277" i="6"/>
  <c r="BD277" i="6" s="1"/>
  <c r="BA277" i="6"/>
  <c r="BC305" i="6"/>
  <c r="BD305" i="6" s="1"/>
  <c r="BA305" i="6"/>
  <c r="BC323" i="6"/>
  <c r="BD323" i="6" s="1"/>
  <c r="BA323" i="6"/>
  <c r="BA240" i="6"/>
  <c r="BC240" i="6"/>
  <c r="BD240" i="6" s="1"/>
  <c r="BA276" i="6"/>
  <c r="BC276" i="6"/>
  <c r="BD276" i="6" s="1"/>
  <c r="L529" i="3"/>
  <c r="L529" i="2"/>
  <c r="L529" i="6"/>
  <c r="L528" i="3"/>
  <c r="L528" i="2"/>
  <c r="L529" i="4"/>
  <c r="G72" i="10" l="1"/>
  <c r="O511" i="8"/>
  <c r="L511" i="4"/>
  <c r="N511" i="10"/>
  <c r="K537" i="9"/>
  <c r="K538" i="9" s="1"/>
  <c r="M512" i="10"/>
  <c r="N512" i="8"/>
  <c r="I71" i="10"/>
  <c r="M511" i="9"/>
  <c r="I70" i="11"/>
  <c r="L537" i="7"/>
  <c r="L538" i="7" s="1"/>
  <c r="N512" i="3"/>
  <c r="I70" i="3"/>
  <c r="I71" i="9"/>
  <c r="L511" i="7"/>
  <c r="K512" i="4"/>
  <c r="K511" i="9"/>
  <c r="P511" i="9" s="1"/>
  <c r="I81" i="9"/>
  <c r="L511" i="5"/>
  <c r="N511" i="2"/>
  <c r="P516" i="2"/>
  <c r="I70" i="9"/>
  <c r="I81" i="10"/>
  <c r="O511" i="3"/>
  <c r="N512" i="5"/>
  <c r="N512" i="7"/>
  <c r="I81" i="2"/>
  <c r="K511" i="10"/>
  <c r="P511" i="10" s="1"/>
  <c r="K511" i="8"/>
  <c r="P511" i="8" s="1"/>
  <c r="P513" i="3"/>
  <c r="K512" i="10"/>
  <c r="P512" i="10" s="1"/>
  <c r="P516" i="6"/>
  <c r="K512" i="11"/>
  <c r="P512" i="11" s="1"/>
  <c r="K512" i="9"/>
  <c r="P512" i="9" s="1"/>
  <c r="P512" i="6"/>
  <c r="I81" i="3"/>
  <c r="O511" i="6"/>
  <c r="L511" i="10"/>
  <c r="N511" i="11"/>
  <c r="O512" i="2"/>
  <c r="BA457" i="4"/>
  <c r="BA456" i="2"/>
  <c r="BA456" i="3"/>
  <c r="BA457" i="6"/>
  <c r="BA457" i="2"/>
  <c r="BA457" i="3"/>
  <c r="BB320" i="5"/>
  <c r="BF320" i="5"/>
  <c r="BB244" i="3"/>
  <c r="BF244" i="3"/>
  <c r="BB347" i="8"/>
  <c r="BF347" i="8"/>
  <c r="BB338" i="6"/>
  <c r="BF338" i="6"/>
  <c r="BB255" i="6"/>
  <c r="BF255" i="6"/>
  <c r="BB199" i="3"/>
  <c r="BF199" i="3"/>
  <c r="BB231" i="2"/>
  <c r="BF231" i="2"/>
  <c r="BB337" i="11"/>
  <c r="BF337" i="11"/>
  <c r="BB336" i="9"/>
  <c r="BF336" i="9"/>
  <c r="BB249" i="10"/>
  <c r="BF249" i="10"/>
  <c r="BB302" i="5"/>
  <c r="BF302" i="5"/>
  <c r="BB262" i="8"/>
  <c r="BF262" i="8"/>
  <c r="BB296" i="2"/>
  <c r="BF296" i="2"/>
  <c r="BB240" i="6"/>
  <c r="BF240" i="6"/>
  <c r="BB239" i="3"/>
  <c r="BF239" i="3"/>
  <c r="BB178" i="3"/>
  <c r="BF178" i="3"/>
  <c r="BB332" i="10"/>
  <c r="BF332" i="10"/>
  <c r="BB260" i="10"/>
  <c r="BF260" i="10"/>
  <c r="BB293" i="9"/>
  <c r="BF293" i="9"/>
  <c r="BB249" i="9"/>
  <c r="BF249" i="9"/>
  <c r="BB322" i="8"/>
  <c r="BF322" i="8"/>
  <c r="BB325" i="6"/>
  <c r="BF325" i="6"/>
  <c r="BB257" i="6"/>
  <c r="BF257" i="6"/>
  <c r="BB213" i="6"/>
  <c r="BF213" i="6"/>
  <c r="BB330" i="3"/>
  <c r="BF330" i="3"/>
  <c r="BB298" i="3"/>
  <c r="BF298" i="3"/>
  <c r="BB264" i="3"/>
  <c r="BF264" i="3"/>
  <c r="BB283" i="11"/>
  <c r="BF283" i="11"/>
  <c r="BF263" i="11"/>
  <c r="BB263" i="11"/>
  <c r="BB321" i="10"/>
  <c r="BF321" i="10"/>
  <c r="BB245" i="10"/>
  <c r="BF245" i="10"/>
  <c r="BB292" i="10"/>
  <c r="BF292" i="10"/>
  <c r="BB341" i="9"/>
  <c r="BF341" i="9"/>
  <c r="BB210" i="9"/>
  <c r="BF210" i="9"/>
  <c r="BB342" i="7"/>
  <c r="BF342" i="7"/>
  <c r="BB326" i="6"/>
  <c r="BF326" i="6"/>
  <c r="BB288" i="6"/>
  <c r="BF288" i="6"/>
  <c r="BB159" i="6"/>
  <c r="BF159" i="6"/>
  <c r="BB293" i="8"/>
  <c r="BF293" i="8"/>
  <c r="BB317" i="7"/>
  <c r="BF317" i="7"/>
  <c r="BB331" i="5"/>
  <c r="BF331" i="5"/>
  <c r="BB336" i="4"/>
  <c r="BF336" i="4"/>
  <c r="BB184" i="4"/>
  <c r="BF184" i="4"/>
  <c r="BB333" i="4"/>
  <c r="BF333" i="4"/>
  <c r="BB311" i="4"/>
  <c r="BF311" i="4"/>
  <c r="BB152" i="4"/>
  <c r="BF152" i="4"/>
  <c r="BB330" i="2"/>
  <c r="BF330" i="2"/>
  <c r="BB242" i="2"/>
  <c r="BF242" i="2"/>
  <c r="N477" i="7"/>
  <c r="H508" i="7"/>
  <c r="M468" i="4"/>
  <c r="M469" i="4"/>
  <c r="E488" i="4"/>
  <c r="J525" i="4" s="1"/>
  <c r="E482" i="4"/>
  <c r="D525" i="4" s="1"/>
  <c r="E478" i="4"/>
  <c r="E479" i="4" s="1"/>
  <c r="G478" i="4" s="1"/>
  <c r="E489" i="4"/>
  <c r="K525" i="4" s="1"/>
  <c r="E484" i="4"/>
  <c r="F525" i="4" s="1"/>
  <c r="E486" i="4"/>
  <c r="H525" i="4" s="1"/>
  <c r="E483" i="4"/>
  <c r="E525" i="4" s="1"/>
  <c r="D508" i="4"/>
  <c r="E487" i="4"/>
  <c r="I525" i="4" s="1"/>
  <c r="E485" i="4"/>
  <c r="G525" i="4" s="1"/>
  <c r="E480" i="4"/>
  <c r="E481" i="4" s="1"/>
  <c r="G480" i="4" s="1"/>
  <c r="BB154" i="9"/>
  <c r="BF154" i="9"/>
  <c r="BB335" i="7"/>
  <c r="BF335" i="7"/>
  <c r="BB323" i="2"/>
  <c r="BF323" i="2"/>
  <c r="D508" i="6"/>
  <c r="E487" i="6"/>
  <c r="I525" i="6" s="1"/>
  <c r="E485" i="6"/>
  <c r="G525" i="6" s="1"/>
  <c r="E480" i="6"/>
  <c r="E481" i="6" s="1"/>
  <c r="G480" i="6" s="1"/>
  <c r="E489" i="6"/>
  <c r="K525" i="6" s="1"/>
  <c r="E484" i="6"/>
  <c r="F525" i="6" s="1"/>
  <c r="E478" i="6"/>
  <c r="E479" i="6" s="1"/>
  <c r="G478" i="6" s="1"/>
  <c r="E482" i="6"/>
  <c r="D525" i="6" s="1"/>
  <c r="E488" i="6"/>
  <c r="J525" i="6" s="1"/>
  <c r="E486" i="6"/>
  <c r="H525" i="6" s="1"/>
  <c r="E483" i="6"/>
  <c r="E525" i="6" s="1"/>
  <c r="J509" i="6"/>
  <c r="I509" i="6"/>
  <c r="M85" i="5"/>
  <c r="R473" i="2"/>
  <c r="R474" i="2" s="1"/>
  <c r="R475" i="2"/>
  <c r="R476" i="2" s="1"/>
  <c r="BB218" i="10"/>
  <c r="BF218" i="10"/>
  <c r="BB272" i="8"/>
  <c r="BF272" i="8"/>
  <c r="BB264" i="7"/>
  <c r="BF264" i="7"/>
  <c r="M470" i="10"/>
  <c r="M471" i="10"/>
  <c r="J509" i="10"/>
  <c r="I509" i="10"/>
  <c r="F508" i="7"/>
  <c r="L477" i="7"/>
  <c r="M81" i="6"/>
  <c r="G81" i="6"/>
  <c r="BB154" i="11"/>
  <c r="BF154" i="11"/>
  <c r="BB202" i="7"/>
  <c r="BF202" i="7"/>
  <c r="BB217" i="5"/>
  <c r="BF217" i="5"/>
  <c r="L512" i="8"/>
  <c r="M477" i="3"/>
  <c r="G508" i="3"/>
  <c r="BB325" i="11"/>
  <c r="BF325" i="11"/>
  <c r="BB312" i="11"/>
  <c r="BF312" i="11"/>
  <c r="BB316" i="11"/>
  <c r="BF316" i="11"/>
  <c r="BB282" i="10"/>
  <c r="BF282" i="10"/>
  <c r="BB248" i="10"/>
  <c r="BF248" i="10"/>
  <c r="BB226" i="9"/>
  <c r="BF226" i="9"/>
  <c r="BB217" i="3"/>
  <c r="BF217" i="3"/>
  <c r="BB344" i="5"/>
  <c r="BF344" i="5"/>
  <c r="BB195" i="10"/>
  <c r="BF195" i="10"/>
  <c r="BB350" i="8"/>
  <c r="BF350" i="8"/>
  <c r="BB282" i="8"/>
  <c r="BF282" i="8"/>
  <c r="BB190" i="8"/>
  <c r="BF190" i="8"/>
  <c r="BB346" i="6"/>
  <c r="BF346" i="6"/>
  <c r="BB189" i="6"/>
  <c r="BF189" i="6"/>
  <c r="BB313" i="11"/>
  <c r="BF313" i="11"/>
  <c r="BB327" i="10"/>
  <c r="BF327" i="10"/>
  <c r="BB203" i="10"/>
  <c r="BF203" i="10"/>
  <c r="BB268" i="9"/>
  <c r="BF268" i="9"/>
  <c r="BB148" i="9"/>
  <c r="BF148" i="9"/>
  <c r="BB316" i="8"/>
  <c r="BF316" i="8"/>
  <c r="BB344" i="7"/>
  <c r="BF344" i="7"/>
  <c r="BB297" i="7"/>
  <c r="BF297" i="7"/>
  <c r="BB278" i="6"/>
  <c r="BF278" i="6"/>
  <c r="BB212" i="6"/>
  <c r="BF212" i="6"/>
  <c r="BB299" i="3"/>
  <c r="BF299" i="3"/>
  <c r="BB232" i="3"/>
  <c r="BF232" i="3"/>
  <c r="I71" i="3"/>
  <c r="BB239" i="11"/>
  <c r="BF239" i="11"/>
  <c r="BB217" i="10"/>
  <c r="BF217" i="10"/>
  <c r="BB150" i="9"/>
  <c r="BF150" i="9"/>
  <c r="BB227" i="9"/>
  <c r="BF227" i="9"/>
  <c r="BB195" i="8"/>
  <c r="BF195" i="8"/>
  <c r="BB179" i="8"/>
  <c r="BF179" i="8"/>
  <c r="BB163" i="8"/>
  <c r="BF163" i="8"/>
  <c r="BB206" i="8"/>
  <c r="BF206" i="8"/>
  <c r="BB241" i="8"/>
  <c r="BF241" i="8"/>
  <c r="BB197" i="7"/>
  <c r="BF197" i="7"/>
  <c r="BB181" i="7"/>
  <c r="BF181" i="7"/>
  <c r="K78" i="11"/>
  <c r="I78" i="11" s="1"/>
  <c r="K12" i="11"/>
  <c r="I70" i="7"/>
  <c r="BB187" i="11"/>
  <c r="BF187" i="11"/>
  <c r="BB147" i="11"/>
  <c r="BF147" i="11"/>
  <c r="BB289" i="8"/>
  <c r="BF289" i="8"/>
  <c r="BB197" i="8"/>
  <c r="BF197" i="8"/>
  <c r="BB215" i="7"/>
  <c r="BF215" i="7"/>
  <c r="BB151" i="7"/>
  <c r="BF151" i="7"/>
  <c r="BB332" i="4"/>
  <c r="BF332" i="4"/>
  <c r="BB246" i="4"/>
  <c r="BF246" i="4"/>
  <c r="BB214" i="4"/>
  <c r="BF214" i="4"/>
  <c r="BB237" i="4"/>
  <c r="BF237" i="4"/>
  <c r="BB266" i="2"/>
  <c r="BF266" i="2"/>
  <c r="BB250" i="2"/>
  <c r="BF250" i="2"/>
  <c r="BB277" i="2"/>
  <c r="BF277" i="2"/>
  <c r="BB207" i="2"/>
  <c r="BF207" i="2"/>
  <c r="K511" i="6"/>
  <c r="K511" i="5"/>
  <c r="P511" i="5" s="1"/>
  <c r="M512" i="5"/>
  <c r="BB300" i="7"/>
  <c r="BF300" i="7"/>
  <c r="BB246" i="7"/>
  <c r="BF246" i="7"/>
  <c r="T40" i="7"/>
  <c r="U40" i="7" s="1"/>
  <c r="BB327" i="5"/>
  <c r="BF327" i="5"/>
  <c r="BB251" i="5"/>
  <c r="BF251" i="5"/>
  <c r="BB189" i="5"/>
  <c r="BF189" i="5"/>
  <c r="BB278" i="4"/>
  <c r="BF278" i="4"/>
  <c r="P515" i="6"/>
  <c r="G508" i="5"/>
  <c r="M477" i="5"/>
  <c r="M469" i="2"/>
  <c r="M468" i="2"/>
  <c r="E488" i="2"/>
  <c r="J525" i="2" s="1"/>
  <c r="E482" i="2"/>
  <c r="D525" i="2" s="1"/>
  <c r="E478" i="2"/>
  <c r="E479" i="2" s="1"/>
  <c r="G478" i="2" s="1"/>
  <c r="E489" i="2"/>
  <c r="K525" i="2" s="1"/>
  <c r="E484" i="2"/>
  <c r="F525" i="2" s="1"/>
  <c r="E486" i="2"/>
  <c r="H525" i="2" s="1"/>
  <c r="E483" i="2"/>
  <c r="E525" i="2" s="1"/>
  <c r="D508" i="2"/>
  <c r="E487" i="2"/>
  <c r="I525" i="2" s="1"/>
  <c r="E485" i="2"/>
  <c r="G525" i="2" s="1"/>
  <c r="E480" i="2"/>
  <c r="E481" i="2" s="1"/>
  <c r="G480" i="2" s="1"/>
  <c r="BB199" i="10"/>
  <c r="BF199" i="10"/>
  <c r="BB168" i="9"/>
  <c r="BF168" i="9"/>
  <c r="BB146" i="8"/>
  <c r="BF146" i="8"/>
  <c r="BB265" i="7"/>
  <c r="BF265" i="7"/>
  <c r="BB213" i="7"/>
  <c r="BF213" i="7"/>
  <c r="BB300" i="4"/>
  <c r="BF300" i="4"/>
  <c r="BB240" i="4"/>
  <c r="BF240" i="4"/>
  <c r="BB188" i="4"/>
  <c r="BF188" i="4"/>
  <c r="BB315" i="4"/>
  <c r="BF315" i="4"/>
  <c r="BB183" i="3"/>
  <c r="BF183" i="3"/>
  <c r="BB349" i="2"/>
  <c r="BF349" i="2"/>
  <c r="BB185" i="2"/>
  <c r="BF185" i="2"/>
  <c r="J537" i="6"/>
  <c r="J538" i="6" s="1"/>
  <c r="F88" i="5"/>
  <c r="M88" i="5" s="1"/>
  <c r="N477" i="5"/>
  <c r="H508" i="5"/>
  <c r="BB309" i="6"/>
  <c r="BF309" i="6"/>
  <c r="BB247" i="6"/>
  <c r="BF247" i="6"/>
  <c r="BB316" i="5"/>
  <c r="BF316" i="5"/>
  <c r="BB260" i="5"/>
  <c r="BF260" i="5"/>
  <c r="BB226" i="3"/>
  <c r="BF226" i="3"/>
  <c r="BB339" i="11"/>
  <c r="BF339" i="11"/>
  <c r="BB291" i="11"/>
  <c r="BF291" i="11"/>
  <c r="BB234" i="11"/>
  <c r="BF234" i="11"/>
  <c r="BB200" i="11"/>
  <c r="BF200" i="11"/>
  <c r="BB288" i="10"/>
  <c r="BF288" i="10"/>
  <c r="BB253" i="9"/>
  <c r="BF253" i="9"/>
  <c r="BB225" i="9"/>
  <c r="BF225" i="9"/>
  <c r="BB344" i="8"/>
  <c r="BF344" i="8"/>
  <c r="BB345" i="7"/>
  <c r="BF345" i="7"/>
  <c r="BB321" i="6"/>
  <c r="BF321" i="6"/>
  <c r="BB239" i="6"/>
  <c r="BF239" i="6"/>
  <c r="BF247" i="11"/>
  <c r="BB247" i="11"/>
  <c r="BB315" i="11"/>
  <c r="BF315" i="11"/>
  <c r="BB259" i="10"/>
  <c r="BF259" i="10"/>
  <c r="BB221" i="9"/>
  <c r="BF221" i="9"/>
  <c r="BB348" i="6"/>
  <c r="BF348" i="6"/>
  <c r="BB318" i="6"/>
  <c r="BF318" i="6"/>
  <c r="BB280" i="6"/>
  <c r="BF280" i="6"/>
  <c r="BB163" i="6"/>
  <c r="BF163" i="6"/>
  <c r="BB154" i="5"/>
  <c r="BF154" i="5"/>
  <c r="BB352" i="4"/>
  <c r="BF352" i="4"/>
  <c r="BB162" i="4"/>
  <c r="BF162" i="4"/>
  <c r="BB348" i="2"/>
  <c r="BF348" i="2"/>
  <c r="BB332" i="2"/>
  <c r="BF332" i="2"/>
  <c r="BB300" i="2"/>
  <c r="BF300" i="2"/>
  <c r="BB284" i="2"/>
  <c r="BF284" i="2"/>
  <c r="BB204" i="2"/>
  <c r="BF204" i="2"/>
  <c r="BB193" i="3"/>
  <c r="BF193" i="3"/>
  <c r="K511" i="11"/>
  <c r="P511" i="11" s="1"/>
  <c r="H508" i="10"/>
  <c r="N477" i="10"/>
  <c r="I70" i="10"/>
  <c r="M511" i="8"/>
  <c r="G536" i="4"/>
  <c r="G538" i="4" s="1"/>
  <c r="L512" i="4"/>
  <c r="P512" i="4" s="1"/>
  <c r="E489" i="3"/>
  <c r="K525" i="3" s="1"/>
  <c r="E484" i="3"/>
  <c r="F525" i="3" s="1"/>
  <c r="E486" i="3"/>
  <c r="H525" i="3" s="1"/>
  <c r="E483" i="3"/>
  <c r="E525" i="3" s="1"/>
  <c r="D508" i="3"/>
  <c r="E487" i="3"/>
  <c r="I525" i="3" s="1"/>
  <c r="E485" i="3"/>
  <c r="G525" i="3" s="1"/>
  <c r="E480" i="3"/>
  <c r="E481" i="3" s="1"/>
  <c r="G480" i="3" s="1"/>
  <c r="E488" i="3"/>
  <c r="J525" i="3" s="1"/>
  <c r="E482" i="3"/>
  <c r="D525" i="3" s="1"/>
  <c r="E478" i="3"/>
  <c r="E479" i="3" s="1"/>
  <c r="G478" i="3" s="1"/>
  <c r="W25" i="11"/>
  <c r="W26" i="11" s="1"/>
  <c r="BB188" i="2"/>
  <c r="BF188" i="2"/>
  <c r="X360" i="4"/>
  <c r="M83" i="9"/>
  <c r="M469" i="5"/>
  <c r="M468" i="5"/>
  <c r="I509" i="5"/>
  <c r="J509" i="5"/>
  <c r="BB254" i="8"/>
  <c r="BF254" i="8"/>
  <c r="J40" i="7"/>
  <c r="K40" i="7" s="1"/>
  <c r="M512" i="7"/>
  <c r="P514" i="6"/>
  <c r="BB307" i="8"/>
  <c r="BF307" i="8"/>
  <c r="BB257" i="8"/>
  <c r="BF257" i="8"/>
  <c r="BB192" i="8"/>
  <c r="BF192" i="8"/>
  <c r="BB172" i="8"/>
  <c r="BF172" i="8"/>
  <c r="BB237" i="8"/>
  <c r="BF237" i="8"/>
  <c r="BB198" i="7"/>
  <c r="BF198" i="7"/>
  <c r="BB182" i="7"/>
  <c r="BF182" i="7"/>
  <c r="W29" i="5"/>
  <c r="BB167" i="3"/>
  <c r="BF167" i="3"/>
  <c r="BB218" i="2"/>
  <c r="BF218" i="2"/>
  <c r="BB245" i="2"/>
  <c r="BF245" i="2"/>
  <c r="J537" i="7"/>
  <c r="J538" i="7" s="1"/>
  <c r="BB331" i="11"/>
  <c r="BF331" i="11"/>
  <c r="BB326" i="10"/>
  <c r="BF326" i="10"/>
  <c r="BB274" i="10"/>
  <c r="BF274" i="10"/>
  <c r="BB350" i="9"/>
  <c r="BF350" i="9"/>
  <c r="BB302" i="9"/>
  <c r="BF302" i="9"/>
  <c r="BB209" i="9"/>
  <c r="BF209" i="9"/>
  <c r="BB222" i="9"/>
  <c r="BF222" i="9"/>
  <c r="BB341" i="8"/>
  <c r="BF341" i="8"/>
  <c r="BB184" i="6"/>
  <c r="BF184" i="6"/>
  <c r="BB153" i="6"/>
  <c r="BF153" i="6"/>
  <c r="G82" i="10"/>
  <c r="BB320" i="11"/>
  <c r="BF320" i="11"/>
  <c r="BB223" i="11"/>
  <c r="BF223" i="11"/>
  <c r="BB341" i="10"/>
  <c r="BF341" i="10"/>
  <c r="BB315" i="10"/>
  <c r="BF315" i="10"/>
  <c r="BB261" i="10"/>
  <c r="BF261" i="10"/>
  <c r="BB252" i="9"/>
  <c r="BF252" i="9"/>
  <c r="BB203" i="9"/>
  <c r="BF203" i="9"/>
  <c r="BB182" i="9"/>
  <c r="BF182" i="9"/>
  <c r="BB335" i="8"/>
  <c r="BF335" i="8"/>
  <c r="BB329" i="7"/>
  <c r="BF329" i="7"/>
  <c r="BB316" i="6"/>
  <c r="BF316" i="6"/>
  <c r="BB220" i="6"/>
  <c r="BF220" i="6"/>
  <c r="BB185" i="6"/>
  <c r="BF185" i="6"/>
  <c r="BB331" i="3"/>
  <c r="BF331" i="3"/>
  <c r="BB240" i="3"/>
  <c r="BF240" i="3"/>
  <c r="BB214" i="3"/>
  <c r="BF214" i="3"/>
  <c r="BB168" i="11"/>
  <c r="BF168" i="11"/>
  <c r="BB244" i="10"/>
  <c r="BF244" i="10"/>
  <c r="BB193" i="7"/>
  <c r="BF193" i="7"/>
  <c r="W27" i="4"/>
  <c r="W28" i="4" s="1"/>
  <c r="H536" i="11"/>
  <c r="H538" i="11" s="1"/>
  <c r="M512" i="8"/>
  <c r="O511" i="7"/>
  <c r="M470" i="7"/>
  <c r="M471" i="7"/>
  <c r="I509" i="7"/>
  <c r="J509" i="7"/>
  <c r="M509" i="6"/>
  <c r="N509" i="6"/>
  <c r="L477" i="5"/>
  <c r="F508" i="5"/>
  <c r="G508" i="4"/>
  <c r="M477" i="4"/>
  <c r="J537" i="4"/>
  <c r="J538" i="4" s="1"/>
  <c r="BB241" i="10"/>
  <c r="BF241" i="10"/>
  <c r="BB281" i="8"/>
  <c r="BF281" i="8"/>
  <c r="T40" i="8"/>
  <c r="U40" i="8" s="1"/>
  <c r="BB211" i="7"/>
  <c r="BF211" i="7"/>
  <c r="BB154" i="7"/>
  <c r="BF154" i="7"/>
  <c r="BB147" i="6"/>
  <c r="BF147" i="6"/>
  <c r="BB348" i="4"/>
  <c r="BF348" i="4"/>
  <c r="BB266" i="4"/>
  <c r="BF266" i="4"/>
  <c r="BB218" i="4"/>
  <c r="BF218" i="4"/>
  <c r="BB168" i="4"/>
  <c r="BF168" i="4"/>
  <c r="BB267" i="4"/>
  <c r="BF267" i="4"/>
  <c r="BB215" i="4"/>
  <c r="BF215" i="4"/>
  <c r="BB282" i="4"/>
  <c r="BF282" i="4"/>
  <c r="BB270" i="2"/>
  <c r="BF270" i="2"/>
  <c r="BB238" i="2"/>
  <c r="BF238" i="2"/>
  <c r="L511" i="11"/>
  <c r="M71" i="11"/>
  <c r="G71" i="11"/>
  <c r="BB220" i="10"/>
  <c r="BF220" i="10"/>
  <c r="BB181" i="9"/>
  <c r="BF181" i="9"/>
  <c r="W25" i="8"/>
  <c r="BB157" i="6"/>
  <c r="BF157" i="6"/>
  <c r="BB267" i="5"/>
  <c r="BF267" i="5"/>
  <c r="BB207" i="5"/>
  <c r="BF207" i="5"/>
  <c r="BB207" i="4"/>
  <c r="BF207" i="4"/>
  <c r="BB157" i="4"/>
  <c r="BF157" i="4"/>
  <c r="BB238" i="4"/>
  <c r="BF238" i="4"/>
  <c r="BB290" i="2"/>
  <c r="BF290" i="2"/>
  <c r="BB158" i="2"/>
  <c r="BF158" i="2"/>
  <c r="M23" i="2"/>
  <c r="N509" i="10"/>
  <c r="M469" i="8"/>
  <c r="M468" i="8"/>
  <c r="E488" i="8"/>
  <c r="J525" i="8" s="1"/>
  <c r="E482" i="8"/>
  <c r="D525" i="8" s="1"/>
  <c r="E478" i="8"/>
  <c r="E479" i="8" s="1"/>
  <c r="G478" i="8" s="1"/>
  <c r="E489" i="8"/>
  <c r="K525" i="8" s="1"/>
  <c r="E484" i="8"/>
  <c r="F525" i="8" s="1"/>
  <c r="E486" i="8"/>
  <c r="H525" i="8" s="1"/>
  <c r="E483" i="8"/>
  <c r="E525" i="8" s="1"/>
  <c r="D508" i="8"/>
  <c r="E487" i="8"/>
  <c r="I525" i="8" s="1"/>
  <c r="E485" i="8"/>
  <c r="G525" i="8" s="1"/>
  <c r="E480" i="8"/>
  <c r="E481" i="8" s="1"/>
  <c r="G480" i="8" s="1"/>
  <c r="G84" i="7"/>
  <c r="M85" i="6"/>
  <c r="K511" i="2"/>
  <c r="P511" i="2" s="1"/>
  <c r="H536" i="2"/>
  <c r="H538" i="2" s="1"/>
  <c r="BB304" i="10"/>
  <c r="BF304" i="10"/>
  <c r="BB326" i="4"/>
  <c r="BF326" i="4"/>
  <c r="BB258" i="4"/>
  <c r="BF258" i="4"/>
  <c r="BB206" i="4"/>
  <c r="BF206" i="4"/>
  <c r="BB182" i="4"/>
  <c r="BF182" i="4"/>
  <c r="BB260" i="2"/>
  <c r="BF260" i="2"/>
  <c r="BB182" i="2"/>
  <c r="BF182" i="2"/>
  <c r="R473" i="10"/>
  <c r="R474" i="10" s="1"/>
  <c r="R475" i="10"/>
  <c r="R476" i="10" s="1"/>
  <c r="N511" i="8"/>
  <c r="K477" i="5"/>
  <c r="E508" i="5"/>
  <c r="E508" i="4"/>
  <c r="K477" i="4"/>
  <c r="N512" i="2"/>
  <c r="BB211" i="10"/>
  <c r="BF211" i="10"/>
  <c r="BB335" i="6"/>
  <c r="BF335" i="6"/>
  <c r="BB243" i="6"/>
  <c r="BF243" i="6"/>
  <c r="BB164" i="6"/>
  <c r="BF164" i="6"/>
  <c r="BB334" i="11"/>
  <c r="BF334" i="11"/>
  <c r="BB267" i="11"/>
  <c r="BF267" i="11"/>
  <c r="BB263" i="10"/>
  <c r="BF263" i="10"/>
  <c r="BB337" i="9"/>
  <c r="BF337" i="9"/>
  <c r="BB214" i="9"/>
  <c r="BF214" i="9"/>
  <c r="BB327" i="8"/>
  <c r="BF327" i="8"/>
  <c r="BB228" i="6"/>
  <c r="BF228" i="6"/>
  <c r="BB192" i="6"/>
  <c r="BF192" i="6"/>
  <c r="BB315" i="3"/>
  <c r="BF315" i="3"/>
  <c r="BB213" i="3"/>
  <c r="BF213" i="3"/>
  <c r="BB274" i="11"/>
  <c r="BF274" i="11"/>
  <c r="BB314" i="10"/>
  <c r="BF314" i="10"/>
  <c r="BB324" i="9"/>
  <c r="BF324" i="9"/>
  <c r="BB206" i="9"/>
  <c r="BF206" i="9"/>
  <c r="BB300" i="8"/>
  <c r="BF300" i="8"/>
  <c r="BB343" i="6"/>
  <c r="BF343" i="6"/>
  <c r="BB187" i="6"/>
  <c r="BF187" i="6"/>
  <c r="BB352" i="5"/>
  <c r="BF352" i="5"/>
  <c r="BB198" i="3"/>
  <c r="BF198" i="3"/>
  <c r="BB188" i="11"/>
  <c r="BF188" i="11"/>
  <c r="BB255" i="10"/>
  <c r="BF255" i="10"/>
  <c r="BB330" i="9"/>
  <c r="BF330" i="9"/>
  <c r="BB236" i="9"/>
  <c r="BF236" i="9"/>
  <c r="BB314" i="8"/>
  <c r="BF314" i="8"/>
  <c r="BB322" i="6"/>
  <c r="BF322" i="6"/>
  <c r="BB226" i="6"/>
  <c r="BF226" i="6"/>
  <c r="BB297" i="3"/>
  <c r="BF297" i="3"/>
  <c r="BB294" i="3"/>
  <c r="BF294" i="3"/>
  <c r="BB270" i="8"/>
  <c r="BF270" i="8"/>
  <c r="BF208" i="7"/>
  <c r="BB208" i="7"/>
  <c r="BB303" i="5"/>
  <c r="BF303" i="5"/>
  <c r="BB203" i="5"/>
  <c r="BF203" i="5"/>
  <c r="BB258" i="5"/>
  <c r="BF258" i="5"/>
  <c r="BB200" i="6"/>
  <c r="BF200" i="6"/>
  <c r="BB270" i="4"/>
  <c r="BF270" i="4"/>
  <c r="BB263" i="4"/>
  <c r="BF263" i="4"/>
  <c r="BB165" i="4"/>
  <c r="BF165" i="4"/>
  <c r="BB149" i="3"/>
  <c r="BF149" i="3"/>
  <c r="BB211" i="2"/>
  <c r="BF211" i="2"/>
  <c r="BB182" i="11"/>
  <c r="BF182" i="11"/>
  <c r="BB214" i="11"/>
  <c r="BF214" i="11"/>
  <c r="BB146" i="10"/>
  <c r="BF146" i="10"/>
  <c r="BB189" i="10"/>
  <c r="BF189" i="10"/>
  <c r="BB210" i="8"/>
  <c r="BF210" i="8"/>
  <c r="BB175" i="7"/>
  <c r="BF175" i="7"/>
  <c r="BB235" i="5"/>
  <c r="BF235" i="5"/>
  <c r="BB270" i="5"/>
  <c r="BF270" i="5"/>
  <c r="BB341" i="4"/>
  <c r="BF341" i="4"/>
  <c r="BB318" i="2"/>
  <c r="BF318" i="2"/>
  <c r="BB259" i="2"/>
  <c r="BF259" i="2"/>
  <c r="BF160" i="10"/>
  <c r="BB160" i="10"/>
  <c r="BB167" i="9"/>
  <c r="BF167" i="9"/>
  <c r="BB287" i="8"/>
  <c r="BF287" i="8"/>
  <c r="BB231" i="8"/>
  <c r="BF231" i="8"/>
  <c r="BB222" i="8"/>
  <c r="BF222" i="8"/>
  <c r="BB321" i="7"/>
  <c r="BF321" i="7"/>
  <c r="BB217" i="7"/>
  <c r="BF217" i="7"/>
  <c r="BB317" i="5"/>
  <c r="BF317" i="5"/>
  <c r="BB195" i="5"/>
  <c r="BF195" i="5"/>
  <c r="BB246" i="5"/>
  <c r="BF246" i="5"/>
  <c r="BB262" i="4"/>
  <c r="BF262" i="4"/>
  <c r="BB251" i="4"/>
  <c r="BF251" i="4"/>
  <c r="BB236" i="2"/>
  <c r="BF236" i="2"/>
  <c r="BB179" i="11"/>
  <c r="BF179" i="11"/>
  <c r="BB167" i="10"/>
  <c r="BF167" i="10"/>
  <c r="BB196" i="10"/>
  <c r="BF196" i="10"/>
  <c r="BB288" i="7"/>
  <c r="BF288" i="7"/>
  <c r="BB214" i="7"/>
  <c r="BF214" i="7"/>
  <c r="BB176" i="7"/>
  <c r="BF176" i="7"/>
  <c r="BB211" i="5"/>
  <c r="BF211" i="5"/>
  <c r="BB166" i="4"/>
  <c r="BF166" i="4"/>
  <c r="BB191" i="3"/>
  <c r="BF191" i="3"/>
  <c r="BB306" i="2"/>
  <c r="BF306" i="2"/>
  <c r="BB147" i="2"/>
  <c r="BF147" i="2"/>
  <c r="BB260" i="7"/>
  <c r="BF260" i="7"/>
  <c r="BB295" i="7"/>
  <c r="BF295" i="7"/>
  <c r="BB205" i="5"/>
  <c r="BF205" i="5"/>
  <c r="BB335" i="5"/>
  <c r="BF335" i="5"/>
  <c r="BB165" i="2"/>
  <c r="BF165" i="2"/>
  <c r="BB149" i="8"/>
  <c r="BF149" i="8"/>
  <c r="BB250" i="7"/>
  <c r="BF250" i="7"/>
  <c r="BB148" i="2"/>
  <c r="BF148" i="2"/>
  <c r="BB304" i="11"/>
  <c r="BF304" i="11"/>
  <c r="BB190" i="11"/>
  <c r="BF190" i="11"/>
  <c r="BB330" i="10"/>
  <c r="BF330" i="10"/>
  <c r="BB313" i="8"/>
  <c r="BF313" i="8"/>
  <c r="BB286" i="6"/>
  <c r="BF286" i="6"/>
  <c r="BB165" i="6"/>
  <c r="BF165" i="6"/>
  <c r="BB212" i="5"/>
  <c r="BF212" i="5"/>
  <c r="BB344" i="3"/>
  <c r="BF344" i="3"/>
  <c r="BB211" i="3"/>
  <c r="BF211" i="3"/>
  <c r="BB287" i="2"/>
  <c r="BF287" i="2"/>
  <c r="BB145" i="2"/>
  <c r="BF145" i="2"/>
  <c r="BB323" i="11"/>
  <c r="BF323" i="11"/>
  <c r="BB272" i="11"/>
  <c r="BF272" i="11"/>
  <c r="BB220" i="11"/>
  <c r="BF220" i="11"/>
  <c r="BB342" i="10"/>
  <c r="BF342" i="10"/>
  <c r="BB266" i="10"/>
  <c r="BF266" i="10"/>
  <c r="BB288" i="9"/>
  <c r="BF288" i="9"/>
  <c r="BB211" i="9"/>
  <c r="BF211" i="9"/>
  <c r="BB230" i="8"/>
  <c r="BF230" i="8"/>
  <c r="BB327" i="6"/>
  <c r="BF327" i="6"/>
  <c r="BB279" i="4"/>
  <c r="BF279" i="4"/>
  <c r="BB239" i="4"/>
  <c r="BF239" i="4"/>
  <c r="BB332" i="3"/>
  <c r="BF332" i="3"/>
  <c r="BB279" i="3"/>
  <c r="BF279" i="3"/>
  <c r="BB317" i="11"/>
  <c r="BF317" i="11"/>
  <c r="BB275" i="10"/>
  <c r="BF275" i="10"/>
  <c r="BB277" i="9"/>
  <c r="BF277" i="9"/>
  <c r="BB166" i="9"/>
  <c r="BF166" i="9"/>
  <c r="BB212" i="8"/>
  <c r="BF212" i="8"/>
  <c r="BB264" i="6"/>
  <c r="BF264" i="6"/>
  <c r="BB350" i="5"/>
  <c r="BF350" i="5"/>
  <c r="BB198" i="5"/>
  <c r="BF198" i="5"/>
  <c r="BB166" i="5"/>
  <c r="BF166" i="5"/>
  <c r="BB217" i="4"/>
  <c r="BF217" i="4"/>
  <c r="BB276" i="3"/>
  <c r="BF276" i="3"/>
  <c r="BB233" i="3"/>
  <c r="BF233" i="3"/>
  <c r="BB321" i="3"/>
  <c r="BF321" i="3"/>
  <c r="BB343" i="2"/>
  <c r="BF343" i="2"/>
  <c r="BB171" i="2"/>
  <c r="BF171" i="2"/>
  <c r="BB326" i="11"/>
  <c r="BF326" i="11"/>
  <c r="BB350" i="10"/>
  <c r="BF350" i="10"/>
  <c r="BB258" i="10"/>
  <c r="BF258" i="10"/>
  <c r="BB267" i="9"/>
  <c r="BF267" i="9"/>
  <c r="BB286" i="8"/>
  <c r="BF286" i="8"/>
  <c r="BB152" i="8"/>
  <c r="BF152" i="8"/>
  <c r="BB329" i="6"/>
  <c r="BF329" i="6"/>
  <c r="BB295" i="4"/>
  <c r="BF295" i="4"/>
  <c r="BB326" i="3"/>
  <c r="BF326" i="3"/>
  <c r="BB269" i="3"/>
  <c r="BF269" i="3"/>
  <c r="BB347" i="2"/>
  <c r="BF347" i="2"/>
  <c r="BB195" i="2"/>
  <c r="BF195" i="2"/>
  <c r="BB328" i="11"/>
  <c r="BF328" i="11"/>
  <c r="BB236" i="10"/>
  <c r="BF236" i="10"/>
  <c r="BB277" i="8"/>
  <c r="BF277" i="8"/>
  <c r="BB281" i="7"/>
  <c r="BF281" i="7"/>
  <c r="BB185" i="7"/>
  <c r="BF185" i="7"/>
  <c r="BB206" i="7"/>
  <c r="BF206" i="7"/>
  <c r="BB151" i="6"/>
  <c r="BF151" i="6"/>
  <c r="BB233" i="5"/>
  <c r="BF233" i="5"/>
  <c r="BB216" i="2"/>
  <c r="BF216" i="2"/>
  <c r="BB328" i="3"/>
  <c r="BF328" i="3"/>
  <c r="BB230" i="11"/>
  <c r="BF230" i="11"/>
  <c r="BB169" i="9"/>
  <c r="BF169" i="9"/>
  <c r="BB155" i="7"/>
  <c r="BF155" i="7"/>
  <c r="BB314" i="7"/>
  <c r="BF314" i="7"/>
  <c r="BB333" i="5"/>
  <c r="BF333" i="5"/>
  <c r="BB219" i="5"/>
  <c r="BF219" i="5"/>
  <c r="BB260" i="4"/>
  <c r="BF260" i="4"/>
  <c r="BB151" i="3"/>
  <c r="BF151" i="3"/>
  <c r="BB178" i="2"/>
  <c r="BF178" i="2"/>
  <c r="BF165" i="11"/>
  <c r="BB165" i="11"/>
  <c r="BB172" i="10"/>
  <c r="BF172" i="10"/>
  <c r="BB237" i="10"/>
  <c r="BF237" i="10"/>
  <c r="BB283" i="8"/>
  <c r="BF283" i="8"/>
  <c r="BB227" i="8"/>
  <c r="BF227" i="8"/>
  <c r="BB334" i="7"/>
  <c r="BF334" i="7"/>
  <c r="BB313" i="7"/>
  <c r="BF313" i="7"/>
  <c r="BB203" i="7"/>
  <c r="BF203" i="7"/>
  <c r="BB295" i="5"/>
  <c r="BF295" i="5"/>
  <c r="BB179" i="5"/>
  <c r="BF179" i="5"/>
  <c r="BB276" i="5"/>
  <c r="BF276" i="5"/>
  <c r="BB184" i="5"/>
  <c r="BF184" i="5"/>
  <c r="BB304" i="4"/>
  <c r="BF304" i="4"/>
  <c r="BB309" i="4"/>
  <c r="BF309" i="4"/>
  <c r="BB247" i="4"/>
  <c r="BF247" i="4"/>
  <c r="BB232" i="2"/>
  <c r="BF232" i="2"/>
  <c r="BB175" i="10"/>
  <c r="BF175" i="10"/>
  <c r="BB233" i="8"/>
  <c r="BF233" i="8"/>
  <c r="BB328" i="8"/>
  <c r="BF328" i="8"/>
  <c r="BB294" i="7"/>
  <c r="BF294" i="7"/>
  <c r="BB178" i="7"/>
  <c r="BF178" i="7"/>
  <c r="BB249" i="7"/>
  <c r="BF249" i="7"/>
  <c r="BB249" i="5"/>
  <c r="BF249" i="5"/>
  <c r="BB222" i="5"/>
  <c r="BF222" i="5"/>
  <c r="BB315" i="5"/>
  <c r="BF315" i="5"/>
  <c r="BB161" i="5"/>
  <c r="BF161" i="5"/>
  <c r="BB271" i="2"/>
  <c r="BF271" i="2"/>
  <c r="BB235" i="8"/>
  <c r="BF235" i="8"/>
  <c r="BB231" i="7"/>
  <c r="BF231" i="7"/>
  <c r="BB269" i="5"/>
  <c r="BF269" i="5"/>
  <c r="BB344" i="4"/>
  <c r="BF344" i="4"/>
  <c r="BB204" i="10"/>
  <c r="BF204" i="10"/>
  <c r="BB164" i="7"/>
  <c r="BF164" i="7"/>
  <c r="BB289" i="5"/>
  <c r="BF289" i="5"/>
  <c r="BB274" i="4"/>
  <c r="BF274" i="4"/>
  <c r="BB312" i="10"/>
  <c r="BF312" i="10"/>
  <c r="BB308" i="9"/>
  <c r="BF308" i="9"/>
  <c r="BB298" i="8"/>
  <c r="BF298" i="8"/>
  <c r="BB302" i="6"/>
  <c r="BF302" i="6"/>
  <c r="BB224" i="5"/>
  <c r="BF224" i="5"/>
  <c r="BB179" i="4"/>
  <c r="BF179" i="4"/>
  <c r="BB192" i="3"/>
  <c r="BF192" i="3"/>
  <c r="BB265" i="2"/>
  <c r="BF265" i="2"/>
  <c r="BB340" i="9"/>
  <c r="BF340" i="9"/>
  <c r="BB224" i="8"/>
  <c r="BF224" i="8"/>
  <c r="BB229" i="6"/>
  <c r="BF229" i="6"/>
  <c r="BB275" i="4"/>
  <c r="BF275" i="4"/>
  <c r="BB213" i="4"/>
  <c r="BF213" i="4"/>
  <c r="BB318" i="3"/>
  <c r="BF318" i="3"/>
  <c r="BB261" i="3"/>
  <c r="BF261" i="3"/>
  <c r="BB196" i="3"/>
  <c r="BF196" i="3"/>
  <c r="BB340" i="11"/>
  <c r="BF340" i="11"/>
  <c r="BB288" i="11"/>
  <c r="BF288" i="11"/>
  <c r="BB247" i="9"/>
  <c r="BF247" i="9"/>
  <c r="BB156" i="9"/>
  <c r="BF156" i="9"/>
  <c r="BB260" i="8"/>
  <c r="BF260" i="8"/>
  <c r="BB182" i="6"/>
  <c r="BF182" i="6"/>
  <c r="BB334" i="5"/>
  <c r="BF334" i="5"/>
  <c r="BB178" i="5"/>
  <c r="BF178" i="5"/>
  <c r="BB291" i="4"/>
  <c r="BF291" i="4"/>
  <c r="BB163" i="4"/>
  <c r="BF163" i="4"/>
  <c r="BB210" i="3"/>
  <c r="BF210" i="3"/>
  <c r="BB235" i="2"/>
  <c r="BF235" i="2"/>
  <c r="BB191" i="10"/>
  <c r="BF191" i="10"/>
  <c r="BB194" i="8"/>
  <c r="BF194" i="8"/>
  <c r="BB319" i="6"/>
  <c r="BF319" i="6"/>
  <c r="BB307" i="4"/>
  <c r="BF307" i="4"/>
  <c r="BB149" i="4"/>
  <c r="BF149" i="4"/>
  <c r="BB229" i="3"/>
  <c r="BF229" i="3"/>
  <c r="BB200" i="3"/>
  <c r="BF200" i="3"/>
  <c r="BB331" i="2"/>
  <c r="BF331" i="2"/>
  <c r="BB183" i="2"/>
  <c r="BF183" i="2"/>
  <c r="BB174" i="10"/>
  <c r="BF174" i="10"/>
  <c r="BB304" i="7"/>
  <c r="BF304" i="7"/>
  <c r="BB150" i="7"/>
  <c r="BF150" i="7"/>
  <c r="BB346" i="5"/>
  <c r="BF346" i="5"/>
  <c r="BB215" i="5"/>
  <c r="BF215" i="5"/>
  <c r="BB248" i="4"/>
  <c r="BF248" i="4"/>
  <c r="BB316" i="2"/>
  <c r="BF316" i="2"/>
  <c r="BB212" i="2"/>
  <c r="BF212" i="2"/>
  <c r="BB248" i="11"/>
  <c r="BF248" i="11"/>
  <c r="BB193" i="9"/>
  <c r="BF193" i="9"/>
  <c r="BB244" i="8"/>
  <c r="BF244" i="8"/>
  <c r="BB316" i="7"/>
  <c r="BF316" i="7"/>
  <c r="BB271" i="7"/>
  <c r="BF271" i="7"/>
  <c r="BB283" i="5"/>
  <c r="BF283" i="5"/>
  <c r="BB183" i="5"/>
  <c r="BF183" i="5"/>
  <c r="BB240" i="5"/>
  <c r="BF240" i="5"/>
  <c r="BB200" i="4"/>
  <c r="BF200" i="4"/>
  <c r="BB326" i="2"/>
  <c r="BF326" i="2"/>
  <c r="BB150" i="3"/>
  <c r="BF150" i="3"/>
  <c r="BB183" i="11"/>
  <c r="BF183" i="11"/>
  <c r="BB192" i="10"/>
  <c r="BF192" i="10"/>
  <c r="BB231" i="10"/>
  <c r="BF231" i="10"/>
  <c r="BB147" i="9"/>
  <c r="BF147" i="9"/>
  <c r="BB165" i="8"/>
  <c r="BF165" i="8"/>
  <c r="BB237" i="7"/>
  <c r="BF237" i="7"/>
  <c r="BB326" i="7"/>
  <c r="BF326" i="7"/>
  <c r="BB208" i="4"/>
  <c r="BF208" i="4"/>
  <c r="BB246" i="3"/>
  <c r="BF246" i="3"/>
  <c r="BB186" i="11"/>
  <c r="BF186" i="11"/>
  <c r="BB266" i="7"/>
  <c r="BF266" i="7"/>
  <c r="BB200" i="7"/>
  <c r="BF200" i="7"/>
  <c r="BB168" i="7"/>
  <c r="BF168" i="7"/>
  <c r="BF342" i="5"/>
  <c r="BB342" i="5"/>
  <c r="BB305" i="5"/>
  <c r="BF305" i="5"/>
  <c r="BB177" i="5"/>
  <c r="BF177" i="5"/>
  <c r="BB198" i="4"/>
  <c r="BF198" i="4"/>
  <c r="BB211" i="6"/>
  <c r="BF211" i="6"/>
  <c r="BB241" i="11"/>
  <c r="BF241" i="11"/>
  <c r="BB262" i="9"/>
  <c r="BF262" i="9"/>
  <c r="BB326" i="8"/>
  <c r="BF326" i="8"/>
  <c r="BB303" i="6"/>
  <c r="BF303" i="6"/>
  <c r="BF199" i="6"/>
  <c r="BB199" i="6"/>
  <c r="BB327" i="3"/>
  <c r="BF327" i="3"/>
  <c r="BB281" i="10"/>
  <c r="BF281" i="10"/>
  <c r="BB218" i="9"/>
  <c r="BF218" i="9"/>
  <c r="BB308" i="6"/>
  <c r="BF308" i="6"/>
  <c r="BB281" i="3"/>
  <c r="BF281" i="3"/>
  <c r="BB230" i="3"/>
  <c r="BF230" i="3"/>
  <c r="BB352" i="10"/>
  <c r="BF352" i="10"/>
  <c r="BB318" i="8"/>
  <c r="BF318" i="8"/>
  <c r="BB195" i="6"/>
  <c r="BF195" i="6"/>
  <c r="BB251" i="3"/>
  <c r="BF251" i="3"/>
  <c r="BF245" i="11"/>
  <c r="BB245" i="11"/>
  <c r="BB273" i="10"/>
  <c r="BF273" i="10"/>
  <c r="BB254" i="9"/>
  <c r="BF254" i="9"/>
  <c r="BB294" i="9"/>
  <c r="BF294" i="9"/>
  <c r="BB340" i="8"/>
  <c r="BF340" i="8"/>
  <c r="BB284" i="6"/>
  <c r="BF284" i="6"/>
  <c r="BB301" i="3"/>
  <c r="BF301" i="3"/>
  <c r="BB302" i="3"/>
  <c r="BF302" i="3"/>
  <c r="BB205" i="11"/>
  <c r="BF205" i="11"/>
  <c r="BB261" i="7"/>
  <c r="BF261" i="7"/>
  <c r="BB145" i="7"/>
  <c r="BF145" i="7"/>
  <c r="BB261" i="5"/>
  <c r="BF261" i="5"/>
  <c r="BB149" i="5"/>
  <c r="BF149" i="5"/>
  <c r="BB218" i="5"/>
  <c r="BF218" i="5"/>
  <c r="BB292" i="4"/>
  <c r="BF292" i="4"/>
  <c r="BB319" i="2"/>
  <c r="BF319" i="2"/>
  <c r="BB189" i="2"/>
  <c r="BF189" i="2"/>
  <c r="BB311" i="10"/>
  <c r="BF311" i="10"/>
  <c r="BB161" i="9"/>
  <c r="BF161" i="9"/>
  <c r="BB258" i="7"/>
  <c r="BF258" i="7"/>
  <c r="BB247" i="5"/>
  <c r="BF247" i="5"/>
  <c r="BB202" i="4"/>
  <c r="BF202" i="4"/>
  <c r="J537" i="5"/>
  <c r="J538" i="5" s="1"/>
  <c r="BB147" i="10"/>
  <c r="BF147" i="10"/>
  <c r="BF286" i="7"/>
  <c r="BB286" i="7"/>
  <c r="BB262" i="5"/>
  <c r="BF262" i="5"/>
  <c r="BB146" i="2"/>
  <c r="BF146" i="2"/>
  <c r="L537" i="2"/>
  <c r="L538" i="2" s="1"/>
  <c r="BB264" i="5"/>
  <c r="BF264" i="5"/>
  <c r="BB336" i="11"/>
  <c r="BF336" i="11"/>
  <c r="BB323" i="7"/>
  <c r="BF323" i="7"/>
  <c r="BB202" i="6"/>
  <c r="BF202" i="6"/>
  <c r="BB325" i="3"/>
  <c r="BF325" i="3"/>
  <c r="BB291" i="2"/>
  <c r="BF291" i="2"/>
  <c r="BB297" i="11"/>
  <c r="BF297" i="11"/>
  <c r="BB198" i="11"/>
  <c r="BF198" i="11"/>
  <c r="BB287" i="9"/>
  <c r="BF287" i="9"/>
  <c r="BB302" i="4"/>
  <c r="BF302" i="4"/>
  <c r="BB280" i="2"/>
  <c r="BF280" i="2"/>
  <c r="BB323" i="6"/>
  <c r="BF323" i="6"/>
  <c r="BB277" i="6"/>
  <c r="BF277" i="6"/>
  <c r="BB312" i="5"/>
  <c r="BF312" i="5"/>
  <c r="BB343" i="3"/>
  <c r="BF343" i="3"/>
  <c r="BB332" i="11"/>
  <c r="BF332" i="11"/>
  <c r="BB345" i="10"/>
  <c r="BF345" i="10"/>
  <c r="BB279" i="10"/>
  <c r="BF279" i="10"/>
  <c r="BB278" i="9"/>
  <c r="BF278" i="9"/>
  <c r="BB208" i="9"/>
  <c r="BF208" i="9"/>
  <c r="BB324" i="8"/>
  <c r="BF324" i="8"/>
  <c r="BB315" i="7"/>
  <c r="BF315" i="7"/>
  <c r="BB320" i="6"/>
  <c r="BF320" i="6"/>
  <c r="BB238" i="6"/>
  <c r="BF238" i="6"/>
  <c r="BB170" i="6"/>
  <c r="BF170" i="6"/>
  <c r="BB281" i="6"/>
  <c r="BF281" i="6"/>
  <c r="BB233" i="6"/>
  <c r="BF233" i="6"/>
  <c r="BB215" i="6"/>
  <c r="BF215" i="6"/>
  <c r="BB351" i="3"/>
  <c r="BF351" i="3"/>
  <c r="BB307" i="3"/>
  <c r="BF307" i="3"/>
  <c r="BB175" i="3"/>
  <c r="BF175" i="3"/>
  <c r="BB317" i="2"/>
  <c r="BF317" i="2"/>
  <c r="BB269" i="2"/>
  <c r="BF269" i="2"/>
  <c r="BB209" i="2"/>
  <c r="BF209" i="2"/>
  <c r="BB159" i="2"/>
  <c r="BF159" i="2"/>
  <c r="BB254" i="11"/>
  <c r="BF254" i="11"/>
  <c r="BB228" i="11"/>
  <c r="BF228" i="11"/>
  <c r="BB320" i="10"/>
  <c r="BF320" i="10"/>
  <c r="BB183" i="10"/>
  <c r="BF183" i="10"/>
  <c r="BB300" i="9"/>
  <c r="BF300" i="9"/>
  <c r="BB265" i="10"/>
  <c r="BF265" i="10"/>
  <c r="BB256" i="9"/>
  <c r="BF256" i="9"/>
  <c r="BB281" i="9"/>
  <c r="BF281" i="9"/>
  <c r="BB315" i="6"/>
  <c r="BF315" i="6"/>
  <c r="BB310" i="5"/>
  <c r="BF310" i="5"/>
  <c r="BB294" i="5"/>
  <c r="BF294" i="5"/>
  <c r="BB278" i="5"/>
  <c r="BF278" i="5"/>
  <c r="BB163" i="3"/>
  <c r="BF163" i="3"/>
  <c r="BB336" i="2"/>
  <c r="BF336" i="2"/>
  <c r="BB304" i="2"/>
  <c r="BF304" i="2"/>
  <c r="BB288" i="2"/>
  <c r="BF288" i="2"/>
  <c r="BB272" i="2"/>
  <c r="BF272" i="2"/>
  <c r="BB271" i="3"/>
  <c r="BF271" i="3"/>
  <c r="I81" i="11"/>
  <c r="F508" i="8"/>
  <c r="L477" i="8"/>
  <c r="K511" i="3"/>
  <c r="J40" i="8"/>
  <c r="K40" i="8" s="1"/>
  <c r="BB165" i="3"/>
  <c r="BF165" i="3"/>
  <c r="K512" i="8"/>
  <c r="P512" i="8" s="1"/>
  <c r="M469" i="6"/>
  <c r="M468" i="6"/>
  <c r="R473" i="6"/>
  <c r="R474" i="6" s="1"/>
  <c r="R475" i="6"/>
  <c r="R476" i="6" s="1"/>
  <c r="BB167" i="11"/>
  <c r="BF167" i="11"/>
  <c r="BB153" i="10"/>
  <c r="BF153" i="10"/>
  <c r="BB247" i="8"/>
  <c r="BF247" i="8"/>
  <c r="BB211" i="8"/>
  <c r="BF211" i="8"/>
  <c r="BB147" i="8"/>
  <c r="BF147" i="8"/>
  <c r="M469" i="10"/>
  <c r="F535" i="10" s="1"/>
  <c r="F538" i="10" s="1"/>
  <c r="M468" i="10"/>
  <c r="E535" i="10" s="1"/>
  <c r="E538" i="10" s="1"/>
  <c r="D508" i="10"/>
  <c r="E487" i="10"/>
  <c r="I525" i="10" s="1"/>
  <c r="E485" i="10"/>
  <c r="G525" i="10" s="1"/>
  <c r="E480" i="10"/>
  <c r="E481" i="10" s="1"/>
  <c r="G480" i="10" s="1"/>
  <c r="E488" i="10"/>
  <c r="J525" i="10" s="1"/>
  <c r="E482" i="10"/>
  <c r="D525" i="10" s="1"/>
  <c r="E478" i="10"/>
  <c r="E479" i="10" s="1"/>
  <c r="G478" i="10" s="1"/>
  <c r="E489" i="10"/>
  <c r="K525" i="10" s="1"/>
  <c r="E484" i="10"/>
  <c r="F525" i="10" s="1"/>
  <c r="E483" i="10"/>
  <c r="E525" i="10" s="1"/>
  <c r="E486" i="10"/>
  <c r="H525" i="10" s="1"/>
  <c r="N477" i="8"/>
  <c r="H508" i="8"/>
  <c r="K89" i="6"/>
  <c r="I89" i="6" s="1"/>
  <c r="K13" i="6"/>
  <c r="K512" i="5"/>
  <c r="P512" i="5" s="1"/>
  <c r="L511" i="3"/>
  <c r="BB280" i="10"/>
  <c r="BF280" i="10"/>
  <c r="BB171" i="10"/>
  <c r="BF171" i="10"/>
  <c r="BB267" i="7"/>
  <c r="BF267" i="7"/>
  <c r="BB251" i="7"/>
  <c r="BF251" i="7"/>
  <c r="BB173" i="6"/>
  <c r="BF173" i="6"/>
  <c r="M24" i="2"/>
  <c r="T40" i="3"/>
  <c r="U40" i="3" s="1"/>
  <c r="E489" i="9"/>
  <c r="K525" i="9" s="1"/>
  <c r="E484" i="9"/>
  <c r="F525" i="9" s="1"/>
  <c r="E486" i="9"/>
  <c r="H525" i="9" s="1"/>
  <c r="E483" i="9"/>
  <c r="E525" i="9" s="1"/>
  <c r="D508" i="9"/>
  <c r="E485" i="9"/>
  <c r="G525" i="9" s="1"/>
  <c r="E487" i="9"/>
  <c r="I525" i="9" s="1"/>
  <c r="E482" i="9"/>
  <c r="D525" i="9" s="1"/>
  <c r="E480" i="9"/>
  <c r="E481" i="9" s="1"/>
  <c r="G480" i="9" s="1"/>
  <c r="E478" i="9"/>
  <c r="E479" i="9" s="1"/>
  <c r="G478" i="9" s="1"/>
  <c r="E488" i="9"/>
  <c r="J525" i="9" s="1"/>
  <c r="K512" i="7"/>
  <c r="P512" i="7" s="1"/>
  <c r="M511" i="3"/>
  <c r="BB292" i="11"/>
  <c r="BF292" i="11"/>
  <c r="BB300" i="11"/>
  <c r="BF300" i="11"/>
  <c r="BB219" i="11"/>
  <c r="BF219" i="11"/>
  <c r="BB199" i="9"/>
  <c r="BF199" i="9"/>
  <c r="BB255" i="9"/>
  <c r="BF255" i="9"/>
  <c r="BB268" i="8"/>
  <c r="BF268" i="8"/>
  <c r="BB198" i="8"/>
  <c r="BF198" i="8"/>
  <c r="BB351" i="7"/>
  <c r="BF351" i="7"/>
  <c r="BB350" i="6"/>
  <c r="BF350" i="6"/>
  <c r="BB294" i="6"/>
  <c r="BF294" i="6"/>
  <c r="BB230" i="6"/>
  <c r="BF230" i="6"/>
  <c r="BB249" i="4"/>
  <c r="BF249" i="4"/>
  <c r="BB175" i="4"/>
  <c r="BF175" i="4"/>
  <c r="BB300" i="3"/>
  <c r="BF300" i="3"/>
  <c r="BB262" i="3"/>
  <c r="BF262" i="3"/>
  <c r="BB253" i="3"/>
  <c r="BF253" i="3"/>
  <c r="BB347" i="4"/>
  <c r="BF347" i="4"/>
  <c r="BB348" i="7"/>
  <c r="BF348" i="7"/>
  <c r="BB260" i="11"/>
  <c r="BF260" i="11"/>
  <c r="BB206" i="11"/>
  <c r="BF206" i="11"/>
  <c r="BB340" i="10"/>
  <c r="BF340" i="10"/>
  <c r="BB268" i="10"/>
  <c r="BF268" i="10"/>
  <c r="BB315" i="9"/>
  <c r="BF315" i="9"/>
  <c r="BB261" i="9"/>
  <c r="BF261" i="9"/>
  <c r="BB213" i="9"/>
  <c r="BF213" i="9"/>
  <c r="BB331" i="6"/>
  <c r="BF331" i="6"/>
  <c r="BF209" i="6"/>
  <c r="BB209" i="6"/>
  <c r="BB196" i="6"/>
  <c r="BF196" i="6"/>
  <c r="BB337" i="3"/>
  <c r="BF337" i="3"/>
  <c r="BB221" i="3"/>
  <c r="BF221" i="3"/>
  <c r="BB152" i="11"/>
  <c r="BF152" i="11"/>
  <c r="BB202" i="10"/>
  <c r="BF202" i="10"/>
  <c r="J40" i="9"/>
  <c r="K40" i="9" s="1"/>
  <c r="BB267" i="8"/>
  <c r="BF267" i="8"/>
  <c r="G82" i="9"/>
  <c r="N82" i="9" s="1"/>
  <c r="K511" i="7"/>
  <c r="P511" i="7" s="1"/>
  <c r="N477" i="4"/>
  <c r="H508" i="4"/>
  <c r="BB186" i="10"/>
  <c r="BF186" i="10"/>
  <c r="BB215" i="10"/>
  <c r="BF215" i="10"/>
  <c r="BB145" i="9"/>
  <c r="BF145" i="9"/>
  <c r="BB172" i="9"/>
  <c r="BF172" i="9"/>
  <c r="BB280" i="8"/>
  <c r="BF280" i="8"/>
  <c r="BB242" i="4"/>
  <c r="BF242" i="4"/>
  <c r="BB174" i="4"/>
  <c r="BF174" i="4"/>
  <c r="E508" i="8"/>
  <c r="K477" i="8"/>
  <c r="L512" i="7"/>
  <c r="M81" i="5"/>
  <c r="G81" i="5"/>
  <c r="J40" i="10"/>
  <c r="K40" i="10" s="1"/>
  <c r="BB154" i="4"/>
  <c r="BF154" i="4"/>
  <c r="BB201" i="4"/>
  <c r="BF201" i="4"/>
  <c r="BB173" i="4"/>
  <c r="BF173" i="4"/>
  <c r="BB154" i="3"/>
  <c r="BF154" i="3"/>
  <c r="BB297" i="2"/>
  <c r="BF297" i="2"/>
  <c r="BB274" i="2"/>
  <c r="BF274" i="2"/>
  <c r="N477" i="9"/>
  <c r="H508" i="9"/>
  <c r="I83" i="7"/>
  <c r="N509" i="5"/>
  <c r="H536" i="10"/>
  <c r="H538" i="10" s="1"/>
  <c r="BB183" i="9"/>
  <c r="BF183" i="9"/>
  <c r="BB185" i="9"/>
  <c r="BF185" i="9"/>
  <c r="BB223" i="8"/>
  <c r="BF223" i="8"/>
  <c r="BB189" i="8"/>
  <c r="BF189" i="8"/>
  <c r="BB306" i="4"/>
  <c r="BF306" i="4"/>
  <c r="BB252" i="4"/>
  <c r="BF252" i="4"/>
  <c r="M509" i="10"/>
  <c r="O512" i="5"/>
  <c r="M85" i="4"/>
  <c r="BB222" i="6"/>
  <c r="BF222" i="6"/>
  <c r="BB323" i="3"/>
  <c r="BF323" i="3"/>
  <c r="BB212" i="3"/>
  <c r="BF212" i="3"/>
  <c r="BB209" i="3"/>
  <c r="BF209" i="3"/>
  <c r="BB351" i="11"/>
  <c r="BF351" i="11"/>
  <c r="BB253" i="10"/>
  <c r="BF253" i="10"/>
  <c r="BB260" i="9"/>
  <c r="BF260" i="9"/>
  <c r="BB325" i="8"/>
  <c r="BF325" i="8"/>
  <c r="BB327" i="7"/>
  <c r="BF327" i="7"/>
  <c r="BB305" i="7"/>
  <c r="BF305" i="7"/>
  <c r="BB310" i="6"/>
  <c r="BF310" i="6"/>
  <c r="BB216" i="6"/>
  <c r="BF216" i="6"/>
  <c r="BB349" i="3"/>
  <c r="BF349" i="3"/>
  <c r="BB320" i="3"/>
  <c r="BF320" i="3"/>
  <c r="BB290" i="3"/>
  <c r="BF290" i="3"/>
  <c r="BB256" i="3"/>
  <c r="BF256" i="3"/>
  <c r="BB317" i="3"/>
  <c r="BF317" i="3"/>
  <c r="BB339" i="2"/>
  <c r="BF339" i="2"/>
  <c r="BB275" i="2"/>
  <c r="BF275" i="2"/>
  <c r="BB225" i="2"/>
  <c r="BF225" i="2"/>
  <c r="BB270" i="11"/>
  <c r="BF270" i="11"/>
  <c r="BB338" i="10"/>
  <c r="BF338" i="10"/>
  <c r="BB276" i="10"/>
  <c r="BF276" i="10"/>
  <c r="BB352" i="9"/>
  <c r="BF352" i="9"/>
  <c r="BB274" i="9"/>
  <c r="BF274" i="9"/>
  <c r="BB186" i="9"/>
  <c r="BF186" i="9"/>
  <c r="BB285" i="6"/>
  <c r="BF285" i="6"/>
  <c r="BB330" i="5"/>
  <c r="BF330" i="5"/>
  <c r="BB298" i="5"/>
  <c r="BF298" i="5"/>
  <c r="BB282" i="5"/>
  <c r="BF282" i="5"/>
  <c r="BB238" i="5"/>
  <c r="BF238" i="5"/>
  <c r="BB325" i="7"/>
  <c r="BF325" i="7"/>
  <c r="BB227" i="6"/>
  <c r="BF227" i="6"/>
  <c r="BB314" i="4"/>
  <c r="BF314" i="4"/>
  <c r="BB349" i="4"/>
  <c r="BF349" i="4"/>
  <c r="BB327" i="4"/>
  <c r="BF327" i="4"/>
  <c r="BB342" i="2"/>
  <c r="BF342" i="2"/>
  <c r="BB302" i="2"/>
  <c r="BF302" i="2"/>
  <c r="BB227" i="2"/>
  <c r="BF227" i="2"/>
  <c r="N511" i="6"/>
  <c r="I536" i="4"/>
  <c r="I538" i="4" s="1"/>
  <c r="M471" i="3"/>
  <c r="M470" i="3"/>
  <c r="J509" i="3"/>
  <c r="I509" i="3"/>
  <c r="BB159" i="3"/>
  <c r="BF159" i="3"/>
  <c r="R473" i="11"/>
  <c r="R474" i="11" s="1"/>
  <c r="R475" i="11"/>
  <c r="R476" i="11" s="1"/>
  <c r="M85" i="8"/>
  <c r="N509" i="7"/>
  <c r="E488" i="5"/>
  <c r="J525" i="5" s="1"/>
  <c r="E482" i="5"/>
  <c r="D525" i="5" s="1"/>
  <c r="E478" i="5"/>
  <c r="E479" i="5" s="1"/>
  <c r="G478" i="5" s="1"/>
  <c r="E487" i="5"/>
  <c r="I525" i="5" s="1"/>
  <c r="E485" i="5"/>
  <c r="G525" i="5" s="1"/>
  <c r="E484" i="5"/>
  <c r="F525" i="5" s="1"/>
  <c r="E486" i="5"/>
  <c r="H525" i="5" s="1"/>
  <c r="E480" i="5"/>
  <c r="E481" i="5" s="1"/>
  <c r="G480" i="5" s="1"/>
  <c r="D508" i="5"/>
  <c r="E489" i="5"/>
  <c r="K525" i="5" s="1"/>
  <c r="E483" i="5"/>
  <c r="E525" i="5" s="1"/>
  <c r="M83" i="3"/>
  <c r="BB149" i="10"/>
  <c r="BF149" i="10"/>
  <c r="BB182" i="10"/>
  <c r="BF182" i="10"/>
  <c r="BB299" i="8"/>
  <c r="BF299" i="8"/>
  <c r="BB229" i="8"/>
  <c r="BF229" i="8"/>
  <c r="BB207" i="8"/>
  <c r="BF207" i="8"/>
  <c r="G536" i="5"/>
  <c r="G538" i="5" s="1"/>
  <c r="X360" i="2"/>
  <c r="M511" i="7"/>
  <c r="N511" i="5"/>
  <c r="R475" i="3"/>
  <c r="R476" i="3" s="1"/>
  <c r="R473" i="3"/>
  <c r="R474" i="3" s="1"/>
  <c r="BB259" i="8"/>
  <c r="BF259" i="8"/>
  <c r="BB263" i="7"/>
  <c r="BF263" i="7"/>
  <c r="BB247" i="7"/>
  <c r="BF247" i="7"/>
  <c r="BB227" i="5"/>
  <c r="BF227" i="5"/>
  <c r="BB171" i="6"/>
  <c r="BF171" i="6"/>
  <c r="M25" i="4"/>
  <c r="M26" i="4" s="1"/>
  <c r="H536" i="9"/>
  <c r="H538" i="9" s="1"/>
  <c r="H508" i="6"/>
  <c r="N477" i="6"/>
  <c r="P515" i="4"/>
  <c r="M70" i="4"/>
  <c r="G70" i="4"/>
  <c r="K512" i="3"/>
  <c r="P512" i="3" s="1"/>
  <c r="K512" i="2"/>
  <c r="P512" i="2" s="1"/>
  <c r="BB333" i="10"/>
  <c r="BF333" i="10"/>
  <c r="BB305" i="10"/>
  <c r="BF305" i="10"/>
  <c r="BB317" i="9"/>
  <c r="BF317" i="9"/>
  <c r="BB303" i="9"/>
  <c r="BF303" i="9"/>
  <c r="BB245" i="9"/>
  <c r="BF245" i="9"/>
  <c r="BB294" i="8"/>
  <c r="BF294" i="8"/>
  <c r="BB252" i="8"/>
  <c r="BF252" i="8"/>
  <c r="BB182" i="8"/>
  <c r="BF182" i="8"/>
  <c r="BB324" i="6"/>
  <c r="BF324" i="6"/>
  <c r="BB177" i="6"/>
  <c r="BF177" i="6"/>
  <c r="BB313" i="4"/>
  <c r="BF313" i="4"/>
  <c r="BB201" i="9"/>
  <c r="BF201" i="9"/>
  <c r="BB188" i="6"/>
  <c r="BF188" i="6"/>
  <c r="BB310" i="11"/>
  <c r="BF310" i="11"/>
  <c r="BB325" i="10"/>
  <c r="BF325" i="10"/>
  <c r="BB305" i="9"/>
  <c r="BF305" i="9"/>
  <c r="BB283" i="9"/>
  <c r="BF283" i="9"/>
  <c r="BB243" i="9"/>
  <c r="BF243" i="9"/>
  <c r="BB315" i="8"/>
  <c r="BF315" i="8"/>
  <c r="BB339" i="6"/>
  <c r="BF339" i="6"/>
  <c r="BB279" i="6"/>
  <c r="BF279" i="6"/>
  <c r="BB160" i="6"/>
  <c r="BF160" i="6"/>
  <c r="BB148" i="11"/>
  <c r="BF148" i="11"/>
  <c r="BB149" i="11"/>
  <c r="BF149" i="11"/>
  <c r="BB191" i="8"/>
  <c r="BF191" i="8"/>
  <c r="BB175" i="8"/>
  <c r="BF175" i="8"/>
  <c r="BB159" i="8"/>
  <c r="BF159" i="8"/>
  <c r="M469" i="7"/>
  <c r="F535" i="7" s="1"/>
  <c r="F538" i="7" s="1"/>
  <c r="M468" i="7"/>
  <c r="E535" i="7" s="1"/>
  <c r="E538" i="7" s="1"/>
  <c r="E488" i="7"/>
  <c r="J525" i="7" s="1"/>
  <c r="E482" i="7"/>
  <c r="D525" i="7" s="1"/>
  <c r="E478" i="7"/>
  <c r="E479" i="7" s="1"/>
  <c r="G478" i="7" s="1"/>
  <c r="E489" i="7"/>
  <c r="K525" i="7" s="1"/>
  <c r="E484" i="7"/>
  <c r="F525" i="7" s="1"/>
  <c r="E486" i="7"/>
  <c r="H525" i="7" s="1"/>
  <c r="E483" i="7"/>
  <c r="E525" i="7" s="1"/>
  <c r="D508" i="7"/>
  <c r="E487" i="7"/>
  <c r="I525" i="7" s="1"/>
  <c r="E485" i="7"/>
  <c r="G525" i="7" s="1"/>
  <c r="E480" i="7"/>
  <c r="E481" i="7" s="1"/>
  <c r="G480" i="7" s="1"/>
  <c r="M477" i="6"/>
  <c r="G508" i="6"/>
  <c r="M509" i="5"/>
  <c r="BB351" i="5"/>
  <c r="BF351" i="5"/>
  <c r="BB155" i="2"/>
  <c r="BF155" i="2"/>
  <c r="L537" i="11"/>
  <c r="L538" i="11" s="1"/>
  <c r="M511" i="4"/>
  <c r="F88" i="3"/>
  <c r="M88" i="3" s="1"/>
  <c r="M82" i="2"/>
  <c r="G82" i="2"/>
  <c r="BB176" i="9"/>
  <c r="BF176" i="9"/>
  <c r="K537" i="8"/>
  <c r="K538" i="8" s="1"/>
  <c r="BB168" i="8"/>
  <c r="BF168" i="8"/>
  <c r="BB308" i="7"/>
  <c r="BF308" i="7"/>
  <c r="BB262" i="7"/>
  <c r="BF262" i="7"/>
  <c r="BB294" i="4"/>
  <c r="BF294" i="4"/>
  <c r="BB164" i="3"/>
  <c r="BF164" i="3"/>
  <c r="BB309" i="2"/>
  <c r="BF309" i="2"/>
  <c r="BB293" i="2"/>
  <c r="BF293" i="2"/>
  <c r="BB247" i="2"/>
  <c r="BF247" i="2"/>
  <c r="G508" i="10"/>
  <c r="M477" i="10"/>
  <c r="P513" i="6"/>
  <c r="BB212" i="10"/>
  <c r="BF212" i="10"/>
  <c r="BB205" i="10"/>
  <c r="BF205" i="10"/>
  <c r="W29" i="9"/>
  <c r="BB213" i="8"/>
  <c r="BF213" i="8"/>
  <c r="BB330" i="7"/>
  <c r="BF330" i="7"/>
  <c r="BB302" i="7"/>
  <c r="BF302" i="7"/>
  <c r="BB279" i="7"/>
  <c r="BF279" i="7"/>
  <c r="M27" i="5"/>
  <c r="M28" i="5" s="1"/>
  <c r="BB297" i="4"/>
  <c r="BF297" i="4"/>
  <c r="BB185" i="4"/>
  <c r="BF185" i="4"/>
  <c r="BB168" i="2"/>
  <c r="BF168" i="2"/>
  <c r="BB205" i="2"/>
  <c r="BF205" i="2"/>
  <c r="M512" i="11"/>
  <c r="L509" i="10"/>
  <c r="E508" i="7"/>
  <c r="K477" i="7"/>
  <c r="R473" i="5"/>
  <c r="R474" i="5" s="1"/>
  <c r="R475" i="5"/>
  <c r="R476" i="5" s="1"/>
  <c r="R473" i="4"/>
  <c r="R474" i="4" s="1"/>
  <c r="R475" i="4"/>
  <c r="R476" i="4" s="1"/>
  <c r="BB244" i="11"/>
  <c r="BF244" i="11"/>
  <c r="BB344" i="9"/>
  <c r="BF344" i="9"/>
  <c r="BB264" i="9"/>
  <c r="BF264" i="9"/>
  <c r="BB302" i="8"/>
  <c r="BF302" i="8"/>
  <c r="BB190" i="6"/>
  <c r="BF190" i="6"/>
  <c r="BB152" i="5"/>
  <c r="BF152" i="5"/>
  <c r="BB322" i="3"/>
  <c r="BF322" i="3"/>
  <c r="BB162" i="3"/>
  <c r="BF162" i="3"/>
  <c r="BB243" i="2"/>
  <c r="BF243" i="2"/>
  <c r="BB304" i="9"/>
  <c r="BF304" i="9"/>
  <c r="BB241" i="9"/>
  <c r="BF241" i="9"/>
  <c r="BB202" i="8"/>
  <c r="BF202" i="8"/>
  <c r="BB337" i="6"/>
  <c r="BF337" i="6"/>
  <c r="BB351" i="4"/>
  <c r="BF351" i="4"/>
  <c r="BB265" i="4"/>
  <c r="BF265" i="4"/>
  <c r="BB191" i="4"/>
  <c r="BF191" i="4"/>
  <c r="BB288" i="3"/>
  <c r="BF288" i="3"/>
  <c r="BB206" i="3"/>
  <c r="BF206" i="3"/>
  <c r="BB349" i="10"/>
  <c r="BF349" i="10"/>
  <c r="BB283" i="10"/>
  <c r="BF283" i="10"/>
  <c r="BB295" i="9"/>
  <c r="BF295" i="9"/>
  <c r="BB233" i="9"/>
  <c r="BF233" i="9"/>
  <c r="BB342" i="8"/>
  <c r="BF342" i="8"/>
  <c r="BB306" i="6"/>
  <c r="BF306" i="6"/>
  <c r="BB224" i="6"/>
  <c r="BF224" i="6"/>
  <c r="BB267" i="6"/>
  <c r="BF267" i="6"/>
  <c r="BB202" i="5"/>
  <c r="BF202" i="5"/>
  <c r="BB170" i="5"/>
  <c r="BF170" i="5"/>
  <c r="BB325" i="4"/>
  <c r="BF325" i="4"/>
  <c r="BB195" i="4"/>
  <c r="BF195" i="4"/>
  <c r="BB250" i="3"/>
  <c r="BF250" i="3"/>
  <c r="BB152" i="3"/>
  <c r="BF152" i="3"/>
  <c r="BB187" i="2"/>
  <c r="BF187" i="2"/>
  <c r="BB308" i="11"/>
  <c r="BF308" i="11"/>
  <c r="BB332" i="9"/>
  <c r="BF332" i="9"/>
  <c r="BB307" i="9"/>
  <c r="BF307" i="9"/>
  <c r="BB229" i="9"/>
  <c r="BF229" i="9"/>
  <c r="BB238" i="8"/>
  <c r="BF238" i="8"/>
  <c r="BB293" i="6"/>
  <c r="BF293" i="6"/>
  <c r="BB171" i="4"/>
  <c r="BF171" i="4"/>
  <c r="BB284" i="3"/>
  <c r="BF284" i="3"/>
  <c r="BB148" i="3"/>
  <c r="BF148" i="3"/>
  <c r="BB217" i="2"/>
  <c r="BF217" i="2"/>
  <c r="BB246" i="11"/>
  <c r="BF246" i="11"/>
  <c r="BB169" i="8"/>
  <c r="BF169" i="8"/>
  <c r="BB177" i="7"/>
  <c r="BF177" i="7"/>
  <c r="BB226" i="7"/>
  <c r="BF226" i="7"/>
  <c r="BB345" i="5"/>
  <c r="BF345" i="5"/>
  <c r="BB319" i="5"/>
  <c r="BF319" i="5"/>
  <c r="BB181" i="5"/>
  <c r="BF181" i="5"/>
  <c r="BB224" i="4"/>
  <c r="BF224" i="4"/>
  <c r="BB170" i="2"/>
  <c r="BF170" i="2"/>
  <c r="BB194" i="11"/>
  <c r="BF194" i="11"/>
  <c r="BB151" i="11"/>
  <c r="BF151" i="11"/>
  <c r="BB316" i="10"/>
  <c r="BF316" i="10"/>
  <c r="BB208" i="10"/>
  <c r="BF208" i="10"/>
  <c r="BB190" i="10"/>
  <c r="BF190" i="10"/>
  <c r="BB213" i="10"/>
  <c r="BF213" i="10"/>
  <c r="BB155" i="9"/>
  <c r="BF155" i="9"/>
  <c r="BB322" i="7"/>
  <c r="BF322" i="7"/>
  <c r="BB237" i="5"/>
  <c r="BF237" i="5"/>
  <c r="BB298" i="4"/>
  <c r="BF298" i="4"/>
  <c r="BB301" i="8"/>
  <c r="BF301" i="8"/>
  <c r="BB229" i="7"/>
  <c r="BF229" i="7"/>
  <c r="BB320" i="4"/>
  <c r="BF320" i="4"/>
  <c r="BB170" i="4"/>
  <c r="BF170" i="4"/>
  <c r="BB185" i="3"/>
  <c r="BF185" i="3"/>
  <c r="BB177" i="11"/>
  <c r="BF177" i="11"/>
  <c r="BB207" i="10"/>
  <c r="BF207" i="10"/>
  <c r="BB209" i="8"/>
  <c r="BF209" i="8"/>
  <c r="BB236" i="8"/>
  <c r="BF236" i="8"/>
  <c r="BB311" i="8"/>
  <c r="BF311" i="8"/>
  <c r="BB282" i="7"/>
  <c r="BF282" i="7"/>
  <c r="BB227" i="7"/>
  <c r="BF227" i="7"/>
  <c r="BB313" i="5"/>
  <c r="BF313" i="5"/>
  <c r="BB304" i="5"/>
  <c r="BF304" i="5"/>
  <c r="BB180" i="5"/>
  <c r="BF180" i="5"/>
  <c r="BB145" i="6"/>
  <c r="BF145" i="6"/>
  <c r="BB273" i="4"/>
  <c r="BF273" i="4"/>
  <c r="BB215" i="2"/>
  <c r="BF215" i="2"/>
  <c r="BB184" i="3"/>
  <c r="BF184" i="3"/>
  <c r="BB233" i="7"/>
  <c r="BF233" i="7"/>
  <c r="BB338" i="5"/>
  <c r="BF338" i="5"/>
  <c r="BB193" i="8"/>
  <c r="BF193" i="8"/>
  <c r="BB170" i="7"/>
  <c r="BF170" i="7"/>
  <c r="BB196" i="5"/>
  <c r="BF196" i="5"/>
  <c r="BB294" i="11"/>
  <c r="BF294" i="11"/>
  <c r="BB287" i="10"/>
  <c r="BF287" i="10"/>
  <c r="BB345" i="9"/>
  <c r="BF345" i="9"/>
  <c r="BB276" i="9"/>
  <c r="BF276" i="9"/>
  <c r="BB323" i="8"/>
  <c r="BF323" i="8"/>
  <c r="BB317" i="6"/>
  <c r="BF317" i="6"/>
  <c r="BB235" i="6"/>
  <c r="BF235" i="6"/>
  <c r="BB231" i="3"/>
  <c r="BF231" i="3"/>
  <c r="BB308" i="8"/>
  <c r="BF308" i="8"/>
  <c r="BB270" i="6"/>
  <c r="BF270" i="6"/>
  <c r="BB146" i="6"/>
  <c r="BF146" i="6"/>
  <c r="BB273" i="3"/>
  <c r="BF273" i="3"/>
  <c r="BB182" i="3"/>
  <c r="BF182" i="3"/>
  <c r="BB204" i="11"/>
  <c r="BF204" i="11"/>
  <c r="BB348" i="10"/>
  <c r="BF348" i="10"/>
  <c r="BB240" i="9"/>
  <c r="BF240" i="9"/>
  <c r="BB295" i="6"/>
  <c r="BF295" i="6"/>
  <c r="BB179" i="6"/>
  <c r="BF179" i="6"/>
  <c r="BB277" i="11"/>
  <c r="BF277" i="11"/>
  <c r="BB280" i="9"/>
  <c r="BF280" i="9"/>
  <c r="BB314" i="6"/>
  <c r="BF314" i="6"/>
  <c r="BB289" i="3"/>
  <c r="BF289" i="3"/>
  <c r="BB350" i="3"/>
  <c r="BF350" i="3"/>
  <c r="BB286" i="3"/>
  <c r="BF286" i="3"/>
  <c r="BB163" i="9"/>
  <c r="BF163" i="9"/>
  <c r="BB266" i="8"/>
  <c r="BF266" i="8"/>
  <c r="BB156" i="7"/>
  <c r="BF156" i="7"/>
  <c r="BB179" i="7"/>
  <c r="BF179" i="7"/>
  <c r="BB287" i="5"/>
  <c r="BF287" i="5"/>
  <c r="BB244" i="5"/>
  <c r="BF244" i="5"/>
  <c r="BB349" i="5"/>
  <c r="BF349" i="5"/>
  <c r="BB146" i="4"/>
  <c r="BF146" i="4"/>
  <c r="BB211" i="4"/>
  <c r="BF211" i="4"/>
  <c r="BB155" i="4"/>
  <c r="BF155" i="4"/>
  <c r="BB333" i="2"/>
  <c r="BF333" i="2"/>
  <c r="BB150" i="2"/>
  <c r="BF150" i="2"/>
  <c r="BB178" i="10"/>
  <c r="BF178" i="10"/>
  <c r="BB291" i="10"/>
  <c r="BF291" i="10"/>
  <c r="BB250" i="8"/>
  <c r="BF250" i="8"/>
  <c r="BB338" i="7"/>
  <c r="BF338" i="7"/>
  <c r="BB221" i="7"/>
  <c r="BF221" i="7"/>
  <c r="BB225" i="5"/>
  <c r="BF225" i="5"/>
  <c r="BB254" i="5"/>
  <c r="BF254" i="5"/>
  <c r="BB314" i="2"/>
  <c r="BF314" i="2"/>
  <c r="BB153" i="3"/>
  <c r="BF153" i="3"/>
  <c r="BB197" i="2"/>
  <c r="BF197" i="2"/>
  <c r="BB270" i="10"/>
  <c r="BF270" i="10"/>
  <c r="BB206" i="10"/>
  <c r="BF206" i="10"/>
  <c r="BB157" i="8"/>
  <c r="BF157" i="8"/>
  <c r="BB241" i="7"/>
  <c r="BF241" i="7"/>
  <c r="BB311" i="7"/>
  <c r="BF311" i="7"/>
  <c r="BB310" i="4"/>
  <c r="BF310" i="4"/>
  <c r="BB174" i="3"/>
  <c r="BF174" i="3"/>
  <c r="BB174" i="11"/>
  <c r="BF174" i="11"/>
  <c r="BB177" i="10"/>
  <c r="BF177" i="10"/>
  <c r="BB223" i="10"/>
  <c r="BF223" i="10"/>
  <c r="BB217" i="8"/>
  <c r="BF217" i="8"/>
  <c r="BB232" i="8"/>
  <c r="BF232" i="8"/>
  <c r="BB272" i="7"/>
  <c r="BF272" i="7"/>
  <c r="BB210" i="7"/>
  <c r="BF210" i="7"/>
  <c r="BB172" i="7"/>
  <c r="BF172" i="7"/>
  <c r="BB245" i="4"/>
  <c r="BF245" i="4"/>
  <c r="BB214" i="2"/>
  <c r="BF214" i="2"/>
  <c r="BB192" i="2"/>
  <c r="BF192" i="2"/>
  <c r="BB160" i="2"/>
  <c r="BF160" i="2"/>
  <c r="BB240" i="10"/>
  <c r="BF240" i="10"/>
  <c r="BB148" i="6"/>
  <c r="BF148" i="6"/>
  <c r="BB146" i="9"/>
  <c r="BF146" i="9"/>
  <c r="BB319" i="11"/>
  <c r="BF319" i="11"/>
  <c r="BF255" i="11"/>
  <c r="BB255" i="11"/>
  <c r="BB251" i="10"/>
  <c r="BF251" i="10"/>
  <c r="BB329" i="9"/>
  <c r="BF329" i="9"/>
  <c r="BB266" i="9"/>
  <c r="BF266" i="9"/>
  <c r="BB352" i="8"/>
  <c r="BF352" i="8"/>
  <c r="BB313" i="6"/>
  <c r="BF313" i="6"/>
  <c r="BB225" i="6"/>
  <c r="BF225" i="6"/>
  <c r="BB154" i="6"/>
  <c r="BF154" i="6"/>
  <c r="BB345" i="3"/>
  <c r="BF345" i="3"/>
  <c r="BB352" i="2"/>
  <c r="BF352" i="2"/>
  <c r="BB290" i="11"/>
  <c r="BF290" i="11"/>
  <c r="BF237" i="11"/>
  <c r="BB237" i="11"/>
  <c r="BF191" i="11"/>
  <c r="BB191" i="11"/>
  <c r="BB343" i="10"/>
  <c r="BF343" i="10"/>
  <c r="BB333" i="9"/>
  <c r="BF333" i="9"/>
  <c r="BB228" i="9"/>
  <c r="BF228" i="9"/>
  <c r="BB337" i="8"/>
  <c r="BF337" i="8"/>
  <c r="BB349" i="7"/>
  <c r="BF349" i="7"/>
  <c r="BB254" i="6"/>
  <c r="BF254" i="6"/>
  <c r="BB255" i="3"/>
  <c r="BF255" i="3"/>
  <c r="BB295" i="11"/>
  <c r="BF295" i="11"/>
  <c r="BB264" i="11"/>
  <c r="BF264" i="11"/>
  <c r="BB203" i="6"/>
  <c r="BF203" i="6"/>
  <c r="BB267" i="3"/>
  <c r="BF267" i="3"/>
  <c r="BB208" i="3"/>
  <c r="BF208" i="3"/>
  <c r="BB342" i="11"/>
  <c r="BF342" i="11"/>
  <c r="BB298" i="11"/>
  <c r="BF298" i="11"/>
  <c r="BB259" i="11"/>
  <c r="BF259" i="11"/>
  <c r="BB307" i="10"/>
  <c r="BF307" i="10"/>
  <c r="BB312" i="9"/>
  <c r="BF312" i="9"/>
  <c r="BB298" i="9"/>
  <c r="BF298" i="9"/>
  <c r="BB348" i="8"/>
  <c r="BF348" i="8"/>
  <c r="BB292" i="6"/>
  <c r="BF292" i="6"/>
  <c r="BB309" i="3"/>
  <c r="BF309" i="3"/>
  <c r="BB310" i="3"/>
  <c r="BF310" i="3"/>
  <c r="BB233" i="11"/>
  <c r="BF233" i="11"/>
  <c r="BB304" i="8"/>
  <c r="BF304" i="8"/>
  <c r="BB216" i="7"/>
  <c r="BF216" i="7"/>
  <c r="BB152" i="7"/>
  <c r="BF152" i="7"/>
  <c r="BB225" i="7"/>
  <c r="BF225" i="7"/>
  <c r="BB171" i="5"/>
  <c r="BF171" i="5"/>
  <c r="BB228" i="5"/>
  <c r="BF228" i="5"/>
  <c r="BB250" i="4"/>
  <c r="BF250" i="4"/>
  <c r="BB237" i="2"/>
  <c r="BF237" i="2"/>
  <c r="BB309" i="10"/>
  <c r="BF309" i="10"/>
  <c r="BB165" i="9"/>
  <c r="BF165" i="9"/>
  <c r="BB305" i="8"/>
  <c r="BF305" i="8"/>
  <c r="BB152" i="6"/>
  <c r="BF152" i="6"/>
  <c r="BB263" i="5"/>
  <c r="BF263" i="5"/>
  <c r="BB169" i="5"/>
  <c r="BF169" i="5"/>
  <c r="BB148" i="4"/>
  <c r="BF148" i="4"/>
  <c r="BB334" i="2"/>
  <c r="BF334" i="2"/>
  <c r="BB190" i="2"/>
  <c r="BF190" i="2"/>
  <c r="BB151" i="10"/>
  <c r="BF151" i="10"/>
  <c r="BB239" i="8"/>
  <c r="BF239" i="8"/>
  <c r="BB253" i="7"/>
  <c r="BF253" i="7"/>
  <c r="BB279" i="5"/>
  <c r="BF279" i="5"/>
  <c r="BB163" i="5"/>
  <c r="BF163" i="5"/>
  <c r="BB226" i="5"/>
  <c r="BF226" i="5"/>
  <c r="BB271" i="6"/>
  <c r="BF271" i="6"/>
  <c r="BB210" i="4"/>
  <c r="BF210" i="4"/>
  <c r="BB241" i="4"/>
  <c r="BF241" i="4"/>
  <c r="BB244" i="2"/>
  <c r="BF244" i="2"/>
  <c r="BB341" i="2"/>
  <c r="BF341" i="2"/>
  <c r="BB223" i="2"/>
  <c r="BF223" i="2"/>
  <c r="BB145" i="11"/>
  <c r="BF145" i="11"/>
  <c r="BB161" i="10"/>
  <c r="BF161" i="10"/>
  <c r="BB233" i="10"/>
  <c r="BF233" i="10"/>
  <c r="BB225" i="8"/>
  <c r="BF225" i="8"/>
  <c r="BB177" i="8"/>
  <c r="BF177" i="8"/>
  <c r="BB324" i="7"/>
  <c r="BF324" i="7"/>
  <c r="BB274" i="7"/>
  <c r="BF274" i="7"/>
  <c r="BB174" i="7"/>
  <c r="BF174" i="7"/>
  <c r="BB149" i="7"/>
  <c r="BF149" i="7"/>
  <c r="BB175" i="5"/>
  <c r="BF175" i="5"/>
  <c r="BB206" i="5"/>
  <c r="BF206" i="5"/>
  <c r="BB255" i="4"/>
  <c r="BF255" i="4"/>
  <c r="BB160" i="3"/>
  <c r="BF160" i="3"/>
  <c r="BB172" i="2"/>
  <c r="BF172" i="2"/>
  <c r="BB161" i="2"/>
  <c r="BF161" i="2"/>
  <c r="BB185" i="10"/>
  <c r="BF185" i="10"/>
  <c r="BB184" i="9"/>
  <c r="BF184" i="9"/>
  <c r="BB146" i="5"/>
  <c r="BF146" i="5"/>
  <c r="BB337" i="2"/>
  <c r="BF337" i="2"/>
  <c r="BB275" i="5"/>
  <c r="BF275" i="5"/>
  <c r="BB262" i="11"/>
  <c r="BF262" i="11"/>
  <c r="BB224" i="11"/>
  <c r="BF224" i="11"/>
  <c r="BB212" i="9"/>
  <c r="BF212" i="9"/>
  <c r="BB343" i="8"/>
  <c r="BF343" i="8"/>
  <c r="BB334" i="8"/>
  <c r="BF334" i="8"/>
  <c r="BB343" i="7"/>
  <c r="BF343" i="7"/>
  <c r="BB156" i="5"/>
  <c r="BF156" i="5"/>
  <c r="BB292" i="3"/>
  <c r="BF292" i="3"/>
  <c r="BB166" i="3"/>
  <c r="BF166" i="3"/>
  <c r="BB249" i="2"/>
  <c r="BF249" i="2"/>
  <c r="BB329" i="11"/>
  <c r="BF329" i="11"/>
  <c r="BB322" i="9"/>
  <c r="BF322" i="9"/>
  <c r="BB251" i="9"/>
  <c r="BF251" i="9"/>
  <c r="BB278" i="8"/>
  <c r="BF278" i="8"/>
  <c r="BB347" i="7"/>
  <c r="BF347" i="7"/>
  <c r="BB251" i="6"/>
  <c r="BF251" i="6"/>
  <c r="BB331" i="4"/>
  <c r="BF331" i="4"/>
  <c r="BB253" i="4"/>
  <c r="BF253" i="4"/>
  <c r="BB159" i="4"/>
  <c r="BF159" i="4"/>
  <c r="BB237" i="3"/>
  <c r="BF237" i="3"/>
  <c r="BB249" i="3"/>
  <c r="BF249" i="3"/>
  <c r="BB216" i="11"/>
  <c r="BF216" i="11"/>
  <c r="BB257" i="11"/>
  <c r="BF257" i="11"/>
  <c r="BB285" i="10"/>
  <c r="BF285" i="10"/>
  <c r="BB325" i="9"/>
  <c r="BF325" i="9"/>
  <c r="BB152" i="9"/>
  <c r="BF152" i="9"/>
  <c r="BB291" i="8"/>
  <c r="BF291" i="8"/>
  <c r="BB234" i="6"/>
  <c r="BF234" i="6"/>
  <c r="BB241" i="6"/>
  <c r="BF241" i="6"/>
  <c r="BB174" i="5"/>
  <c r="BF174" i="5"/>
  <c r="BB199" i="4"/>
  <c r="BF199" i="4"/>
  <c r="BB258" i="3"/>
  <c r="BF258" i="3"/>
  <c r="BB213" i="2"/>
  <c r="BF213" i="2"/>
  <c r="BB352" i="11"/>
  <c r="BF352" i="11"/>
  <c r="BB266" i="11"/>
  <c r="BF266" i="11"/>
  <c r="BB302" i="10"/>
  <c r="BF302" i="10"/>
  <c r="BB259" i="9"/>
  <c r="BF259" i="9"/>
  <c r="BB248" i="8"/>
  <c r="BF248" i="8"/>
  <c r="BB339" i="5"/>
  <c r="BF339" i="5"/>
  <c r="BB221" i="4"/>
  <c r="BF221" i="4"/>
  <c r="BB304" i="3"/>
  <c r="BF304" i="3"/>
  <c r="BB325" i="2"/>
  <c r="BF325" i="2"/>
  <c r="BB167" i="2"/>
  <c r="BF167" i="2"/>
  <c r="BB211" i="11"/>
  <c r="BF211" i="11"/>
  <c r="BB151" i="8"/>
  <c r="BF151" i="8"/>
  <c r="BB296" i="7"/>
  <c r="BF296" i="7"/>
  <c r="BB277" i="5"/>
  <c r="BF277" i="5"/>
  <c r="BB165" i="5"/>
  <c r="BF165" i="5"/>
  <c r="BB286" i="4"/>
  <c r="BF286" i="4"/>
  <c r="BB230" i="4"/>
  <c r="BF230" i="4"/>
  <c r="BB312" i="2"/>
  <c r="BF312" i="2"/>
  <c r="BB208" i="2"/>
  <c r="BF208" i="2"/>
  <c r="BB158" i="11"/>
  <c r="BF158" i="11"/>
  <c r="BB229" i="11"/>
  <c r="BF229" i="11"/>
  <c r="BB150" i="10"/>
  <c r="BF150" i="10"/>
  <c r="BB155" i="10"/>
  <c r="BF155" i="10"/>
  <c r="BB188" i="8"/>
  <c r="BF188" i="8"/>
  <c r="BB257" i="7"/>
  <c r="BF257" i="7"/>
  <c r="BB257" i="5"/>
  <c r="BF257" i="5"/>
  <c r="BB167" i="5"/>
  <c r="BF167" i="5"/>
  <c r="BB280" i="5"/>
  <c r="BF280" i="5"/>
  <c r="BB150" i="5"/>
  <c r="BF150" i="5"/>
  <c r="BB301" i="4"/>
  <c r="BF301" i="4"/>
  <c r="BB322" i="2"/>
  <c r="BF322" i="2"/>
  <c r="BB210" i="5"/>
  <c r="BF210" i="5"/>
  <c r="BB172" i="11"/>
  <c r="BF172" i="11"/>
  <c r="BB180" i="7"/>
  <c r="BF180" i="7"/>
  <c r="BB193" i="5"/>
  <c r="BF193" i="5"/>
  <c r="BB186" i="2"/>
  <c r="BF186" i="2"/>
  <c r="J537" i="2"/>
  <c r="J538" i="2" s="1"/>
  <c r="BB279" i="11"/>
  <c r="BF279" i="11"/>
  <c r="BB297" i="10"/>
  <c r="BF297" i="10"/>
  <c r="BB335" i="9"/>
  <c r="BF335" i="9"/>
  <c r="BB193" i="6"/>
  <c r="BF193" i="6"/>
  <c r="BB276" i="6"/>
  <c r="BF276" i="6"/>
  <c r="BB190" i="3"/>
  <c r="BF190" i="3"/>
  <c r="BB235" i="3"/>
  <c r="BF235" i="3"/>
  <c r="BB299" i="11"/>
  <c r="BF299" i="11"/>
  <c r="BB252" i="11"/>
  <c r="BF252" i="11"/>
  <c r="BB322" i="10"/>
  <c r="BF322" i="10"/>
  <c r="BB242" i="10"/>
  <c r="BF242" i="10"/>
  <c r="BB257" i="9"/>
  <c r="BF257" i="9"/>
  <c r="BB231" i="9"/>
  <c r="BF231" i="9"/>
  <c r="BB204" i="9"/>
  <c r="BF204" i="9"/>
  <c r="BB336" i="8"/>
  <c r="BF336" i="8"/>
  <c r="BB299" i="6"/>
  <c r="BF299" i="6"/>
  <c r="BB231" i="6"/>
  <c r="BF231" i="6"/>
  <c r="BB346" i="3"/>
  <c r="BF346" i="3"/>
  <c r="BB312" i="3"/>
  <c r="BF312" i="3"/>
  <c r="BB282" i="3"/>
  <c r="BF282" i="3"/>
  <c r="BB348" i="11"/>
  <c r="BF348" i="11"/>
  <c r="BF286" i="11"/>
  <c r="BB286" i="11"/>
  <c r="BB203" i="11"/>
  <c r="BF203" i="11"/>
  <c r="BB277" i="10"/>
  <c r="BF277" i="10"/>
  <c r="BB349" i="9"/>
  <c r="BF349" i="9"/>
  <c r="BB297" i="9"/>
  <c r="BF297" i="9"/>
  <c r="BB265" i="9"/>
  <c r="BF265" i="9"/>
  <c r="BB344" i="6"/>
  <c r="BF344" i="6"/>
  <c r="BB304" i="6"/>
  <c r="BF304" i="6"/>
  <c r="BB266" i="6"/>
  <c r="BF266" i="6"/>
  <c r="BB161" i="8"/>
  <c r="BF161" i="8"/>
  <c r="BB320" i="7"/>
  <c r="BF320" i="7"/>
  <c r="BB299" i="7"/>
  <c r="BF299" i="7"/>
  <c r="BB205" i="6"/>
  <c r="BF205" i="6"/>
  <c r="BB318" i="4"/>
  <c r="BF318" i="4"/>
  <c r="BB345" i="4"/>
  <c r="BF345" i="4"/>
  <c r="BB319" i="4"/>
  <c r="BF319" i="4"/>
  <c r="BB194" i="4"/>
  <c r="BF194" i="4"/>
  <c r="BB205" i="4"/>
  <c r="BF205" i="4"/>
  <c r="BB346" i="2"/>
  <c r="BF346" i="2"/>
  <c r="BB298" i="2"/>
  <c r="BF298" i="2"/>
  <c r="BB192" i="11"/>
  <c r="BF192" i="11"/>
  <c r="BB238" i="11"/>
  <c r="BF238" i="11"/>
  <c r="BB169" i="10"/>
  <c r="BF169" i="10"/>
  <c r="W26" i="6"/>
  <c r="W27" i="6" s="1"/>
  <c r="W28" i="6" s="1"/>
  <c r="W29" i="6" s="1"/>
  <c r="W30" i="6" s="1"/>
  <c r="W31" i="6" s="1"/>
  <c r="W32" i="6" s="1"/>
  <c r="W33" i="6" s="1"/>
  <c r="W34" i="6" s="1"/>
  <c r="W35" i="6" s="1"/>
  <c r="W36" i="6" s="1"/>
  <c r="W37" i="6" s="1"/>
  <c r="W38" i="6" s="1"/>
  <c r="W39" i="6" s="1"/>
  <c r="W40" i="6" s="1"/>
  <c r="U42" i="6" s="1"/>
  <c r="BB338" i="2"/>
  <c r="BF338" i="2"/>
  <c r="R475" i="9"/>
  <c r="R476" i="9" s="1"/>
  <c r="R473" i="9"/>
  <c r="R474" i="9" s="1"/>
  <c r="O512" i="8"/>
  <c r="L509" i="6"/>
  <c r="M74" i="5"/>
  <c r="BB178" i="11"/>
  <c r="BF178" i="11"/>
  <c r="BB226" i="11"/>
  <c r="BF226" i="11"/>
  <c r="BB165" i="10"/>
  <c r="BF165" i="10"/>
  <c r="BB328" i="10"/>
  <c r="BF328" i="10"/>
  <c r="BB288" i="8"/>
  <c r="BF288" i="8"/>
  <c r="BB214" i="8"/>
  <c r="BF214" i="8"/>
  <c r="BB312" i="7"/>
  <c r="BF312" i="7"/>
  <c r="BB256" i="7"/>
  <c r="BF256" i="7"/>
  <c r="M70" i="6"/>
  <c r="G70" i="6"/>
  <c r="BB196" i="8"/>
  <c r="BF196" i="8"/>
  <c r="BB243" i="5"/>
  <c r="BF243" i="5"/>
  <c r="J40" i="2"/>
  <c r="K40" i="2" s="1"/>
  <c r="M471" i="9"/>
  <c r="M470" i="9"/>
  <c r="J509" i="9"/>
  <c r="I509" i="9"/>
  <c r="O512" i="7"/>
  <c r="G508" i="2"/>
  <c r="M477" i="2"/>
  <c r="BB335" i="11"/>
  <c r="BF335" i="11"/>
  <c r="BB264" i="10"/>
  <c r="BF264" i="10"/>
  <c r="BB334" i="9"/>
  <c r="BF334" i="9"/>
  <c r="BB316" i="9"/>
  <c r="BF316" i="9"/>
  <c r="BB333" i="8"/>
  <c r="BF333" i="8"/>
  <c r="BB234" i="8"/>
  <c r="BF234" i="8"/>
  <c r="BB158" i="8"/>
  <c r="BF158" i="8"/>
  <c r="BB309" i="7"/>
  <c r="BF309" i="7"/>
  <c r="BB298" i="6"/>
  <c r="BF298" i="6"/>
  <c r="BB296" i="11"/>
  <c r="BF296" i="11"/>
  <c r="BB201" i="11"/>
  <c r="BF201" i="11"/>
  <c r="BB290" i="10"/>
  <c r="BF290" i="10"/>
  <c r="BB319" i="10"/>
  <c r="BF319" i="10"/>
  <c r="BB234" i="9"/>
  <c r="BF234" i="9"/>
  <c r="BB178" i="9"/>
  <c r="BF178" i="9"/>
  <c r="BB317" i="8"/>
  <c r="BF317" i="8"/>
  <c r="BB333" i="7"/>
  <c r="BF333" i="7"/>
  <c r="BB334" i="6"/>
  <c r="BF334" i="6"/>
  <c r="BB242" i="6"/>
  <c r="BF242" i="6"/>
  <c r="BB178" i="6"/>
  <c r="BF178" i="6"/>
  <c r="BB197" i="6"/>
  <c r="BF197" i="6"/>
  <c r="BB275" i="3"/>
  <c r="BF275" i="3"/>
  <c r="BB195" i="3"/>
  <c r="BF195" i="3"/>
  <c r="BB163" i="11"/>
  <c r="BF163" i="11"/>
  <c r="BB262" i="10"/>
  <c r="BF262" i="10"/>
  <c r="BB203" i="8"/>
  <c r="BF203" i="8"/>
  <c r="BB187" i="8"/>
  <c r="BF187" i="8"/>
  <c r="BB171" i="8"/>
  <c r="BF171" i="8"/>
  <c r="BB164" i="8"/>
  <c r="BF164" i="8"/>
  <c r="BB189" i="7"/>
  <c r="BF189" i="7"/>
  <c r="I82" i="9"/>
  <c r="G71" i="7"/>
  <c r="BB212" i="11"/>
  <c r="BF212" i="11"/>
  <c r="BB180" i="11"/>
  <c r="BF180" i="11"/>
  <c r="BB171" i="11"/>
  <c r="BF171" i="11"/>
  <c r="BB232" i="10"/>
  <c r="BF232" i="10"/>
  <c r="BB230" i="10"/>
  <c r="BF230" i="10"/>
  <c r="BB245" i="8"/>
  <c r="BF245" i="8"/>
  <c r="BB155" i="8"/>
  <c r="BF155" i="8"/>
  <c r="BB223" i="7"/>
  <c r="BF223" i="7"/>
  <c r="BB207" i="7"/>
  <c r="BF207" i="7"/>
  <c r="BB288" i="4"/>
  <c r="BF288" i="4"/>
  <c r="BB222" i="4"/>
  <c r="BF222" i="4"/>
  <c r="BB172" i="4"/>
  <c r="BF172" i="4"/>
  <c r="BB229" i="4"/>
  <c r="BF229" i="4"/>
  <c r="BB324" i="4"/>
  <c r="BF324" i="4"/>
  <c r="BB258" i="2"/>
  <c r="BF258" i="2"/>
  <c r="BB327" i="2"/>
  <c r="BF327" i="2"/>
  <c r="BB255" i="2"/>
  <c r="BF255" i="2"/>
  <c r="BB193" i="2"/>
  <c r="BF193" i="2"/>
  <c r="BB268" i="2"/>
  <c r="BF268" i="2"/>
  <c r="BB162" i="2"/>
  <c r="BF162" i="2"/>
  <c r="M477" i="9"/>
  <c r="G508" i="9"/>
  <c r="M509" i="9"/>
  <c r="R473" i="8"/>
  <c r="R474" i="8" s="1"/>
  <c r="R475" i="8"/>
  <c r="R476" i="8" s="1"/>
  <c r="M70" i="5"/>
  <c r="G70" i="5"/>
  <c r="K89" i="5"/>
  <c r="I89" i="5" s="1"/>
  <c r="K13" i="5"/>
  <c r="F508" i="4"/>
  <c r="L477" i="4"/>
  <c r="BF181" i="11"/>
  <c r="BB181" i="11"/>
  <c r="BB336" i="7"/>
  <c r="BF336" i="7"/>
  <c r="BB284" i="7"/>
  <c r="BF284" i="7"/>
  <c r="BB204" i="7"/>
  <c r="BF204" i="7"/>
  <c r="BB285" i="5"/>
  <c r="BF285" i="5"/>
  <c r="BB223" i="5"/>
  <c r="BF223" i="5"/>
  <c r="BB147" i="5"/>
  <c r="BF147" i="5"/>
  <c r="BB179" i="3"/>
  <c r="BF179" i="3"/>
  <c r="BB187" i="3"/>
  <c r="BF187" i="3"/>
  <c r="P518" i="4"/>
  <c r="G536" i="10"/>
  <c r="G538" i="10" s="1"/>
  <c r="BB170" i="10"/>
  <c r="BF170" i="10"/>
  <c r="BB258" i="8"/>
  <c r="BF258" i="8"/>
  <c r="BB331" i="7"/>
  <c r="BF331" i="7"/>
  <c r="BB243" i="7"/>
  <c r="BF243" i="7"/>
  <c r="BB210" i="6"/>
  <c r="BF210" i="6"/>
  <c r="BB340" i="4"/>
  <c r="BF340" i="4"/>
  <c r="BB272" i="4"/>
  <c r="BF272" i="4"/>
  <c r="BB232" i="4"/>
  <c r="BF232" i="4"/>
  <c r="BB329" i="4"/>
  <c r="BF329" i="4"/>
  <c r="BB147" i="4"/>
  <c r="BF147" i="4"/>
  <c r="BB146" i="3"/>
  <c r="BF146" i="3"/>
  <c r="BB311" i="2"/>
  <c r="BF311" i="2"/>
  <c r="BB147" i="3"/>
  <c r="BF147" i="3"/>
  <c r="J40" i="3"/>
  <c r="K40" i="3" s="1"/>
  <c r="G508" i="8"/>
  <c r="M477" i="8"/>
  <c r="K537" i="6"/>
  <c r="K538" i="6" s="1"/>
  <c r="M74" i="4"/>
  <c r="BB333" i="6"/>
  <c r="BF333" i="6"/>
  <c r="BB301" i="6"/>
  <c r="BF301" i="6"/>
  <c r="BB324" i="5"/>
  <c r="BF324" i="5"/>
  <c r="BB268" i="5"/>
  <c r="BF268" i="5"/>
  <c r="BB252" i="5"/>
  <c r="BF252" i="5"/>
  <c r="BB197" i="3"/>
  <c r="BF197" i="3"/>
  <c r="BB343" i="11"/>
  <c r="BF343" i="11"/>
  <c r="BB268" i="11"/>
  <c r="BF268" i="11"/>
  <c r="BB222" i="11"/>
  <c r="BF222" i="11"/>
  <c r="BB308" i="10"/>
  <c r="BF308" i="10"/>
  <c r="BB344" i="10"/>
  <c r="BF344" i="10"/>
  <c r="BB336" i="10"/>
  <c r="BF336" i="10"/>
  <c r="BB342" i="9"/>
  <c r="BF342" i="9"/>
  <c r="BB309" i="9"/>
  <c r="BF309" i="9"/>
  <c r="BB235" i="9"/>
  <c r="BF235" i="9"/>
  <c r="BB301" i="9"/>
  <c r="BF301" i="9"/>
  <c r="BB332" i="8"/>
  <c r="BF332" i="8"/>
  <c r="BB352" i="7"/>
  <c r="BF352" i="7"/>
  <c r="BB347" i="6"/>
  <c r="BF347" i="6"/>
  <c r="BB265" i="6"/>
  <c r="BF265" i="6"/>
  <c r="BB221" i="6"/>
  <c r="BF221" i="6"/>
  <c r="BB181" i="3"/>
  <c r="BF181" i="3"/>
  <c r="BB330" i="11"/>
  <c r="BF330" i="11"/>
  <c r="BF281" i="11"/>
  <c r="BB281" i="11"/>
  <c r="BB221" i="11"/>
  <c r="BF221" i="11"/>
  <c r="BB279" i="9"/>
  <c r="BF279" i="9"/>
  <c r="BB336" i="6"/>
  <c r="BF336" i="6"/>
  <c r="BB296" i="6"/>
  <c r="BF296" i="6"/>
  <c r="BB250" i="6"/>
  <c r="BF250" i="6"/>
  <c r="BB289" i="7"/>
  <c r="BF289" i="7"/>
  <c r="BB161" i="6"/>
  <c r="BF161" i="6"/>
  <c r="M29" i="5"/>
  <c r="M30" i="5" s="1"/>
  <c r="M31" i="5" s="1"/>
  <c r="M32" i="5" s="1"/>
  <c r="M33" i="5" s="1"/>
  <c r="M34" i="5" s="1"/>
  <c r="M35" i="5" s="1"/>
  <c r="M36" i="5" s="1"/>
  <c r="M37" i="5" s="1"/>
  <c r="M38" i="5" s="1"/>
  <c r="M39" i="5" s="1"/>
  <c r="M40" i="5" s="1"/>
  <c r="K42" i="5" s="1"/>
  <c r="K11" i="5" s="1"/>
  <c r="BB178" i="4"/>
  <c r="BF178" i="4"/>
  <c r="BB340" i="2"/>
  <c r="BF340" i="2"/>
  <c r="BB308" i="2"/>
  <c r="BF308" i="2"/>
  <c r="BB292" i="2"/>
  <c r="BF292" i="2"/>
  <c r="BB276" i="2"/>
  <c r="BF276" i="2"/>
  <c r="BB196" i="2"/>
  <c r="BF196" i="2"/>
  <c r="BB201" i="2"/>
  <c r="BF201" i="2"/>
  <c r="M470" i="11"/>
  <c r="M471" i="11"/>
  <c r="D508" i="11"/>
  <c r="E488" i="11"/>
  <c r="J525" i="11" s="1"/>
  <c r="E482" i="11"/>
  <c r="D525" i="11" s="1"/>
  <c r="E478" i="11"/>
  <c r="E479" i="11" s="1"/>
  <c r="G478" i="11" s="1"/>
  <c r="E489" i="11"/>
  <c r="K525" i="11" s="1"/>
  <c r="E484" i="11"/>
  <c r="F525" i="11" s="1"/>
  <c r="E486" i="11"/>
  <c r="H525" i="11" s="1"/>
  <c r="E483" i="11"/>
  <c r="E525" i="11" s="1"/>
  <c r="E480" i="11"/>
  <c r="E481" i="11" s="1"/>
  <c r="G480" i="11" s="1"/>
  <c r="E485" i="11"/>
  <c r="G525" i="11" s="1"/>
  <c r="E487" i="11"/>
  <c r="I525" i="11" s="1"/>
  <c r="M511" i="6"/>
  <c r="K511" i="4"/>
  <c r="P511" i="4" s="1"/>
  <c r="H536" i="4"/>
  <c r="H538" i="4" s="1"/>
  <c r="M469" i="3"/>
  <c r="F535" i="3" s="1"/>
  <c r="F538" i="3" s="1"/>
  <c r="M468" i="3"/>
  <c r="E535" i="3" s="1"/>
  <c r="E538" i="3" s="1"/>
  <c r="BB154" i="10"/>
  <c r="BF154" i="10"/>
  <c r="M72" i="9"/>
  <c r="G72" i="9"/>
  <c r="G508" i="7"/>
  <c r="M477" i="7"/>
  <c r="BB154" i="8"/>
  <c r="BF154" i="8"/>
  <c r="I536" i="5"/>
  <c r="I538" i="5" s="1"/>
  <c r="J40" i="4"/>
  <c r="K40" i="4" s="1"/>
  <c r="L509" i="3"/>
  <c r="BB265" i="8"/>
  <c r="BF265" i="8"/>
  <c r="BB249" i="8"/>
  <c r="BF249" i="8"/>
  <c r="BB284" i="8"/>
  <c r="BF284" i="8"/>
  <c r="BB180" i="8"/>
  <c r="BF180" i="8"/>
  <c r="BB190" i="7"/>
  <c r="BF190" i="7"/>
  <c r="BB341" i="5"/>
  <c r="BF341" i="5"/>
  <c r="BB226" i="2"/>
  <c r="BF226" i="2"/>
  <c r="BB210" i="2"/>
  <c r="BF210" i="2"/>
  <c r="BB168" i="3"/>
  <c r="BF168" i="3"/>
  <c r="BB229" i="2"/>
  <c r="BF229" i="2"/>
  <c r="M25" i="2"/>
  <c r="M26" i="2" s="1"/>
  <c r="F508" i="11"/>
  <c r="L477" i="11"/>
  <c r="I536" i="9"/>
  <c r="I538" i="9" s="1"/>
  <c r="K537" i="7"/>
  <c r="K538" i="7" s="1"/>
  <c r="P513" i="4"/>
  <c r="F508" i="3"/>
  <c r="L477" i="3"/>
  <c r="BB284" i="11"/>
  <c r="BF284" i="11"/>
  <c r="BB278" i="11"/>
  <c r="BF278" i="11"/>
  <c r="BB289" i="10"/>
  <c r="BF289" i="10"/>
  <c r="BB256" i="10"/>
  <c r="BF256" i="10"/>
  <c r="BB232" i="9"/>
  <c r="BF232" i="9"/>
  <c r="BB335" i="3"/>
  <c r="BF335" i="3"/>
  <c r="BB307" i="11"/>
  <c r="BF307" i="11"/>
  <c r="BB303" i="11"/>
  <c r="BF303" i="11"/>
  <c r="BB323" i="10"/>
  <c r="BF323" i="10"/>
  <c r="BB329" i="10"/>
  <c r="BF329" i="10"/>
  <c r="BB243" i="10"/>
  <c r="BF243" i="10"/>
  <c r="BB286" i="9"/>
  <c r="BF286" i="9"/>
  <c r="BB216" i="9"/>
  <c r="BF216" i="9"/>
  <c r="BB162" i="9"/>
  <c r="BF162" i="9"/>
  <c r="BB198" i="9"/>
  <c r="BF198" i="9"/>
  <c r="BB337" i="7"/>
  <c r="BF337" i="7"/>
  <c r="BB342" i="6"/>
  <c r="BF342" i="6"/>
  <c r="BB252" i="6"/>
  <c r="BF252" i="6"/>
  <c r="BB194" i="6"/>
  <c r="BF194" i="6"/>
  <c r="BB337" i="5"/>
  <c r="BF337" i="5"/>
  <c r="BB181" i="6"/>
  <c r="BF181" i="6"/>
  <c r="BB283" i="3"/>
  <c r="BF283" i="3"/>
  <c r="G82" i="3"/>
  <c r="N82" i="3" s="1"/>
  <c r="BB175" i="11"/>
  <c r="BF175" i="11"/>
  <c r="BB239" i="10"/>
  <c r="BF239" i="10"/>
  <c r="W25" i="10"/>
  <c r="W26" i="10" s="1"/>
  <c r="W27" i="10" s="1"/>
  <c r="W28" i="10" s="1"/>
  <c r="W29" i="10" s="1"/>
  <c r="W30" i="10" s="1"/>
  <c r="W31" i="10" s="1"/>
  <c r="W32" i="10" s="1"/>
  <c r="W33" i="10" s="1"/>
  <c r="W34" i="10" s="1"/>
  <c r="W35" i="10" s="1"/>
  <c r="W36" i="10" s="1"/>
  <c r="W37" i="10" s="1"/>
  <c r="W38" i="10" s="1"/>
  <c r="W39" i="10" s="1"/>
  <c r="W40" i="10" s="1"/>
  <c r="U42" i="10" s="1"/>
  <c r="BB189" i="9"/>
  <c r="BF189" i="9"/>
  <c r="W26" i="8"/>
  <c r="BB201" i="7"/>
  <c r="BF201" i="7"/>
  <c r="J40" i="5"/>
  <c r="K40" i="5" s="1"/>
  <c r="M27" i="4"/>
  <c r="M28" i="4" s="1"/>
  <c r="M29" i="4" s="1"/>
  <c r="M30" i="4" s="1"/>
  <c r="W27" i="2"/>
  <c r="W28" i="2" s="1"/>
  <c r="W29" i="2" s="1"/>
  <c r="W30" i="2" s="1"/>
  <c r="W31" i="2" s="1"/>
  <c r="W32" i="2" s="1"/>
  <c r="W33" i="2" s="1"/>
  <c r="W34" i="2" s="1"/>
  <c r="W35" i="2" s="1"/>
  <c r="W36" i="2" s="1"/>
  <c r="W37" i="2" s="1"/>
  <c r="W38" i="2" s="1"/>
  <c r="W39" i="2" s="1"/>
  <c r="W40" i="2" s="1"/>
  <c r="U42" i="2" s="1"/>
  <c r="G536" i="11"/>
  <c r="G538" i="11" s="1"/>
  <c r="K13" i="11"/>
  <c r="K89" i="11"/>
  <c r="I89" i="11" s="1"/>
  <c r="F508" i="6"/>
  <c r="L477" i="6"/>
  <c r="K537" i="4"/>
  <c r="K538" i="4" s="1"/>
  <c r="M23" i="11"/>
  <c r="M24" i="11" s="1"/>
  <c r="BB219" i="7"/>
  <c r="BF219" i="7"/>
  <c r="W30" i="5"/>
  <c r="W31" i="5" s="1"/>
  <c r="W32" i="5" s="1"/>
  <c r="W33" i="5" s="1"/>
  <c r="W34" i="5" s="1"/>
  <c r="W35" i="5" s="1"/>
  <c r="W36" i="5" s="1"/>
  <c r="W37" i="5" s="1"/>
  <c r="BB308" i="4"/>
  <c r="BF308" i="4"/>
  <c r="BB226" i="4"/>
  <c r="BF226" i="4"/>
  <c r="BB176" i="4"/>
  <c r="BF176" i="4"/>
  <c r="BB289" i="4"/>
  <c r="BF289" i="4"/>
  <c r="BB233" i="4"/>
  <c r="BF233" i="4"/>
  <c r="BB181" i="4"/>
  <c r="BF181" i="4"/>
  <c r="BB294" i="2"/>
  <c r="BF294" i="2"/>
  <c r="K537" i="11"/>
  <c r="K538" i="11" s="1"/>
  <c r="H508" i="11"/>
  <c r="N477" i="11"/>
  <c r="G82" i="11"/>
  <c r="M82" i="11"/>
  <c r="M81" i="8"/>
  <c r="G81" i="8"/>
  <c r="BB216" i="10"/>
  <c r="BF216" i="10"/>
  <c r="M30" i="10"/>
  <c r="M31" i="10" s="1"/>
  <c r="M32" i="10" s="1"/>
  <c r="M33" i="10" s="1"/>
  <c r="M34" i="10" s="1"/>
  <c r="M35" i="10" s="1"/>
  <c r="M36" i="10" s="1"/>
  <c r="M37" i="10" s="1"/>
  <c r="M38" i="10" s="1"/>
  <c r="M39" i="10" s="1"/>
  <c r="M40" i="10" s="1"/>
  <c r="K42" i="10" s="1"/>
  <c r="K11" i="10" s="1"/>
  <c r="BB157" i="9"/>
  <c r="BF157" i="9"/>
  <c r="L537" i="8"/>
  <c r="L538" i="8" s="1"/>
  <c r="W27" i="8"/>
  <c r="W28" i="8" s="1"/>
  <c r="W29" i="8" s="1"/>
  <c r="W30" i="8" s="1"/>
  <c r="W31" i="8" s="1"/>
  <c r="W32" i="8" s="1"/>
  <c r="W33" i="8" s="1"/>
  <c r="W34" i="8" s="1"/>
  <c r="W35" i="8" s="1"/>
  <c r="W36" i="8" s="1"/>
  <c r="W37" i="8" s="1"/>
  <c r="W38" i="8" s="1"/>
  <c r="W39" i="8" s="1"/>
  <c r="W40" i="8" s="1"/>
  <c r="U42" i="8" s="1"/>
  <c r="K11" i="8" s="1"/>
  <c r="M24" i="7"/>
  <c r="M25" i="7" s="1"/>
  <c r="M26" i="7" s="1"/>
  <c r="M27" i="7" s="1"/>
  <c r="M28" i="7" s="1"/>
  <c r="M29" i="7" s="1"/>
  <c r="M30" i="7" s="1"/>
  <c r="M31" i="7" s="1"/>
  <c r="M32" i="7" s="1"/>
  <c r="M33" i="7" s="1"/>
  <c r="M34" i="7" s="1"/>
  <c r="M35" i="7" s="1"/>
  <c r="M36" i="7" s="1"/>
  <c r="M37" i="7" s="1"/>
  <c r="M38" i="7" s="1"/>
  <c r="M39" i="7" s="1"/>
  <c r="M40" i="7" s="1"/>
  <c r="K42" i="7" s="1"/>
  <c r="K11" i="7" s="1"/>
  <c r="BB169" i="6"/>
  <c r="BF169" i="6"/>
  <c r="BB301" i="5"/>
  <c r="BF301" i="5"/>
  <c r="BB241" i="5"/>
  <c r="BF241" i="5"/>
  <c r="BB173" i="5"/>
  <c r="BF173" i="5"/>
  <c r="BB196" i="4"/>
  <c r="BF196" i="4"/>
  <c r="BB197" i="4"/>
  <c r="BF197" i="4"/>
  <c r="BB169" i="4"/>
  <c r="BF169" i="4"/>
  <c r="BB186" i="4"/>
  <c r="BF186" i="4"/>
  <c r="BB278" i="2"/>
  <c r="BF278" i="2"/>
  <c r="M74" i="6"/>
  <c r="G536" i="2"/>
  <c r="G538" i="2" s="1"/>
  <c r="BB197" i="10"/>
  <c r="BF197" i="10"/>
  <c r="BB164" i="9"/>
  <c r="BF164" i="9"/>
  <c r="BB339" i="7"/>
  <c r="BF339" i="7"/>
  <c r="BB336" i="5"/>
  <c r="BF336" i="5"/>
  <c r="BB276" i="4"/>
  <c r="BF276" i="4"/>
  <c r="BB236" i="4"/>
  <c r="BF236" i="4"/>
  <c r="BB323" i="4"/>
  <c r="BF323" i="4"/>
  <c r="BB234" i="4"/>
  <c r="BF234" i="4"/>
  <c r="W23" i="3"/>
  <c r="W24" i="3" s="1"/>
  <c r="W25" i="3" s="1"/>
  <c r="W26" i="3" s="1"/>
  <c r="W27" i="3" s="1"/>
  <c r="W28" i="3" s="1"/>
  <c r="W29" i="3" s="1"/>
  <c r="W30" i="3" s="1"/>
  <c r="W31" i="3" s="1"/>
  <c r="W32" i="3" s="1"/>
  <c r="W33" i="3" s="1"/>
  <c r="W34" i="3" s="1"/>
  <c r="W35" i="3" s="1"/>
  <c r="W36" i="3" s="1"/>
  <c r="W37" i="3" s="1"/>
  <c r="W38" i="3" s="1"/>
  <c r="W39" i="3" s="1"/>
  <c r="W40" i="3" s="1"/>
  <c r="U42" i="3" s="1"/>
  <c r="BB189" i="3"/>
  <c r="BF189" i="3"/>
  <c r="BB320" i="2"/>
  <c r="BF320" i="2"/>
  <c r="BB234" i="2"/>
  <c r="BF234" i="2"/>
  <c r="T40" i="2"/>
  <c r="U40" i="2" s="1"/>
  <c r="K477" i="10"/>
  <c r="E508" i="10"/>
  <c r="R473" i="7"/>
  <c r="R474" i="7" s="1"/>
  <c r="R475" i="7"/>
  <c r="R476" i="7" s="1"/>
  <c r="L509" i="5"/>
  <c r="N511" i="3"/>
  <c r="BB347" i="11"/>
  <c r="BF347" i="11"/>
  <c r="BB213" i="11"/>
  <c r="BF213" i="11"/>
  <c r="BB250" i="9"/>
  <c r="BF250" i="9"/>
  <c r="BB196" i="9"/>
  <c r="BF196" i="9"/>
  <c r="BB283" i="6"/>
  <c r="BF283" i="6"/>
  <c r="BB191" i="6"/>
  <c r="BF191" i="6"/>
  <c r="BB220" i="3"/>
  <c r="BF220" i="3"/>
  <c r="BB350" i="11"/>
  <c r="BF350" i="11"/>
  <c r="BB324" i="11"/>
  <c r="BF324" i="11"/>
  <c r="BF225" i="11"/>
  <c r="BB225" i="11"/>
  <c r="BB335" i="10"/>
  <c r="BF335" i="10"/>
  <c r="BB258" i="9"/>
  <c r="BF258" i="9"/>
  <c r="BB300" i="6"/>
  <c r="BF300" i="6"/>
  <c r="BB204" i="6"/>
  <c r="BF204" i="6"/>
  <c r="BB277" i="3"/>
  <c r="BF277" i="3"/>
  <c r="BB202" i="3"/>
  <c r="BF202" i="3"/>
  <c r="BB256" i="11"/>
  <c r="BF256" i="11"/>
  <c r="BB318" i="10"/>
  <c r="BF318" i="10"/>
  <c r="BB346" i="9"/>
  <c r="BF346" i="9"/>
  <c r="BB309" i="8"/>
  <c r="BF309" i="8"/>
  <c r="BB249" i="6"/>
  <c r="BF249" i="6"/>
  <c r="BB224" i="3"/>
  <c r="BF224" i="3"/>
  <c r="BB217" i="11"/>
  <c r="BF217" i="11"/>
  <c r="BB347" i="10"/>
  <c r="BF347" i="10"/>
  <c r="BB284" i="9"/>
  <c r="BF284" i="9"/>
  <c r="BB329" i="8"/>
  <c r="BF329" i="8"/>
  <c r="BB272" i="6"/>
  <c r="BF272" i="6"/>
  <c r="BB259" i="3"/>
  <c r="BF259" i="3"/>
  <c r="BB324" i="3"/>
  <c r="BF324" i="3"/>
  <c r="BB260" i="3"/>
  <c r="BF260" i="3"/>
  <c r="BB157" i="10"/>
  <c r="BF157" i="10"/>
  <c r="BB300" i="10"/>
  <c r="BF300" i="10"/>
  <c r="BB246" i="8"/>
  <c r="BF246" i="8"/>
  <c r="BB224" i="7"/>
  <c r="BF224" i="7"/>
  <c r="BB195" i="7"/>
  <c r="BF195" i="7"/>
  <c r="BB239" i="5"/>
  <c r="BF239" i="5"/>
  <c r="BB192" i="5"/>
  <c r="BF192" i="5"/>
  <c r="BB348" i="5"/>
  <c r="BF348" i="5"/>
  <c r="BB204" i="4"/>
  <c r="BF204" i="4"/>
  <c r="BB189" i="4"/>
  <c r="BF189" i="4"/>
  <c r="BB315" i="2"/>
  <c r="BF315" i="2"/>
  <c r="BB184" i="2"/>
  <c r="BF184" i="2"/>
  <c r="BF238" i="7"/>
  <c r="BB238" i="7"/>
  <c r="BB235" i="7"/>
  <c r="BF235" i="7"/>
  <c r="BB321" i="5"/>
  <c r="BF321" i="5"/>
  <c r="BB328" i="5"/>
  <c r="BF328" i="5"/>
  <c r="BB204" i="5"/>
  <c r="BF204" i="5"/>
  <c r="BB246" i="2"/>
  <c r="BF246" i="2"/>
  <c r="BB177" i="2"/>
  <c r="BF177" i="2"/>
  <c r="BB311" i="3"/>
  <c r="BF311" i="3"/>
  <c r="BF176" i="10"/>
  <c r="BB176" i="10"/>
  <c r="BB201" i="10"/>
  <c r="BF201" i="10"/>
  <c r="BB246" i="9"/>
  <c r="BF246" i="9"/>
  <c r="BB271" i="8"/>
  <c r="BF271" i="8"/>
  <c r="BB268" i="7"/>
  <c r="BF268" i="7"/>
  <c r="BB283" i="7"/>
  <c r="BF283" i="7"/>
  <c r="BB153" i="7"/>
  <c r="BF153" i="7"/>
  <c r="BB253" i="5"/>
  <c r="BF253" i="5"/>
  <c r="BB292" i="5"/>
  <c r="BF292" i="5"/>
  <c r="BB200" i="5"/>
  <c r="BF200" i="5"/>
  <c r="BB328" i="4"/>
  <c r="BF328" i="4"/>
  <c r="BB160" i="4"/>
  <c r="BF160" i="4"/>
  <c r="BB227" i="3"/>
  <c r="BF227" i="3"/>
  <c r="BB222" i="10"/>
  <c r="BF222" i="10"/>
  <c r="BB221" i="10"/>
  <c r="BF221" i="10"/>
  <c r="BB244" i="7"/>
  <c r="BF244" i="7"/>
  <c r="BB192" i="7"/>
  <c r="BF192" i="7"/>
  <c r="BB160" i="7"/>
  <c r="BF160" i="7"/>
  <c r="BB273" i="5"/>
  <c r="BF273" i="5"/>
  <c r="BB268" i="4"/>
  <c r="BF268" i="4"/>
  <c r="BB230" i="2"/>
  <c r="BF230" i="2"/>
  <c r="BB275" i="8"/>
  <c r="BF275" i="8"/>
  <c r="BB250" i="5"/>
  <c r="BF250" i="5"/>
  <c r="BB280" i="4"/>
  <c r="BF280" i="4"/>
  <c r="BB205" i="3"/>
  <c r="BF205" i="3"/>
  <c r="BB253" i="8"/>
  <c r="BF253" i="8"/>
  <c r="BB176" i="8"/>
  <c r="BF176" i="8"/>
  <c r="BB196" i="7"/>
  <c r="BF196" i="7"/>
  <c r="BB327" i="11"/>
  <c r="BF327" i="11"/>
  <c r="BB326" i="9"/>
  <c r="BF326" i="9"/>
  <c r="BB248" i="9"/>
  <c r="BF248" i="9"/>
  <c r="BB174" i="9"/>
  <c r="BF174" i="9"/>
  <c r="BB346" i="8"/>
  <c r="BF346" i="8"/>
  <c r="BB174" i="6"/>
  <c r="BF174" i="6"/>
  <c r="BB248" i="5"/>
  <c r="BF248" i="5"/>
  <c r="BB148" i="5"/>
  <c r="BF148" i="5"/>
  <c r="BB254" i="3"/>
  <c r="BF254" i="3"/>
  <c r="BB295" i="3"/>
  <c r="BF295" i="3"/>
  <c r="BB351" i="2"/>
  <c r="BF351" i="2"/>
  <c r="BB221" i="2"/>
  <c r="BF221" i="2"/>
  <c r="BB341" i="11"/>
  <c r="BF341" i="11"/>
  <c r="BB301" i="11"/>
  <c r="BF301" i="11"/>
  <c r="BB186" i="8"/>
  <c r="BF186" i="8"/>
  <c r="BB346" i="7"/>
  <c r="BF346" i="7"/>
  <c r="BB219" i="6"/>
  <c r="BF219" i="6"/>
  <c r="BB261" i="4"/>
  <c r="BF261" i="4"/>
  <c r="BB187" i="4"/>
  <c r="BF187" i="4"/>
  <c r="BB207" i="3"/>
  <c r="BF207" i="3"/>
  <c r="BB228" i="3"/>
  <c r="BF228" i="3"/>
  <c r="BB346" i="11"/>
  <c r="BF346" i="11"/>
  <c r="BB231" i="11"/>
  <c r="BF231" i="11"/>
  <c r="BB265" i="11"/>
  <c r="BF265" i="11"/>
  <c r="BB223" i="9"/>
  <c r="BF223" i="9"/>
  <c r="BB339" i="8"/>
  <c r="BF339" i="8"/>
  <c r="BB293" i="7"/>
  <c r="BF293" i="7"/>
  <c r="BB198" i="6"/>
  <c r="BF198" i="6"/>
  <c r="BB263" i="6"/>
  <c r="BF263" i="6"/>
  <c r="BB234" i="5"/>
  <c r="BF234" i="5"/>
  <c r="BB182" i="5"/>
  <c r="BF182" i="5"/>
  <c r="BB321" i="4"/>
  <c r="BF321" i="4"/>
  <c r="BB167" i="4"/>
  <c r="BF167" i="4"/>
  <c r="BB218" i="3"/>
  <c r="BF218" i="3"/>
  <c r="BB257" i="2"/>
  <c r="BF257" i="2"/>
  <c r="BB333" i="11"/>
  <c r="BF333" i="11"/>
  <c r="BB314" i="9"/>
  <c r="BF314" i="9"/>
  <c r="BB219" i="9"/>
  <c r="BF219" i="9"/>
  <c r="BB216" i="8"/>
  <c r="BF216" i="8"/>
  <c r="BB312" i="8"/>
  <c r="BF312" i="8"/>
  <c r="BB289" i="6"/>
  <c r="BF289" i="6"/>
  <c r="BB153" i="4"/>
  <c r="BF153" i="4"/>
  <c r="BB272" i="3"/>
  <c r="BF272" i="3"/>
  <c r="BB245" i="3"/>
  <c r="BF245" i="3"/>
  <c r="BB283" i="2"/>
  <c r="BF283" i="2"/>
  <c r="BB224" i="10"/>
  <c r="BF224" i="10"/>
  <c r="BB181" i="8"/>
  <c r="BF181" i="8"/>
  <c r="BB173" i="7"/>
  <c r="BF173" i="7"/>
  <c r="BB270" i="7"/>
  <c r="BF270" i="7"/>
  <c r="BB156" i="6"/>
  <c r="BF156" i="6"/>
  <c r="BB309" i="5"/>
  <c r="BF309" i="5"/>
  <c r="BB212" i="4"/>
  <c r="BF212" i="4"/>
  <c r="BB169" i="3"/>
  <c r="BF169" i="3"/>
  <c r="BB166" i="2"/>
  <c r="BF166" i="2"/>
  <c r="BB200" i="10"/>
  <c r="BF200" i="10"/>
  <c r="BB271" i="10"/>
  <c r="BF271" i="10"/>
  <c r="BB151" i="9"/>
  <c r="BF151" i="9"/>
  <c r="BB281" i="5"/>
  <c r="BF281" i="5"/>
  <c r="BB157" i="5"/>
  <c r="BF157" i="5"/>
  <c r="BB220" i="4"/>
  <c r="BF220" i="4"/>
  <c r="BB198" i="2"/>
  <c r="BF198" i="2"/>
  <c r="BB210" i="11"/>
  <c r="BF210" i="11"/>
  <c r="BB271" i="9"/>
  <c r="BF271" i="9"/>
  <c r="BB243" i="8"/>
  <c r="BF243" i="8"/>
  <c r="BB269" i="7"/>
  <c r="BF269" i="7"/>
  <c r="BB231" i="5"/>
  <c r="BF231" i="5"/>
  <c r="BB145" i="5"/>
  <c r="BF145" i="5"/>
  <c r="BB236" i="5"/>
  <c r="BF236" i="5"/>
  <c r="BB176" i="6"/>
  <c r="BF176" i="6"/>
  <c r="BB244" i="4"/>
  <c r="BF244" i="4"/>
  <c r="BB277" i="4"/>
  <c r="BF277" i="4"/>
  <c r="BB223" i="4"/>
  <c r="BF223" i="4"/>
  <c r="BB345" i="2"/>
  <c r="BF345" i="2"/>
  <c r="BB215" i="11"/>
  <c r="BF215" i="11"/>
  <c r="BB163" i="10"/>
  <c r="BF163" i="10"/>
  <c r="BB188" i="10"/>
  <c r="BF188" i="10"/>
  <c r="BB295" i="8"/>
  <c r="BF295" i="8"/>
  <c r="BB306" i="7"/>
  <c r="BF306" i="7"/>
  <c r="BF278" i="7"/>
  <c r="BB278" i="7"/>
  <c r="BB162" i="7"/>
  <c r="BF162" i="7"/>
  <c r="BB167" i="7"/>
  <c r="BF167" i="7"/>
  <c r="BB307" i="5"/>
  <c r="BF307" i="5"/>
  <c r="BB288" i="5"/>
  <c r="BF288" i="5"/>
  <c r="BB164" i="5"/>
  <c r="BF164" i="5"/>
  <c r="BB255" i="5"/>
  <c r="BF255" i="5"/>
  <c r="BB334" i="4"/>
  <c r="BF334" i="4"/>
  <c r="BB252" i="2"/>
  <c r="BF252" i="2"/>
  <c r="BB175" i="9"/>
  <c r="BF175" i="9"/>
  <c r="BB248" i="7"/>
  <c r="BF248" i="7"/>
  <c r="BB308" i="5"/>
  <c r="BF308" i="5"/>
  <c r="BB263" i="2"/>
  <c r="BF263" i="2"/>
  <c r="BB227" i="11"/>
  <c r="BF227" i="11"/>
  <c r="BB286" i="10"/>
  <c r="BF286" i="10"/>
  <c r="BB276" i="11"/>
  <c r="BF276" i="11"/>
  <c r="BB235" i="10"/>
  <c r="BF235" i="10"/>
  <c r="BB230" i="9"/>
  <c r="BF230" i="9"/>
  <c r="BB158" i="9"/>
  <c r="BF158" i="9"/>
  <c r="BB338" i="8"/>
  <c r="BF338" i="8"/>
  <c r="BB350" i="7"/>
  <c r="BF350" i="7"/>
  <c r="BB158" i="6"/>
  <c r="BF158" i="6"/>
  <c r="BB256" i="5"/>
  <c r="BF256" i="5"/>
  <c r="BB208" i="5"/>
  <c r="BF208" i="5"/>
  <c r="BB270" i="3"/>
  <c r="BF270" i="3"/>
  <c r="BB335" i="2"/>
  <c r="BF335" i="2"/>
  <c r="BB199" i="2"/>
  <c r="BF199" i="2"/>
  <c r="BB318" i="11"/>
  <c r="BF318" i="11"/>
  <c r="BB258" i="11"/>
  <c r="BF258" i="11"/>
  <c r="BB202" i="11"/>
  <c r="BF202" i="11"/>
  <c r="BB324" i="10"/>
  <c r="BF324" i="10"/>
  <c r="BB250" i="10"/>
  <c r="BF250" i="10"/>
  <c r="BB291" i="9"/>
  <c r="BF291" i="9"/>
  <c r="BB207" i="9"/>
  <c r="BF207" i="9"/>
  <c r="BB306" i="8"/>
  <c r="BF306" i="8"/>
  <c r="BB170" i="8"/>
  <c r="BF170" i="8"/>
  <c r="BB335" i="4"/>
  <c r="BF335" i="4"/>
  <c r="BB257" i="4"/>
  <c r="BF257" i="4"/>
  <c r="BB183" i="4"/>
  <c r="BF183" i="4"/>
  <c r="BB175" i="2"/>
  <c r="BF175" i="2"/>
  <c r="BB236" i="3"/>
  <c r="BF236" i="3"/>
  <c r="BB269" i="11"/>
  <c r="BF269" i="11"/>
  <c r="BB189" i="11"/>
  <c r="BF189" i="11"/>
  <c r="BB285" i="9"/>
  <c r="BF285" i="9"/>
  <c r="BB190" i="9"/>
  <c r="BF190" i="9"/>
  <c r="BB321" i="8"/>
  <c r="BF321" i="8"/>
  <c r="BB256" i="6"/>
  <c r="BF256" i="6"/>
  <c r="BB245" i="6"/>
  <c r="BF245" i="6"/>
  <c r="BB194" i="5"/>
  <c r="BF194" i="5"/>
  <c r="BB162" i="5"/>
  <c r="BF162" i="5"/>
  <c r="BB203" i="4"/>
  <c r="BF203" i="4"/>
  <c r="BB266" i="3"/>
  <c r="BF266" i="3"/>
  <c r="BB219" i="3"/>
  <c r="BF219" i="3"/>
  <c r="BB313" i="3"/>
  <c r="BF313" i="3"/>
  <c r="BB321" i="2"/>
  <c r="BF321" i="2"/>
  <c r="BB153" i="2"/>
  <c r="BF153" i="2"/>
  <c r="BB293" i="11"/>
  <c r="BF293" i="11"/>
  <c r="BB280" i="11"/>
  <c r="BF280" i="11"/>
  <c r="BB334" i="10"/>
  <c r="BF334" i="10"/>
  <c r="BB296" i="9"/>
  <c r="BF296" i="9"/>
  <c r="BB263" i="9"/>
  <c r="BF263" i="9"/>
  <c r="BB264" i="8"/>
  <c r="BF264" i="8"/>
  <c r="BB273" i="6"/>
  <c r="BF273" i="6"/>
  <c r="BB231" i="4"/>
  <c r="BF231" i="4"/>
  <c r="BB314" i="3"/>
  <c r="BF314" i="3"/>
  <c r="BB171" i="3"/>
  <c r="BF171" i="3"/>
  <c r="BB261" i="2"/>
  <c r="BF261" i="2"/>
  <c r="BB198" i="10"/>
  <c r="BF198" i="10"/>
  <c r="BB277" i="7"/>
  <c r="BF277" i="7"/>
  <c r="BB169" i="7"/>
  <c r="BF169" i="7"/>
  <c r="BB254" i="7"/>
  <c r="BF254" i="7"/>
  <c r="BB293" i="5"/>
  <c r="BF293" i="5"/>
  <c r="BB312" i="4"/>
  <c r="BF312" i="4"/>
  <c r="BB155" i="3"/>
  <c r="BF155" i="3"/>
  <c r="BB264" i="2"/>
  <c r="BF264" i="2"/>
  <c r="BB156" i="2"/>
  <c r="BF156" i="2"/>
  <c r="BB166" i="11"/>
  <c r="BF166" i="11"/>
  <c r="BB194" i="10"/>
  <c r="BF194" i="10"/>
  <c r="BB200" i="8"/>
  <c r="BF200" i="8"/>
  <c r="BF230" i="7"/>
  <c r="BB230" i="7"/>
  <c r="BB205" i="7"/>
  <c r="BF205" i="7"/>
  <c r="BB209" i="5"/>
  <c r="BF209" i="5"/>
  <c r="BB296" i="5"/>
  <c r="BF296" i="5"/>
  <c r="BB172" i="5"/>
  <c r="BF172" i="5"/>
  <c r="BB262" i="2"/>
  <c r="BF262" i="2"/>
  <c r="BB169" i="2"/>
  <c r="BF169" i="2"/>
  <c r="BB254" i="10"/>
  <c r="BF254" i="10"/>
  <c r="BB166" i="10"/>
  <c r="BF166" i="10"/>
  <c r="BB297" i="8"/>
  <c r="BF297" i="8"/>
  <c r="BB162" i="6"/>
  <c r="BF162" i="6"/>
  <c r="BB271" i="4"/>
  <c r="BF271" i="4"/>
  <c r="BB310" i="2"/>
  <c r="BF310" i="2"/>
  <c r="BB159" i="10"/>
  <c r="BF159" i="10"/>
  <c r="BB180" i="10"/>
  <c r="BF180" i="10"/>
  <c r="BB205" i="9"/>
  <c r="BF205" i="9"/>
  <c r="BB228" i="8"/>
  <c r="BF228" i="8"/>
  <c r="BB328" i="7"/>
  <c r="BF328" i="7"/>
  <c r="BB222" i="7"/>
  <c r="BF222" i="7"/>
  <c r="BB184" i="7"/>
  <c r="BF184" i="7"/>
  <c r="BB201" i="6"/>
  <c r="BF201" i="6"/>
  <c r="BB245" i="5"/>
  <c r="BF245" i="5"/>
  <c r="BB151" i="5"/>
  <c r="BF151" i="5"/>
  <c r="BB316" i="4"/>
  <c r="BF316" i="4"/>
  <c r="BB282" i="2"/>
  <c r="BF282" i="2"/>
  <c r="BB176" i="3"/>
  <c r="BF176" i="3"/>
  <c r="BB218" i="7"/>
  <c r="BF218" i="7"/>
  <c r="BB229" i="5"/>
  <c r="BF229" i="5"/>
  <c r="BB317" i="10"/>
  <c r="BF317" i="10"/>
  <c r="BB219" i="10"/>
  <c r="BF219" i="10"/>
  <c r="BB351" i="6"/>
  <c r="BF351" i="6"/>
  <c r="BB261" i="6"/>
  <c r="BF261" i="6"/>
  <c r="BB150" i="6"/>
  <c r="BF150" i="6"/>
  <c r="BB302" i="11"/>
  <c r="BF302" i="11"/>
  <c r="BB331" i="10"/>
  <c r="BF331" i="10"/>
  <c r="BB327" i="9"/>
  <c r="BF327" i="9"/>
  <c r="BB272" i="9"/>
  <c r="BF272" i="9"/>
  <c r="BB236" i="6"/>
  <c r="BF236" i="6"/>
  <c r="BB329" i="3"/>
  <c r="BF329" i="3"/>
  <c r="BB225" i="3"/>
  <c r="BF225" i="3"/>
  <c r="BB218" i="11"/>
  <c r="BF218" i="11"/>
  <c r="BB341" i="7"/>
  <c r="BF341" i="7"/>
  <c r="BB253" i="6"/>
  <c r="BF253" i="6"/>
  <c r="BB340" i="5"/>
  <c r="BF340" i="5"/>
  <c r="BB242" i="3"/>
  <c r="BF242" i="3"/>
  <c r="BB203" i="3"/>
  <c r="BF203" i="3"/>
  <c r="BB303" i="10"/>
  <c r="BF303" i="10"/>
  <c r="BB338" i="9"/>
  <c r="BF338" i="9"/>
  <c r="BB290" i="9"/>
  <c r="BF290" i="9"/>
  <c r="BB320" i="9"/>
  <c r="BF320" i="9"/>
  <c r="BB332" i="6"/>
  <c r="BF332" i="6"/>
  <c r="BB232" i="6"/>
  <c r="BF232" i="6"/>
  <c r="BB263" i="3"/>
  <c r="BF263" i="3"/>
  <c r="BB334" i="3"/>
  <c r="BF334" i="3"/>
  <c r="BB268" i="3"/>
  <c r="BF268" i="3"/>
  <c r="BB311" i="11"/>
  <c r="BF311" i="11"/>
  <c r="BB173" i="10"/>
  <c r="BF173" i="10"/>
  <c r="BB229" i="10"/>
  <c r="BF229" i="10"/>
  <c r="BB212" i="7"/>
  <c r="BF212" i="7"/>
  <c r="BB148" i="7"/>
  <c r="BF148" i="7"/>
  <c r="BB209" i="7"/>
  <c r="BF209" i="7"/>
  <c r="BB325" i="5"/>
  <c r="BF325" i="5"/>
  <c r="BB213" i="5"/>
  <c r="BF213" i="5"/>
  <c r="BB284" i="5"/>
  <c r="BF284" i="5"/>
  <c r="BB168" i="6"/>
  <c r="BF168" i="6"/>
  <c r="BB228" i="4"/>
  <c r="BF228" i="4"/>
  <c r="BB219" i="2"/>
  <c r="BF219" i="2"/>
  <c r="BB164" i="11"/>
  <c r="BF164" i="11"/>
  <c r="BB271" i="11"/>
  <c r="BF271" i="11"/>
  <c r="BB214" i="10"/>
  <c r="BF214" i="10"/>
  <c r="BB156" i="10"/>
  <c r="BF156" i="10"/>
  <c r="BB332" i="7"/>
  <c r="BF332" i="7"/>
  <c r="BB343" i="5"/>
  <c r="BF343" i="5"/>
  <c r="BB311" i="5"/>
  <c r="BF311" i="5"/>
  <c r="BB185" i="5"/>
  <c r="BF185" i="5"/>
  <c r="BB342" i="4"/>
  <c r="BF342" i="4"/>
  <c r="BB173" i="3"/>
  <c r="BF173" i="3"/>
  <c r="K537" i="5"/>
  <c r="K538" i="5" s="1"/>
  <c r="BB240" i="8"/>
  <c r="BF240" i="8"/>
  <c r="BB194" i="7"/>
  <c r="BF194" i="7"/>
  <c r="BB305" i="6"/>
  <c r="BF305" i="6"/>
  <c r="BB207" i="11"/>
  <c r="BF207" i="11"/>
  <c r="BB242" i="9"/>
  <c r="BF242" i="9"/>
  <c r="BB195" i="9"/>
  <c r="BF195" i="9"/>
  <c r="BB274" i="6"/>
  <c r="BF274" i="6"/>
  <c r="BB223" i="6"/>
  <c r="BF223" i="6"/>
  <c r="BB156" i="3"/>
  <c r="BF156" i="3"/>
  <c r="BB191" i="2"/>
  <c r="BF191" i="2"/>
  <c r="BB232" i="11"/>
  <c r="BF232" i="11"/>
  <c r="BB220" i="9"/>
  <c r="BF220" i="9"/>
  <c r="BB349" i="6"/>
  <c r="BF349" i="6"/>
  <c r="BB286" i="5"/>
  <c r="BF286" i="5"/>
  <c r="BB242" i="5"/>
  <c r="BF242" i="5"/>
  <c r="BB344" i="2"/>
  <c r="BF344" i="2"/>
  <c r="BB328" i="2"/>
  <c r="BF328" i="2"/>
  <c r="BB200" i="2"/>
  <c r="BF200" i="2"/>
  <c r="BB164" i="2"/>
  <c r="BF164" i="2"/>
  <c r="O509" i="7"/>
  <c r="M470" i="4"/>
  <c r="M471" i="4"/>
  <c r="I509" i="4"/>
  <c r="J509" i="4"/>
  <c r="BB197" i="11"/>
  <c r="BF197" i="11"/>
  <c r="BB249" i="11"/>
  <c r="BF249" i="11"/>
  <c r="BB150" i="11"/>
  <c r="BF150" i="11"/>
  <c r="BB177" i="9"/>
  <c r="BF177" i="9"/>
  <c r="BB157" i="3"/>
  <c r="BF157" i="3"/>
  <c r="E508" i="9"/>
  <c r="K477" i="9"/>
  <c r="M470" i="6"/>
  <c r="M471" i="6"/>
  <c r="K477" i="6"/>
  <c r="E508" i="6"/>
  <c r="E508" i="2"/>
  <c r="K477" i="2"/>
  <c r="BB176" i="11"/>
  <c r="BF176" i="11"/>
  <c r="BB193" i="11"/>
  <c r="BF193" i="11"/>
  <c r="BB145" i="10"/>
  <c r="BF145" i="10"/>
  <c r="BB225" i="10"/>
  <c r="BF225" i="10"/>
  <c r="BB159" i="9"/>
  <c r="BF159" i="9"/>
  <c r="BB285" i="8"/>
  <c r="BF285" i="8"/>
  <c r="BB219" i="8"/>
  <c r="BF219" i="8"/>
  <c r="BB185" i="8"/>
  <c r="BF185" i="8"/>
  <c r="M509" i="7"/>
  <c r="F508" i="2"/>
  <c r="L477" i="2"/>
  <c r="BB162" i="11"/>
  <c r="BF162" i="11"/>
  <c r="M25" i="11"/>
  <c r="M26" i="11" s="1"/>
  <c r="M27" i="11" s="1"/>
  <c r="M28" i="11" s="1"/>
  <c r="M29" i="11" s="1"/>
  <c r="M30" i="11" s="1"/>
  <c r="M31" i="11" s="1"/>
  <c r="M32" i="11" s="1"/>
  <c r="M33" i="11" s="1"/>
  <c r="M34" i="11" s="1"/>
  <c r="M35" i="11" s="1"/>
  <c r="M36" i="11" s="1"/>
  <c r="M37" i="11" s="1"/>
  <c r="M38" i="11" s="1"/>
  <c r="M39" i="11" s="1"/>
  <c r="M40" i="11" s="1"/>
  <c r="K42" i="11" s="1"/>
  <c r="K11" i="11" s="1"/>
  <c r="BB179" i="10"/>
  <c r="BF179" i="10"/>
  <c r="M24" i="8"/>
  <c r="M25" i="8" s="1"/>
  <c r="M26" i="8" s="1"/>
  <c r="M27" i="8" s="1"/>
  <c r="M28" i="8" s="1"/>
  <c r="BB259" i="7"/>
  <c r="BF259" i="7"/>
  <c r="BB155" i="6"/>
  <c r="BF155" i="6"/>
  <c r="M477" i="11"/>
  <c r="G508" i="11"/>
  <c r="M469" i="9"/>
  <c r="F535" i="9" s="1"/>
  <c r="F538" i="9" s="1"/>
  <c r="M468" i="9"/>
  <c r="E535" i="9" s="1"/>
  <c r="E538" i="9" s="1"/>
  <c r="N509" i="3"/>
  <c r="BB261" i="11"/>
  <c r="BF261" i="11"/>
  <c r="BB343" i="9"/>
  <c r="BF343" i="9"/>
  <c r="BB299" i="9"/>
  <c r="BF299" i="9"/>
  <c r="BB215" i="9"/>
  <c r="BF215" i="9"/>
  <c r="BB290" i="8"/>
  <c r="BF290" i="8"/>
  <c r="BB242" i="8"/>
  <c r="BF242" i="8"/>
  <c r="BB166" i="8"/>
  <c r="BF166" i="8"/>
  <c r="BB301" i="7"/>
  <c r="BF301" i="7"/>
  <c r="BB312" i="6"/>
  <c r="BF312" i="6"/>
  <c r="BB268" i="6"/>
  <c r="BF268" i="6"/>
  <c r="BB207" i="6"/>
  <c r="BF207" i="6"/>
  <c r="BB225" i="4"/>
  <c r="BF225" i="4"/>
  <c r="BB336" i="3"/>
  <c r="BF336" i="3"/>
  <c r="BB280" i="3"/>
  <c r="BF280" i="3"/>
  <c r="BB265" i="3"/>
  <c r="BF265" i="3"/>
  <c r="BB339" i="4"/>
  <c r="BF339" i="4"/>
  <c r="BB345" i="8"/>
  <c r="BF345" i="8"/>
  <c r="BB296" i="8"/>
  <c r="BF296" i="8"/>
  <c r="BB287" i="11"/>
  <c r="BF287" i="11"/>
  <c r="BB252" i="10"/>
  <c r="BF252" i="10"/>
  <c r="BB289" i="9"/>
  <c r="BF289" i="9"/>
  <c r="BB275" i="9"/>
  <c r="BF275" i="9"/>
  <c r="BB239" i="9"/>
  <c r="BF239" i="9"/>
  <c r="BB319" i="8"/>
  <c r="BF319" i="8"/>
  <c r="BB287" i="6"/>
  <c r="BF287" i="6"/>
  <c r="BB180" i="6"/>
  <c r="BF180" i="6"/>
  <c r="BB238" i="3"/>
  <c r="BF238" i="3"/>
  <c r="BB170" i="11"/>
  <c r="BF170" i="11"/>
  <c r="BB196" i="11"/>
  <c r="BF196" i="11"/>
  <c r="BB193" i="10"/>
  <c r="BF193" i="10"/>
  <c r="BB171" i="9"/>
  <c r="BF171" i="9"/>
  <c r="X360" i="8"/>
  <c r="BB239" i="7"/>
  <c r="BF239" i="7"/>
  <c r="M27" i="2"/>
  <c r="M28" i="2" s="1"/>
  <c r="M29" i="2" s="1"/>
  <c r="M30" i="2" s="1"/>
  <c r="M31" i="2" s="1"/>
  <c r="M32" i="2" s="1"/>
  <c r="M33" i="2" s="1"/>
  <c r="M34" i="2" s="1"/>
  <c r="M35" i="2" s="1"/>
  <c r="M36" i="2" s="1"/>
  <c r="M37" i="2" s="1"/>
  <c r="M38" i="2" s="1"/>
  <c r="M39" i="2" s="1"/>
  <c r="M40" i="2" s="1"/>
  <c r="K42" i="2" s="1"/>
  <c r="K11" i="2" s="1"/>
  <c r="BB192" i="9"/>
  <c r="BF192" i="9"/>
  <c r="BB150" i="8"/>
  <c r="BF150" i="8"/>
  <c r="M31" i="4"/>
  <c r="M32" i="4" s="1"/>
  <c r="M33" i="4" s="1"/>
  <c r="M34" i="4" s="1"/>
  <c r="M35" i="4" s="1"/>
  <c r="M36" i="4" s="1"/>
  <c r="M37" i="4" s="1"/>
  <c r="M38" i="4" s="1"/>
  <c r="M39" i="4" s="1"/>
  <c r="M40" i="4" s="1"/>
  <c r="K42" i="4" s="1"/>
  <c r="K11" i="4" s="1"/>
  <c r="BB190" i="4"/>
  <c r="BF190" i="4"/>
  <c r="BB158" i="4"/>
  <c r="BF158" i="4"/>
  <c r="F508" i="9"/>
  <c r="L477" i="9"/>
  <c r="K78" i="5"/>
  <c r="I78" i="5" s="1"/>
  <c r="K12" i="5"/>
  <c r="BB314" i="5"/>
  <c r="BF314" i="5"/>
  <c r="BB192" i="4"/>
  <c r="BF192" i="4"/>
  <c r="BB293" i="4"/>
  <c r="BF293" i="4"/>
  <c r="BB193" i="4"/>
  <c r="BF193" i="4"/>
  <c r="BB161" i="4"/>
  <c r="BF161" i="4"/>
  <c r="BB305" i="2"/>
  <c r="BF305" i="2"/>
  <c r="BB289" i="2"/>
  <c r="BF289" i="2"/>
  <c r="BB181" i="2"/>
  <c r="BF181" i="2"/>
  <c r="BB286" i="2"/>
  <c r="BF286" i="2"/>
  <c r="O509" i="9"/>
  <c r="M470" i="2"/>
  <c r="M471" i="2"/>
  <c r="I509" i="2"/>
  <c r="K509" i="2"/>
  <c r="J509" i="2"/>
  <c r="J40" i="11"/>
  <c r="K40" i="11" s="1"/>
  <c r="I536" i="10"/>
  <c r="I538" i="10" s="1"/>
  <c r="BB181" i="10"/>
  <c r="BF181" i="10"/>
  <c r="BB201" i="8"/>
  <c r="BF201" i="8"/>
  <c r="M28" i="6"/>
  <c r="M29" i="6" s="1"/>
  <c r="M30" i="6" s="1"/>
  <c r="M31" i="6" s="1"/>
  <c r="M32" i="6" s="1"/>
  <c r="M33" i="6" s="1"/>
  <c r="M34" i="6" s="1"/>
  <c r="M35" i="6" s="1"/>
  <c r="M36" i="6" s="1"/>
  <c r="M37" i="6" s="1"/>
  <c r="M38" i="6" s="1"/>
  <c r="M39" i="6" s="1"/>
  <c r="M40" i="6" s="1"/>
  <c r="K42" i="6" s="1"/>
  <c r="K11" i="6" s="1"/>
  <c r="BB350" i="4"/>
  <c r="BF350" i="4"/>
  <c r="BB290" i="4"/>
  <c r="BF290" i="4"/>
  <c r="BB156" i="4"/>
  <c r="BF156" i="4"/>
  <c r="F508" i="10"/>
  <c r="L477" i="10"/>
  <c r="L537" i="6"/>
  <c r="L538" i="6" s="1"/>
  <c r="O509" i="5"/>
  <c r="BB258" i="6"/>
  <c r="BF258" i="6"/>
  <c r="BB234" i="3"/>
  <c r="BF234" i="3"/>
  <c r="BB243" i="3"/>
  <c r="BF243" i="3"/>
  <c r="BB301" i="10"/>
  <c r="BF301" i="10"/>
  <c r="BB269" i="10"/>
  <c r="BF269" i="10"/>
  <c r="BB351" i="9"/>
  <c r="BF351" i="9"/>
  <c r="BB331" i="9"/>
  <c r="BF331" i="9"/>
  <c r="BB224" i="9"/>
  <c r="BF224" i="9"/>
  <c r="BB170" i="9"/>
  <c r="BF170" i="9"/>
  <c r="BB310" i="8"/>
  <c r="BF310" i="8"/>
  <c r="BB319" i="7"/>
  <c r="BF319" i="7"/>
  <c r="BB330" i="6"/>
  <c r="BF330" i="6"/>
  <c r="BB248" i="6"/>
  <c r="BF248" i="6"/>
  <c r="BB186" i="6"/>
  <c r="BF186" i="6"/>
  <c r="BB338" i="3"/>
  <c r="BF338" i="3"/>
  <c r="BB306" i="3"/>
  <c r="BF306" i="3"/>
  <c r="BB274" i="3"/>
  <c r="BF274" i="3"/>
  <c r="BB339" i="3"/>
  <c r="BF339" i="3"/>
  <c r="BB291" i="3"/>
  <c r="BF291" i="3"/>
  <c r="BB170" i="3"/>
  <c r="BF170" i="3"/>
  <c r="BB307" i="2"/>
  <c r="BF307" i="2"/>
  <c r="BB253" i="2"/>
  <c r="BF253" i="2"/>
  <c r="BB203" i="2"/>
  <c r="BF203" i="2"/>
  <c r="BB314" i="11"/>
  <c r="BF314" i="11"/>
  <c r="BB236" i="11"/>
  <c r="BF236" i="11"/>
  <c r="BB306" i="10"/>
  <c r="BF306" i="10"/>
  <c r="BF318" i="9"/>
  <c r="BB318" i="9"/>
  <c r="BB238" i="9"/>
  <c r="BF238" i="9"/>
  <c r="BB345" i="6"/>
  <c r="BF345" i="6"/>
  <c r="BB306" i="5"/>
  <c r="BF306" i="5"/>
  <c r="BB290" i="5"/>
  <c r="BF290" i="5"/>
  <c r="BB274" i="5"/>
  <c r="BF274" i="5"/>
  <c r="BB230" i="5"/>
  <c r="BF230" i="5"/>
  <c r="BB307" i="7"/>
  <c r="BF307" i="7"/>
  <c r="BB167" i="6"/>
  <c r="BF167" i="6"/>
  <c r="BB322" i="4"/>
  <c r="BF322" i="4"/>
  <c r="BB180" i="4"/>
  <c r="BF180" i="4"/>
  <c r="BB337" i="4"/>
  <c r="BF337" i="4"/>
  <c r="BB346" i="4"/>
  <c r="BF346" i="4"/>
  <c r="W29" i="4"/>
  <c r="BB350" i="2"/>
  <c r="BF350" i="2"/>
  <c r="BB324" i="2"/>
  <c r="BF324" i="2"/>
  <c r="BB248" i="2"/>
  <c r="BF248" i="2"/>
  <c r="M469" i="11"/>
  <c r="F535" i="11" s="1"/>
  <c r="F538" i="11" s="1"/>
  <c r="M468" i="11"/>
  <c r="E535" i="11" s="1"/>
  <c r="E538" i="11" s="1"/>
  <c r="J509" i="11"/>
  <c r="I509" i="11"/>
  <c r="L509" i="11" s="1"/>
  <c r="O509" i="10"/>
  <c r="M24" i="3"/>
  <c r="M25" i="3" s="1"/>
  <c r="M26" i="3" s="1"/>
  <c r="M27" i="3" s="1"/>
  <c r="M28" i="3" s="1"/>
  <c r="M29" i="3" s="1"/>
  <c r="M30" i="3" s="1"/>
  <c r="M31" i="3" s="1"/>
  <c r="M32" i="3" s="1"/>
  <c r="M33" i="3" s="1"/>
  <c r="M34" i="3" s="1"/>
  <c r="M35" i="3" s="1"/>
  <c r="M36" i="3" s="1"/>
  <c r="M37" i="3" s="1"/>
  <c r="M38" i="3" s="1"/>
  <c r="M39" i="3" s="1"/>
  <c r="M40" i="3" s="1"/>
  <c r="K42" i="3" s="1"/>
  <c r="K11" i="3" s="1"/>
  <c r="E508" i="11"/>
  <c r="K477" i="11"/>
  <c r="M74" i="8"/>
  <c r="M470" i="5"/>
  <c r="M471" i="5"/>
  <c r="H508" i="3"/>
  <c r="N477" i="3"/>
  <c r="M72" i="3"/>
  <c r="G72" i="3"/>
  <c r="BB246" i="10"/>
  <c r="BF246" i="10"/>
  <c r="BB251" i="8"/>
  <c r="BF251" i="8"/>
  <c r="BB215" i="8"/>
  <c r="BF215" i="8"/>
  <c r="BB173" i="8"/>
  <c r="BF173" i="8"/>
  <c r="T40" i="6"/>
  <c r="U40" i="6" s="1"/>
  <c r="H536" i="5"/>
  <c r="H538" i="5" s="1"/>
  <c r="E508" i="3"/>
  <c r="K477" i="3"/>
  <c r="N477" i="2"/>
  <c r="H508" i="2"/>
  <c r="W30" i="9"/>
  <c r="W31" i="9" s="1"/>
  <c r="W32" i="9" s="1"/>
  <c r="W33" i="9" s="1"/>
  <c r="W34" i="9" s="1"/>
  <c r="W35" i="9" s="1"/>
  <c r="W36" i="9" s="1"/>
  <c r="W37" i="9" s="1"/>
  <c r="W38" i="9" s="1"/>
  <c r="W39" i="9" s="1"/>
  <c r="W40" i="9" s="1"/>
  <c r="U42" i="9" s="1"/>
  <c r="BB303" i="8"/>
  <c r="BF303" i="8"/>
  <c r="BB255" i="7"/>
  <c r="BF255" i="7"/>
  <c r="BB191" i="5"/>
  <c r="BF191" i="5"/>
  <c r="BB177" i="3"/>
  <c r="BF177" i="3"/>
  <c r="BB151" i="2"/>
  <c r="BF151" i="2"/>
  <c r="M509" i="11"/>
  <c r="G536" i="9"/>
  <c r="G538" i="9" s="1"/>
  <c r="O509" i="6"/>
  <c r="M81" i="4"/>
  <c r="G81" i="4"/>
  <c r="BB285" i="11"/>
  <c r="BF285" i="11"/>
  <c r="BB243" i="11"/>
  <c r="BF243" i="11"/>
  <c r="BB293" i="10"/>
  <c r="BF293" i="10"/>
  <c r="BB274" i="8"/>
  <c r="BF274" i="8"/>
  <c r="BB220" i="8"/>
  <c r="BF220" i="8"/>
  <c r="BB156" i="8"/>
  <c r="BF156" i="8"/>
  <c r="BB349" i="8"/>
  <c r="BF349" i="8"/>
  <c r="BB206" i="6"/>
  <c r="BF206" i="6"/>
  <c r="BB242" i="11"/>
  <c r="BF242" i="11"/>
  <c r="BB278" i="10"/>
  <c r="BF278" i="10"/>
  <c r="BB323" i="9"/>
  <c r="BF323" i="9"/>
  <c r="BB269" i="9"/>
  <c r="BF269" i="9"/>
  <c r="BB217" i="9"/>
  <c r="BF217" i="9"/>
  <c r="BB200" i="9"/>
  <c r="BF200" i="9"/>
  <c r="BB307" i="6"/>
  <c r="BF307" i="6"/>
  <c r="BB341" i="3"/>
  <c r="BF341" i="3"/>
  <c r="BB194" i="3"/>
  <c r="BF194" i="3"/>
  <c r="BB172" i="3"/>
  <c r="BF172" i="3"/>
  <c r="I82" i="3"/>
  <c r="BB161" i="11"/>
  <c r="BF161" i="11"/>
  <c r="W27" i="11"/>
  <c r="W28" i="11" s="1"/>
  <c r="W29" i="11" s="1"/>
  <c r="W30" i="11" s="1"/>
  <c r="W31" i="11" s="1"/>
  <c r="W32" i="11" s="1"/>
  <c r="W33" i="11" s="1"/>
  <c r="W34" i="11" s="1"/>
  <c r="W35" i="11" s="1"/>
  <c r="W36" i="11" s="1"/>
  <c r="W37" i="11" s="1"/>
  <c r="W38" i="11" s="1"/>
  <c r="W39" i="11" s="1"/>
  <c r="W40" i="11" s="1"/>
  <c r="U42" i="11" s="1"/>
  <c r="BB226" i="10"/>
  <c r="BF226" i="10"/>
  <c r="BB149" i="9"/>
  <c r="BF149" i="9"/>
  <c r="BB199" i="8"/>
  <c r="BF199" i="8"/>
  <c r="BB183" i="8"/>
  <c r="BF183" i="8"/>
  <c r="BB167" i="8"/>
  <c r="BF167" i="8"/>
  <c r="M29" i="8"/>
  <c r="M30" i="8" s="1"/>
  <c r="M31" i="8" s="1"/>
  <c r="M32" i="8" s="1"/>
  <c r="M33" i="8" s="1"/>
  <c r="M34" i="8" s="1"/>
  <c r="M35" i="8" s="1"/>
  <c r="M36" i="8" s="1"/>
  <c r="M37" i="8" s="1"/>
  <c r="M38" i="8" s="1"/>
  <c r="M39" i="8" s="1"/>
  <c r="M40" i="8" s="1"/>
  <c r="K42" i="8" s="1"/>
  <c r="W38" i="5"/>
  <c r="W39" i="5" s="1"/>
  <c r="W40" i="5" s="1"/>
  <c r="U42" i="5" s="1"/>
  <c r="I536" i="11"/>
  <c r="I538" i="11" s="1"/>
  <c r="I82" i="7"/>
  <c r="N509" i="4"/>
  <c r="L537" i="4"/>
  <c r="L538" i="4" s="1"/>
  <c r="BB153" i="11"/>
  <c r="BF153" i="11"/>
  <c r="M25" i="9"/>
  <c r="M26" i="9" s="1"/>
  <c r="M27" i="9" s="1"/>
  <c r="M28" i="9" s="1"/>
  <c r="M29" i="9" s="1"/>
  <c r="M30" i="9" s="1"/>
  <c r="M31" i="9" s="1"/>
  <c r="M32" i="9" s="1"/>
  <c r="M33" i="9" s="1"/>
  <c r="M34" i="9" s="1"/>
  <c r="M35" i="9" s="1"/>
  <c r="M36" i="9" s="1"/>
  <c r="M37" i="9" s="1"/>
  <c r="M38" i="9" s="1"/>
  <c r="M39" i="9" s="1"/>
  <c r="M40" i="9" s="1"/>
  <c r="K42" i="9" s="1"/>
  <c r="K11" i="9" s="1"/>
  <c r="BB276" i="8"/>
  <c r="BF276" i="8"/>
  <c r="W26" i="7"/>
  <c r="W27" i="7" s="1"/>
  <c r="W28" i="7" s="1"/>
  <c r="W29" i="7" s="1"/>
  <c r="W30" i="7" s="1"/>
  <c r="W31" i="7" s="1"/>
  <c r="W32" i="7" s="1"/>
  <c r="W33" i="7" s="1"/>
  <c r="W34" i="7" s="1"/>
  <c r="W35" i="7" s="1"/>
  <c r="W36" i="7" s="1"/>
  <c r="W37" i="7" s="1"/>
  <c r="W38" i="7" s="1"/>
  <c r="W39" i="7" s="1"/>
  <c r="W40" i="7" s="1"/>
  <c r="U42" i="7" s="1"/>
  <c r="BB347" i="5"/>
  <c r="BF347" i="5"/>
  <c r="BB246" i="6"/>
  <c r="BF246" i="6"/>
  <c r="BB227" i="4"/>
  <c r="BF227" i="4"/>
  <c r="J537" i="11"/>
  <c r="J538" i="11" s="1"/>
  <c r="O509" i="11"/>
  <c r="M70" i="8"/>
  <c r="G70" i="8"/>
  <c r="F77" i="4"/>
  <c r="M77" i="4" s="1"/>
  <c r="M71" i="2"/>
  <c r="G71" i="2"/>
  <c r="BB188" i="9"/>
  <c r="BF188" i="9"/>
  <c r="T40" i="9"/>
  <c r="U40" i="9" s="1"/>
  <c r="J537" i="8"/>
  <c r="J538" i="8" s="1"/>
  <c r="BB292" i="7"/>
  <c r="BF292" i="7"/>
  <c r="BB240" i="7"/>
  <c r="BF240" i="7"/>
  <c r="J40" i="6"/>
  <c r="K40" i="6" s="1"/>
  <c r="W30" i="4"/>
  <c r="W31" i="4" s="1"/>
  <c r="W32" i="4" s="1"/>
  <c r="W33" i="4" s="1"/>
  <c r="W34" i="4" s="1"/>
  <c r="W35" i="4" s="1"/>
  <c r="W36" i="4" s="1"/>
  <c r="W37" i="4" s="1"/>
  <c r="W38" i="4" s="1"/>
  <c r="W39" i="4" s="1"/>
  <c r="W40" i="4" s="1"/>
  <c r="U42" i="4" s="1"/>
  <c r="BB145" i="3"/>
  <c r="BF145" i="3"/>
  <c r="BB301" i="2"/>
  <c r="BF301" i="2"/>
  <c r="BB285" i="2"/>
  <c r="BF285" i="2"/>
  <c r="BB154" i="2"/>
  <c r="BF154" i="2"/>
  <c r="M470" i="8"/>
  <c r="M471" i="8"/>
  <c r="I509" i="8"/>
  <c r="J509" i="8"/>
  <c r="I536" i="2"/>
  <c r="I538" i="2" s="1"/>
  <c r="T40" i="11"/>
  <c r="U40" i="11" s="1"/>
  <c r="BB148" i="10"/>
  <c r="BF148" i="10"/>
  <c r="BB227" i="10"/>
  <c r="BF227" i="10"/>
  <c r="BB194" i="9"/>
  <c r="BF194" i="9"/>
  <c r="BB221" i="8"/>
  <c r="BF221" i="8"/>
  <c r="BB310" i="7"/>
  <c r="BF310" i="7"/>
  <c r="BB281" i="4"/>
  <c r="BF281" i="4"/>
  <c r="P515" i="9"/>
  <c r="L509" i="7"/>
  <c r="P518" i="6"/>
  <c r="BB349" i="11"/>
  <c r="BF349" i="11"/>
  <c r="BB289" i="11"/>
  <c r="BF289" i="11"/>
  <c r="BB208" i="11"/>
  <c r="BF208" i="11"/>
  <c r="BB346" i="10"/>
  <c r="BF346" i="10"/>
  <c r="BB313" i="9"/>
  <c r="BF313" i="9"/>
  <c r="BB331" i="8"/>
  <c r="BF331" i="8"/>
  <c r="BB330" i="8"/>
  <c r="BF330" i="8"/>
  <c r="BB260" i="6"/>
  <c r="BF260" i="6"/>
  <c r="BB216" i="5"/>
  <c r="BF216" i="5"/>
  <c r="BB241" i="3"/>
  <c r="BF241" i="3"/>
  <c r="BB257" i="3"/>
  <c r="BF257" i="3"/>
  <c r="BB303" i="2"/>
  <c r="BF303" i="2"/>
  <c r="BB163" i="2"/>
  <c r="BF163" i="2"/>
  <c r="BB294" i="10"/>
  <c r="BF294" i="10"/>
  <c r="BB256" i="8"/>
  <c r="BF256" i="8"/>
  <c r="BB259" i="6"/>
  <c r="BF259" i="6"/>
  <c r="BB317" i="4"/>
  <c r="BF317" i="4"/>
  <c r="BB243" i="4"/>
  <c r="BF243" i="4"/>
  <c r="BB352" i="3"/>
  <c r="BF352" i="3"/>
  <c r="BB223" i="3"/>
  <c r="BF223" i="3"/>
  <c r="BB235" i="11"/>
  <c r="BF235" i="11"/>
  <c r="BB337" i="10"/>
  <c r="BF337" i="10"/>
  <c r="BB257" i="10"/>
  <c r="BF257" i="10"/>
  <c r="BB351" i="8"/>
  <c r="BF351" i="8"/>
  <c r="BB174" i="8"/>
  <c r="BF174" i="8"/>
  <c r="BB282" i="6"/>
  <c r="BF282" i="6"/>
  <c r="BB237" i="6"/>
  <c r="BF237" i="6"/>
  <c r="BB186" i="5"/>
  <c r="BF186" i="5"/>
  <c r="BB283" i="4"/>
  <c r="BF283" i="4"/>
  <c r="BB296" i="3"/>
  <c r="BF296" i="3"/>
  <c r="BB247" i="3"/>
  <c r="BF247" i="3"/>
  <c r="BB287" i="3"/>
  <c r="BF287" i="3"/>
  <c r="BB279" i="2"/>
  <c r="BF279" i="2"/>
  <c r="BB250" i="11"/>
  <c r="BF250" i="11"/>
  <c r="BB273" i="9"/>
  <c r="BF273" i="9"/>
  <c r="BB162" i="8"/>
  <c r="BF162" i="8"/>
  <c r="BB299" i="4"/>
  <c r="BF299" i="4"/>
  <c r="BB348" i="3"/>
  <c r="BF348" i="3"/>
  <c r="BB201" i="3"/>
  <c r="BF201" i="3"/>
  <c r="BB347" i="3"/>
  <c r="BF347" i="3"/>
  <c r="BB299" i="2"/>
  <c r="BF299" i="2"/>
  <c r="BB149" i="2"/>
  <c r="BF149" i="2"/>
  <c r="BB322" i="11"/>
  <c r="BF322" i="11"/>
  <c r="BB152" i="10"/>
  <c r="BF152" i="10"/>
  <c r="BB263" i="8"/>
  <c r="BF263" i="8"/>
  <c r="BB285" i="7"/>
  <c r="BF285" i="7"/>
  <c r="BB161" i="7"/>
  <c r="BF161" i="7"/>
  <c r="BB276" i="7"/>
  <c r="BF276" i="7"/>
  <c r="BB259" i="5"/>
  <c r="BF259" i="5"/>
  <c r="BB155" i="5"/>
  <c r="BF155" i="5"/>
  <c r="BB220" i="2"/>
  <c r="BF220" i="2"/>
  <c r="BB188" i="3"/>
  <c r="BF188" i="3"/>
  <c r="BB272" i="10"/>
  <c r="BF272" i="10"/>
  <c r="BB228" i="10"/>
  <c r="BF228" i="10"/>
  <c r="BB147" i="7"/>
  <c r="BF147" i="7"/>
  <c r="BB236" i="7"/>
  <c r="BF236" i="7"/>
  <c r="BB297" i="5"/>
  <c r="BF297" i="5"/>
  <c r="BB202" i="2"/>
  <c r="BF202" i="2"/>
  <c r="BB160" i="11"/>
  <c r="BF160" i="11"/>
  <c r="BB245" i="7"/>
  <c r="BF245" i="7"/>
  <c r="BB311" i="6"/>
  <c r="BF311" i="6"/>
  <c r="BB256" i="4"/>
  <c r="BF256" i="4"/>
  <c r="BB194" i="2"/>
  <c r="BF194" i="2"/>
  <c r="BF155" i="11"/>
  <c r="BB155" i="11"/>
  <c r="BB234" i="10"/>
  <c r="BF234" i="10"/>
  <c r="BB261" i="8"/>
  <c r="BF261" i="8"/>
  <c r="BB145" i="8"/>
  <c r="BF145" i="8"/>
  <c r="BB184" i="8"/>
  <c r="BF184" i="8"/>
  <c r="BB298" i="7"/>
  <c r="BF298" i="7"/>
  <c r="BB166" i="7"/>
  <c r="BF166" i="7"/>
  <c r="BB183" i="7"/>
  <c r="BF183" i="7"/>
  <c r="BB265" i="5"/>
  <c r="BF265" i="5"/>
  <c r="BB232" i="5"/>
  <c r="BF232" i="5"/>
  <c r="BB172" i="6"/>
  <c r="BF172" i="6"/>
  <c r="BB150" i="4"/>
  <c r="BF150" i="4"/>
  <c r="BB206" i="2"/>
  <c r="BF206" i="2"/>
  <c r="BB273" i="2"/>
  <c r="BF273" i="2"/>
  <c r="BB180" i="2"/>
  <c r="BF180" i="2"/>
  <c r="BB184" i="10"/>
  <c r="BF184" i="10"/>
  <c r="BB238" i="10"/>
  <c r="BF238" i="10"/>
  <c r="BB273" i="8"/>
  <c r="BF273" i="8"/>
  <c r="BB199" i="7"/>
  <c r="BF199" i="7"/>
  <c r="BB328" i="6"/>
  <c r="BF328" i="6"/>
  <c r="BB345" i="11"/>
  <c r="BF345" i="11"/>
  <c r="BF273" i="11"/>
  <c r="BB273" i="11"/>
  <c r="BB195" i="11"/>
  <c r="BF195" i="11"/>
  <c r="BB267" i="10"/>
  <c r="BF267" i="10"/>
  <c r="BB292" i="8"/>
  <c r="BF292" i="8"/>
  <c r="BB275" i="6"/>
  <c r="BF275" i="6"/>
  <c r="BB183" i="6"/>
  <c r="BF183" i="6"/>
  <c r="BB251" i="11"/>
  <c r="BF251" i="11"/>
  <c r="BF209" i="11"/>
  <c r="BB209" i="11"/>
  <c r="BB351" i="10"/>
  <c r="BF351" i="10"/>
  <c r="BB247" i="10"/>
  <c r="BF247" i="10"/>
  <c r="BB244" i="9"/>
  <c r="BF244" i="9"/>
  <c r="BB197" i="9"/>
  <c r="BF197" i="9"/>
  <c r="BB218" i="6"/>
  <c r="BF218" i="6"/>
  <c r="BB149" i="6"/>
  <c r="BF149" i="6"/>
  <c r="BB305" i="3"/>
  <c r="BF305" i="3"/>
  <c r="BB296" i="10"/>
  <c r="BF296" i="10"/>
  <c r="BB310" i="9"/>
  <c r="BF310" i="9"/>
  <c r="BB319" i="9"/>
  <c r="BF319" i="9"/>
  <c r="BB217" i="6"/>
  <c r="BF217" i="6"/>
  <c r="BB333" i="3"/>
  <c r="BF333" i="3"/>
  <c r="BB216" i="3"/>
  <c r="BF216" i="3"/>
  <c r="BB305" i="11"/>
  <c r="BF305" i="11"/>
  <c r="BB199" i="11"/>
  <c r="BF199" i="11"/>
  <c r="BB339" i="10"/>
  <c r="BF339" i="10"/>
  <c r="BB306" i="9"/>
  <c r="BF306" i="9"/>
  <c r="BB262" i="6"/>
  <c r="BF262" i="6"/>
  <c r="BB316" i="3"/>
  <c r="BF316" i="3"/>
  <c r="BB252" i="3"/>
  <c r="BF252" i="3"/>
  <c r="BB186" i="3"/>
  <c r="BF186" i="3"/>
  <c r="BB173" i="11"/>
  <c r="BF173" i="11"/>
  <c r="BB191" i="9"/>
  <c r="BF191" i="9"/>
  <c r="BB311" i="9"/>
  <c r="BF311" i="9"/>
  <c r="BB160" i="8"/>
  <c r="BF160" i="8"/>
  <c r="BB220" i="7"/>
  <c r="BF220" i="7"/>
  <c r="BB291" i="7"/>
  <c r="BF291" i="7"/>
  <c r="BB187" i="5"/>
  <c r="BF187" i="5"/>
  <c r="BB322" i="5"/>
  <c r="BF322" i="5"/>
  <c r="BB176" i="5"/>
  <c r="BF176" i="5"/>
  <c r="BB254" i="4"/>
  <c r="BF254" i="4"/>
  <c r="BB285" i="4"/>
  <c r="BF285" i="4"/>
  <c r="BB177" i="4"/>
  <c r="BF177" i="4"/>
  <c r="BB241" i="2"/>
  <c r="BF241" i="2"/>
  <c r="BB169" i="11"/>
  <c r="BF169" i="11"/>
  <c r="BB187" i="9"/>
  <c r="BF187" i="9"/>
  <c r="BB204" i="8"/>
  <c r="BF204" i="8"/>
  <c r="BB234" i="7"/>
  <c r="BF234" i="7"/>
  <c r="BB287" i="7"/>
  <c r="BF287" i="7"/>
  <c r="BB159" i="7"/>
  <c r="BF159" i="7"/>
  <c r="BB299" i="5"/>
  <c r="BF299" i="5"/>
  <c r="BB318" i="5"/>
  <c r="BF318" i="5"/>
  <c r="BB188" i="5"/>
  <c r="BF188" i="5"/>
  <c r="BB254" i="2"/>
  <c r="BF254" i="2"/>
  <c r="BB281" i="2"/>
  <c r="BF281" i="2"/>
  <c r="BB173" i="2"/>
  <c r="BF173" i="2"/>
  <c r="BB159" i="11"/>
  <c r="BF159" i="11"/>
  <c r="BB338" i="4"/>
  <c r="BF338" i="4"/>
  <c r="BB216" i="4"/>
  <c r="BF216" i="4"/>
  <c r="BB269" i="8"/>
  <c r="BF269" i="8"/>
  <c r="BB205" i="8"/>
  <c r="BF205" i="8"/>
  <c r="BB340" i="7"/>
  <c r="BF340" i="7"/>
  <c r="BB228" i="7"/>
  <c r="BF228" i="7"/>
  <c r="BB188" i="7"/>
  <c r="BF188" i="7"/>
  <c r="BB146" i="7"/>
  <c r="BF146" i="7"/>
  <c r="BB259" i="4"/>
  <c r="BF259" i="4"/>
  <c r="BB233" i="2"/>
  <c r="BF233" i="2"/>
  <c r="BB176" i="2"/>
  <c r="BF176" i="2"/>
  <c r="BB191" i="7"/>
  <c r="BF191" i="7"/>
  <c r="BB209" i="10"/>
  <c r="BF209" i="10"/>
  <c r="BB218" i="8"/>
  <c r="BF218" i="8"/>
  <c r="BB326" i="5"/>
  <c r="BF326" i="5"/>
  <c r="BB151" i="4"/>
  <c r="BF151" i="4"/>
  <c r="BB338" i="11"/>
  <c r="BF338" i="11"/>
  <c r="BB309" i="11"/>
  <c r="BF309" i="11"/>
  <c r="BB313" i="10"/>
  <c r="BF313" i="10"/>
  <c r="BB299" i="10"/>
  <c r="BF299" i="10"/>
  <c r="BB269" i="6"/>
  <c r="BF269" i="6"/>
  <c r="BB175" i="6"/>
  <c r="BF175" i="6"/>
  <c r="BB319" i="3"/>
  <c r="BF319" i="3"/>
  <c r="BB284" i="10"/>
  <c r="BF284" i="10"/>
  <c r="BB352" i="6"/>
  <c r="BF352" i="6"/>
  <c r="BB214" i="6"/>
  <c r="BF214" i="6"/>
  <c r="BB293" i="3"/>
  <c r="BF293" i="3"/>
  <c r="BB248" i="3"/>
  <c r="BF248" i="3"/>
  <c r="BB306" i="11"/>
  <c r="BF306" i="11"/>
  <c r="BB291" i="6"/>
  <c r="BF291" i="6"/>
  <c r="BB295" i="10"/>
  <c r="BF295" i="10"/>
  <c r="BB270" i="9"/>
  <c r="BF270" i="9"/>
  <c r="BB340" i="6"/>
  <c r="BF340" i="6"/>
  <c r="BB244" i="6"/>
  <c r="BF244" i="6"/>
  <c r="BB285" i="3"/>
  <c r="BF285" i="3"/>
  <c r="BB342" i="3"/>
  <c r="BF342" i="3"/>
  <c r="BB278" i="3"/>
  <c r="BF278" i="3"/>
  <c r="BB185" i="11"/>
  <c r="BF185" i="11"/>
  <c r="BB179" i="9"/>
  <c r="BF179" i="9"/>
  <c r="BB275" i="7"/>
  <c r="BF275" i="7"/>
  <c r="BB163" i="7"/>
  <c r="BF163" i="7"/>
  <c r="BB271" i="5"/>
  <c r="BF271" i="5"/>
  <c r="BB300" i="5"/>
  <c r="BF300" i="5"/>
  <c r="BB160" i="5"/>
  <c r="BF160" i="5"/>
  <c r="BB296" i="4"/>
  <c r="BF296" i="4"/>
  <c r="BB329" i="2"/>
  <c r="BF329" i="2"/>
  <c r="BB162" i="10"/>
  <c r="BF162" i="10"/>
  <c r="BB328" i="9"/>
  <c r="BF328" i="9"/>
  <c r="BB280" i="7"/>
  <c r="BF280" i="7"/>
  <c r="BB323" i="5"/>
  <c r="BF323" i="5"/>
  <c r="BB201" i="5"/>
  <c r="BF201" i="5"/>
  <c r="BB161" i="3"/>
  <c r="BF161" i="3"/>
  <c r="BB224" i="2"/>
  <c r="BF224" i="2"/>
  <c r="BB152" i="2"/>
  <c r="BF152" i="2"/>
  <c r="BB156" i="11"/>
  <c r="BF156" i="11"/>
  <c r="BF168" i="10"/>
  <c r="BB168" i="10"/>
  <c r="BB160" i="9"/>
  <c r="BF160" i="9"/>
  <c r="BB279" i="8"/>
  <c r="BF279" i="8"/>
  <c r="BB252" i="7"/>
  <c r="BF252" i="7"/>
  <c r="BB303" i="7"/>
  <c r="BF303" i="7"/>
  <c r="BB187" i="7"/>
  <c r="BF187" i="7"/>
  <c r="BB221" i="5"/>
  <c r="BF221" i="5"/>
  <c r="BB266" i="5"/>
  <c r="BF266" i="5"/>
  <c r="BB168" i="5"/>
  <c r="BF168" i="5"/>
  <c r="BB284" i="4"/>
  <c r="BF284" i="4"/>
  <c r="BB305" i="4"/>
  <c r="BF305" i="4"/>
  <c r="BB219" i="4"/>
  <c r="BF219" i="4"/>
  <c r="BB228" i="2"/>
  <c r="BF228" i="2"/>
  <c r="BB267" i="2"/>
  <c r="BF267" i="2"/>
  <c r="BB184" i="11"/>
  <c r="BF184" i="11"/>
  <c r="BB153" i="8"/>
  <c r="BF153" i="8"/>
  <c r="BB255" i="8"/>
  <c r="BF255" i="8"/>
  <c r="BB290" i="7"/>
  <c r="BF290" i="7"/>
  <c r="BB186" i="7"/>
  <c r="BF186" i="7"/>
  <c r="BB158" i="7"/>
  <c r="BF158" i="7"/>
  <c r="BB291" i="5"/>
  <c r="BF291" i="5"/>
  <c r="BB159" i="5"/>
  <c r="BF159" i="5"/>
  <c r="BB272" i="5"/>
  <c r="BF272" i="5"/>
  <c r="BB222" i="2"/>
  <c r="BF222" i="2"/>
  <c r="BB251" i="2"/>
  <c r="BF251" i="2"/>
  <c r="BB164" i="10"/>
  <c r="BF164" i="10"/>
  <c r="BB153" i="9"/>
  <c r="BF153" i="9"/>
  <c r="BB171" i="7"/>
  <c r="BF171" i="7"/>
  <c r="BB240" i="2"/>
  <c r="BF240" i="2"/>
  <c r="BB153" i="5"/>
  <c r="BF153" i="5"/>
  <c r="BB321" i="11"/>
  <c r="BF321" i="11"/>
  <c r="BB298" i="10"/>
  <c r="BF298" i="10"/>
  <c r="BB292" i="9"/>
  <c r="BF292" i="9"/>
  <c r="BB282" i="9"/>
  <c r="BF282" i="9"/>
  <c r="BB320" i="8"/>
  <c r="BF320" i="8"/>
  <c r="BB208" i="6"/>
  <c r="BF208" i="6"/>
  <c r="BB220" i="5"/>
  <c r="BF220" i="5"/>
  <c r="BB235" i="4"/>
  <c r="BF235" i="4"/>
  <c r="BB313" i="2"/>
  <c r="BF313" i="2"/>
  <c r="BB179" i="2"/>
  <c r="BF179" i="2"/>
  <c r="BB240" i="11"/>
  <c r="BF240" i="11"/>
  <c r="BB310" i="10"/>
  <c r="BF310" i="10"/>
  <c r="BB187" i="10"/>
  <c r="BF187" i="10"/>
  <c r="BB339" i="9"/>
  <c r="BF339" i="9"/>
  <c r="BB202" i="9"/>
  <c r="BF202" i="9"/>
  <c r="BB208" i="8"/>
  <c r="BF208" i="8"/>
  <c r="BB341" i="6"/>
  <c r="BF341" i="6"/>
  <c r="BB343" i="4"/>
  <c r="BF343" i="4"/>
  <c r="BB269" i="4"/>
  <c r="BF269" i="4"/>
  <c r="BB209" i="4"/>
  <c r="BF209" i="4"/>
  <c r="BB308" i="3"/>
  <c r="BF308" i="3"/>
  <c r="BB222" i="3"/>
  <c r="BF222" i="3"/>
  <c r="BB344" i="11"/>
  <c r="BF344" i="11"/>
  <c r="BB253" i="11"/>
  <c r="BF253" i="11"/>
  <c r="BB275" i="11"/>
  <c r="BF275" i="11"/>
  <c r="BB347" i="9"/>
  <c r="BF347" i="9"/>
  <c r="BB237" i="9"/>
  <c r="BF237" i="9"/>
  <c r="BB148" i="8"/>
  <c r="BF148" i="8"/>
  <c r="BB290" i="6"/>
  <c r="BF290" i="6"/>
  <c r="BB166" i="6"/>
  <c r="BF166" i="6"/>
  <c r="BB190" i="5"/>
  <c r="BF190" i="5"/>
  <c r="BB158" i="5"/>
  <c r="BF158" i="5"/>
  <c r="BB287" i="4"/>
  <c r="BF287" i="4"/>
  <c r="BB340" i="3"/>
  <c r="BF340" i="3"/>
  <c r="BB303" i="3"/>
  <c r="BF303" i="3"/>
  <c r="BB295" i="2"/>
  <c r="BF295" i="2"/>
  <c r="BB204" i="3"/>
  <c r="BF204" i="3"/>
  <c r="BB282" i="11"/>
  <c r="BF282" i="11"/>
  <c r="BB348" i="9"/>
  <c r="BF348" i="9"/>
  <c r="BB321" i="9"/>
  <c r="BF321" i="9"/>
  <c r="BB178" i="8"/>
  <c r="BF178" i="8"/>
  <c r="BB297" i="6"/>
  <c r="BF297" i="6"/>
  <c r="BB303" i="4"/>
  <c r="BF303" i="4"/>
  <c r="BB145" i="4"/>
  <c r="BF145" i="4"/>
  <c r="BB215" i="3"/>
  <c r="BF215" i="3"/>
  <c r="BB158" i="3"/>
  <c r="BF158" i="3"/>
  <c r="BB239" i="2"/>
  <c r="BF239" i="2"/>
  <c r="BB180" i="3"/>
  <c r="BF180" i="3"/>
  <c r="BB146" i="11"/>
  <c r="BF146" i="11"/>
  <c r="BB158" i="10"/>
  <c r="BF158" i="10"/>
  <c r="BB173" i="9"/>
  <c r="BF173" i="9"/>
  <c r="BB273" i="7"/>
  <c r="BF273" i="7"/>
  <c r="BB165" i="7"/>
  <c r="BF165" i="7"/>
  <c r="BB232" i="7"/>
  <c r="BF232" i="7"/>
  <c r="BB329" i="5"/>
  <c r="BF329" i="5"/>
  <c r="BB197" i="5"/>
  <c r="BF197" i="5"/>
  <c r="BB330" i="4"/>
  <c r="BF330" i="4"/>
  <c r="BB264" i="4"/>
  <c r="BF264" i="4"/>
  <c r="BB256" i="2"/>
  <c r="BF256" i="2"/>
  <c r="BB174" i="2"/>
  <c r="BF174" i="2"/>
  <c r="BB210" i="10"/>
  <c r="BF210" i="10"/>
  <c r="BB180" i="9"/>
  <c r="BF180" i="9"/>
  <c r="BB226" i="8"/>
  <c r="BF226" i="8"/>
  <c r="BF242" i="7"/>
  <c r="BB242" i="7"/>
  <c r="BB199" i="5"/>
  <c r="BF199" i="5"/>
  <c r="BB332" i="5"/>
  <c r="BF332" i="5"/>
  <c r="BB214" i="5"/>
  <c r="BF214" i="5"/>
  <c r="BB164" i="4"/>
  <c r="BF164" i="4"/>
  <c r="L537" i="5"/>
  <c r="L538" i="5" s="1"/>
  <c r="BB318" i="7"/>
  <c r="BF318" i="7"/>
  <c r="K537" i="2"/>
  <c r="K538" i="2" s="1"/>
  <c r="N72" i="10" l="1"/>
  <c r="I72" i="10" s="1"/>
  <c r="G73" i="10"/>
  <c r="K509" i="10"/>
  <c r="P509" i="10" s="1"/>
  <c r="O509" i="3"/>
  <c r="K509" i="7"/>
  <c r="P509" i="7" s="1"/>
  <c r="K509" i="4"/>
  <c r="K509" i="9"/>
  <c r="D534" i="10"/>
  <c r="D538" i="10" s="1"/>
  <c r="K509" i="11"/>
  <c r="P509" i="11" s="1"/>
  <c r="M509" i="2"/>
  <c r="K509" i="6"/>
  <c r="P509" i="6" s="1"/>
  <c r="L509" i="8"/>
  <c r="L509" i="9"/>
  <c r="K509" i="3"/>
  <c r="M509" i="4"/>
  <c r="K509" i="5"/>
  <c r="P509" i="5" s="1"/>
  <c r="D534" i="3"/>
  <c r="D538" i="3" s="1"/>
  <c r="C540" i="3" s="1"/>
  <c r="AZ459" i="3" s="1"/>
  <c r="L478" i="11"/>
  <c r="L479" i="11" s="1"/>
  <c r="L480" i="11"/>
  <c r="L481" i="11" s="1"/>
  <c r="L478" i="2"/>
  <c r="L479" i="2" s="1"/>
  <c r="L480" i="2"/>
  <c r="L481" i="2" s="1"/>
  <c r="L480" i="6"/>
  <c r="L481" i="6" s="1"/>
  <c r="L478" i="6"/>
  <c r="L479" i="6" s="1"/>
  <c r="N81" i="8"/>
  <c r="I81" i="8" s="1"/>
  <c r="G82" i="8"/>
  <c r="D534" i="7"/>
  <c r="D538" i="7" s="1"/>
  <c r="G83" i="3"/>
  <c r="N509" i="8"/>
  <c r="N509" i="9"/>
  <c r="N509" i="2"/>
  <c r="L509" i="2"/>
  <c r="E535" i="6"/>
  <c r="E538" i="6" s="1"/>
  <c r="L478" i="5"/>
  <c r="L479" i="5" s="1"/>
  <c r="L480" i="5"/>
  <c r="L481" i="5" s="1"/>
  <c r="D534" i="8"/>
  <c r="D538" i="8" s="1"/>
  <c r="F535" i="8"/>
  <c r="F538" i="8" s="1"/>
  <c r="J508" i="2"/>
  <c r="I508" i="2"/>
  <c r="N508" i="2" s="1"/>
  <c r="E535" i="2"/>
  <c r="E538" i="2" s="1"/>
  <c r="N81" i="6"/>
  <c r="I81" i="6" s="1"/>
  <c r="G82" i="6"/>
  <c r="O509" i="8"/>
  <c r="D534" i="6"/>
  <c r="D538" i="6" s="1"/>
  <c r="J508" i="4"/>
  <c r="I508" i="4"/>
  <c r="F535" i="4"/>
  <c r="F538" i="4" s="1"/>
  <c r="K509" i="8"/>
  <c r="P509" i="8" s="1"/>
  <c r="L480" i="3"/>
  <c r="L481" i="3" s="1"/>
  <c r="L478" i="3"/>
  <c r="L479" i="3" s="1"/>
  <c r="L509" i="4"/>
  <c r="N70" i="6"/>
  <c r="I70" i="6" s="1"/>
  <c r="G71" i="6"/>
  <c r="L478" i="7"/>
  <c r="L479" i="7" s="1"/>
  <c r="L480" i="7"/>
  <c r="L481" i="7" s="1"/>
  <c r="M509" i="3"/>
  <c r="J508" i="5"/>
  <c r="I508" i="5"/>
  <c r="K508" i="5" s="1"/>
  <c r="P508" i="5" s="1"/>
  <c r="D534" i="9"/>
  <c r="D538" i="9" s="1"/>
  <c r="F535" i="6"/>
  <c r="F538" i="6" s="1"/>
  <c r="P511" i="3"/>
  <c r="L478" i="4"/>
  <c r="L479" i="4" s="1"/>
  <c r="L480" i="4"/>
  <c r="L481" i="4" s="1"/>
  <c r="G83" i="9"/>
  <c r="D534" i="2"/>
  <c r="D538" i="2" s="1"/>
  <c r="F535" i="2"/>
  <c r="F538" i="2" s="1"/>
  <c r="O509" i="4"/>
  <c r="D534" i="4"/>
  <c r="D538" i="4" s="1"/>
  <c r="E535" i="4"/>
  <c r="E538" i="4" s="1"/>
  <c r="M509" i="8"/>
  <c r="N81" i="4"/>
  <c r="I81" i="4" s="1"/>
  <c r="G82" i="4"/>
  <c r="N72" i="3"/>
  <c r="I72" i="3" s="1"/>
  <c r="G73" i="3"/>
  <c r="L480" i="10"/>
  <c r="L481" i="10" s="1"/>
  <c r="L478" i="10"/>
  <c r="L479" i="10" s="1"/>
  <c r="O509" i="2"/>
  <c r="N72" i="9"/>
  <c r="I72" i="9" s="1"/>
  <c r="G73" i="9"/>
  <c r="J508" i="11"/>
  <c r="I508" i="11"/>
  <c r="N70" i="5"/>
  <c r="I70" i="5" s="1"/>
  <c r="G71" i="5"/>
  <c r="L478" i="8"/>
  <c r="L479" i="8" s="1"/>
  <c r="L480" i="8"/>
  <c r="L481" i="8" s="1"/>
  <c r="J508" i="9"/>
  <c r="I508" i="9"/>
  <c r="J508" i="10"/>
  <c r="I508" i="10"/>
  <c r="M508" i="10" s="1"/>
  <c r="L508" i="4"/>
  <c r="N508" i="4"/>
  <c r="E535" i="5"/>
  <c r="E538" i="5" s="1"/>
  <c r="P511" i="6"/>
  <c r="N509" i="11"/>
  <c r="J508" i="6"/>
  <c r="L508" i="6" s="1"/>
  <c r="I508" i="6"/>
  <c r="N71" i="2"/>
  <c r="I71" i="2" s="1"/>
  <c r="G72" i="2"/>
  <c r="N70" i="8"/>
  <c r="I70" i="8" s="1"/>
  <c r="G71" i="8"/>
  <c r="O508" i="2"/>
  <c r="L478" i="9"/>
  <c r="L479" i="9" s="1"/>
  <c r="L480" i="9"/>
  <c r="L481" i="9" s="1"/>
  <c r="N82" i="11"/>
  <c r="I82" i="11" s="1"/>
  <c r="G83" i="11"/>
  <c r="D534" i="11"/>
  <c r="D538" i="11" s="1"/>
  <c r="M508" i="4"/>
  <c r="N71" i="7"/>
  <c r="I71" i="7" s="1"/>
  <c r="G72" i="7"/>
  <c r="N82" i="2"/>
  <c r="I82" i="2" s="1"/>
  <c r="G83" i="2"/>
  <c r="J508" i="7"/>
  <c r="I508" i="7"/>
  <c r="N70" i="4"/>
  <c r="I70" i="4" s="1"/>
  <c r="G71" i="4"/>
  <c r="D534" i="5"/>
  <c r="D538" i="5" s="1"/>
  <c r="N81" i="5"/>
  <c r="I81" i="5" s="1"/>
  <c r="G82" i="5"/>
  <c r="O508" i="4"/>
  <c r="L508" i="5"/>
  <c r="N84" i="7"/>
  <c r="I84" i="7" s="1"/>
  <c r="G85" i="7"/>
  <c r="J508" i="8"/>
  <c r="I508" i="8"/>
  <c r="E535" i="8"/>
  <c r="E538" i="8" s="1"/>
  <c r="N71" i="11"/>
  <c r="I71" i="11" s="1"/>
  <c r="G72" i="11"/>
  <c r="M508" i="5"/>
  <c r="N82" i="10"/>
  <c r="I82" i="10" s="1"/>
  <c r="G83" i="10"/>
  <c r="F535" i="5"/>
  <c r="F538" i="5" s="1"/>
  <c r="J508" i="3"/>
  <c r="I508" i="3"/>
  <c r="N508" i="5"/>
  <c r="P509" i="9" l="1"/>
  <c r="N73" i="10"/>
  <c r="I73" i="10" s="1"/>
  <c r="G74" i="10"/>
  <c r="M508" i="2"/>
  <c r="O508" i="9"/>
  <c r="P509" i="3"/>
  <c r="L508" i="3"/>
  <c r="M508" i="7"/>
  <c r="C540" i="2"/>
  <c r="AZ459" i="2" s="1"/>
  <c r="N508" i="9"/>
  <c r="K508" i="2"/>
  <c r="P509" i="4"/>
  <c r="N508" i="8"/>
  <c r="K508" i="6"/>
  <c r="O508" i="7"/>
  <c r="N508" i="10"/>
  <c r="O508" i="6"/>
  <c r="O508" i="5"/>
  <c r="K508" i="4"/>
  <c r="P508" i="4" s="1"/>
  <c r="L508" i="2"/>
  <c r="L508" i="7"/>
  <c r="K508" i="9"/>
  <c r="O508" i="11"/>
  <c r="K508" i="3"/>
  <c r="L508" i="10"/>
  <c r="P509" i="2"/>
  <c r="N83" i="10"/>
  <c r="I83" i="10" s="1"/>
  <c r="G84" i="10"/>
  <c r="K508" i="8"/>
  <c r="P508" i="8" s="1"/>
  <c r="M508" i="8"/>
  <c r="N83" i="2"/>
  <c r="I83" i="2" s="1"/>
  <c r="G84" i="2"/>
  <c r="M508" i="3"/>
  <c r="N72" i="2"/>
  <c r="I72" i="2" s="1"/>
  <c r="G73" i="2"/>
  <c r="J521" i="6"/>
  <c r="J519" i="6"/>
  <c r="O508" i="10"/>
  <c r="K508" i="10"/>
  <c r="P508" i="10" s="1"/>
  <c r="J521" i="9"/>
  <c r="J519" i="9"/>
  <c r="K508" i="11"/>
  <c r="P508" i="11" s="1"/>
  <c r="N82" i="4"/>
  <c r="I82" i="4" s="1"/>
  <c r="G83" i="4"/>
  <c r="J521" i="5"/>
  <c r="J519" i="5"/>
  <c r="N508" i="6"/>
  <c r="N71" i="6"/>
  <c r="I71" i="6" s="1"/>
  <c r="G72" i="6"/>
  <c r="M508" i="9"/>
  <c r="J521" i="4"/>
  <c r="J519" i="4"/>
  <c r="N83" i="3"/>
  <c r="I83" i="3" s="1"/>
  <c r="G84" i="3"/>
  <c r="M508" i="11"/>
  <c r="L508" i="9"/>
  <c r="N85" i="7"/>
  <c r="I85" i="7" s="1"/>
  <c r="G86" i="7"/>
  <c r="N83" i="11"/>
  <c r="I83" i="11" s="1"/>
  <c r="G84" i="11"/>
  <c r="O508" i="8"/>
  <c r="N71" i="5"/>
  <c r="I71" i="5" s="1"/>
  <c r="G72" i="5"/>
  <c r="J521" i="11"/>
  <c r="J519" i="11"/>
  <c r="N73" i="3"/>
  <c r="I73" i="3" s="1"/>
  <c r="G74" i="3"/>
  <c r="L508" i="11"/>
  <c r="N82" i="6"/>
  <c r="I82" i="6" s="1"/>
  <c r="G83" i="6"/>
  <c r="J521" i="2"/>
  <c r="J519" i="2"/>
  <c r="M508" i="6"/>
  <c r="N508" i="11"/>
  <c r="J521" i="3"/>
  <c r="J519" i="3"/>
  <c r="L508" i="8"/>
  <c r="J521" i="7"/>
  <c r="J519" i="7"/>
  <c r="N71" i="8"/>
  <c r="I71" i="8" s="1"/>
  <c r="G72" i="8"/>
  <c r="N508" i="3"/>
  <c r="N73" i="9"/>
  <c r="I73" i="9" s="1"/>
  <c r="G74" i="9"/>
  <c r="N508" i="7"/>
  <c r="O508" i="3"/>
  <c r="P508" i="2"/>
  <c r="N82" i="8"/>
  <c r="I82" i="8" s="1"/>
  <c r="G83" i="8"/>
  <c r="N72" i="11"/>
  <c r="I72" i="11" s="1"/>
  <c r="G73" i="11"/>
  <c r="J521" i="8"/>
  <c r="J519" i="8"/>
  <c r="N82" i="5"/>
  <c r="I82" i="5" s="1"/>
  <c r="G83" i="5"/>
  <c r="N71" i="4"/>
  <c r="I71" i="4" s="1"/>
  <c r="G72" i="4"/>
  <c r="K508" i="7"/>
  <c r="P508" i="7" s="1"/>
  <c r="N72" i="7"/>
  <c r="I72" i="7" s="1"/>
  <c r="G73" i="7"/>
  <c r="J521" i="10"/>
  <c r="J519" i="10"/>
  <c r="N83" i="9"/>
  <c r="I83" i="9" s="1"/>
  <c r="G84" i="9"/>
  <c r="P508" i="9" l="1"/>
  <c r="G75" i="10"/>
  <c r="N74" i="10"/>
  <c r="I74" i="10" s="1"/>
  <c r="P508" i="6"/>
  <c r="P508" i="3"/>
  <c r="BA452" i="10"/>
  <c r="N72" i="4"/>
  <c r="I72" i="4" s="1"/>
  <c r="G73" i="4"/>
  <c r="BA450" i="8"/>
  <c r="N83" i="8"/>
  <c r="I83" i="8" s="1"/>
  <c r="G84" i="8"/>
  <c r="BA452" i="7"/>
  <c r="BA450" i="2"/>
  <c r="BA452" i="11"/>
  <c r="N84" i="11"/>
  <c r="I84" i="11" s="1"/>
  <c r="G85" i="11"/>
  <c r="BA450" i="4"/>
  <c r="N83" i="4"/>
  <c r="I83" i="4" s="1"/>
  <c r="G84" i="4"/>
  <c r="BA452" i="9"/>
  <c r="BA452" i="6"/>
  <c r="N84" i="2"/>
  <c r="I84" i="2" s="1"/>
  <c r="G85" i="2"/>
  <c r="N84" i="10"/>
  <c r="I84" i="10" s="1"/>
  <c r="G85" i="10"/>
  <c r="N84" i="9"/>
  <c r="I84" i="9" s="1"/>
  <c r="G85" i="9"/>
  <c r="N73" i="7"/>
  <c r="I73" i="7" s="1"/>
  <c r="G74" i="7"/>
  <c r="BA452" i="8"/>
  <c r="N74" i="9"/>
  <c r="I74" i="9" s="1"/>
  <c r="G75" i="9"/>
  <c r="N72" i="8"/>
  <c r="I72" i="8" s="1"/>
  <c r="G73" i="8"/>
  <c r="BA452" i="2"/>
  <c r="N74" i="3"/>
  <c r="I74" i="3" s="1"/>
  <c r="G75" i="3"/>
  <c r="N72" i="5"/>
  <c r="I72" i="5" s="1"/>
  <c r="G73" i="5"/>
  <c r="BA452" i="4"/>
  <c r="N73" i="2"/>
  <c r="I73" i="2" s="1"/>
  <c r="G74" i="2"/>
  <c r="N83" i="5"/>
  <c r="I83" i="5" s="1"/>
  <c r="G84" i="5"/>
  <c r="N73" i="11"/>
  <c r="I73" i="11" s="1"/>
  <c r="G74" i="11"/>
  <c r="BA450" i="3"/>
  <c r="N83" i="6"/>
  <c r="I83" i="6" s="1"/>
  <c r="G84" i="6"/>
  <c r="N86" i="7"/>
  <c r="I86" i="7" s="1"/>
  <c r="G87" i="7"/>
  <c r="N84" i="3"/>
  <c r="I84" i="3" s="1"/>
  <c r="G85" i="3"/>
  <c r="BA450" i="5"/>
  <c r="BA450" i="10"/>
  <c r="BA450" i="7"/>
  <c r="BA452" i="3"/>
  <c r="BA450" i="11"/>
  <c r="N72" i="6"/>
  <c r="I72" i="6" s="1"/>
  <c r="G73" i="6"/>
  <c r="BA452" i="5"/>
  <c r="BA450" i="9"/>
  <c r="BA450" i="6"/>
  <c r="J522" i="10"/>
  <c r="J520" i="8"/>
  <c r="J522" i="11"/>
  <c r="J520" i="4"/>
  <c r="J520" i="3"/>
  <c r="J520" i="10"/>
  <c r="J520" i="9"/>
  <c r="J522" i="7"/>
  <c r="J522" i="9"/>
  <c r="J522" i="8"/>
  <c r="J522" i="4"/>
  <c r="J522" i="3"/>
  <c r="J520" i="2"/>
  <c r="J522" i="6"/>
  <c r="J520" i="7"/>
  <c r="J520" i="11"/>
  <c r="J522" i="5"/>
  <c r="J520" i="6"/>
  <c r="J522" i="2"/>
  <c r="J520" i="5"/>
  <c r="N75" i="10" l="1"/>
  <c r="I75" i="10" s="1"/>
  <c r="G76" i="10"/>
  <c r="BA451" i="5"/>
  <c r="BA453" i="2"/>
  <c r="BA451" i="6"/>
  <c r="BA453" i="5"/>
  <c r="BA451" i="11"/>
  <c r="BA451" i="7"/>
  <c r="BA453" i="6"/>
  <c r="BA451" i="2"/>
  <c r="BA453" i="3"/>
  <c r="BA453" i="4"/>
  <c r="BA453" i="8"/>
  <c r="BA453" i="9"/>
  <c r="BA453" i="7"/>
  <c r="BA451" i="9"/>
  <c r="BA451" i="10"/>
  <c r="BA451" i="3"/>
  <c r="BA451" i="4"/>
  <c r="BA453" i="11"/>
  <c r="BA451" i="8"/>
  <c r="BA453" i="10"/>
  <c r="G88" i="7"/>
  <c r="N88" i="7" s="1"/>
  <c r="I88" i="7" s="1"/>
  <c r="N87" i="7"/>
  <c r="I87" i="7" s="1"/>
  <c r="N74" i="11"/>
  <c r="I74" i="11" s="1"/>
  <c r="G75" i="11"/>
  <c r="N74" i="2"/>
  <c r="I74" i="2" s="1"/>
  <c r="G75" i="2"/>
  <c r="N73" i="5"/>
  <c r="I73" i="5" s="1"/>
  <c r="G74" i="5"/>
  <c r="N75" i="9"/>
  <c r="I75" i="9" s="1"/>
  <c r="G76" i="9"/>
  <c r="N74" i="7"/>
  <c r="I74" i="7" s="1"/>
  <c r="G75" i="7"/>
  <c r="N85" i="10"/>
  <c r="I85" i="10" s="1"/>
  <c r="G86" i="10"/>
  <c r="N84" i="4"/>
  <c r="I84" i="4" s="1"/>
  <c r="G85" i="4"/>
  <c r="N85" i="11"/>
  <c r="I85" i="11" s="1"/>
  <c r="G86" i="11"/>
  <c r="N84" i="8"/>
  <c r="I84" i="8" s="1"/>
  <c r="G85" i="8"/>
  <c r="N73" i="4"/>
  <c r="I73" i="4" s="1"/>
  <c r="G74" i="4"/>
  <c r="N73" i="6"/>
  <c r="I73" i="6" s="1"/>
  <c r="G74" i="6"/>
  <c r="N85" i="3"/>
  <c r="I85" i="3" s="1"/>
  <c r="G86" i="3"/>
  <c r="N84" i="6"/>
  <c r="I84" i="6" s="1"/>
  <c r="G85" i="6"/>
  <c r="N84" i="5"/>
  <c r="I84" i="5" s="1"/>
  <c r="G85" i="5"/>
  <c r="N75" i="3"/>
  <c r="I75" i="3" s="1"/>
  <c r="G76" i="3"/>
  <c r="N73" i="8"/>
  <c r="I73" i="8" s="1"/>
  <c r="G74" i="8"/>
  <c r="N85" i="9"/>
  <c r="I85" i="9" s="1"/>
  <c r="G86" i="9"/>
  <c r="N85" i="2"/>
  <c r="I85" i="2" s="1"/>
  <c r="G86" i="2"/>
  <c r="N76" i="10" l="1"/>
  <c r="I76" i="10" s="1"/>
  <c r="G77" i="10"/>
  <c r="N77" i="10" s="1"/>
  <c r="I77" i="10" s="1"/>
  <c r="N86" i="9"/>
  <c r="I86" i="9" s="1"/>
  <c r="G87" i="9"/>
  <c r="N76" i="3"/>
  <c r="I76" i="3" s="1"/>
  <c r="G77" i="3"/>
  <c r="N85" i="6"/>
  <c r="I85" i="6" s="1"/>
  <c r="G86" i="6"/>
  <c r="N74" i="6"/>
  <c r="I74" i="6" s="1"/>
  <c r="G75" i="6"/>
  <c r="N85" i="8"/>
  <c r="I85" i="8" s="1"/>
  <c r="G86" i="8"/>
  <c r="N85" i="4"/>
  <c r="I85" i="4" s="1"/>
  <c r="G86" i="4"/>
  <c r="N75" i="7"/>
  <c r="I75" i="7" s="1"/>
  <c r="G76" i="7"/>
  <c r="N74" i="5"/>
  <c r="I74" i="5" s="1"/>
  <c r="G75" i="5"/>
  <c r="N75" i="11"/>
  <c r="I75" i="11" s="1"/>
  <c r="G76" i="11"/>
  <c r="N86" i="2"/>
  <c r="I86" i="2" s="1"/>
  <c r="G87" i="2"/>
  <c r="N74" i="8"/>
  <c r="I74" i="8" s="1"/>
  <c r="G75" i="8"/>
  <c r="N85" i="5"/>
  <c r="I85" i="5" s="1"/>
  <c r="G86" i="5"/>
  <c r="N86" i="3"/>
  <c r="I86" i="3" s="1"/>
  <c r="G87" i="3"/>
  <c r="N74" i="4"/>
  <c r="I74" i="4" s="1"/>
  <c r="G75" i="4"/>
  <c r="N86" i="11"/>
  <c r="I86" i="11" s="1"/>
  <c r="G87" i="11"/>
  <c r="N86" i="10"/>
  <c r="I86" i="10" s="1"/>
  <c r="G87" i="10"/>
  <c r="N76" i="9"/>
  <c r="I76" i="9" s="1"/>
  <c r="G77" i="9"/>
  <c r="N75" i="2"/>
  <c r="I75" i="2" s="1"/>
  <c r="G76" i="2"/>
  <c r="G77" i="2" l="1"/>
  <c r="N76" i="2"/>
  <c r="I76" i="2" s="1"/>
  <c r="N87" i="10"/>
  <c r="I87" i="10" s="1"/>
  <c r="G88" i="10"/>
  <c r="N88" i="10" s="1"/>
  <c r="I88" i="10" s="1"/>
  <c r="N75" i="4"/>
  <c r="I75" i="4" s="1"/>
  <c r="G76" i="4"/>
  <c r="N86" i="5"/>
  <c r="I86" i="5" s="1"/>
  <c r="G87" i="5"/>
  <c r="G88" i="2"/>
  <c r="N87" i="2"/>
  <c r="I87" i="2" s="1"/>
  <c r="N75" i="5"/>
  <c r="I75" i="5" s="1"/>
  <c r="G76" i="5"/>
  <c r="N86" i="4"/>
  <c r="I86" i="4" s="1"/>
  <c r="G87" i="4"/>
  <c r="N75" i="6"/>
  <c r="I75" i="6" s="1"/>
  <c r="G76" i="6"/>
  <c r="N77" i="3"/>
  <c r="I77" i="3" s="1"/>
  <c r="D78" i="3"/>
  <c r="N77" i="9"/>
  <c r="I77" i="9" s="1"/>
  <c r="D78" i="9"/>
  <c r="G88" i="11"/>
  <c r="N88" i="11" s="1"/>
  <c r="I88" i="11" s="1"/>
  <c r="N87" i="11"/>
  <c r="I87" i="11" s="1"/>
  <c r="N87" i="3"/>
  <c r="I87" i="3" s="1"/>
  <c r="G88" i="3"/>
  <c r="N75" i="8"/>
  <c r="I75" i="8" s="1"/>
  <c r="G76" i="8"/>
  <c r="N76" i="11"/>
  <c r="I76" i="11" s="1"/>
  <c r="G77" i="11"/>
  <c r="N77" i="11" s="1"/>
  <c r="I77" i="11" s="1"/>
  <c r="N76" i="7"/>
  <c r="I76" i="7" s="1"/>
  <c r="G77" i="7"/>
  <c r="N77" i="7" s="1"/>
  <c r="I77" i="7" s="1"/>
  <c r="N86" i="8"/>
  <c r="I86" i="8" s="1"/>
  <c r="G87" i="8"/>
  <c r="N86" i="6"/>
  <c r="I86" i="6" s="1"/>
  <c r="G87" i="6"/>
  <c r="N87" i="9"/>
  <c r="I87" i="9" s="1"/>
  <c r="G88" i="9"/>
  <c r="N88" i="9" l="1"/>
  <c r="I88" i="9" s="1"/>
  <c r="D89" i="9"/>
  <c r="N87" i="8"/>
  <c r="I87" i="8" s="1"/>
  <c r="G88" i="8"/>
  <c r="N88" i="3"/>
  <c r="I88" i="3" s="1"/>
  <c r="D89" i="3"/>
  <c r="K78" i="9"/>
  <c r="I78" i="9" s="1"/>
  <c r="K12" i="9"/>
  <c r="N76" i="6"/>
  <c r="I76" i="6" s="1"/>
  <c r="G77" i="6"/>
  <c r="N76" i="5"/>
  <c r="I76" i="5" s="1"/>
  <c r="G77" i="5"/>
  <c r="N77" i="5" s="1"/>
  <c r="I77" i="5" s="1"/>
  <c r="N87" i="5"/>
  <c r="I87" i="5" s="1"/>
  <c r="G88" i="5"/>
  <c r="N88" i="5" s="1"/>
  <c r="I88" i="5" s="1"/>
  <c r="N87" i="6"/>
  <c r="I87" i="6" s="1"/>
  <c r="G88" i="6"/>
  <c r="N88" i="6" s="1"/>
  <c r="I88" i="6" s="1"/>
  <c r="N76" i="8"/>
  <c r="I76" i="8" s="1"/>
  <c r="G77" i="8"/>
  <c r="K78" i="3"/>
  <c r="I78" i="3" s="1"/>
  <c r="K12" i="3"/>
  <c r="N87" i="4"/>
  <c r="I87" i="4" s="1"/>
  <c r="G88" i="4"/>
  <c r="G77" i="4"/>
  <c r="N76" i="4"/>
  <c r="I76" i="4" s="1"/>
  <c r="N88" i="2"/>
  <c r="I88" i="2" s="1"/>
  <c r="D89" i="2"/>
  <c r="N77" i="2"/>
  <c r="I77" i="2" s="1"/>
  <c r="D78" i="2"/>
  <c r="K78" i="2" l="1"/>
  <c r="I78" i="2" s="1"/>
  <c r="K12" i="2"/>
  <c r="N88" i="8"/>
  <c r="I88" i="8" s="1"/>
  <c r="D89" i="8"/>
  <c r="N77" i="4"/>
  <c r="I77" i="4" s="1"/>
  <c r="D78" i="4"/>
  <c r="K13" i="2"/>
  <c r="K89" i="2"/>
  <c r="I89" i="2" s="1"/>
  <c r="N88" i="4"/>
  <c r="I88" i="4" s="1"/>
  <c r="D89" i="4"/>
  <c r="N77" i="8"/>
  <c r="I77" i="8" s="1"/>
  <c r="D78" i="8"/>
  <c r="N77" i="6"/>
  <c r="I77" i="6" s="1"/>
  <c r="D78" i="6"/>
  <c r="K89" i="3"/>
  <c r="I89" i="3" s="1"/>
  <c r="K13" i="3"/>
  <c r="K89" i="9"/>
  <c r="I89" i="9" s="1"/>
  <c r="K13" i="9"/>
  <c r="K78" i="8" l="1"/>
  <c r="I78" i="8" s="1"/>
  <c r="K12" i="8"/>
  <c r="K89" i="8"/>
  <c r="I89" i="8" s="1"/>
  <c r="K13" i="8"/>
  <c r="K78" i="6"/>
  <c r="I78" i="6" s="1"/>
  <c r="K12" i="6"/>
  <c r="K89" i="4"/>
  <c r="I89" i="4" s="1"/>
  <c r="K13" i="4"/>
  <c r="K78" i="4"/>
  <c r="I78" i="4" s="1"/>
  <c r="K12" i="4"/>
</calcChain>
</file>

<file path=xl/sharedStrings.xml><?xml version="1.0" encoding="utf-8"?>
<sst xmlns="http://schemas.openxmlformats.org/spreadsheetml/2006/main" count="10261" uniqueCount="4630">
  <si>
    <t>Company Name</t>
  </si>
  <si>
    <t>Aaron's, Inc. (AAN)</t>
  </si>
  <si>
    <t>Current Price</t>
  </si>
  <si>
    <t>40.62</t>
  </si>
  <si>
    <t>Summary</t>
  </si>
  <si>
    <t>Previous Close</t>
  </si>
  <si>
    <t>39.74</t>
  </si>
  <si>
    <t>Open</t>
  </si>
  <si>
    <t>39.48</t>
  </si>
  <si>
    <t>Bid</t>
  </si>
  <si>
    <t>0.00 x</t>
  </si>
  <si>
    <t>Ask</t>
  </si>
  <si>
    <t>Day's Range</t>
  </si>
  <si>
    <t>39.30 - 40.64</t>
  </si>
  <si>
    <t>52 Week Range</t>
  </si>
  <si>
    <t>21.50 - 40.90</t>
  </si>
  <si>
    <t>Volume</t>
  </si>
  <si>
    <t>1203655</t>
  </si>
  <si>
    <t>Avg. Volume</t>
  </si>
  <si>
    <t>784003</t>
  </si>
  <si>
    <t>Market Cap</t>
  </si>
  <si>
    <t>2.87B</t>
  </si>
  <si>
    <t>Beta</t>
  </si>
  <si>
    <t>-0.26</t>
  </si>
  <si>
    <t>PE Ratio (TTM)</t>
  </si>
  <si>
    <t>20.65</t>
  </si>
  <si>
    <t>EPS (TTM)</t>
  </si>
  <si>
    <t>1.97</t>
  </si>
  <si>
    <t>Earnings Date</t>
  </si>
  <si>
    <t>Jul 28, 2017</t>
  </si>
  <si>
    <t>Dividend &amp; Yield</t>
  </si>
  <si>
    <t>0.11 (0.27%)</t>
  </si>
  <si>
    <t>Ex-Dividend Date</t>
  </si>
  <si>
    <t>2017-06-23</t>
  </si>
  <si>
    <t>1y Target Est</t>
  </si>
  <si>
    <t>39.63</t>
  </si>
  <si>
    <t>Earnings Estimate</t>
  </si>
  <si>
    <t>Current Qtr. (Jun 2017)</t>
  </si>
  <si>
    <t>Next Qtr. (Sep 2017)</t>
  </si>
  <si>
    <t>Current Year (2017)</t>
  </si>
  <si>
    <t>Next Year (2018)</t>
  </si>
  <si>
    <t>No. of Analysts</t>
  </si>
  <si>
    <t>Avg. Estimate</t>
  </si>
  <si>
    <t>Low Estimate</t>
  </si>
  <si>
    <t>High Estimate</t>
  </si>
  <si>
    <t>Year Ago EPS</t>
  </si>
  <si>
    <t>Revenue Estimate</t>
  </si>
  <si>
    <t>8</t>
  </si>
  <si>
    <t>9</t>
  </si>
  <si>
    <t>790.39M</t>
  </si>
  <si>
    <t>779.92M</t>
  </si>
  <si>
    <t>3.22B</t>
  </si>
  <si>
    <t>3.34B</t>
  </si>
  <si>
    <t>783.1M</t>
  </si>
  <si>
    <t>769.33M</t>
  </si>
  <si>
    <t>3.17B</t>
  </si>
  <si>
    <t>3.23B</t>
  </si>
  <si>
    <t>799.72M</t>
  </si>
  <si>
    <t>790.6M</t>
  </si>
  <si>
    <t>3.26B</t>
  </si>
  <si>
    <t>3.59B</t>
  </si>
  <si>
    <t>Year Ago Sales</t>
  </si>
  <si>
    <t>789.35M</t>
  </si>
  <si>
    <t>768.98M</t>
  </si>
  <si>
    <t>3.21B</t>
  </si>
  <si>
    <t>Sales Growth (year/est)</t>
  </si>
  <si>
    <t>0.10%</t>
  </si>
  <si>
    <t>1.40%</t>
  </si>
  <si>
    <t>0.30%</t>
  </si>
  <si>
    <t>3.70%</t>
  </si>
  <si>
    <t>Earnings History</t>
  </si>
  <si>
    <t>6/29/2016</t>
  </si>
  <si>
    <t>9/29/2016</t>
  </si>
  <si>
    <t>12/30/2016</t>
  </si>
  <si>
    <t>3/30/2017</t>
  </si>
  <si>
    <t>EPS Est.</t>
  </si>
  <si>
    <t>0.56</t>
  </si>
  <si>
    <t>0.46</t>
  </si>
  <si>
    <t>0.44</t>
  </si>
  <si>
    <t>0.66</t>
  </si>
  <si>
    <t>EPS Actual</t>
  </si>
  <si>
    <t>0.59</t>
  </si>
  <si>
    <t>0.5</t>
  </si>
  <si>
    <t>0.8</t>
  </si>
  <si>
    <t>Difference</t>
  </si>
  <si>
    <t>0.03</t>
  </si>
  <si>
    <t>0.04</t>
  </si>
  <si>
    <t>0.06</t>
  </si>
  <si>
    <t>0.14</t>
  </si>
  <si>
    <t>Surprise %</t>
  </si>
  <si>
    <t>5.40%</t>
  </si>
  <si>
    <t>8.70%</t>
  </si>
  <si>
    <t>13.60%</t>
  </si>
  <si>
    <t>21.20%</t>
  </si>
  <si>
    <t>EPS Trend</t>
  </si>
  <si>
    <t>Current Estimate</t>
  </si>
  <si>
    <t>7 Days Ago</t>
  </si>
  <si>
    <t>30 Days Ago</t>
  </si>
  <si>
    <t>60 Days Ago</t>
  </si>
  <si>
    <t>90 Days Ago</t>
  </si>
  <si>
    <t>EPS Revisions</t>
  </si>
  <si>
    <t>Up Last 7 Days</t>
  </si>
  <si>
    <t>Up Last 30 Days</t>
  </si>
  <si>
    <t>Down Last 30 Days</t>
  </si>
  <si>
    <t>Down Last 90 Days</t>
  </si>
  <si>
    <t>Growth Estimates</t>
  </si>
  <si>
    <t>AAN</t>
  </si>
  <si>
    <t>Industry</t>
  </si>
  <si>
    <t>Sector</t>
  </si>
  <si>
    <t>S&amp;P 500</t>
  </si>
  <si>
    <t>Current Qtr.</t>
  </si>
  <si>
    <t>-1.70%</t>
  </si>
  <si>
    <t>Next Qtr.</t>
  </si>
  <si>
    <t>2.00%</t>
  </si>
  <si>
    <t>Current Year</t>
  </si>
  <si>
    <t>4.30%</t>
  </si>
  <si>
    <t>Next Year</t>
  </si>
  <si>
    <t>12.90%</t>
  </si>
  <si>
    <t>Next 5 Years (per annum)</t>
  </si>
  <si>
    <t>12.00%</t>
  </si>
  <si>
    <t>Past 5 Years (per annum)</t>
  </si>
  <si>
    <t>3.69%</t>
  </si>
  <si>
    <t>Comp Average</t>
  </si>
  <si>
    <t>Market Cap (intraday) 5</t>
  </si>
  <si>
    <t>Enterprise Value 3</t>
  </si>
  <si>
    <t>Trailing P/E</t>
  </si>
  <si>
    <t>Forward P/E 1</t>
  </si>
  <si>
    <t>14.99</t>
  </si>
  <si>
    <t>PEG Ratio (5 yr expected) 1</t>
  </si>
  <si>
    <t>1.38</t>
  </si>
  <si>
    <t>Price/Sales (ttm)</t>
  </si>
  <si>
    <t>0.90</t>
  </si>
  <si>
    <t>Price/Book (mrq)</t>
  </si>
  <si>
    <t>1.91</t>
  </si>
  <si>
    <t>Enterprise Value/Revenue 3</t>
  </si>
  <si>
    <t>Enterprise Value/EBITDA 6</t>
  </si>
  <si>
    <t>Fiscal Year Ends</t>
  </si>
  <si>
    <t>Dec 31, 2016</t>
  </si>
  <si>
    <t>Most Recent Quarter (mrq)</t>
  </si>
  <si>
    <t>Mar 31, 2017</t>
  </si>
  <si>
    <t>Profit Margin</t>
  </si>
  <si>
    <t>4.47%</t>
  </si>
  <si>
    <t>Operating Margin (ttm)</t>
  </si>
  <si>
    <t>12.34%</t>
  </si>
  <si>
    <t>Return on Assets (ttm)</t>
  </si>
  <si>
    <t>9.53%</t>
  </si>
  <si>
    <t>Return on Equity (ttm)</t>
  </si>
  <si>
    <t>9.79%</t>
  </si>
  <si>
    <t>Revenue (ttm)</t>
  </si>
  <si>
    <t>3.2B</t>
  </si>
  <si>
    <t>Revenue Per Share (ttm)</t>
  </si>
  <si>
    <t>44.40</t>
  </si>
  <si>
    <t>Quarterly Revenue Growth (yoy)</t>
  </si>
  <si>
    <t>-1.20%</t>
  </si>
  <si>
    <t>Gross Profit (ttm)</t>
  </si>
  <si>
    <t>1.56B</t>
  </si>
  <si>
    <t>EBITDA</t>
  </si>
  <si>
    <t>467.52M</t>
  </si>
  <si>
    <t>Net Income Avi to Common (ttm)</t>
  </si>
  <si>
    <t>142.9M</t>
  </si>
  <si>
    <t>Diluted EPS (ttm)</t>
  </si>
  <si>
    <t>Quarterly Earnings Growth (yoy)</t>
  </si>
  <si>
    <t>7.30%</t>
  </si>
  <si>
    <t>Total Cash (mrq)</t>
  </si>
  <si>
    <t>348.49M</t>
  </si>
  <si>
    <t>Total Cash Per Share (mrq)</t>
  </si>
  <si>
    <t>4.93</t>
  </si>
  <si>
    <t>Total Debt (mrq)</t>
  </si>
  <si>
    <t>484.72M</t>
  </si>
  <si>
    <t>Total Debt/Equity (mrq)</t>
  </si>
  <si>
    <t>32.31</t>
  </si>
  <si>
    <t>Current Ratio (mrq)</t>
  </si>
  <si>
    <t>2.07</t>
  </si>
  <si>
    <t>Book Value Per Share (mrq)</t>
  </si>
  <si>
    <t>21.24</t>
  </si>
  <si>
    <t>Operating Cash Flow (ttm)</t>
  </si>
  <si>
    <t>373.97M</t>
  </si>
  <si>
    <t>Levered Free Cash Flow (ttm)</t>
  </si>
  <si>
    <t>1.69B</t>
  </si>
  <si>
    <t>52-Week Change 3</t>
  </si>
  <si>
    <t>81.05%</t>
  </si>
  <si>
    <t>S&amp;P500 52-Week Change 3</t>
  </si>
  <si>
    <t>14.18%</t>
  </si>
  <si>
    <t>52 Week High 3</t>
  </si>
  <si>
    <t>40.90</t>
  </si>
  <si>
    <t>52 Week Low 3</t>
  </si>
  <si>
    <t>21.50</t>
  </si>
  <si>
    <t>50-Day Moving Average 3</t>
  </si>
  <si>
    <t>38.96</t>
  </si>
  <si>
    <t>200-Day Moving Average 3</t>
  </si>
  <si>
    <t>33.32</t>
  </si>
  <si>
    <t>Avg Vol (3 month) 3</t>
  </si>
  <si>
    <t>784k</t>
  </si>
  <si>
    <t>Avg Vol (10 day) 3</t>
  </si>
  <si>
    <t>683.88k</t>
  </si>
  <si>
    <t>Shares Outstanding 5</t>
  </si>
  <si>
    <t>70.66M</t>
  </si>
  <si>
    <t>Float</t>
  </si>
  <si>
    <t>62.32M</t>
  </si>
  <si>
    <t>% Held by Insiders 1</t>
  </si>
  <si>
    <t>15.90%</t>
  </si>
  <si>
    <t>% Held by Institutions 1</t>
  </si>
  <si>
    <t>82.30%</t>
  </si>
  <si>
    <t>Shares Short 3</t>
  </si>
  <si>
    <t>3.03M</t>
  </si>
  <si>
    <t>Short Ratio 3</t>
  </si>
  <si>
    <t>4.03</t>
  </si>
  <si>
    <t>Short % of Float 3</t>
  </si>
  <si>
    <t>5.49%</t>
  </si>
  <si>
    <t>Shares Short (prior month) 3</t>
  </si>
  <si>
    <t>3.61M</t>
  </si>
  <si>
    <t>Forward Annual Dividend Rate 4</t>
  </si>
  <si>
    <t>0.11</t>
  </si>
  <si>
    <t>Forward Annual Dividend Yield 4</t>
  </si>
  <si>
    <t>0.27%</t>
  </si>
  <si>
    <t>Trailing Annual Dividend Rate 3</t>
  </si>
  <si>
    <t>0.10</t>
  </si>
  <si>
    <t>Trailing Annual Dividend Yield 3</t>
  </si>
  <si>
    <t>0.26%</t>
  </si>
  <si>
    <t>5 Year Average Dividend Yield 4</t>
  </si>
  <si>
    <t>0.29</t>
  </si>
  <si>
    <t>Payout Ratio 4</t>
  </si>
  <si>
    <t>5.33%</t>
  </si>
  <si>
    <t>Dividend Date 3</t>
  </si>
  <si>
    <t>Jul 3, 2017</t>
  </si>
  <si>
    <t>Ex-Dividend Date 4</t>
  </si>
  <si>
    <t>Jun 23, 2017</t>
  </si>
  <si>
    <t>Last Split Factor (new per old) 2</t>
  </si>
  <si>
    <t>3/2</t>
  </si>
  <si>
    <t>Last Split Date 3</t>
  </si>
  <si>
    <t>Apr 16, 2010</t>
  </si>
  <si>
    <t>Name</t>
  </si>
  <si>
    <t>Title</t>
  </si>
  <si>
    <t>Pay</t>
  </si>
  <si>
    <t>Exercised</t>
  </si>
  <si>
    <t>Age</t>
  </si>
  <si>
    <t>Mr. John W. Robinson III</t>
  </si>
  <si>
    <t>Chief Exec. Officer, Pres and Director</t>
  </si>
  <si>
    <t>1.49M</t>
  </si>
  <si>
    <t>Mr. Steven A. Michaels</t>
  </si>
  <si>
    <t>Chief Financial Officer and Pres of Strategic Operations</t>
  </si>
  <si>
    <t>1.06M</t>
  </si>
  <si>
    <t>Mr. Curt Linn Doman</t>
  </si>
  <si>
    <t>Chief Technology Officer of Progressive Leasing and Director</t>
  </si>
  <si>
    <t>1.02M</t>
  </si>
  <si>
    <t>Mr. Ryan K. Woodley</t>
  </si>
  <si>
    <t>Chief Exec. Officer of Progressive Fin. Holdings LLC</t>
  </si>
  <si>
    <t>1.1M</t>
  </si>
  <si>
    <t>Mr. Douglas A. Lindsay</t>
  </si>
  <si>
    <t>Pres of Bus.</t>
  </si>
  <si>
    <t>1.15M</t>
  </si>
  <si>
    <t>Fiscal year is January-December. All values USD millions.</t>
  </si>
  <si>
    <t>2012</t>
  </si>
  <si>
    <t>2013</t>
  </si>
  <si>
    <t>2014</t>
  </si>
  <si>
    <t>2015</t>
  </si>
  <si>
    <t>2016</t>
  </si>
  <si>
    <t>5-year trend</t>
  </si>
  <si>
    <t>Sales/Revenue</t>
  </si>
  <si>
    <t>2.22B</t>
  </si>
  <si>
    <t>2.23B</t>
  </si>
  <si>
    <t>2.7B</t>
  </si>
  <si>
    <t>3.18B</t>
  </si>
  <si>
    <t>Sales Growth</t>
  </si>
  <si>
    <t>-</t>
  </si>
  <si>
    <t>0.54%</t>
  </si>
  <si>
    <t>20.60%</t>
  </si>
  <si>
    <t>17.99%</t>
  </si>
  <si>
    <t>0.88%</t>
  </si>
  <si>
    <t>Cost of Goods Sold (COGS) incl. D&amp;A</t>
  </si>
  <si>
    <t>1.07B</t>
  </si>
  <si>
    <t>1.05B</t>
  </si>
  <si>
    <t>1.37B</t>
  </si>
  <si>
    <t>1.67B</t>
  </si>
  <si>
    <t>1.68B</t>
  </si>
  <si>
    <t>COGS excluding D&amp;A</t>
  </si>
  <si>
    <t>1.02B</t>
  </si>
  <si>
    <t>989.99M</t>
  </si>
  <si>
    <t>1.29B</t>
  </si>
  <si>
    <t>1.59B</t>
  </si>
  <si>
    <t>1.6B</t>
  </si>
  <si>
    <t>Depreciation &amp; Amortization Expense</t>
  </si>
  <si>
    <t>56.78M</t>
  </si>
  <si>
    <t>57.02M</t>
  </si>
  <si>
    <t>85.6M</t>
  </si>
  <si>
    <t>80.2M</t>
  </si>
  <si>
    <t>82.38M</t>
  </si>
  <si>
    <t>Depreciation</t>
  </si>
  <si>
    <t>53.08M</t>
  </si>
  <si>
    <t>53.32M</t>
  </si>
  <si>
    <t>53.7M</t>
  </si>
  <si>
    <t>52M</t>
  </si>
  <si>
    <t>53.58M</t>
  </si>
  <si>
    <t>Amortization of Intangibles</t>
  </si>
  <si>
    <t>3.7M</t>
  </si>
  <si>
    <t>31.9M</t>
  </si>
  <si>
    <t>28.2M</t>
  </si>
  <si>
    <t>28.8M</t>
  </si>
  <si>
    <t>COGS Growth</t>
  </si>
  <si>
    <t>-2.38%</t>
  </si>
  <si>
    <t>31.12%</t>
  </si>
  <si>
    <t>21.33%</t>
  </si>
  <si>
    <t>0.97%</t>
  </si>
  <si>
    <t>Gross Income</t>
  </si>
  <si>
    <t>1.15B</t>
  </si>
  <si>
    <t>1.19B</t>
  </si>
  <si>
    <t>1.32B</t>
  </si>
  <si>
    <t>1.51B</t>
  </si>
  <si>
    <t>1.53B</t>
  </si>
  <si>
    <t>Gross Income Growth</t>
  </si>
  <si>
    <t>3.26%</t>
  </si>
  <si>
    <t>11.33%</t>
  </si>
  <si>
    <t>14.51%</t>
  </si>
  <si>
    <t>0.78%</t>
  </si>
  <si>
    <t>Gross Profit Margin</t>
  </si>
  <si>
    <t>47.57%</t>
  </si>
  <si>
    <t>Unnamed: 0</t>
  </si>
  <si>
    <t>SG&amp;A Expense</t>
  </si>
  <si>
    <t>841.52M</t>
  </si>
  <si>
    <t>907.67M</t>
  </si>
  <si>
    <t>1.14B</t>
  </si>
  <si>
    <t>Research &amp; Development</t>
  </si>
  <si>
    <t>Other SG&amp;A</t>
  </si>
  <si>
    <t>SGA Growth</t>
  </si>
  <si>
    <t>7.86%</t>
  </si>
  <si>
    <t>17.78%</t>
  </si>
  <si>
    <t>6.68%</t>
  </si>
  <si>
    <t>-0.45%</t>
  </si>
  <si>
    <t>Other Operating Expense</t>
  </si>
  <si>
    <t>136.38M</t>
  </si>
  <si>
    <t>134.1M</t>
  </si>
  <si>
    <t>Unusual Expense</t>
  </si>
  <si>
    <t>30.85M</t>
  </si>
  <si>
    <t>94.11M</t>
  </si>
  <si>
    <t>114.52M</t>
  </si>
  <si>
    <t>20.22M</t>
  </si>
  <si>
    <t>EBIT after Unusual Expense</t>
  </si>
  <si>
    <t>277.71M</t>
  </si>
  <si>
    <t>185.85M</t>
  </si>
  <si>
    <t>(114.52M)</t>
  </si>
  <si>
    <t>236.23M</t>
  </si>
  <si>
    <t>Non Operating Income/Expense</t>
  </si>
  <si>
    <t>2M</t>
  </si>
  <si>
    <t>1.73M</t>
  </si>
  <si>
    <t>(669,000)</t>
  </si>
  <si>
    <t>(2.99M)</t>
  </si>
  <si>
    <t>2.88M</t>
  </si>
  <si>
    <t>Non-Operating Interest Income</t>
  </si>
  <si>
    <t>3.54M</t>
  </si>
  <si>
    <t>3M</t>
  </si>
  <si>
    <t>2.92M</t>
  </si>
  <si>
    <t>2.19M</t>
  </si>
  <si>
    <t>2.7M</t>
  </si>
  <si>
    <t>Equity in Affiliates (Pretax)</t>
  </si>
  <si>
    <t>Interest Expense</t>
  </si>
  <si>
    <t>6.39M</t>
  </si>
  <si>
    <t>5.61M</t>
  </si>
  <si>
    <t>19.22M</t>
  </si>
  <si>
    <t>23.34M</t>
  </si>
  <si>
    <t>23.39M</t>
  </si>
  <si>
    <t>Interest Expense Growth</t>
  </si>
  <si>
    <t>-12.19%</t>
  </si>
  <si>
    <t>242.33%</t>
  </si>
  <si>
    <t>21.46%</t>
  </si>
  <si>
    <t>0.22%</t>
  </si>
  <si>
    <t>Gross Interest Expense</t>
  </si>
  <si>
    <t>Interest Capitalized</t>
  </si>
  <si>
    <t>Pretax Income</t>
  </si>
  <si>
    <t>276.86M</t>
  </si>
  <si>
    <t>184.96M</t>
  </si>
  <si>
    <t>121.7M</t>
  </si>
  <si>
    <t>213.12M</t>
  </si>
  <si>
    <t>218.42M</t>
  </si>
  <si>
    <t>Pretax Income Growth</t>
  </si>
  <si>
    <t>-33.19%</t>
  </si>
  <si>
    <t>-34.20%</t>
  </si>
  <si>
    <t>75.11%</t>
  </si>
  <si>
    <t>2.49%</t>
  </si>
  <si>
    <t>Pretax Margin</t>
  </si>
  <si>
    <t>6.81%</t>
  </si>
  <si>
    <t>Income Tax</t>
  </si>
  <si>
    <t>103.81M</t>
  </si>
  <si>
    <t>64.29M</t>
  </si>
  <si>
    <t>43.47M</t>
  </si>
  <si>
    <t>77.41M</t>
  </si>
  <si>
    <t>79.14M</t>
  </si>
  <si>
    <t>Income Tax - Current Domestic</t>
  </si>
  <si>
    <t>127.05M</t>
  </si>
  <si>
    <t>50.63M</t>
  </si>
  <si>
    <t>38.44M</t>
  </si>
  <si>
    <t>114.3M</t>
  </si>
  <si>
    <t>Income Tax - Current Foreign</t>
  </si>
  <si>
    <t>Income Tax - Deferred Domestic</t>
  </si>
  <si>
    <t>(23.24M)</t>
  </si>
  <si>
    <t>(7.16M)</t>
  </si>
  <si>
    <t>38.97M</t>
  </si>
  <si>
    <t>(35.16M)</t>
  </si>
  <si>
    <t>Income Tax - Deferred Foreign</t>
  </si>
  <si>
    <t>Income Tax Credits</t>
  </si>
  <si>
    <t>Equity in Affiliates</t>
  </si>
  <si>
    <t>Other After Tax Income (Expense)</t>
  </si>
  <si>
    <t>Consolidated Net Income</t>
  </si>
  <si>
    <t>173.04M</t>
  </si>
  <si>
    <t>120.67M</t>
  </si>
  <si>
    <t>78.23M</t>
  </si>
  <si>
    <t>135.71M</t>
  </si>
  <si>
    <t>139.28M</t>
  </si>
  <si>
    <t>Minority Interest Expense</t>
  </si>
  <si>
    <t>Net Income</t>
  </si>
  <si>
    <t>Net Income Growth</t>
  </si>
  <si>
    <t>-30.27%</t>
  </si>
  <si>
    <t>-35.17%</t>
  </si>
  <si>
    <t>73.47%</t>
  </si>
  <si>
    <t>2.63%</t>
  </si>
  <si>
    <t>Net Margin Growth</t>
  </si>
  <si>
    <t>4.34%</t>
  </si>
  <si>
    <t>Extraordinaries &amp; Discontinued Operations</t>
  </si>
  <si>
    <t>Extra Items &amp; Gain/Loss Sale Of Assets</t>
  </si>
  <si>
    <t>Cumulative Effect - Accounting Chg</t>
  </si>
  <si>
    <t>Discontinued Operations</t>
  </si>
  <si>
    <t>Net Income After Extraordinaries</t>
  </si>
  <si>
    <t>Preferred Dividends</t>
  </si>
  <si>
    <t>Net Income Available to Common</t>
  </si>
  <si>
    <t>EPS (Basic)</t>
  </si>
  <si>
    <t>2.28</t>
  </si>
  <si>
    <t>1.59</t>
  </si>
  <si>
    <t>1.08</t>
  </si>
  <si>
    <t>1.87</t>
  </si>
  <si>
    <t>1.93</t>
  </si>
  <si>
    <t>EPS (Basic) Growth</t>
  </si>
  <si>
    <t>-30.26%</t>
  </si>
  <si>
    <t>-32.08%</t>
  </si>
  <si>
    <t>73.15%</t>
  </si>
  <si>
    <t>3.21%</t>
  </si>
  <si>
    <t>Basic Shares Outstanding</t>
  </si>
  <si>
    <t>75.82M</t>
  </si>
  <si>
    <t>75.75M</t>
  </si>
  <si>
    <t>72.38M</t>
  </si>
  <si>
    <t>72.57M</t>
  </si>
  <si>
    <t>72.35M</t>
  </si>
  <si>
    <t>EPS (Diluted)</t>
  </si>
  <si>
    <t>2.25</t>
  </si>
  <si>
    <t>1.58</t>
  </si>
  <si>
    <t>1.86</t>
  </si>
  <si>
    <t>EPS (Diluted) Growth</t>
  </si>
  <si>
    <t>-29.78%</t>
  </si>
  <si>
    <t>-31.65%</t>
  </si>
  <si>
    <t>72.22%</t>
  </si>
  <si>
    <t>2.69%</t>
  </si>
  <si>
    <t>Diluted Shares Outstanding</t>
  </si>
  <si>
    <t>76.83M</t>
  </si>
  <si>
    <t>76.39M</t>
  </si>
  <si>
    <t>72.72M</t>
  </si>
  <si>
    <t>73.04M</t>
  </si>
  <si>
    <t>73.01M</t>
  </si>
  <si>
    <t>365.34M</t>
  </si>
  <si>
    <t>336.98M</t>
  </si>
  <si>
    <t>338.79M</t>
  </si>
  <si>
    <t>317.47M</t>
  </si>
  <si>
    <t>338.83M</t>
  </si>
  <si>
    <t>EBITDA Growth</t>
  </si>
  <si>
    <t>-7.76%</t>
  </si>
  <si>
    <t>-6.29%</t>
  </si>
  <si>
    <t>6.73%</t>
  </si>
  <si>
    <t>EBITDA Margin</t>
  </si>
  <si>
    <t>10.56%</t>
  </si>
  <si>
    <t>Cash &amp; Short Term Investments</t>
  </si>
  <si>
    <t>215.4M</t>
  </si>
  <si>
    <t>343.48M</t>
  </si>
  <si>
    <t>24.86M</t>
  </si>
  <si>
    <t>37.17M</t>
  </si>
  <si>
    <t>329.08M</t>
  </si>
  <si>
    <t>Cash Only</t>
  </si>
  <si>
    <t>129.53M</t>
  </si>
  <si>
    <t>231.09M</t>
  </si>
  <si>
    <t>3.55M</t>
  </si>
  <si>
    <t>14.94M</t>
  </si>
  <si>
    <t>308.56M</t>
  </si>
  <si>
    <t>Short-Term Investments</t>
  </si>
  <si>
    <t>85.86M</t>
  </si>
  <si>
    <t>112.39M</t>
  </si>
  <si>
    <t>21.31M</t>
  </si>
  <si>
    <t>22.23M</t>
  </si>
  <si>
    <t>20.52M</t>
  </si>
  <si>
    <t>Cash &amp; Short Term Investments Growth</t>
  </si>
  <si>
    <t>59.47%</t>
  </si>
  <si>
    <t>-92.76%</t>
  </si>
  <si>
    <t>49.51%</t>
  </si>
  <si>
    <t>785.39%</t>
  </si>
  <si>
    <t>Cash &amp; ST Investments / Total Assets</t>
  </si>
  <si>
    <t>11.56%</t>
  </si>
  <si>
    <t>18.80%</t>
  </si>
  <si>
    <t>0.99%</t>
  </si>
  <si>
    <t>1.38%</t>
  </si>
  <si>
    <t>12.58%</t>
  </si>
  <si>
    <t>Total Accounts Receivable</t>
  </si>
  <si>
    <t>74.16M</t>
  </si>
  <si>
    <t>68.68M</t>
  </si>
  <si>
    <t>107.38M</t>
  </si>
  <si>
    <t>199.23M</t>
  </si>
  <si>
    <t>180.58M</t>
  </si>
  <si>
    <t>Accounts Receivables, Net</t>
  </si>
  <si>
    <t>113.44M</t>
  </si>
  <si>
    <t>95.78M</t>
  </si>
  <si>
    <t>Accounts Receivables, Gross</t>
  </si>
  <si>
    <t>80.16M</t>
  </si>
  <si>
    <t>75.86M</t>
  </si>
  <si>
    <t>134.78M</t>
  </si>
  <si>
    <t>151.27M</t>
  </si>
  <si>
    <t>145.3M</t>
  </si>
  <si>
    <t>Bad Debt/Doubtful Accounts</t>
  </si>
  <si>
    <t>(6M)</t>
  </si>
  <si>
    <t>(7.17M)</t>
  </si>
  <si>
    <t>(27.4M)</t>
  </si>
  <si>
    <t>(37.83M)</t>
  </si>
  <si>
    <t>(49.52M)</t>
  </si>
  <si>
    <t>Other Receivables</t>
  </si>
  <si>
    <t>85.8M</t>
  </si>
  <si>
    <t>84.8M</t>
  </si>
  <si>
    <t>Accounts Receivable Growth</t>
  </si>
  <si>
    <t>-7.38%</t>
  </si>
  <si>
    <t>56.34%</t>
  </si>
  <si>
    <t>85.54%</t>
  </si>
  <si>
    <t>-9.36%</t>
  </si>
  <si>
    <t>Accounts Receivable Turnover</t>
  </si>
  <si>
    <t>29.97</t>
  </si>
  <si>
    <t>32.53</t>
  </si>
  <si>
    <t>25.10</t>
  </si>
  <si>
    <t>15.96</t>
  </si>
  <si>
    <t>17.76</t>
  </si>
  <si>
    <t>Inventories</t>
  </si>
  <si>
    <t>964.07M</t>
  </si>
  <si>
    <t>869.73M</t>
  </si>
  <si>
    <t>1.09B</t>
  </si>
  <si>
    <t>999.38M</t>
  </si>
  <si>
    <t>Finished Goods</t>
  </si>
  <si>
    <t>Work in Progress</t>
  </si>
  <si>
    <t>Raw Materials</t>
  </si>
  <si>
    <t>Progress Payments &amp; Other</t>
  </si>
  <si>
    <t>Other Current Assets</t>
  </si>
  <si>
    <t>Miscellaneous Current Assets</t>
  </si>
  <si>
    <t>Total Current Assets</t>
  </si>
  <si>
    <t>1.25B</t>
  </si>
  <si>
    <t>1.28B</t>
  </si>
  <si>
    <t>1.22B</t>
  </si>
  <si>
    <t>1.38B</t>
  </si>
  <si>
    <t>Net Property, Plant &amp; Equipment</t>
  </si>
  <si>
    <t>230.6M</t>
  </si>
  <si>
    <t>231.29M</t>
  </si>
  <si>
    <t>219.42M</t>
  </si>
  <si>
    <t>225.84M</t>
  </si>
  <si>
    <t>211.27M</t>
  </si>
  <si>
    <t>Property, Plant &amp; Equipment - Gross</t>
  </si>
  <si>
    <t>404.51M</t>
  </si>
  <si>
    <t>429.2M</t>
  </si>
  <si>
    <t>435.48M</t>
  </si>
  <si>
    <t>448.59M</t>
  </si>
  <si>
    <t>442.33M</t>
  </si>
  <si>
    <t>Buildings</t>
  </si>
  <si>
    <t>81.77M</t>
  </si>
  <si>
    <t>84.52M</t>
  </si>
  <si>
    <t>83.05M</t>
  </si>
  <si>
    <t>76.98M</t>
  </si>
  <si>
    <t>69.94M</t>
  </si>
  <si>
    <t>Land &amp; Improvements</t>
  </si>
  <si>
    <t>25.29M</t>
  </si>
  <si>
    <t>26.02M</t>
  </si>
  <si>
    <t>24.3M</t>
  </si>
  <si>
    <t>22.84M</t>
  </si>
  <si>
    <t>Computer Software and Equipment</t>
  </si>
  <si>
    <t>Other Property, Plant &amp; Equipment</t>
  </si>
  <si>
    <t>273.32M</t>
  </si>
  <si>
    <t>293.19M</t>
  </si>
  <si>
    <t>304.35M</t>
  </si>
  <si>
    <t>321.82M</t>
  </si>
  <si>
    <t>323.35M</t>
  </si>
  <si>
    <t>Accumulated Depreciation</t>
  </si>
  <si>
    <t>173.92M</t>
  </si>
  <si>
    <t>197.9M</t>
  </si>
  <si>
    <t>216.07M</t>
  </si>
  <si>
    <t>222.75M</t>
  </si>
  <si>
    <t>231.06M</t>
  </si>
  <si>
    <t>Total Investments and Advances</t>
  </si>
  <si>
    <t>Other Long-Term Investments</t>
  </si>
  <si>
    <t>Long-Term Note Receivable</t>
  </si>
  <si>
    <t>179.17M</t>
  </si>
  <si>
    <t>11.88M</t>
  </si>
  <si>
    <t>Intangible Assets</t>
  </si>
  <si>
    <t>240.22M</t>
  </si>
  <si>
    <t>242.72M</t>
  </si>
  <si>
    <t>828.14M</t>
  </si>
  <si>
    <t>815.39M</t>
  </si>
  <si>
    <t>774.4M</t>
  </si>
  <si>
    <t>Net Goodwill</t>
  </si>
  <si>
    <t>234.2M</t>
  </si>
  <si>
    <t>239.18M</t>
  </si>
  <si>
    <t>530.67M</t>
  </si>
  <si>
    <t>539.48M</t>
  </si>
  <si>
    <t>526.72M</t>
  </si>
  <si>
    <t>Net Other Intangibles</t>
  </si>
  <si>
    <t>6.03M</t>
  </si>
  <si>
    <t>297.47M</t>
  </si>
  <si>
    <t>275.91M</t>
  </si>
  <si>
    <t>247.67M</t>
  </si>
  <si>
    <t>Other Assets</t>
  </si>
  <si>
    <t>88.49M</t>
  </si>
  <si>
    <t>71.28M</t>
  </si>
  <si>
    <t>190.01M</t>
  </si>
  <si>
    <t>102.75M</t>
  </si>
  <si>
    <t>103.23M</t>
  </si>
  <si>
    <t>Tangible Other Assets</t>
  </si>
  <si>
    <t>26.63M</t>
  </si>
  <si>
    <t>27.75M</t>
  </si>
  <si>
    <t>Total Assets</t>
  </si>
  <si>
    <t>1.86B</t>
  </si>
  <si>
    <t>1.83B</t>
  </si>
  <si>
    <t>2.52B</t>
  </si>
  <si>
    <t>2.62B</t>
  </si>
  <si>
    <t>Assets - Total - Growth</t>
  </si>
  <si>
    <t>-1.93%</t>
  </si>
  <si>
    <t>37.93%</t>
  </si>
  <si>
    <t>7.08%</t>
  </si>
  <si>
    <t>-3.07%</t>
  </si>
  <si>
    <t>ST Debt &amp; Current Portion LT Debt</t>
  </si>
  <si>
    <t>1.76M</t>
  </si>
  <si>
    <t>27.53M</t>
  </si>
  <si>
    <t>156.24M</t>
  </si>
  <si>
    <t>146.52M</t>
  </si>
  <si>
    <t>Short Term Debt</t>
  </si>
  <si>
    <t>Current Portion of Long Term Debt</t>
  </si>
  <si>
    <t>Accounts Payable</t>
  </si>
  <si>
    <t>221.73M</t>
  </si>
  <si>
    <t>240.51M</t>
  </si>
  <si>
    <t>257.72M</t>
  </si>
  <si>
    <t>98.66M</t>
  </si>
  <si>
    <t>71.94M</t>
  </si>
  <si>
    <t>Accounts Payable Growth</t>
  </si>
  <si>
    <t>8.47%</t>
  </si>
  <si>
    <t>7.16%</t>
  </si>
  <si>
    <t>-61.72%</t>
  </si>
  <si>
    <t>-27.08%</t>
  </si>
  <si>
    <t>Income Tax Payable</t>
  </si>
  <si>
    <t>32.95M</t>
  </si>
  <si>
    <t>32.99M</t>
  </si>
  <si>
    <t>Other Current Liabilities</t>
  </si>
  <si>
    <t>49.82M</t>
  </si>
  <si>
    <t>77.04M</t>
  </si>
  <si>
    <t>100.97M</t>
  </si>
  <si>
    <t>216.8M</t>
  </si>
  <si>
    <t>192.84M</t>
  </si>
  <si>
    <t>Dividends Payable</t>
  </si>
  <si>
    <t>Accrued Payroll</t>
  </si>
  <si>
    <t>59.54M</t>
  </si>
  <si>
    <t>53.61M</t>
  </si>
  <si>
    <t>Miscellaneous Current Liabilities</t>
  </si>
  <si>
    <t>157.26M</t>
  </si>
  <si>
    <t>139.23M</t>
  </si>
  <si>
    <t>Total Current Liabilities</t>
  </si>
  <si>
    <t>273.31M</t>
  </si>
  <si>
    <t>345.08M</t>
  </si>
  <si>
    <t>358.69M</t>
  </si>
  <si>
    <t>504.65M</t>
  </si>
  <si>
    <t>444.28M</t>
  </si>
  <si>
    <t>Long-Term Debt</t>
  </si>
  <si>
    <t>139.77M</t>
  </si>
  <si>
    <t>115.18M</t>
  </si>
  <si>
    <t>606.08M</t>
  </si>
  <si>
    <t>450.51M</t>
  </si>
  <si>
    <t>351.31M</t>
  </si>
  <si>
    <t>Long-Term Debt excl. Capitalized Leases</t>
  </si>
  <si>
    <t>128.25M</t>
  </si>
  <si>
    <t>103.25M</t>
  </si>
  <si>
    <t>347.56M</t>
  </si>
  <si>
    <t>Non-Convertible Debt</t>
  </si>
  <si>
    <t>Convertible Debt</t>
  </si>
  <si>
    <t>Capitalized Lease Obligations</t>
  </si>
  <si>
    <t>11.52M</t>
  </si>
  <si>
    <t>11.93M</t>
  </si>
  <si>
    <t>3.76M</t>
  </si>
  <si>
    <t>Provision for Risks &amp; Charges</t>
  </si>
  <si>
    <t>Deferred Taxes</t>
  </si>
  <si>
    <t>263.72M</t>
  </si>
  <si>
    <t>226.96M</t>
  </si>
  <si>
    <t>268.55M</t>
  </si>
  <si>
    <t>307.48M</t>
  </si>
  <si>
    <t>270.2M</t>
  </si>
  <si>
    <t>Deferred Taxes - Credit</t>
  </si>
  <si>
    <t>313.94M</t>
  </si>
  <si>
    <t>331.85M</t>
  </si>
  <si>
    <t>276.12M</t>
  </si>
  <si>
    <t>Deferred Taxes - Debit</t>
  </si>
  <si>
    <t>50.22M</t>
  </si>
  <si>
    <t>63.3M</t>
  </si>
  <si>
    <t>5.91M</t>
  </si>
  <si>
    <t>Other Liabilities</t>
  </si>
  <si>
    <t>69.23M</t>
  </si>
  <si>
    <t>62.43M</t>
  </si>
  <si>
    <t>Other Liabilities (excl. Deferred Income)</t>
  </si>
  <si>
    <t>0</t>
  </si>
  <si>
    <t>Deferred Income</t>
  </si>
  <si>
    <t>Total Liabilities</t>
  </si>
  <si>
    <t>727.02M</t>
  </si>
  <si>
    <t>687.21M</t>
  </si>
  <si>
    <t>1.3B</t>
  </si>
  <si>
    <t>1.33B</t>
  </si>
  <si>
    <t>1.13B</t>
  </si>
  <si>
    <t>Non-Equity Reserves</t>
  </si>
  <si>
    <t>Total Liabilities / Total Assets</t>
  </si>
  <si>
    <t>39.02%</t>
  </si>
  <si>
    <t>37.61%</t>
  </si>
  <si>
    <t>51.45%</t>
  </si>
  <si>
    <t>49.36%</t>
  </si>
  <si>
    <t>43.36%</t>
  </si>
  <si>
    <t>Preferred Stock (Carrying Value)</t>
  </si>
  <si>
    <t>Redeemable Preferred Stock</t>
  </si>
  <si>
    <t>Non-Redeemable Preferred Stock</t>
  </si>
  <si>
    <t>Common Equity (Total)</t>
  </si>
  <si>
    <t>1.48B</t>
  </si>
  <si>
    <t>Common Stock Par/Carry Value</t>
  </si>
  <si>
    <t>45.38M</t>
  </si>
  <si>
    <t>Retained Earnings</t>
  </si>
  <si>
    <t>1.2B</t>
  </si>
  <si>
    <t>1.27B</t>
  </si>
  <si>
    <t>1.4B</t>
  </si>
  <si>
    <t>ESOP Debt Guarantee</t>
  </si>
  <si>
    <t>Cumulative Translation Adjustment/Unrealized For. Exch. Gain</t>
  </si>
  <si>
    <t>(69,000)</t>
  </si>
  <si>
    <t>(64,000)</t>
  </si>
  <si>
    <t>(90,000)</t>
  </si>
  <si>
    <t>(517,000)</t>
  </si>
  <si>
    <t>(531,000)</t>
  </si>
  <si>
    <t>Unrealized Gain/Loss Marketable Securities</t>
  </si>
  <si>
    <t>Revaluation Reserves</t>
  </si>
  <si>
    <t>Treasury Stock</t>
  </si>
  <si>
    <t>(216.58M)</t>
  </si>
  <si>
    <t>(305.75M)</t>
  </si>
  <si>
    <t>(323.29M)</t>
  </si>
  <si>
    <t>(321.47M)</t>
  </si>
  <si>
    <t>(352.74M)</t>
  </si>
  <si>
    <t>Common Equity / Total Assets</t>
  </si>
  <si>
    <t>60.98%</t>
  </si>
  <si>
    <t>62.39%</t>
  </si>
  <si>
    <t>48.55%</t>
  </si>
  <si>
    <t>50.64%</t>
  </si>
  <si>
    <t>56.64%</t>
  </si>
  <si>
    <t>Total Shareholders' Equity</t>
  </si>
  <si>
    <t>Total Shareholders' Equity / Total Assets</t>
  </si>
  <si>
    <t>Accumulated Minority Interest</t>
  </si>
  <si>
    <t>Total Equity</t>
  </si>
  <si>
    <t>Liabilities &amp; Shareholders' Equity</t>
  </si>
  <si>
    <t>Net Income before Extraordinaries</t>
  </si>
  <si>
    <t>Depreciation, Depletion &amp; Amortization</t>
  </si>
  <si>
    <t>Depreciation and Depletion</t>
  </si>
  <si>
    <t>Amortization of Intangible Assets</t>
  </si>
  <si>
    <t>Deferred Taxes &amp; Investment Tax Credit</t>
  </si>
  <si>
    <t>(36.76M)</t>
  </si>
  <si>
    <t>Investment Tax Credit</t>
  </si>
  <si>
    <t>Other Funds</t>
  </si>
  <si>
    <t>644.15M</t>
  </si>
  <si>
    <t>670.32M</t>
  </si>
  <si>
    <t>1.04B</t>
  </si>
  <si>
    <t>1.39B</t>
  </si>
  <si>
    <t>1.5B</t>
  </si>
  <si>
    <t>Funds from Operations</t>
  </si>
  <si>
    <t>850.73M</t>
  </si>
  <si>
    <t>811.24M</t>
  </si>
  <si>
    <t>1.64B</t>
  </si>
  <si>
    <t>Extraordinaries</t>
  </si>
  <si>
    <t>Changes in Working Capital</t>
  </si>
  <si>
    <t>(790.98M)</t>
  </si>
  <si>
    <t>(502.8M)</t>
  </si>
  <si>
    <t>(1.25B)</t>
  </si>
  <si>
    <t>(1.47B)</t>
  </si>
  <si>
    <t>(1.22B)</t>
  </si>
  <si>
    <t>Receivables</t>
  </si>
  <si>
    <t>(18.53M)</t>
  </si>
  <si>
    <t>(7.73M)</t>
  </si>
  <si>
    <t>(110.27M)</t>
  </si>
  <si>
    <t>(173.16M)</t>
  </si>
  <si>
    <t>(149.83M)</t>
  </si>
  <si>
    <t>16.89M</t>
  </si>
  <si>
    <t>(12.79M)</t>
  </si>
  <si>
    <t>68.78M</t>
  </si>
  <si>
    <t>(51.64M)</t>
  </si>
  <si>
    <t>Other Assets/Liabilities</t>
  </si>
  <si>
    <t>458.99M</t>
  </si>
  <si>
    <t>(540.37M)</t>
  </si>
  <si>
    <t>339.13M</t>
  </si>
  <si>
    <t>(82.49M)</t>
  </si>
  <si>
    <t>163.9M</t>
  </si>
  <si>
    <t>Net Operating Cash Flow</t>
  </si>
  <si>
    <t>59.75M</t>
  </si>
  <si>
    <t>308.44M</t>
  </si>
  <si>
    <t>(48.96M)</t>
  </si>
  <si>
    <t>166.76M</t>
  </si>
  <si>
    <t>465.44M</t>
  </si>
  <si>
    <t>Net Operating Cash Flow Growth</t>
  </si>
  <si>
    <t>416.18%</t>
  </si>
  <si>
    <t>-115.87%</t>
  </si>
  <si>
    <t>440.59%</t>
  </si>
  <si>
    <t>179.11%</t>
  </si>
  <si>
    <t>Net Operating Cash Flow / Sales</t>
  </si>
  <si>
    <t>13.80%</t>
  </si>
  <si>
    <t>-1.82%</t>
  </si>
  <si>
    <t>5.24%</t>
  </si>
  <si>
    <t>Capital Expenditures</t>
  </si>
  <si>
    <t>(65.07M)</t>
  </si>
  <si>
    <t>(58.15M)</t>
  </si>
  <si>
    <t>(47.57M)</t>
  </si>
  <si>
    <t>(60.56M)</t>
  </si>
  <si>
    <t>(57.45M)</t>
  </si>
  <si>
    <t>Capital Expenditures (Fixed Assets)</t>
  </si>
  <si>
    <t>Capital Expenditures (Other Assets)</t>
  </si>
  <si>
    <t>Capital Expenditures Growth</t>
  </si>
  <si>
    <t>10.65%</t>
  </si>
  <si>
    <t>18.20%</t>
  </si>
  <si>
    <t>-27.31%</t>
  </si>
  <si>
    <t>5.13%</t>
  </si>
  <si>
    <t>Capital Expenditures / Sales</t>
  </si>
  <si>
    <t>-2.93%</t>
  </si>
  <si>
    <t>-2.60%</t>
  </si>
  <si>
    <t>-1.76%</t>
  </si>
  <si>
    <t>-1.90%</t>
  </si>
  <si>
    <t>-1.79%</t>
  </si>
  <si>
    <t>Net Assets from Acquisitions</t>
  </si>
  <si>
    <t>(30.8M)</t>
  </si>
  <si>
    <t>(10.9M)</t>
  </si>
  <si>
    <t>(700.51M)</t>
  </si>
  <si>
    <t>(73.3M)</t>
  </si>
  <si>
    <t>(9.76M)</t>
  </si>
  <si>
    <t>Sale of Fixed Assets &amp; Businesses</t>
  </si>
  <si>
    <t>8.79M</t>
  </si>
  <si>
    <t>9M</t>
  </si>
  <si>
    <t>22.56M</t>
  </si>
  <si>
    <t>21.49M</t>
  </si>
  <si>
    <t>55.29M</t>
  </si>
  <si>
    <t>Purchase/Sale of Investments</t>
  </si>
  <si>
    <t>11.12M</t>
  </si>
  <si>
    <t>(26.92M)</t>
  </si>
  <si>
    <t>89.99M</t>
  </si>
  <si>
    <t>Purchase of Investments</t>
  </si>
  <si>
    <t>(91M)</t>
  </si>
  <si>
    <t>(74.85M)</t>
  </si>
  <si>
    <t>Sale/Maturity of Investments</t>
  </si>
  <si>
    <t>102.12M</t>
  </si>
  <si>
    <t>47.93M</t>
  </si>
  <si>
    <t>Other Uses</t>
  </si>
  <si>
    <t>(11.7M)</t>
  </si>
  <si>
    <t>(72.9M)</t>
  </si>
  <si>
    <t>Other Sources</t>
  </si>
  <si>
    <t>15.21M</t>
  </si>
  <si>
    <t>64.74M</t>
  </si>
  <si>
    <t>Net Investing Cash Flow</t>
  </si>
  <si>
    <t>(75.97M)</t>
  </si>
  <si>
    <t>(86.95M)</t>
  </si>
  <si>
    <t>(635.52M)</t>
  </si>
  <si>
    <t>(108.85M)</t>
  </si>
  <si>
    <t>(20.08M)</t>
  </si>
  <si>
    <t>Net Investing Cash Flow Growth</t>
  </si>
  <si>
    <t>-14.47%</t>
  </si>
  <si>
    <t>-630.87%</t>
  </si>
  <si>
    <t>82.87%</t>
  </si>
  <si>
    <t>81.55%</t>
  </si>
  <si>
    <t>Net Investing Cash Flow / Sales</t>
  </si>
  <si>
    <t>-3.42%</t>
  </si>
  <si>
    <t>-3.89%</t>
  </si>
  <si>
    <t>-23.58%</t>
  </si>
  <si>
    <t>-0.63%</t>
  </si>
  <si>
    <t>Cash Dividends Paid - Total</t>
  </si>
  <si>
    <t>(5.84M)</t>
  </si>
  <si>
    <t>(3.88M)</t>
  </si>
  <si>
    <t>(7.82M)</t>
  </si>
  <si>
    <t>(6.82M)</t>
  </si>
  <si>
    <t>(7.42M)</t>
  </si>
  <si>
    <t>Common Dividends</t>
  </si>
  <si>
    <t>Change in Capital Stock</t>
  </si>
  <si>
    <t>(18.38M)</t>
  </si>
  <si>
    <t>(115.08M)</t>
  </si>
  <si>
    <t>4.39M</t>
  </si>
  <si>
    <t>1.04M</t>
  </si>
  <si>
    <t>(33.98M)</t>
  </si>
  <si>
    <t>Repurchase of Common &amp; Preferred Stk.</t>
  </si>
  <si>
    <t>(34.13M)</t>
  </si>
  <si>
    <t>(125M)</t>
  </si>
  <si>
    <t>(34.53M)</t>
  </si>
  <si>
    <t>Sale of Common &amp; Preferred Stock</t>
  </si>
  <si>
    <t>15.76M</t>
  </si>
  <si>
    <t>9.92M</t>
  </si>
  <si>
    <t>550000</t>
  </si>
  <si>
    <t>Proceeds from Stock Options</t>
  </si>
  <si>
    <t>Other Proceeds from Sale of Stock</t>
  </si>
  <si>
    <t>Issuance/Reduction of Debt, Net</t>
  </si>
  <si>
    <t>(12.26M)</t>
  </si>
  <si>
    <t>(2.36M)</t>
  </si>
  <si>
    <t>463.35M</t>
  </si>
  <si>
    <t>(40.66M)</t>
  </si>
  <si>
    <t>(109.68M)</t>
  </si>
  <si>
    <t>Change in Current Debt</t>
  </si>
  <si>
    <t>Change in Long-Term Debt</t>
  </si>
  <si>
    <t>Issuance of Long-Term Debt</t>
  </si>
  <si>
    <t>16.26M</t>
  </si>
  <si>
    <t>2.6M</t>
  </si>
  <si>
    <t>904.96M</t>
  </si>
  <si>
    <t>290.09M</t>
  </si>
  <si>
    <t>98.93M</t>
  </si>
  <si>
    <t>Reduction in Long-Term Debt</t>
  </si>
  <si>
    <t>(28.52M)</t>
  </si>
  <si>
    <t>(4.95M)</t>
  </si>
  <si>
    <t>(441.6M)</t>
  </si>
  <si>
    <t>(330.75M)</t>
  </si>
  <si>
    <t>(208.61M)</t>
  </si>
  <si>
    <t>5.97M</t>
  </si>
  <si>
    <t>1.38M</t>
  </si>
  <si>
    <t>(2.97M)</t>
  </si>
  <si>
    <t>(77,000)</t>
  </si>
  <si>
    <t>(797,000)</t>
  </si>
  <si>
    <t>(4.37M)</t>
  </si>
  <si>
    <t>(425,000)</t>
  </si>
  <si>
    <t>1.39M</t>
  </si>
  <si>
    <t>348000</t>
  </si>
  <si>
    <t>Net Financing Cash Flow</t>
  </si>
  <si>
    <t>(30.51M)</t>
  </si>
  <si>
    <t>(119.93M)</t>
  </si>
  <si>
    <t>456.94M</t>
  </si>
  <si>
    <t>(46.52M)</t>
  </si>
  <si>
    <t>(151.87M)</t>
  </si>
  <si>
    <t>Net Financing Cash Flow Growth</t>
  </si>
  <si>
    <t>-293.05%</t>
  </si>
  <si>
    <t>481.02%</t>
  </si>
  <si>
    <t>-110.18%</t>
  </si>
  <si>
    <t>-226.48%</t>
  </si>
  <si>
    <t>Net Financing Cash Flow / Sales</t>
  </si>
  <si>
    <t>-1.37%</t>
  </si>
  <si>
    <t>-5.37%</t>
  </si>
  <si>
    <t>16.96%</t>
  </si>
  <si>
    <t>-1.46%</t>
  </si>
  <si>
    <t>-4.73%</t>
  </si>
  <si>
    <t>Exchange Rate Effect</t>
  </si>
  <si>
    <t>127000</t>
  </si>
  <si>
    <t>Miscellaneous Funds</t>
  </si>
  <si>
    <t>Net Change in Cash</t>
  </si>
  <si>
    <t>(46.72M)</t>
  </si>
  <si>
    <t>101.56M</t>
  </si>
  <si>
    <t>(227.54M)</t>
  </si>
  <si>
    <t>11.39M</t>
  </si>
  <si>
    <t>293.62M</t>
  </si>
  <si>
    <t>Free Cash Flow</t>
  </si>
  <si>
    <t>(5.32M)</t>
  </si>
  <si>
    <t>250.29M</t>
  </si>
  <si>
    <t>(96.53M)</t>
  </si>
  <si>
    <t>106.2M</t>
  </si>
  <si>
    <t>407.99M</t>
  </si>
  <si>
    <t>Free Cash Flow Growth</t>
  </si>
  <si>
    <t>4,805.62%</t>
  </si>
  <si>
    <t>-138.57%</t>
  </si>
  <si>
    <t>210.03%</t>
  </si>
  <si>
    <t>284.16%</t>
  </si>
  <si>
    <t>Free Cash Flow Yield</t>
  </si>
  <si>
    <t>17.15%</t>
  </si>
  <si>
    <t>AL</t>
  </si>
  <si>
    <t>Air Lease</t>
  </si>
  <si>
    <t>AYR</t>
  </si>
  <si>
    <t>Aircastle</t>
  </si>
  <si>
    <t>GATX</t>
  </si>
  <si>
    <t>TRTN</t>
  </si>
  <si>
    <t>Triton International</t>
  </si>
  <si>
    <t>FTAI</t>
  </si>
  <si>
    <t>Fortress Transportation</t>
  </si>
  <si>
    <t>HRI</t>
  </si>
  <si>
    <t>Herc Holdings</t>
  </si>
  <si>
    <t>4.08B</t>
  </si>
  <si>
    <t>11.78</t>
  </si>
  <si>
    <t>9.74</t>
  </si>
  <si>
    <t>0.84</t>
  </si>
  <si>
    <t>2.84</t>
  </si>
  <si>
    <t>1.18</t>
  </si>
  <si>
    <t>1.82B</t>
  </si>
  <si>
    <t>11.59</t>
  </si>
  <si>
    <t>9.53</t>
  </si>
  <si>
    <t>2.31</t>
  </si>
  <si>
    <t>0.98</t>
  </si>
  <si>
    <t>2.4B</t>
  </si>
  <si>
    <t>10.10</t>
  </si>
  <si>
    <t>14.67</t>
  </si>
  <si>
    <t>0.91</t>
  </si>
  <si>
    <t>1.73</t>
  </si>
  <si>
    <t>2.72B</t>
  </si>
  <si>
    <t>37.75</t>
  </si>
  <si>
    <t>11.33</t>
  </si>
  <si>
    <t>2.86</t>
  </si>
  <si>
    <t>1.49</t>
  </si>
  <si>
    <t>ArcBest Corporation (ARCB)</t>
  </si>
  <si>
    <t>21.90</t>
  </si>
  <si>
    <t>21.95</t>
  </si>
  <si>
    <t>19.00 x 200</t>
  </si>
  <si>
    <t>21.40 x 500</t>
  </si>
  <si>
    <t>21.05 - 22.31</t>
  </si>
  <si>
    <t>16.95 - 33.95</t>
  </si>
  <si>
    <t>320390</t>
  </si>
  <si>
    <t>262060</t>
  </si>
  <si>
    <t>555.47M</t>
  </si>
  <si>
    <t>2.23</t>
  </si>
  <si>
    <t>32.67</t>
  </si>
  <si>
    <t>0.32 (1.45%)</t>
  </si>
  <si>
    <t>2017-05-12</t>
  </si>
  <si>
    <t>22.29</t>
  </si>
  <si>
    <t>5</t>
  </si>
  <si>
    <t>720.54M</t>
  </si>
  <si>
    <t>741.19M</t>
  </si>
  <si>
    <t>2.84B</t>
  </si>
  <si>
    <t>3B</t>
  </si>
  <si>
    <t>708.6M</t>
  </si>
  <si>
    <t>718.3M</t>
  </si>
  <si>
    <t>2.79B</t>
  </si>
  <si>
    <t>2.92B</t>
  </si>
  <si>
    <t>725.62M</t>
  </si>
  <si>
    <t>758.1M</t>
  </si>
  <si>
    <t>3.05B</t>
  </si>
  <si>
    <t>676.63M</t>
  </si>
  <si>
    <t>713.92M</t>
  </si>
  <si>
    <t>6.50%</t>
  </si>
  <si>
    <t>3.80%</t>
  </si>
  <si>
    <t>5.20%</t>
  </si>
  <si>
    <t>5.50%</t>
  </si>
  <si>
    <t>0.43</t>
  </si>
  <si>
    <t>0.47</t>
  </si>
  <si>
    <t>0.25</t>
  </si>
  <si>
    <t>-0.12</t>
  </si>
  <si>
    <t>0.38</t>
  </si>
  <si>
    <t>0.48</t>
  </si>
  <si>
    <t>-0.22</t>
  </si>
  <si>
    <t>-0.05</t>
  </si>
  <si>
    <t>0.01</t>
  </si>
  <si>
    <t>-0.1</t>
  </si>
  <si>
    <t>-11.60%</t>
  </si>
  <si>
    <t>2.10%</t>
  </si>
  <si>
    <t>16.00%</t>
  </si>
  <si>
    <t>-83.30%</t>
  </si>
  <si>
    <t>ARCB</t>
  </si>
  <si>
    <t>26.30%</t>
  </si>
  <si>
    <t>27.10%</t>
  </si>
  <si>
    <t>28.00%</t>
  </si>
  <si>
    <t>33.60%</t>
  </si>
  <si>
    <t>7.90%</t>
  </si>
  <si>
    <t>12.51%</t>
  </si>
  <si>
    <t>13.52</t>
  </si>
  <si>
    <t>2.32</t>
  </si>
  <si>
    <t>0.20</t>
  </si>
  <si>
    <t>0.93</t>
  </si>
  <si>
    <t>0.63%</t>
  </si>
  <si>
    <t>1.36%</t>
  </si>
  <si>
    <t>1.86%</t>
  </si>
  <si>
    <t>2.97%</t>
  </si>
  <si>
    <t>2.73B</t>
  </si>
  <si>
    <t>106.15</t>
  </si>
  <si>
    <t>4.80%</t>
  </si>
  <si>
    <t>136.29M</t>
  </si>
  <si>
    <t>17.21M</t>
  </si>
  <si>
    <t>139.24M</t>
  </si>
  <si>
    <t>5.39</t>
  </si>
  <si>
    <t>227.39M</t>
  </si>
  <si>
    <t>38.43</t>
  </si>
  <si>
    <t>1.22</t>
  </si>
  <si>
    <t>23.09</t>
  </si>
  <si>
    <t>99.68M</t>
  </si>
  <si>
    <t>62.93M</t>
  </si>
  <si>
    <t>22.07%</t>
  </si>
  <si>
    <t>33.95</t>
  </si>
  <si>
    <t>16.95</t>
  </si>
  <si>
    <t>20.91</t>
  </si>
  <si>
    <t>24.94</t>
  </si>
  <si>
    <t>262.06k</t>
  </si>
  <si>
    <t>188.76k</t>
  </si>
  <si>
    <t>25.84M</t>
  </si>
  <si>
    <t>25.09M</t>
  </si>
  <si>
    <t>94.60%</t>
  </si>
  <si>
    <t>722.27k</t>
  </si>
  <si>
    <t>1.55</t>
  </si>
  <si>
    <t>3.27%</t>
  </si>
  <si>
    <t>320.45k</t>
  </si>
  <si>
    <t>0.32</t>
  </si>
  <si>
    <t>1.45%</t>
  </si>
  <si>
    <t>1.46%</t>
  </si>
  <si>
    <t>48.48%</t>
  </si>
  <si>
    <t>May 30, 2017</t>
  </si>
  <si>
    <t>May 12, 2017</t>
  </si>
  <si>
    <t>Ms. Judy R. McReynolds</t>
  </si>
  <si>
    <t>Chairman, Chief Exec. Officer and Pres</t>
  </si>
  <si>
    <t>1.12M</t>
  </si>
  <si>
    <t>Mr. David R. Cobb</t>
  </si>
  <si>
    <t>Chief Financial Officer and VP</t>
  </si>
  <si>
    <t>453.48k</t>
  </si>
  <si>
    <t>Mr. Timothy D. Thorne</t>
  </si>
  <si>
    <t>Pres of ABF Freight</t>
  </si>
  <si>
    <t>621.99k</t>
  </si>
  <si>
    <t>Mr. James A. Ingram</t>
  </si>
  <si>
    <t>Chief Operating Officer of Asset-Light Logistics</t>
  </si>
  <si>
    <t>559.23k</t>
  </si>
  <si>
    <t>Ms. Traci L. Sowersby</t>
  </si>
  <si>
    <t>Chief Accounting Officer, VP and Controller</t>
  </si>
  <si>
    <t>2.07B</t>
  </si>
  <si>
    <t>2.3B</t>
  </si>
  <si>
    <t>2.61B</t>
  </si>
  <si>
    <t>2.67B</t>
  </si>
  <si>
    <t>11.30%</t>
  </si>
  <si>
    <t>13.62%</t>
  </si>
  <si>
    <t>2.07%</t>
  </si>
  <si>
    <t>1.25%</t>
  </si>
  <si>
    <t>2.08B</t>
  </si>
  <si>
    <t>2.28B</t>
  </si>
  <si>
    <t>2.54B</t>
  </si>
  <si>
    <t>2.59B</t>
  </si>
  <si>
    <t>2.66B</t>
  </si>
  <si>
    <t>2B</t>
  </si>
  <si>
    <t>2.19B</t>
  </si>
  <si>
    <t>2.46B</t>
  </si>
  <si>
    <t>2.5B</t>
  </si>
  <si>
    <t>2.56B</t>
  </si>
  <si>
    <t>85.49M</t>
  </si>
  <si>
    <t>88.39M</t>
  </si>
  <si>
    <t>86.22M</t>
  </si>
  <si>
    <t>93.04M</t>
  </si>
  <si>
    <t>103.05M</t>
  </si>
  <si>
    <t>83.23M</t>
  </si>
  <si>
    <t>84.22M</t>
  </si>
  <si>
    <t>81.87M</t>
  </si>
  <si>
    <t>89.04M</t>
  </si>
  <si>
    <t>98.81M</t>
  </si>
  <si>
    <t>2.26M</t>
  </si>
  <si>
    <t>4.17M</t>
  </si>
  <si>
    <t>4.35M</t>
  </si>
  <si>
    <t>4M</t>
  </si>
  <si>
    <t>4.24M</t>
  </si>
  <si>
    <t>9.64%</t>
  </si>
  <si>
    <t>11.57%</t>
  </si>
  <si>
    <t>1.89%</t>
  </si>
  <si>
    <t>2.73%</t>
  </si>
  <si>
    <t>(14.57M)</t>
  </si>
  <si>
    <t>18.49M</t>
  </si>
  <si>
    <t>67.77M</t>
  </si>
  <si>
    <t>73.76M</t>
  </si>
  <si>
    <t>36.37M</t>
  </si>
  <si>
    <t>226.95%</t>
  </si>
  <si>
    <t>266.43%</t>
  </si>
  <si>
    <t>8.84%</t>
  </si>
  <si>
    <t>-50.70%</t>
  </si>
  <si>
    <t>1.35%</t>
  </si>
  <si>
    <t>10.38M</t>
  </si>
  <si>
    <t>25.99M</t>
  </si>
  <si>
    <t>2.04M</t>
  </si>
  <si>
    <t>4.47M</t>
  </si>
  <si>
    <t>5.18M</t>
  </si>
  <si>
    <t>2.09M</t>
  </si>
  <si>
    <t>5.92M</t>
  </si>
  <si>
    <t>808000</t>
  </si>
  <si>
    <t>681000</t>
  </si>
  <si>
    <t>851000</t>
  </si>
  <si>
    <t>1.28M</t>
  </si>
  <si>
    <t>1.52M</t>
  </si>
  <si>
    <t>5.27M</t>
  </si>
  <si>
    <t>4.18M</t>
  </si>
  <si>
    <t>3.19M</t>
  </si>
  <si>
    <t>4.4M</t>
  </si>
  <si>
    <t>5.15M</t>
  </si>
  <si>
    <t>-20.67%</t>
  </si>
  <si>
    <t>-23.74%</t>
  </si>
  <si>
    <t>17.05%</t>
  </si>
  <si>
    <t>5.37M</t>
  </si>
  <si>
    <t>4.28M</t>
  </si>
  <si>
    <t>3.29M</t>
  </si>
  <si>
    <t>4.6M</t>
  </si>
  <si>
    <t>5.85M</t>
  </si>
  <si>
    <t>100000</t>
  </si>
  <si>
    <t>200000</t>
  </si>
  <si>
    <t>700000</t>
  </si>
  <si>
    <t>(16.99M)</t>
  </si>
  <si>
    <t>19.46M</t>
  </si>
  <si>
    <t>70.61M</t>
  </si>
  <si>
    <t>72.73M</t>
  </si>
  <si>
    <t>28.29M</t>
  </si>
  <si>
    <t>214.53%</t>
  </si>
  <si>
    <t>262.84%</t>
  </si>
  <si>
    <t>3.01%</t>
  </si>
  <si>
    <t>-61.11%</t>
  </si>
  <si>
    <t>1.05%</t>
  </si>
  <si>
    <t>(9.26M)</t>
  </si>
  <si>
    <t>3.65M</t>
  </si>
  <si>
    <t>24.44M</t>
  </si>
  <si>
    <t>27.88M</t>
  </si>
  <si>
    <t>9.64M</t>
  </si>
  <si>
    <t>694000</t>
  </si>
  <si>
    <t>13.6M</t>
  </si>
  <si>
    <t>18.09M</t>
  </si>
  <si>
    <t>9.32M</t>
  </si>
  <si>
    <t>(939,000)</t>
  </si>
  <si>
    <t>405000</t>
  </si>
  <si>
    <t>413000</t>
  </si>
  <si>
    <t>1.66M</t>
  </si>
  <si>
    <t>2.12M</t>
  </si>
  <si>
    <t>1.05M</t>
  </si>
  <si>
    <t>(10.36M)</t>
  </si>
  <si>
    <t>(10.18M)</t>
  </si>
  <si>
    <t>4.94M</t>
  </si>
  <si>
    <t>16.5M</t>
  </si>
  <si>
    <t>9.52M</t>
  </si>
  <si>
    <t>(4,000)</t>
  </si>
  <si>
    <t>(192,000)</t>
  </si>
  <si>
    <t>(249,000)</t>
  </si>
  <si>
    <t>(68,000)</t>
  </si>
  <si>
    <t>7000</t>
  </si>
  <si>
    <t>(720,000)</t>
  </si>
  <si>
    <t>(2.3M)</t>
  </si>
  <si>
    <t>(450,000)</t>
  </si>
  <si>
    <t>(138,000)</t>
  </si>
  <si>
    <t>15.09M</t>
  </si>
  <si>
    <t>43.88M</t>
  </si>
  <si>
    <t>44.4M</t>
  </si>
  <si>
    <t>18.51M</t>
  </si>
  <si>
    <t>295.18%</t>
  </si>
  <si>
    <t>190.75%</t>
  </si>
  <si>
    <t>1.20%</t>
  </si>
  <si>
    <t>-58.31%</t>
  </si>
  <si>
    <t>0.69%</t>
  </si>
  <si>
    <t>(0.31)</t>
  </si>
  <si>
    <t>1.69</t>
  </si>
  <si>
    <t>1.71</t>
  </si>
  <si>
    <t>0.72</t>
  </si>
  <si>
    <t>290.32%</t>
  </si>
  <si>
    <t>186.44%</t>
  </si>
  <si>
    <t>1.18%</t>
  </si>
  <si>
    <t>-57.89%</t>
  </si>
  <si>
    <t>25.56M</t>
  </si>
  <si>
    <t>25.71M</t>
  </si>
  <si>
    <t>26.01M</t>
  </si>
  <si>
    <t>25.75M</t>
  </si>
  <si>
    <t>1.67</t>
  </si>
  <si>
    <t>0.71</t>
  </si>
  <si>
    <t>-1.18%</t>
  </si>
  <si>
    <t>-57.49%</t>
  </si>
  <si>
    <t>26.53M</t>
  </si>
  <si>
    <t>26.26M</t>
  </si>
  <si>
    <t>70.93M</t>
  </si>
  <si>
    <t>106.88M</t>
  </si>
  <si>
    <t>153.99M</t>
  </si>
  <si>
    <t>166.8M</t>
  </si>
  <si>
    <t>139.42M</t>
  </si>
  <si>
    <t>50.70%</t>
  </si>
  <si>
    <t>44.07%</t>
  </si>
  <si>
    <t>8.32%</t>
  </si>
  <si>
    <t>-16.42%</t>
  </si>
  <si>
    <t>5.16%</t>
  </si>
  <si>
    <t>129.41M</t>
  </si>
  <si>
    <t>143.16M</t>
  </si>
  <si>
    <t>204.34M</t>
  </si>
  <si>
    <t>227.95M</t>
  </si>
  <si>
    <t>172.08M</t>
  </si>
  <si>
    <t>70.55M</t>
  </si>
  <si>
    <t>107.26M</t>
  </si>
  <si>
    <t>158.43M</t>
  </si>
  <si>
    <t>166.36M</t>
  </si>
  <si>
    <t>115.24M</t>
  </si>
  <si>
    <t>58.86M</t>
  </si>
  <si>
    <t>35.91M</t>
  </si>
  <si>
    <t>45.91M</t>
  </si>
  <si>
    <t>61.6M</t>
  </si>
  <si>
    <t>56.84M</t>
  </si>
  <si>
    <t>10.62%</t>
  </si>
  <si>
    <t>42.73%</t>
  </si>
  <si>
    <t>-24.51%</t>
  </si>
  <si>
    <t>14.07%</t>
  </si>
  <si>
    <t>18.12%</t>
  </si>
  <si>
    <t>18.05%</t>
  </si>
  <si>
    <t>13.14%</t>
  </si>
  <si>
    <t>187.17M</t>
  </si>
  <si>
    <t>209.81M</t>
  </si>
  <si>
    <t>234.64M</t>
  </si>
  <si>
    <t>242.82M</t>
  </si>
  <si>
    <t>273.98M</t>
  </si>
  <si>
    <t>180.63M</t>
  </si>
  <si>
    <t>202.54M</t>
  </si>
  <si>
    <t>228.06M</t>
  </si>
  <si>
    <t>236.1M</t>
  </si>
  <si>
    <t>260.64M</t>
  </si>
  <si>
    <t>187.21M</t>
  </si>
  <si>
    <t>208.5M</t>
  </si>
  <si>
    <t>235.49M</t>
  </si>
  <si>
    <t>241.95M</t>
  </si>
  <si>
    <t>266.93M</t>
  </si>
  <si>
    <t>(6.58M)</t>
  </si>
  <si>
    <t>(5.96M)</t>
  </si>
  <si>
    <t>(7.43M)</t>
  </si>
  <si>
    <t>(5.85M)</t>
  </si>
  <si>
    <t>(6.29M)</t>
  </si>
  <si>
    <t>6.54M</t>
  </si>
  <si>
    <t>7.27M</t>
  </si>
  <si>
    <t>6.58M</t>
  </si>
  <si>
    <t>6.72M</t>
  </si>
  <si>
    <t>13.33M</t>
  </si>
  <si>
    <t>12.10%</t>
  </si>
  <si>
    <t>11.83%</t>
  </si>
  <si>
    <t>3.48%</t>
  </si>
  <si>
    <t>12.83%</t>
  </si>
  <si>
    <t>11.04</t>
  </si>
  <si>
    <t>10.96</t>
  </si>
  <si>
    <t>11.13</t>
  </si>
  <si>
    <t>10.98</t>
  </si>
  <si>
    <t>9.86</t>
  </si>
  <si>
    <t>69.47M</t>
  </si>
  <si>
    <t>65.51M</t>
  </si>
  <si>
    <t>76.01M</t>
  </si>
  <si>
    <t>81.31M</t>
  </si>
  <si>
    <t>75.93M</t>
  </si>
  <si>
    <t>46.43M</t>
  </si>
  <si>
    <t>44.43M</t>
  </si>
  <si>
    <t>45.19M</t>
  </si>
  <si>
    <t>60.51M</t>
  </si>
  <si>
    <t>53.81M</t>
  </si>
  <si>
    <t>386.05M</t>
  </si>
  <si>
    <t>418.49M</t>
  </si>
  <si>
    <t>514.99M</t>
  </si>
  <si>
    <t>552.08M</t>
  </si>
  <si>
    <t>521.99M</t>
  </si>
  <si>
    <t>444.03M</t>
  </si>
  <si>
    <t>394.4M</t>
  </si>
  <si>
    <t>409.85M</t>
  </si>
  <si>
    <t>483.05M</t>
  </si>
  <si>
    <t>532.53M</t>
  </si>
  <si>
    <t>1.08B</t>
  </si>
  <si>
    <t>1.16B</t>
  </si>
  <si>
    <t>1.35B</t>
  </si>
  <si>
    <t>243.7M</t>
  </si>
  <si>
    <t>245.81M</t>
  </si>
  <si>
    <t>251.84M</t>
  </si>
  <si>
    <t>273.84M</t>
  </si>
  <si>
    <t>305.51M</t>
  </si>
  <si>
    <t>103.16M</t>
  </si>
  <si>
    <t>111M</t>
  </si>
  <si>
    <t>116.11M</t>
  </si>
  <si>
    <t>127.01M</t>
  </si>
  <si>
    <t>120.88M</t>
  </si>
  <si>
    <t>732.46M</t>
  </si>
  <si>
    <t>147.89M</t>
  </si>
  <si>
    <t>160.52M</t>
  </si>
  <si>
    <t>170.71M</t>
  </si>
  <si>
    <t>181.46M</t>
  </si>
  <si>
    <t>635.29M</t>
  </si>
  <si>
    <t>700.19M</t>
  </si>
  <si>
    <t>752.08M</t>
  </si>
  <si>
    <t>788.35M</t>
  </si>
  <si>
    <t>819.17M</t>
  </si>
  <si>
    <t>2.97M</t>
  </si>
  <si>
    <t>152.75M</t>
  </si>
  <si>
    <t>151.84M</t>
  </si>
  <si>
    <t>149.89M</t>
  </si>
  <si>
    <t>173.25M</t>
  </si>
  <si>
    <t>189.38M</t>
  </si>
  <si>
    <t>73.19M</t>
  </si>
  <si>
    <t>76.45M</t>
  </si>
  <si>
    <t>77.08M</t>
  </si>
  <si>
    <t>96.47M</t>
  </si>
  <si>
    <t>108.88M</t>
  </si>
  <si>
    <t>79.56M</t>
  </si>
  <si>
    <t>75.39M</t>
  </si>
  <si>
    <t>72.81M</t>
  </si>
  <si>
    <t>76.79M</t>
  </si>
  <si>
    <t>80.51M</t>
  </si>
  <si>
    <t>51.63M</t>
  </si>
  <si>
    <t>52.61M</t>
  </si>
  <si>
    <t>49.93M</t>
  </si>
  <si>
    <t>54.53M</t>
  </si>
  <si>
    <t>66.1M</t>
  </si>
  <si>
    <t>48.63M</t>
  </si>
  <si>
    <t>8.81M</t>
  </si>
  <si>
    <t>5.43M</t>
  </si>
  <si>
    <t>1.03B</t>
  </si>
  <si>
    <t>1.26B</t>
  </si>
  <si>
    <t>1.31B</t>
  </si>
  <si>
    <t>-1.66%</t>
  </si>
  <si>
    <t>10.84%</t>
  </si>
  <si>
    <t>3.73%</t>
  </si>
  <si>
    <t>56.69M</t>
  </si>
  <si>
    <t>45.12M</t>
  </si>
  <si>
    <t>41.35M</t>
  </si>
  <si>
    <t>44.91M</t>
  </si>
  <si>
    <t>64.14M</t>
  </si>
  <si>
    <t>13.65M</t>
  </si>
  <si>
    <t>13.61M</t>
  </si>
  <si>
    <t>16.1M</t>
  </si>
  <si>
    <t>43.04M</t>
  </si>
  <si>
    <t>31.51M</t>
  </si>
  <si>
    <t>25.26M</t>
  </si>
  <si>
    <t>84.29M</t>
  </si>
  <si>
    <t>89.09M</t>
  </si>
  <si>
    <t>104.23M</t>
  </si>
  <si>
    <t>130.87M</t>
  </si>
  <si>
    <t>133.3M</t>
  </si>
  <si>
    <t>5.69%</t>
  </si>
  <si>
    <t>16.99%</t>
  </si>
  <si>
    <t>25.56%</t>
  </si>
  <si>
    <t>59000</t>
  </si>
  <si>
    <t>1.78M</t>
  </si>
  <si>
    <t>527000</t>
  </si>
  <si>
    <t>8.06M</t>
  </si>
  <si>
    <t>158.67M</t>
  </si>
  <si>
    <t>173.62M</t>
  </si>
  <si>
    <t>194.67M</t>
  </si>
  <si>
    <t>180.76M</t>
  </si>
  <si>
    <t>190.02M</t>
  </si>
  <si>
    <t>15.84M</t>
  </si>
  <si>
    <t>22.73M</t>
  </si>
  <si>
    <t>35.31M</t>
  </si>
  <si>
    <t>27.52M</t>
  </si>
  <si>
    <t>123.61M</t>
  </si>
  <si>
    <t>142.83M</t>
  </si>
  <si>
    <t>150.89M</t>
  </si>
  <si>
    <t>159.37M</t>
  </si>
  <si>
    <t>153.23M</t>
  </si>
  <si>
    <t>66.41M</t>
  </si>
  <si>
    <t>299.71M</t>
  </si>
  <si>
    <t>309.62M</t>
  </si>
  <si>
    <t>340.78M</t>
  </si>
  <si>
    <t>364.6M</t>
  </si>
  <si>
    <t>387.47M</t>
  </si>
  <si>
    <t>112.94M</t>
  </si>
  <si>
    <t>81.33M</t>
  </si>
  <si>
    <t>102.47M</t>
  </si>
  <si>
    <t>167.6M</t>
  </si>
  <si>
    <t>179.53M</t>
  </si>
  <si>
    <t>74.32M</t>
  </si>
  <si>
    <t>101.5M</t>
  </si>
  <si>
    <t>7.01M</t>
  </si>
  <si>
    <t>971000</t>
  </si>
  <si>
    <t>104.67M</t>
  </si>
  <si>
    <t>26.85M</t>
  </si>
  <si>
    <t>42.42M</t>
  </si>
  <si>
    <t>51.24M</t>
  </si>
  <si>
    <t>35.85M</t>
  </si>
  <si>
    <t>45.31M</t>
  </si>
  <si>
    <t>64.03M</t>
  </si>
  <si>
    <t>64.4M</t>
  </si>
  <si>
    <t>78.06M</t>
  </si>
  <si>
    <t>91.46M</t>
  </si>
  <si>
    <t>12.83M</t>
  </si>
  <si>
    <t>15.04M</t>
  </si>
  <si>
    <t>16.67M</t>
  </si>
  <si>
    <t>12.69M</t>
  </si>
  <si>
    <t>16.79M</t>
  </si>
  <si>
    <t>575.46M</t>
  </si>
  <si>
    <t>496.87M</t>
  </si>
  <si>
    <t>566.74M</t>
  </si>
  <si>
    <t>674.18M</t>
  </si>
  <si>
    <t>711.1M</t>
  </si>
  <si>
    <t>55.63%</t>
  </si>
  <si>
    <t>48.84%</t>
  </si>
  <si>
    <t>50.26%</t>
  </si>
  <si>
    <t>53.38%</t>
  </si>
  <si>
    <t>54.28%</t>
  </si>
  <si>
    <t>459M</t>
  </si>
  <si>
    <t>520.46M</t>
  </si>
  <si>
    <t>560.88M</t>
  </si>
  <si>
    <t>588.73M</t>
  </si>
  <si>
    <t>598.9M</t>
  </si>
  <si>
    <t>273000</t>
  </si>
  <si>
    <t>275000</t>
  </si>
  <si>
    <t>277000</t>
  </si>
  <si>
    <t>279000</t>
  </si>
  <si>
    <t>282000</t>
  </si>
  <si>
    <t>284.16M</t>
  </si>
  <si>
    <t>296.74M</t>
  </si>
  <si>
    <t>338.81M</t>
  </si>
  <si>
    <t>376.83M</t>
  </si>
  <si>
    <t>387.16M</t>
  </si>
  <si>
    <t>(404,000)</t>
  </si>
  <si>
    <t>(526,000)</t>
  </si>
  <si>
    <t>(742,000)</t>
  </si>
  <si>
    <t>(1.45M)</t>
  </si>
  <si>
    <t>(1.2M)</t>
  </si>
  <si>
    <t>(350,000)</t>
  </si>
  <si>
    <t>(329,000)</t>
  </si>
  <si>
    <t>(57.77M)</t>
  </si>
  <si>
    <t>(70.54M)</t>
  </si>
  <si>
    <t>(80.05M)</t>
  </si>
  <si>
    <t>44.37%</t>
  </si>
  <si>
    <t>51.16%</t>
  </si>
  <si>
    <t>49.74%</t>
  </si>
  <si>
    <t>46.62%</t>
  </si>
  <si>
    <t>45.72%</t>
  </si>
  <si>
    <t>15.81M</t>
  </si>
  <si>
    <t>46.18M</t>
  </si>
  <si>
    <t>44.85M</t>
  </si>
  <si>
    <t>18.65M</t>
  </si>
  <si>
    <t>304.49%</t>
  </si>
  <si>
    <t>192.06%</t>
  </si>
  <si>
    <t>-2.87%</t>
  </si>
  <si>
    <t>-58.42%</t>
  </si>
  <si>
    <t>87.75M</t>
  </si>
  <si>
    <t>(10.37M)</t>
  </si>
  <si>
    <t>4.69M</t>
  </si>
  <si>
    <t>16.44M</t>
  </si>
  <si>
    <t>6.86M</t>
  </si>
  <si>
    <t>14.07M</t>
  </si>
  <si>
    <t>10M</t>
  </si>
  <si>
    <t>15.37M</t>
  </si>
  <si>
    <t>76.52M</t>
  </si>
  <si>
    <t>103.35M</t>
  </si>
  <si>
    <t>151.17M</t>
  </si>
  <si>
    <t>164.34M</t>
  </si>
  <si>
    <t>146.6M</t>
  </si>
  <si>
    <t>8.01M</t>
  </si>
  <si>
    <t>(9.85M)</t>
  </si>
  <si>
    <t>(7.4M)</t>
  </si>
  <si>
    <t>(18.32M)</t>
  </si>
  <si>
    <t>(36.34M)</t>
  </si>
  <si>
    <t>508000</t>
  </si>
  <si>
    <t>(24.2M)</t>
  </si>
  <si>
    <t>(26.89M)</t>
  </si>
  <si>
    <t>(25.57M)</t>
  </si>
  <si>
    <t>32.46M</t>
  </si>
  <si>
    <t>1.27M</t>
  </si>
  <si>
    <t>5.89M</t>
  </si>
  <si>
    <t>(999,000)</t>
  </si>
  <si>
    <t>(13.64M)</t>
  </si>
  <si>
    <t>(17M)</t>
  </si>
  <si>
    <t>84.53M</t>
  </si>
  <si>
    <t>93.5M</t>
  </si>
  <si>
    <t>143.77M</t>
  </si>
  <si>
    <t>146.02M</t>
  </si>
  <si>
    <t>110.26M</t>
  </si>
  <si>
    <t>10.61%</t>
  </si>
  <si>
    <t>53.75%</t>
  </si>
  <si>
    <t>1.57%</t>
  </si>
  <si>
    <t>-24.49%</t>
  </si>
  <si>
    <t>4.09%</t>
  </si>
  <si>
    <t>4.07%</t>
  </si>
  <si>
    <t>5.48%</t>
  </si>
  <si>
    <t>4.08%</t>
  </si>
  <si>
    <t>(44.5M)</t>
  </si>
  <si>
    <t>(34.04M)</t>
  </si>
  <si>
    <t>(43.9M)</t>
  </si>
  <si>
    <t>(86.94M)</t>
  </si>
  <si>
    <t>(78.74M)</t>
  </si>
  <si>
    <t>(37.28M)</t>
  </si>
  <si>
    <t>(35.48M)</t>
  </si>
  <si>
    <t>(78.43M)</t>
  </si>
  <si>
    <t>(7.22M)</t>
  </si>
  <si>
    <t>(8.42M)</t>
  </si>
  <si>
    <t>(8.51M)</t>
  </si>
  <si>
    <t>23.51%</t>
  </si>
  <si>
    <t>-28.98%</t>
  </si>
  <si>
    <t>-98.03%</t>
  </si>
  <si>
    <t>9.43%</t>
  </si>
  <si>
    <t>-2.15%</t>
  </si>
  <si>
    <t>-1.48%</t>
  </si>
  <si>
    <t>-1.68%</t>
  </si>
  <si>
    <t>-3.26%</t>
  </si>
  <si>
    <t>-2.92%</t>
  </si>
  <si>
    <t>(180.04M)</t>
  </si>
  <si>
    <t>(4.15M)</t>
  </si>
  <si>
    <t>(2.65M)</t>
  </si>
  <si>
    <t>(29.81M)</t>
  </si>
  <si>
    <t>(24.78M)</t>
  </si>
  <si>
    <t>6.4M</t>
  </si>
  <si>
    <t>4.93M</t>
  </si>
  <si>
    <t>6.64M</t>
  </si>
  <si>
    <t>11.58M</t>
  </si>
  <si>
    <t>4.87M</t>
  </si>
  <si>
    <t>(6.89M)</t>
  </si>
  <si>
    <t>(9.98M)</t>
  </si>
  <si>
    <t>(15.53M)</t>
  </si>
  <si>
    <t>4.77M</t>
  </si>
  <si>
    <t>(55.86M)</t>
  </si>
  <si>
    <t>(39.61M)</t>
  </si>
  <si>
    <t>(45.83M)</t>
  </si>
  <si>
    <t>(61.36M)</t>
  </si>
  <si>
    <t>(69.4M)</t>
  </si>
  <si>
    <t>60.73M</t>
  </si>
  <si>
    <t>32.72M</t>
  </si>
  <si>
    <t>45.83M</t>
  </si>
  <si>
    <t>74.17M</t>
  </si>
  <si>
    <t>(213.27M)</t>
  </si>
  <si>
    <t>(42.88M)</t>
  </si>
  <si>
    <t>(51.6M)</t>
  </si>
  <si>
    <t>(125.64M)</t>
  </si>
  <si>
    <t>(87.17M)</t>
  </si>
  <si>
    <t>79.90%</t>
  </si>
  <si>
    <t>-20.34%</t>
  </si>
  <si>
    <t>-143.50%</t>
  </si>
  <si>
    <t>30.62%</t>
  </si>
  <si>
    <t>-10.32%</t>
  </si>
  <si>
    <t>-1.86%</t>
  </si>
  <si>
    <t>-1.97%</t>
  </si>
  <si>
    <t>-4.71%</t>
  </si>
  <si>
    <t>-3.23%</t>
  </si>
  <si>
    <t>(3.22M)</t>
  </si>
  <si>
    <t>(3.23M)</t>
  </si>
  <si>
    <t>(4.1M)</t>
  </si>
  <si>
    <t>(6.84M)</t>
  </si>
  <si>
    <t>(8.32M)</t>
  </si>
  <si>
    <t>2.79M</t>
  </si>
  <si>
    <t>1.14M</t>
  </si>
  <si>
    <t>(12.77M)</t>
  </si>
  <si>
    <t>(9.51M)</t>
  </si>
  <si>
    <t>38.32M</t>
  </si>
  <si>
    <t>(43.28M)</t>
  </si>
  <si>
    <t>(38.03M)</t>
  </si>
  <si>
    <t>3.31M</t>
  </si>
  <si>
    <t>(52.2M)</t>
  </si>
  <si>
    <t>(7.19M)</t>
  </si>
  <si>
    <t>(37,000)</t>
  </si>
  <si>
    <t>2.49M</t>
  </si>
  <si>
    <t>45.51M</t>
  </si>
  <si>
    <t>(43.25M)</t>
  </si>
  <si>
    <t>(40.52M)</t>
  </si>
  <si>
    <t>98.51M</t>
  </si>
  <si>
    <t>(71,000)</t>
  </si>
  <si>
    <t>(76,000)</t>
  </si>
  <si>
    <t>104.13M</t>
  </si>
  <si>
    <t>(53M)</t>
  </si>
  <si>
    <t>(43.18M)</t>
  </si>
  <si>
    <t>(40.44M)</t>
  </si>
  <si>
    <t>(100.81M)</t>
  </si>
  <si>
    <t>7.76M</t>
  </si>
  <si>
    <t>516000</t>
  </si>
  <si>
    <t>3.84M</t>
  </si>
  <si>
    <t>(4.17M)</t>
  </si>
  <si>
    <t>78.14M</t>
  </si>
  <si>
    <t>(35.98M)</t>
  </si>
  <si>
    <t>(40.48M)</t>
  </si>
  <si>
    <t>(12.45M)</t>
  </si>
  <si>
    <t>(74.2M)</t>
  </si>
  <si>
    <t>-146.04%</t>
  </si>
  <si>
    <t>-12.52%</t>
  </si>
  <si>
    <t>69.25%</t>
  </si>
  <si>
    <t>-496.14%</t>
  </si>
  <si>
    <t>3.78%</t>
  </si>
  <si>
    <t>-1.56%</t>
  </si>
  <si>
    <t>-1.55%</t>
  </si>
  <si>
    <t>-0.47%</t>
  </si>
  <si>
    <t>-2.75%</t>
  </si>
  <si>
    <t>(50.59M)</t>
  </si>
  <si>
    <t>14.65M</t>
  </si>
  <si>
    <t>51.69M</t>
  </si>
  <si>
    <t>7.93M</t>
  </si>
  <si>
    <t>(51.12M)</t>
  </si>
  <si>
    <t>47.26M</t>
  </si>
  <si>
    <t>59.47M</t>
  </si>
  <si>
    <t>108.28M</t>
  </si>
  <si>
    <t>67.59M</t>
  </si>
  <si>
    <t>31.52M</t>
  </si>
  <si>
    <t>25.84%</t>
  </si>
  <si>
    <t>82.09%</t>
  </si>
  <si>
    <t>-37.58%</t>
  </si>
  <si>
    <t>-53.38%</t>
  </si>
  <si>
    <t>3.20%</t>
  </si>
  <si>
    <t>YRCW</t>
  </si>
  <si>
    <t>YRC Worldwide</t>
  </si>
  <si>
    <t>CGI</t>
  </si>
  <si>
    <t>Celadon Group</t>
  </si>
  <si>
    <t>CVTI</t>
  </si>
  <si>
    <t>Covenant Transportation</t>
  </si>
  <si>
    <t>MRTN</t>
  </si>
  <si>
    <t>Marten Transport</t>
  </si>
  <si>
    <t>PTSI</t>
  </si>
  <si>
    <t>P.A.M. Transportation</t>
  </si>
  <si>
    <t>ULH</t>
  </si>
  <si>
    <t>Universal Logistics Hldgs</t>
  </si>
  <si>
    <t>429.53M</t>
  </si>
  <si>
    <t>52.93</t>
  </si>
  <si>
    <t>7.58</t>
  </si>
  <si>
    <t>-0.80</t>
  </si>
  <si>
    <t>0.09</t>
  </si>
  <si>
    <t>127.51M</t>
  </si>
  <si>
    <t>53.49</t>
  </si>
  <si>
    <t>20.00</t>
  </si>
  <si>
    <t>-0.35</t>
  </si>
  <si>
    <t>0.12</t>
  </si>
  <si>
    <t>0.35</t>
  </si>
  <si>
    <t>323.74M</t>
  </si>
  <si>
    <t>26.17</t>
  </si>
  <si>
    <t>17.20</t>
  </si>
  <si>
    <t>5.28</t>
  </si>
  <si>
    <t>863.52M</t>
  </si>
  <si>
    <t>25.90</t>
  </si>
  <si>
    <t>21.71</t>
  </si>
  <si>
    <t>2.60</t>
  </si>
  <si>
    <t>1.26</t>
  </si>
  <si>
    <t>1.94</t>
  </si>
  <si>
    <t>Barnes Group Inc. (B)</t>
  </si>
  <si>
    <t>59.69</t>
  </si>
  <si>
    <t>59.33</t>
  </si>
  <si>
    <t>59.63</t>
  </si>
  <si>
    <t>59.47 - 60.52</t>
  </si>
  <si>
    <t>36.27 - 62.37</t>
  </si>
  <si>
    <t>255059</t>
  </si>
  <si>
    <t>245819</t>
  </si>
  <si>
    <t>1.42</t>
  </si>
  <si>
    <t>22.52</t>
  </si>
  <si>
    <t>2.65</t>
  </si>
  <si>
    <t>0.56 (0.93%)</t>
  </si>
  <si>
    <t>2017-05-23</t>
  </si>
  <si>
    <t>58.75</t>
  </si>
  <si>
    <t>335.82M</t>
  </si>
  <si>
    <t>332.77M</t>
  </si>
  <si>
    <t>1.34B</t>
  </si>
  <si>
    <t>325.53M</t>
  </si>
  <si>
    <t>328.2M</t>
  </si>
  <si>
    <t>344M</t>
  </si>
  <si>
    <t>340.24M</t>
  </si>
  <si>
    <t>1.36B</t>
  </si>
  <si>
    <t>1.44B</t>
  </si>
  <si>
    <t>306.69M</t>
  </si>
  <si>
    <t>311.56M</t>
  </si>
  <si>
    <t>1.23B</t>
  </si>
  <si>
    <t>9.50%</t>
  </si>
  <si>
    <t>6.80%</t>
  </si>
  <si>
    <t>9.00%</t>
  </si>
  <si>
    <t>4.40%</t>
  </si>
  <si>
    <t>0.61</t>
  </si>
  <si>
    <t>0.67</t>
  </si>
  <si>
    <t>0.64</t>
  </si>
  <si>
    <t>0.6</t>
  </si>
  <si>
    <t>0.63</t>
  </si>
  <si>
    <t>0.02</t>
  </si>
  <si>
    <t>3.30%</t>
  </si>
  <si>
    <t>6.00%</t>
  </si>
  <si>
    <t>4.70%</t>
  </si>
  <si>
    <t>18.30%</t>
  </si>
  <si>
    <t>B</t>
  </si>
  <si>
    <t>-1.40%</t>
  </si>
  <si>
    <t>9.90%</t>
  </si>
  <si>
    <t>9.61%</t>
  </si>
  <si>
    <t>19.90</t>
  </si>
  <si>
    <t>2.50</t>
  </si>
  <si>
    <t>2.64</t>
  </si>
  <si>
    <t>11.29%</t>
  </si>
  <si>
    <t>16.24%</t>
  </si>
  <si>
    <t>6.10%</t>
  </si>
  <si>
    <t>12.17%</t>
  </si>
  <si>
    <t>23.70</t>
  </si>
  <si>
    <t>18.50%</t>
  </si>
  <si>
    <t>440.45M</t>
  </si>
  <si>
    <t>291.33M</t>
  </si>
  <si>
    <t>145.06M</t>
  </si>
  <si>
    <t>32.80%</t>
  </si>
  <si>
    <t>88.28M</t>
  </si>
  <si>
    <t>1.64</t>
  </si>
  <si>
    <t>498.95M</t>
  </si>
  <si>
    <t>41.01</t>
  </si>
  <si>
    <t>2.27</t>
  </si>
  <si>
    <t>22.65</t>
  </si>
  <si>
    <t>238.95M</t>
  </si>
  <si>
    <t>166.46M</t>
  </si>
  <si>
    <t>61.79%</t>
  </si>
  <si>
    <t>62.37</t>
  </si>
  <si>
    <t>36.27</t>
  </si>
  <si>
    <t>59.29</t>
  </si>
  <si>
    <t>53.21</t>
  </si>
  <si>
    <t>245.82k</t>
  </si>
  <si>
    <t>239.71k</t>
  </si>
  <si>
    <t>53.72M</t>
  </si>
  <si>
    <t>49.57M</t>
  </si>
  <si>
    <t>8.08%</t>
  </si>
  <si>
    <t>92.30%</t>
  </si>
  <si>
    <t>673.5k</t>
  </si>
  <si>
    <t>2.71</t>
  </si>
  <si>
    <t>1.54%</t>
  </si>
  <si>
    <t>721.56k</t>
  </si>
  <si>
    <t>0.93%</t>
  </si>
  <si>
    <t>0.52</t>
  </si>
  <si>
    <t>1.28</t>
  </si>
  <si>
    <t>19.62%</t>
  </si>
  <si>
    <t>Sep 8, 2017</t>
  </si>
  <si>
    <t>May 23, 2017</t>
  </si>
  <si>
    <t>2/1</t>
  </si>
  <si>
    <t>Jun 12, 2006</t>
  </si>
  <si>
    <t>Mr. Patrick J. Dempsey</t>
  </si>
  <si>
    <t>1.68M</t>
  </si>
  <si>
    <t>1.37M</t>
  </si>
  <si>
    <t>Mr. Christopher J. Stephens Jr.</t>
  </si>
  <si>
    <t>Chief Financial Officer and Sr. VP of Fin.</t>
  </si>
  <si>
    <t>880.46k</t>
  </si>
  <si>
    <t>225.3k</t>
  </si>
  <si>
    <t>Mr. Scott A. Mayo</t>
  </si>
  <si>
    <t>Sr. VP and Pres of Barnes Industrial</t>
  </si>
  <si>
    <t>708.96k</t>
  </si>
  <si>
    <t>Mr. Michael Andrew Beck</t>
  </si>
  <si>
    <t>Sr. VP and Pres of Barnes Aerospace</t>
  </si>
  <si>
    <t>527.08k</t>
  </si>
  <si>
    <t>Mr. James P. Berklas Jr.</t>
  </si>
  <si>
    <t>Exec. Officer</t>
  </si>
  <si>
    <t>583.85k</t>
  </si>
  <si>
    <t>-11.31%</t>
  </si>
  <si>
    <t>15.73%</t>
  </si>
  <si>
    <t>-5.38%</t>
  </si>
  <si>
    <t>3.04%</t>
  </si>
  <si>
    <t>812.19M</t>
  </si>
  <si>
    <t>738.17M</t>
  </si>
  <si>
    <t>824.23M</t>
  </si>
  <si>
    <t>778.23M</t>
  </si>
  <si>
    <t>790.3M</t>
  </si>
  <si>
    <t>754.83M</t>
  </si>
  <si>
    <t>673.12M</t>
  </si>
  <si>
    <t>742.83M</t>
  </si>
  <si>
    <t>699.99M</t>
  </si>
  <si>
    <t>710.15M</t>
  </si>
  <si>
    <t>57.36M</t>
  </si>
  <si>
    <t>65.05M</t>
  </si>
  <si>
    <t>81.4M</t>
  </si>
  <si>
    <t>78.24M</t>
  </si>
  <si>
    <t>80.15M</t>
  </si>
  <si>
    <t>34.22M</t>
  </si>
  <si>
    <t>37.08M</t>
  </si>
  <si>
    <t>44.27M</t>
  </si>
  <si>
    <t>39.74M</t>
  </si>
  <si>
    <t>43.4M</t>
  </si>
  <si>
    <t>23.14M</t>
  </si>
  <si>
    <t>27.97M</t>
  </si>
  <si>
    <t>37.13M</t>
  </si>
  <si>
    <t>38.5M</t>
  </si>
  <si>
    <t>36.75M</t>
  </si>
  <si>
    <t>-9.11%</t>
  </si>
  <si>
    <t>11.66%</t>
  </si>
  <si>
    <t>-5.58%</t>
  </si>
  <si>
    <t>1.55%</t>
  </si>
  <si>
    <t>417.77M</t>
  </si>
  <si>
    <t>352.66M</t>
  </si>
  <si>
    <t>438.17M</t>
  </si>
  <si>
    <t>416.24M</t>
  </si>
  <si>
    <t>440.52M</t>
  </si>
  <si>
    <t>-15.58%</t>
  </si>
  <si>
    <t>24.25%</t>
  </si>
  <si>
    <t>-5.01%</t>
  </si>
  <si>
    <t>5.83%</t>
  </si>
  <si>
    <t>35.79%</t>
  </si>
  <si>
    <t>278.83M</t>
  </si>
  <si>
    <t>226.55M</t>
  </si>
  <si>
    <t>243.28M</t>
  </si>
  <si>
    <t>243.08M</t>
  </si>
  <si>
    <t>15M</t>
  </si>
  <si>
    <t>16M</t>
  </si>
  <si>
    <t>12.91M</t>
  </si>
  <si>
    <t>269.83M</t>
  </si>
  <si>
    <t>211.55M</t>
  </si>
  <si>
    <t>227.28M</t>
  </si>
  <si>
    <t>222.81M</t>
  </si>
  <si>
    <t>230.17M</t>
  </si>
  <si>
    <t>-18.75%</t>
  </si>
  <si>
    <t>7.39%</t>
  </si>
  <si>
    <t>-3.20%</t>
  </si>
  <si>
    <t>3.22%</t>
  </si>
  <si>
    <t>(1.09M)</t>
  </si>
  <si>
    <t>4.38M</t>
  </si>
  <si>
    <t>15.33M</t>
  </si>
  <si>
    <t>3.64M</t>
  </si>
  <si>
    <t>2.9M</t>
  </si>
  <si>
    <t>140.02M</t>
  </si>
  <si>
    <t>121.73M</t>
  </si>
  <si>
    <t>179.56M</t>
  </si>
  <si>
    <t>177.1M</t>
  </si>
  <si>
    <t>194.54M</t>
  </si>
  <si>
    <t>(6.13M)</t>
  </si>
  <si>
    <t>(1.92M)</t>
  </si>
  <si>
    <t>(2.55M)</t>
  </si>
  <si>
    <t>(9.31M)</t>
  </si>
  <si>
    <t>(589,000)</t>
  </si>
  <si>
    <t>12.24M</t>
  </si>
  <si>
    <t>10.51M</t>
  </si>
  <si>
    <t>9.85M</t>
  </si>
  <si>
    <t>11.33M</t>
  </si>
  <si>
    <t>0.02%</t>
  </si>
  <si>
    <t>-14.17%</t>
  </si>
  <si>
    <t>15.04%</t>
  </si>
  <si>
    <t>12.43M</t>
  </si>
  <si>
    <t>12.49M</t>
  </si>
  <si>
    <t>10.87M</t>
  </si>
  <si>
    <t>10.27M</t>
  </si>
  <si>
    <t>11.65M</t>
  </si>
  <si>
    <t>195000</t>
  </si>
  <si>
    <t>247000</t>
  </si>
  <si>
    <t>359000</t>
  </si>
  <si>
    <t>422000</t>
  </si>
  <si>
    <t>324000</t>
  </si>
  <si>
    <t>121.65M</t>
  </si>
  <si>
    <t>107.57M</t>
  </si>
  <si>
    <t>166.5M</t>
  </si>
  <si>
    <t>157.95M</t>
  </si>
  <si>
    <t>182.62M</t>
  </si>
  <si>
    <t>-11.57%</t>
  </si>
  <si>
    <t>54.78%</t>
  </si>
  <si>
    <t>-5.14%</t>
  </si>
  <si>
    <t>15.62%</t>
  </si>
  <si>
    <t>14.84%</t>
  </si>
  <si>
    <t>23.35M</t>
  </si>
  <si>
    <t>35.25M</t>
  </si>
  <si>
    <t>45.96M</t>
  </si>
  <si>
    <t>36.57M</t>
  </si>
  <si>
    <t>47.02M</t>
  </si>
  <si>
    <t>1.29M</t>
  </si>
  <si>
    <t>8.9M</t>
  </si>
  <si>
    <t>23.91M</t>
  </si>
  <si>
    <t>1.81M</t>
  </si>
  <si>
    <t>7.97M</t>
  </si>
  <si>
    <t>13.42M</t>
  </si>
  <si>
    <t>16.93M</t>
  </si>
  <si>
    <t>35.95M</t>
  </si>
  <si>
    <t>32.22M</t>
  </si>
  <si>
    <t>41.52M</t>
  </si>
  <si>
    <t>14.36M</t>
  </si>
  <si>
    <t>13.68M</t>
  </si>
  <si>
    <t>(5.46M)</t>
  </si>
  <si>
    <t>6.53M</t>
  </si>
  <si>
    <t>7.15M</t>
  </si>
  <si>
    <t>(5.72M)</t>
  </si>
  <si>
    <t>(4.26M)</t>
  </si>
  <si>
    <t>(8.45M)</t>
  </si>
  <si>
    <t>(3.99M)</t>
  </si>
  <si>
    <t>(9.62M)</t>
  </si>
  <si>
    <t>98.3M</t>
  </si>
  <si>
    <t>72.32M</t>
  </si>
  <si>
    <t>120.54M</t>
  </si>
  <si>
    <t>121.38M</t>
  </si>
  <si>
    <t>135.6M</t>
  </si>
  <si>
    <t>-26.43%</t>
  </si>
  <si>
    <t>66.67%</t>
  </si>
  <si>
    <t>0.70%</t>
  </si>
  <si>
    <t>11.72%</t>
  </si>
  <si>
    <t>11.02%</t>
  </si>
  <si>
    <t>(3.05M)</t>
  </si>
  <si>
    <t>198.21M</t>
  </si>
  <si>
    <t>(2.17M)</t>
  </si>
  <si>
    <t>(799,000)</t>
  </si>
  <si>
    <t>195.32M</t>
  </si>
  <si>
    <t>(1.99M)</t>
  </si>
  <si>
    <t>(2.25M)</t>
  </si>
  <si>
    <t>2.89M</t>
  </si>
  <si>
    <t>(184,000)</t>
  </si>
  <si>
    <t>95.25M</t>
  </si>
  <si>
    <t>270.53M</t>
  </si>
  <si>
    <t>118.37M</t>
  </si>
  <si>
    <t>96.05M</t>
  </si>
  <si>
    <t>75.21M</t>
  </si>
  <si>
    <t>120.36M</t>
  </si>
  <si>
    <t>1.76</t>
  </si>
  <si>
    <t>1.40</t>
  </si>
  <si>
    <t>2.20</t>
  </si>
  <si>
    <t>2.21</t>
  </si>
  <si>
    <t>-20.58%</t>
  </si>
  <si>
    <t>57.31%</t>
  </si>
  <si>
    <t>0.61%</t>
  </si>
  <si>
    <t>13.12%</t>
  </si>
  <si>
    <t>54.63M</t>
  </si>
  <si>
    <t>53.86M</t>
  </si>
  <si>
    <t>54.79M</t>
  </si>
  <si>
    <t>55.03M</t>
  </si>
  <si>
    <t>54.19M</t>
  </si>
  <si>
    <t>1.74</t>
  </si>
  <si>
    <t>1.37</t>
  </si>
  <si>
    <t>2.16</t>
  </si>
  <si>
    <t>2.19</t>
  </si>
  <si>
    <t>2.48</t>
  </si>
  <si>
    <t>-21.34%</t>
  </si>
  <si>
    <t>57.88%</t>
  </si>
  <si>
    <t>1.39%</t>
  </si>
  <si>
    <t>13.24%</t>
  </si>
  <si>
    <t>55.22M</t>
  </si>
  <si>
    <t>54.97M</t>
  </si>
  <si>
    <t>55.72M</t>
  </si>
  <si>
    <t>55.51M</t>
  </si>
  <si>
    <t>196.29M</t>
  </si>
  <si>
    <t>191.16M</t>
  </si>
  <si>
    <t>276.28M</t>
  </si>
  <si>
    <t>258.99M</t>
  </si>
  <si>
    <t>277.59M</t>
  </si>
  <si>
    <t>-2.61%</t>
  </si>
  <si>
    <t>44.53%</t>
  </si>
  <si>
    <t>-6.26%</t>
  </si>
  <si>
    <t>7.18%</t>
  </si>
  <si>
    <t>22.55%</t>
  </si>
  <si>
    <t>86.36M</t>
  </si>
  <si>
    <t>70.86M</t>
  </si>
  <si>
    <t>46.04M</t>
  </si>
  <si>
    <t>83.93M</t>
  </si>
  <si>
    <t>66.45M</t>
  </si>
  <si>
    <t>-17.95%</t>
  </si>
  <si>
    <t>-35.02%</t>
  </si>
  <si>
    <t>82.29%</t>
  </si>
  <si>
    <t>-20.83%</t>
  </si>
  <si>
    <t>4.62%</t>
  </si>
  <si>
    <t>3.34%</t>
  </si>
  <si>
    <t>2.22%</t>
  </si>
  <si>
    <t>3.11%</t>
  </si>
  <si>
    <t>253.2M</t>
  </si>
  <si>
    <t>265.13M</t>
  </si>
  <si>
    <t>275.89M</t>
  </si>
  <si>
    <t>261.76M</t>
  </si>
  <si>
    <t>296.81M</t>
  </si>
  <si>
    <t>256.06M</t>
  </si>
  <si>
    <t>268.56M</t>
  </si>
  <si>
    <t>279.76M</t>
  </si>
  <si>
    <t>265.84M</t>
  </si>
  <si>
    <t>300.81M</t>
  </si>
  <si>
    <t>(2.86M)</t>
  </si>
  <si>
    <t>(3.44M)</t>
  </si>
  <si>
    <t>(3.87M)</t>
  </si>
  <si>
    <t>(4.09M)</t>
  </si>
  <si>
    <t>4.71%</t>
  </si>
  <si>
    <t>4.06%</t>
  </si>
  <si>
    <t>-5.12%</t>
  </si>
  <si>
    <t>13.39%</t>
  </si>
  <si>
    <t>4.86</t>
  </si>
  <si>
    <t>4.11</t>
  </si>
  <si>
    <t>4.58</t>
  </si>
  <si>
    <t>4.56</t>
  </si>
  <si>
    <t>4.15</t>
  </si>
  <si>
    <t>226.22M</t>
  </si>
  <si>
    <t>211.25M</t>
  </si>
  <si>
    <t>212.04M</t>
  </si>
  <si>
    <t>208.61M</t>
  </si>
  <si>
    <t>227.76M</t>
  </si>
  <si>
    <t>126.14M</t>
  </si>
  <si>
    <t>85.03M</t>
  </si>
  <si>
    <t>83.91M</t>
  </si>
  <si>
    <t>76.84M</t>
  </si>
  <si>
    <t>71.1M</t>
  </si>
  <si>
    <t>56.19M</t>
  </si>
  <si>
    <t>71.98M</t>
  </si>
  <si>
    <t>77.06M</t>
  </si>
  <si>
    <t>98.25M</t>
  </si>
  <si>
    <t>43.9M</t>
  </si>
  <si>
    <t>54.23M</t>
  </si>
  <si>
    <t>48.58M</t>
  </si>
  <si>
    <t>54.71M</t>
  </si>
  <si>
    <t>58.41M</t>
  </si>
  <si>
    <t>52.76M</t>
  </si>
  <si>
    <t>29.97M</t>
  </si>
  <si>
    <t>54.42M</t>
  </si>
  <si>
    <t>57.29M</t>
  </si>
  <si>
    <t>17.47M</t>
  </si>
  <si>
    <t>618.54M</t>
  </si>
  <si>
    <t>577.2M</t>
  </si>
  <si>
    <t>588.4M</t>
  </si>
  <si>
    <t>611.59M</t>
  </si>
  <si>
    <t>608.49M</t>
  </si>
  <si>
    <t>233.1M</t>
  </si>
  <si>
    <t>302.56M</t>
  </si>
  <si>
    <t>299.44M</t>
  </si>
  <si>
    <t>308.86M</t>
  </si>
  <si>
    <t>334.49M</t>
  </si>
  <si>
    <t>634.46M</t>
  </si>
  <si>
    <t>686.54M</t>
  </si>
  <si>
    <t>672.23M</t>
  </si>
  <si>
    <t>714.81M</t>
  </si>
  <si>
    <t>762.19M</t>
  </si>
  <si>
    <t>127.12M</t>
  </si>
  <si>
    <t>154.94M</t>
  </si>
  <si>
    <t>145.14M</t>
  </si>
  <si>
    <t>156.29M</t>
  </si>
  <si>
    <t>169.7M</t>
  </si>
  <si>
    <t>15.26M</t>
  </si>
  <si>
    <t>21.94M</t>
  </si>
  <si>
    <t>19.42M</t>
  </si>
  <si>
    <t>19.15M</t>
  </si>
  <si>
    <t>19.95M</t>
  </si>
  <si>
    <t>401.37M</t>
  </si>
  <si>
    <t>383.98M</t>
  </si>
  <si>
    <t>372.79M</t>
  </si>
  <si>
    <t>405.95M</t>
  </si>
  <si>
    <t>427.7M</t>
  </si>
  <si>
    <t>7.04M</t>
  </si>
  <si>
    <t>963.88M</t>
  </si>
  <si>
    <t>1.18B</t>
  </si>
  <si>
    <t>1.12B</t>
  </si>
  <si>
    <t>579.91M</t>
  </si>
  <si>
    <t>649.7M</t>
  </si>
  <si>
    <t>594.95M</t>
  </si>
  <si>
    <t>587.99M</t>
  </si>
  <si>
    <t>633.44M</t>
  </si>
  <si>
    <t>383.97M</t>
  </si>
  <si>
    <t>534.29M</t>
  </si>
  <si>
    <t>554.69M</t>
  </si>
  <si>
    <t>528.32M</t>
  </si>
  <si>
    <t>522.26M</t>
  </si>
  <si>
    <t>23.12M</t>
  </si>
  <si>
    <t>50.58M</t>
  </si>
  <si>
    <t>26.35M</t>
  </si>
  <si>
    <t>23.97M</t>
  </si>
  <si>
    <t>13.43M</t>
  </si>
  <si>
    <t>11.43M</t>
  </si>
  <si>
    <t>11.85M</t>
  </si>
  <si>
    <t>11.02M</t>
  </si>
  <si>
    <t>10.41M</t>
  </si>
  <si>
    <t>1.87B</t>
  </si>
  <si>
    <t>2.12B</t>
  </si>
  <si>
    <t>2.06B</t>
  </si>
  <si>
    <t>2.14B</t>
  </si>
  <si>
    <t>13.65%</t>
  </si>
  <si>
    <t>-2.34%</t>
  </si>
  <si>
    <t>-0.58%</t>
  </si>
  <si>
    <t>3.67%</t>
  </si>
  <si>
    <t>4.49M</t>
  </si>
  <si>
    <t>57.08M</t>
  </si>
  <si>
    <t>8.89M</t>
  </si>
  <si>
    <t>24.2M</t>
  </si>
  <si>
    <t>32.89M</t>
  </si>
  <si>
    <t>3.8M</t>
  </si>
  <si>
    <t>1.07M</t>
  </si>
  <si>
    <t>8.03M</t>
  </si>
  <si>
    <t>22.68M</t>
  </si>
  <si>
    <t>30.83M</t>
  </si>
  <si>
    <t>699000</t>
  </si>
  <si>
    <t>56.01M</t>
  </si>
  <si>
    <t>862000</t>
  </si>
  <si>
    <t>2.07M</t>
  </si>
  <si>
    <t>99.04M</t>
  </si>
  <si>
    <t>88.72M</t>
  </si>
  <si>
    <t>94.8M</t>
  </si>
  <si>
    <t>97.04M</t>
  </si>
  <si>
    <t>112.02M</t>
  </si>
  <si>
    <t>-10.42%</t>
  </si>
  <si>
    <t>6.86%</t>
  </si>
  <si>
    <t>2.35%</t>
  </si>
  <si>
    <t>15.45%</t>
  </si>
  <si>
    <t>13.59M</t>
  </si>
  <si>
    <t>21.76M</t>
  </si>
  <si>
    <t>25.68M</t>
  </si>
  <si>
    <t>26.48M</t>
  </si>
  <si>
    <t>96.36M</t>
  </si>
  <si>
    <t>140.92M</t>
  </si>
  <si>
    <t>139.64M</t>
  </si>
  <si>
    <t>105.64M</t>
  </si>
  <si>
    <t>130.49M</t>
  </si>
  <si>
    <t>43.19M</t>
  </si>
  <si>
    <t>45.87M</t>
  </si>
  <si>
    <t>50.18M</t>
  </si>
  <si>
    <t>35.63M</t>
  </si>
  <si>
    <t>45.82M</t>
  </si>
  <si>
    <t>53.17M</t>
  </si>
  <si>
    <t>95.06M</t>
  </si>
  <si>
    <t>89.46M</t>
  </si>
  <si>
    <t>70.01M</t>
  </si>
  <si>
    <t>84.67M</t>
  </si>
  <si>
    <t>199.9M</t>
  </si>
  <si>
    <t>300.32M</t>
  </si>
  <si>
    <t>265.09M</t>
  </si>
  <si>
    <t>252.55M</t>
  </si>
  <si>
    <t>301.88M</t>
  </si>
  <si>
    <t>642.12M</t>
  </si>
  <si>
    <t>490.34M</t>
  </si>
  <si>
    <t>495.84M</t>
  </si>
  <si>
    <t>485.71M</t>
  </si>
  <si>
    <t>468.06M</t>
  </si>
  <si>
    <t>487.22M</t>
  </si>
  <si>
    <t>492.66M</t>
  </si>
  <si>
    <t>3.12M</t>
  </si>
  <si>
    <t>159.1M</t>
  </si>
  <si>
    <t>80.88M</t>
  </si>
  <si>
    <t>115.06M</t>
  </si>
  <si>
    <t>112.89M</t>
  </si>
  <si>
    <t>109.35M</t>
  </si>
  <si>
    <t>18.75M</t>
  </si>
  <si>
    <t>92.19M</t>
  </si>
  <si>
    <t>60.09M</t>
  </si>
  <si>
    <t>61.23M</t>
  </si>
  <si>
    <t>41.01M</t>
  </si>
  <si>
    <t>48.71M</t>
  </si>
  <si>
    <t>94.51M</t>
  </si>
  <si>
    <t>70.15M</t>
  </si>
  <si>
    <t>62.36M</t>
  </si>
  <si>
    <t>29.96M</t>
  </si>
  <si>
    <t>2.31M</t>
  </si>
  <si>
    <t>10.06M</t>
  </si>
  <si>
    <t>25.43M</t>
  </si>
  <si>
    <t>16.21M</t>
  </si>
  <si>
    <t>15.95M</t>
  </si>
  <si>
    <t>20.6M</t>
  </si>
  <si>
    <t>23.44M</t>
  </si>
  <si>
    <t>982.26M</t>
  </si>
  <si>
    <t>962.09M</t>
  </si>
  <si>
    <t>934.11M</t>
  </si>
  <si>
    <t>969.18M</t>
  </si>
  <si>
    <t>57.18%</t>
  </si>
  <si>
    <t>46.25%</t>
  </si>
  <si>
    <t>46.39%</t>
  </si>
  <si>
    <t>45.30%</t>
  </si>
  <si>
    <t>45.34%</t>
  </si>
  <si>
    <t>800.12M</t>
  </si>
  <si>
    <t>1.11B</t>
  </si>
  <si>
    <t>1.17B</t>
  </si>
  <si>
    <t>592000</t>
  </si>
  <si>
    <t>603000</t>
  </si>
  <si>
    <t>612000</t>
  </si>
  <si>
    <t>621000</t>
  </si>
  <si>
    <t>627000</t>
  </si>
  <si>
    <t>633.45M</t>
  </si>
  <si>
    <t>881.17M</t>
  </si>
  <si>
    <t>974.51M</t>
  </si>
  <si>
    <t>99.74M</t>
  </si>
  <si>
    <t>16.57M</t>
  </si>
  <si>
    <t>(37.66M)</t>
  </si>
  <si>
    <t>(86.03M)</t>
  </si>
  <si>
    <t>(99.76M)</t>
  </si>
  <si>
    <t>(156.65M)</t>
  </si>
  <si>
    <t>(169.41M)</t>
  </si>
  <si>
    <t>(226.42M)</t>
  </si>
  <si>
    <t>(251.83M)</t>
  </si>
  <si>
    <t>42.82%</t>
  </si>
  <si>
    <t>53.61%</t>
  </si>
  <si>
    <t>54.70%</t>
  </si>
  <si>
    <t>54.66%</t>
  </si>
  <si>
    <t>184.02%</t>
  </si>
  <si>
    <t>-56.24%</t>
  </si>
  <si>
    <t>2.54%</t>
  </si>
  <si>
    <t>43.17M</t>
  </si>
  <si>
    <t>36.99M</t>
  </si>
  <si>
    <t>9.45M</t>
  </si>
  <si>
    <t>3.41M</t>
  </si>
  <si>
    <t>(9.84M)</t>
  </si>
  <si>
    <t>(2.21M)</t>
  </si>
  <si>
    <t>10.5M</t>
  </si>
  <si>
    <t>(296.17M)</t>
  </si>
  <si>
    <t>5.7M</t>
  </si>
  <si>
    <t>13.07M</t>
  </si>
  <si>
    <t>11.14M</t>
  </si>
  <si>
    <t>172.56M</t>
  </si>
  <si>
    <t>42.83M</t>
  </si>
  <si>
    <t>195.62M</t>
  </si>
  <si>
    <t>215.82M</t>
  </si>
  <si>
    <t>224.69M</t>
  </si>
  <si>
    <t>(36.18M)</t>
  </si>
  <si>
    <t>(32.74M)</t>
  </si>
  <si>
    <t>(8.72M)</t>
  </si>
  <si>
    <t>(5.92M)</t>
  </si>
  <si>
    <t>(7.04M)</t>
  </si>
  <si>
    <t>(4.16M)</t>
  </si>
  <si>
    <t>(23.76M)</t>
  </si>
  <si>
    <t>(21.37M)</t>
  </si>
  <si>
    <t>14.03M</t>
  </si>
  <si>
    <t>(23.06M)</t>
  </si>
  <si>
    <t>(5.49M)</t>
  </si>
  <si>
    <t>2.38M</t>
  </si>
  <si>
    <t>8.12M</t>
  </si>
  <si>
    <t>(2.94M)</t>
  </si>
  <si>
    <t>11.78M</t>
  </si>
  <si>
    <t>(22.27M)</t>
  </si>
  <si>
    <t>(3.54M)</t>
  </si>
  <si>
    <t>(9.79M)</t>
  </si>
  <si>
    <t>1.01M</t>
  </si>
  <si>
    <t>(13.58M)</t>
  </si>
  <si>
    <t>10.09M</t>
  </si>
  <si>
    <t>186.9M</t>
  </si>
  <si>
    <t>209.9M</t>
  </si>
  <si>
    <t>217.65M</t>
  </si>
  <si>
    <t>-92.60%</t>
  </si>
  <si>
    <t>1,752.31%</t>
  </si>
  <si>
    <t>12.30%</t>
  </si>
  <si>
    <t>11.09%</t>
  </si>
  <si>
    <t>0.92%</t>
  </si>
  <si>
    <t>14.81%</t>
  </si>
  <si>
    <t>17.57%</t>
  </si>
  <si>
    <t>17.68%</t>
  </si>
  <si>
    <t>(37.79M)</t>
  </si>
  <si>
    <t>(73.94M)</t>
  </si>
  <si>
    <t>(127.47M)</t>
  </si>
  <si>
    <t>(66.98M)</t>
  </si>
  <si>
    <t>(51.68M)</t>
  </si>
  <si>
    <t>(57.3M)</t>
  </si>
  <si>
    <t>(57.37M)</t>
  </si>
  <si>
    <t>(45.98M)</t>
  </si>
  <si>
    <t>(47.58M)</t>
  </si>
  <si>
    <t>(16.64M)</t>
  </si>
  <si>
    <t>(70.1M)</t>
  </si>
  <si>
    <t>(21M)</t>
  </si>
  <si>
    <t>-95.68%</t>
  </si>
  <si>
    <t>-72.38%</t>
  </si>
  <si>
    <t>47.45%</t>
  </si>
  <si>
    <t>22.85%</t>
  </si>
  <si>
    <t>-6.78%</t>
  </si>
  <si>
    <t>-10.10%</t>
  </si>
  <si>
    <t>-5.61%</t>
  </si>
  <si>
    <t>-4.20%</t>
  </si>
  <si>
    <t>(297M)</t>
  </si>
  <si>
    <t>(307.26M)</t>
  </si>
  <si>
    <t>(1.18M)</t>
  </si>
  <si>
    <t>(51.95M)</t>
  </si>
  <si>
    <t>(128.61M)</t>
  </si>
  <si>
    <t>854000</t>
  </si>
  <si>
    <t>540.71M</t>
  </si>
  <si>
    <t>849000</t>
  </si>
  <si>
    <t>3.44M</t>
  </si>
  <si>
    <t>780000</t>
  </si>
  <si>
    <t>(3.78M)</t>
  </si>
  <si>
    <t>(2.06M)</t>
  </si>
  <si>
    <t>(1.34M)</t>
  </si>
  <si>
    <t>4.9M</t>
  </si>
  <si>
    <t>4.89M</t>
  </si>
  <si>
    <t>(332.81M)</t>
  </si>
  <si>
    <t>157.44M</t>
  </si>
  <si>
    <t>(124.25M)</t>
  </si>
  <si>
    <t>(115.49M)</t>
  </si>
  <si>
    <t>(179.51M)</t>
  </si>
  <si>
    <t>147.31%</t>
  </si>
  <si>
    <t>-178.92%</t>
  </si>
  <si>
    <t>7.05%</t>
  </si>
  <si>
    <t>-55.43%</t>
  </si>
  <si>
    <t>-27.06%</t>
  </si>
  <si>
    <t>14.43%</t>
  </si>
  <si>
    <t>-9.84%</t>
  </si>
  <si>
    <t>-9.67%</t>
  </si>
  <si>
    <t>-14.58%</t>
  </si>
  <si>
    <t>(21.66M)</t>
  </si>
  <si>
    <t>(22.42M)</t>
  </si>
  <si>
    <t>(24.46M)</t>
  </si>
  <si>
    <t>(26.18M)</t>
  </si>
  <si>
    <t>(27.44M)</t>
  </si>
  <si>
    <t>(11.98M)</t>
  </si>
  <si>
    <t>(55.12M)</t>
  </si>
  <si>
    <t>3.07M</t>
  </si>
  <si>
    <t>(40.68M)</t>
  </si>
  <si>
    <t>(15.91M)</t>
  </si>
  <si>
    <t>(19.04M)</t>
  </si>
  <si>
    <t>(68.61M)</t>
  </si>
  <si>
    <t>(8.39M)</t>
  </si>
  <si>
    <t>(52.1M)</t>
  </si>
  <si>
    <t>(20.52M)</t>
  </si>
  <si>
    <t>7.06M</t>
  </si>
  <si>
    <t>13.49M</t>
  </si>
  <si>
    <t>11.46M</t>
  </si>
  <si>
    <t>4.61M</t>
  </si>
  <si>
    <t>252.74M</t>
  </si>
  <si>
    <t>(107.7M)</t>
  </si>
  <si>
    <t>(46.9M)</t>
  </si>
  <si>
    <t>2.75M</t>
  </si>
  <si>
    <t>376M</t>
  </si>
  <si>
    <t>450.25M</t>
  </si>
  <si>
    <t>300.3M</t>
  </si>
  <si>
    <t>173.94M</t>
  </si>
  <si>
    <t>311.65M</t>
  </si>
  <si>
    <t>(123.26M)</t>
  </si>
  <si>
    <t>(557.95M)</t>
  </si>
  <si>
    <t>(347.2M)</t>
  </si>
  <si>
    <t>(171.2M)</t>
  </si>
  <si>
    <t>(321.51M)</t>
  </si>
  <si>
    <t>177000</t>
  </si>
  <si>
    <t>2.43M</t>
  </si>
  <si>
    <t>(15.25M)</t>
  </si>
  <si>
    <t>12.52M</t>
  </si>
  <si>
    <t>(114,000)</t>
  </si>
  <si>
    <t>(1.26M)</t>
  </si>
  <si>
    <t>(1.47M)</t>
  </si>
  <si>
    <t>(20.13M)</t>
  </si>
  <si>
    <t>(4.89M)</t>
  </si>
  <si>
    <t>1.44M</t>
  </si>
  <si>
    <t>3.9M</t>
  </si>
  <si>
    <t>219.28M</t>
  </si>
  <si>
    <t>(182.81M)</t>
  </si>
  <si>
    <t>(83.54M)</t>
  </si>
  <si>
    <t>(51.59M)</t>
  </si>
  <si>
    <t>(53.31M)</t>
  </si>
  <si>
    <t>-183.37%</t>
  </si>
  <si>
    <t>54.30%</t>
  </si>
  <si>
    <t>38.25%</t>
  </si>
  <si>
    <t>-3.34%</t>
  </si>
  <si>
    <t>17.83%</t>
  </si>
  <si>
    <t>-16.76%</t>
  </si>
  <si>
    <t>-6.62%</t>
  </si>
  <si>
    <t>-4.32%</t>
  </si>
  <si>
    <t>-4.33%</t>
  </si>
  <si>
    <t>(227,000)</t>
  </si>
  <si>
    <t>(3.92M)</t>
  </si>
  <si>
    <t>(4.92M)</t>
  </si>
  <si>
    <t>23.85M</t>
  </si>
  <si>
    <t>(15.5M)</t>
  </si>
  <si>
    <t>(24.82M)</t>
  </si>
  <si>
    <t>37.89M</t>
  </si>
  <si>
    <t>(17.48M)</t>
  </si>
  <si>
    <t>98.59M</t>
  </si>
  <si>
    <t>(47.21M)</t>
  </si>
  <si>
    <t>163.91M</t>
  </si>
  <si>
    <t>170.07M</t>
  </si>
  <si>
    <t>-147.89%</t>
  </si>
  <si>
    <t>374.35%</t>
  </si>
  <si>
    <t>26.54%</t>
  </si>
  <si>
    <t>3.76%</t>
  </si>
  <si>
    <t>5.51%</t>
  </si>
  <si>
    <t>AGCO</t>
  </si>
  <si>
    <t>AIMC</t>
  </si>
  <si>
    <t>Altra Industrial Motion</t>
  </si>
  <si>
    <t>AVY</t>
  </si>
  <si>
    <t>Avery Dennison</t>
  </si>
  <si>
    <t>ATI</t>
  </si>
  <si>
    <t>Allegheny Technologies</t>
  </si>
  <si>
    <t>OA</t>
  </si>
  <si>
    <t>Orbital ATK</t>
  </si>
  <si>
    <t>ITT</t>
  </si>
  <si>
    <t>5.74B</t>
  </si>
  <si>
    <t>41.03</t>
  </si>
  <si>
    <t>20.53</t>
  </si>
  <si>
    <t>1.19</t>
  </si>
  <si>
    <t>0.77</t>
  </si>
  <si>
    <t>2.04</t>
  </si>
  <si>
    <t>43.12</t>
  </si>
  <si>
    <t>18.72</t>
  </si>
  <si>
    <t>1.70</t>
  </si>
  <si>
    <t>3.61</t>
  </si>
  <si>
    <t>8.13B</t>
  </si>
  <si>
    <t>24.11</t>
  </si>
  <si>
    <t>17.32</t>
  </si>
  <si>
    <t>1.60</t>
  </si>
  <si>
    <t>1.32</t>
  </si>
  <si>
    <t>8.03</t>
  </si>
  <si>
    <t>-3.94</t>
  </si>
  <si>
    <t>Bureau Veritas SA (BVI.PA)</t>
  </si>
  <si>
    <t>20.22</t>
  </si>
  <si>
    <t>19.85</t>
  </si>
  <si>
    <t>19.82</t>
  </si>
  <si>
    <t>18.82 x 8700</t>
  </si>
  <si>
    <t>19.30 x 5000</t>
  </si>
  <si>
    <t>19.82 - 20.27</t>
  </si>
  <si>
    <t>16.62 - 21.81</t>
  </si>
  <si>
    <t>765492</t>
  </si>
  <si>
    <t>708693</t>
  </si>
  <si>
    <t>8.83B</t>
  </si>
  <si>
    <t>0.53</t>
  </si>
  <si>
    <t>27.70</t>
  </si>
  <si>
    <t>0.73</t>
  </si>
  <si>
    <t>0.62 (2.67%)</t>
  </si>
  <si>
    <t>2017-05-18</t>
  </si>
  <si>
    <t>19.77</t>
  </si>
  <si>
    <t>19</t>
  </si>
  <si>
    <t>18</t>
  </si>
  <si>
    <t>4.75B</t>
  </si>
  <si>
    <t>4.9B</t>
  </si>
  <si>
    <t>4.7B</t>
  </si>
  <si>
    <t>4.8B</t>
  </si>
  <si>
    <t>4.87B</t>
  </si>
  <si>
    <t>5.11B</t>
  </si>
  <si>
    <t>4.55B</t>
  </si>
  <si>
    <t>4.50%</t>
  </si>
  <si>
    <t>Invalid Date</t>
  </si>
  <si>
    <t>Invalid Date.1</t>
  </si>
  <si>
    <t>Invalid Date.2</t>
  </si>
  <si>
    <t>Invalid Date.3</t>
  </si>
  <si>
    <t>BVI.PA</t>
  </si>
  <si>
    <t>5.68%</t>
  </si>
  <si>
    <t>3.14%</t>
  </si>
  <si>
    <t>20.02</t>
  </si>
  <si>
    <t>3.64</t>
  </si>
  <si>
    <t>7.37</t>
  </si>
  <si>
    <t>7.02%</t>
  </si>
  <si>
    <t>13.31%</t>
  </si>
  <si>
    <t>6.72%</t>
  </si>
  <si>
    <t>28.30%</t>
  </si>
  <si>
    <t>10.41</t>
  </si>
  <si>
    <t>0.50%</t>
  </si>
  <si>
    <t>1.42B</t>
  </si>
  <si>
    <t>798.2M</t>
  </si>
  <si>
    <t>319.4M</t>
  </si>
  <si>
    <t>99.30%</t>
  </si>
  <si>
    <t>1.1B</t>
  </si>
  <si>
    <t>2.53</t>
  </si>
  <si>
    <t>3.08B</t>
  </si>
  <si>
    <t>247.98</t>
  </si>
  <si>
    <t>2.74</t>
  </si>
  <si>
    <t>594.4M</t>
  </si>
  <si>
    <t>296.62M</t>
  </si>
  <si>
    <t>1.66%</t>
  </si>
  <si>
    <t>21.81</t>
  </si>
  <si>
    <t>16.62</t>
  </si>
  <si>
    <t>20.01</t>
  </si>
  <si>
    <t>19.60</t>
  </si>
  <si>
    <t>708.69k</t>
  </si>
  <si>
    <t>608.08k</t>
  </si>
  <si>
    <t>436.49M</t>
  </si>
  <si>
    <t>254.91M</t>
  </si>
  <si>
    <t>0.62</t>
  </si>
  <si>
    <t>2.67%</t>
  </si>
  <si>
    <t>0.55</t>
  </si>
  <si>
    <t>2.77%</t>
  </si>
  <si>
    <t>69.86%</t>
  </si>
  <si>
    <t>May 18, 2017</t>
  </si>
  <si>
    <t>4/1</t>
  </si>
  <si>
    <t>Jun 21, 2013</t>
  </si>
  <si>
    <t>Mr. Didier Michaud-Daniel</t>
  </si>
  <si>
    <t>Chief Exec. Officer</t>
  </si>
  <si>
    <t>1.48M</t>
  </si>
  <si>
    <t>Mr. Nicolas Alain Marie Tissot</t>
  </si>
  <si>
    <t>Chief Financial Officer and Exec. VP of Fin.</t>
  </si>
  <si>
    <t>Mr. Xavier Savigny</t>
  </si>
  <si>
    <t>Exec. VP of HR</t>
  </si>
  <si>
    <t>Mr. Philippe Donche-Gay</t>
  </si>
  <si>
    <t>Sr. EVP, Dy CEO of International Ops &amp; Support &amp; Chairman &amp; Pres of the Marine &amp;Offshore div</t>
  </si>
  <si>
    <t>Mr. Eduardo Camargo</t>
  </si>
  <si>
    <t>Exec. VP of CIF2 Latin America</t>
  </si>
  <si>
    <t>CIRCOR International, Inc. (CIR)</t>
  </si>
  <si>
    <t>56.78</t>
  </si>
  <si>
    <t>56.12</t>
  </si>
  <si>
    <t>56.44</t>
  </si>
  <si>
    <t>55.75 - 57.88</t>
  </si>
  <si>
    <t>48.11 - 72.96</t>
  </si>
  <si>
    <t>102775</t>
  </si>
  <si>
    <t>87358</t>
  </si>
  <si>
    <t>936.53M</t>
  </si>
  <si>
    <t>1.79</t>
  </si>
  <si>
    <t>84.87</t>
  </si>
  <si>
    <t>0.15 (0.26%)</t>
  </si>
  <si>
    <t>67.40</t>
  </si>
  <si>
    <t>6</t>
  </si>
  <si>
    <t>158.11M</t>
  </si>
  <si>
    <t>161.66M</t>
  </si>
  <si>
    <t>642.46M</t>
  </si>
  <si>
    <t>698.61M</t>
  </si>
  <si>
    <t>155.6M</t>
  </si>
  <si>
    <t>148.6M</t>
  </si>
  <si>
    <t>615.4M</t>
  </si>
  <si>
    <t>640.1M</t>
  </si>
  <si>
    <t>160.15M</t>
  </si>
  <si>
    <t>173.7M</t>
  </si>
  <si>
    <t>661.4M</t>
  </si>
  <si>
    <t>739.6M</t>
  </si>
  <si>
    <t>146.39M</t>
  </si>
  <si>
    <t>134.83M</t>
  </si>
  <si>
    <t>590.26M</t>
  </si>
  <si>
    <t>8.00%</t>
  </si>
  <si>
    <t>19.90%</t>
  </si>
  <si>
    <t>8.80%</t>
  </si>
  <si>
    <t>0.41</t>
  </si>
  <si>
    <t>0.07</t>
  </si>
  <si>
    <t>-0.03</t>
  </si>
  <si>
    <t>15.20%</t>
  </si>
  <si>
    <t>7.00%</t>
  </si>
  <si>
    <t>17.10%</t>
  </si>
  <si>
    <t>-8.60%</t>
  </si>
  <si>
    <t>CIR</t>
  </si>
  <si>
    <t>-13.20%</t>
  </si>
  <si>
    <t>19.60%</t>
  </si>
  <si>
    <t>1.50%</t>
  </si>
  <si>
    <t>35.10%</t>
  </si>
  <si>
    <t>6.07%</t>
  </si>
  <si>
    <t>-8.67%</t>
  </si>
  <si>
    <t>20.80</t>
  </si>
  <si>
    <t>4.76</t>
  </si>
  <si>
    <t>Apr 2, 2017</t>
  </si>
  <si>
    <t>1.88%</t>
  </si>
  <si>
    <t>5.07%</t>
  </si>
  <si>
    <t>2.65%</t>
  </si>
  <si>
    <t>584.67M</t>
  </si>
  <si>
    <t>35.57</t>
  </si>
  <si>
    <t>-3.70%</t>
  </si>
  <si>
    <t>183.12M</t>
  </si>
  <si>
    <t>56.38M</t>
  </si>
  <si>
    <t>11M</t>
  </si>
  <si>
    <t>23.30%</t>
  </si>
  <si>
    <t>65.66M</t>
  </si>
  <si>
    <t>3.98</t>
  </si>
  <si>
    <t>243M</t>
  </si>
  <si>
    <t>58.48</t>
  </si>
  <si>
    <t>3.00</t>
  </si>
  <si>
    <t>25.21</t>
  </si>
  <si>
    <t>67.94M</t>
  </si>
  <si>
    <t>39.58M</t>
  </si>
  <si>
    <t>-4.49%</t>
  </si>
  <si>
    <t>72.96</t>
  </si>
  <si>
    <t>48.11</t>
  </si>
  <si>
    <t>60.36</t>
  </si>
  <si>
    <t>61.48</t>
  </si>
  <si>
    <t>87.36k</t>
  </si>
  <si>
    <t>87.47k</t>
  </si>
  <si>
    <t>16.49M</t>
  </si>
  <si>
    <t>16.29M</t>
  </si>
  <si>
    <t>17.42%</t>
  </si>
  <si>
    <t>94.90%</t>
  </si>
  <si>
    <t>1.33M</t>
  </si>
  <si>
    <t>14.03</t>
  </si>
  <si>
    <t>11.45%</t>
  </si>
  <si>
    <t>1.35M</t>
  </si>
  <si>
    <t>0.15</t>
  </si>
  <si>
    <t>0.28</t>
  </si>
  <si>
    <t>22.39%</t>
  </si>
  <si>
    <t>Jun 8, 2017</t>
  </si>
  <si>
    <t>1/1</t>
  </si>
  <si>
    <t>Aug 15, 1997</t>
  </si>
  <si>
    <t>Mr. Scott A. Buckhout</t>
  </si>
  <si>
    <t>1.09M</t>
  </si>
  <si>
    <t>Mr. Rajeev Bhalla</t>
  </si>
  <si>
    <t>Chief Financial Officer and Exec. VP</t>
  </si>
  <si>
    <t>726.33k</t>
  </si>
  <si>
    <t>Mr. Arjun Sharma</t>
  </si>
  <si>
    <t>Sr. VP of Bus. Devel.</t>
  </si>
  <si>
    <t>314.38k</t>
  </si>
  <si>
    <t>Mr. Erik Wiik</t>
  </si>
  <si>
    <t>VP and Group Pres of CIRCOR Energy</t>
  </si>
  <si>
    <t>572.75k</t>
  </si>
  <si>
    <t>Mr. Sumit Mehrotra</t>
  </si>
  <si>
    <t>Group Pres of Advanced Flow Solutions</t>
  </si>
  <si>
    <t>367.83k</t>
  </si>
  <si>
    <t>845.55M</t>
  </si>
  <si>
    <t>857.81M</t>
  </si>
  <si>
    <t>841.45M</t>
  </si>
  <si>
    <t>656.27M</t>
  </si>
  <si>
    <t>-1.91%</t>
  </si>
  <si>
    <t>-22.01%</t>
  </si>
  <si>
    <t>-10.06%</t>
  </si>
  <si>
    <t>604.01M</t>
  </si>
  <si>
    <t>589.56M</t>
  </si>
  <si>
    <t>576.44M</t>
  </si>
  <si>
    <t>447.55M</t>
  </si>
  <si>
    <t>403.34M</t>
  </si>
  <si>
    <t>584.68M</t>
  </si>
  <si>
    <t>570.49M</t>
  </si>
  <si>
    <t>556.87M</t>
  </si>
  <si>
    <t>423.61M</t>
  </si>
  <si>
    <t>377.72M</t>
  </si>
  <si>
    <t>19.33M</t>
  </si>
  <si>
    <t>19.07M</t>
  </si>
  <si>
    <t>19.56M</t>
  </si>
  <si>
    <t>23.94M</t>
  </si>
  <si>
    <t>25.62M</t>
  </si>
  <si>
    <t>15.73M</t>
  </si>
  <si>
    <t>16.03M</t>
  </si>
  <si>
    <t>16.45M</t>
  </si>
  <si>
    <t>14.25M</t>
  </si>
  <si>
    <t>13.3M</t>
  </si>
  <si>
    <t>3.6M</t>
  </si>
  <si>
    <t>3.04M</t>
  </si>
  <si>
    <t>9.68M</t>
  </si>
  <si>
    <t>12.32M</t>
  </si>
  <si>
    <t>-2.39%</t>
  </si>
  <si>
    <t>-2.23%</t>
  </si>
  <si>
    <t>-22.36%</t>
  </si>
  <si>
    <t>-9.88%</t>
  </si>
  <si>
    <t>241.54M</t>
  </si>
  <si>
    <t>268.25M</t>
  </si>
  <si>
    <t>265.01M</t>
  </si>
  <si>
    <t>208.72M</t>
  </si>
  <si>
    <t>186.92M</t>
  </si>
  <si>
    <t>11.06%</t>
  </si>
  <si>
    <t>-1.21%</t>
  </si>
  <si>
    <t>-21.24%</t>
  </si>
  <si>
    <t>-10.45%</t>
  </si>
  <si>
    <t>31.67%</t>
  </si>
  <si>
    <t>179.38M</t>
  </si>
  <si>
    <t>182.95M</t>
  </si>
  <si>
    <t>178.8M</t>
  </si>
  <si>
    <t>156.3M</t>
  </si>
  <si>
    <t>154.82M</t>
  </si>
  <si>
    <t>8.4M</t>
  </si>
  <si>
    <t>6.5M</t>
  </si>
  <si>
    <t>7.8M</t>
  </si>
  <si>
    <t>5.9M</t>
  </si>
  <si>
    <t>170.98M</t>
  </si>
  <si>
    <t>176.45M</t>
  </si>
  <si>
    <t>171M</t>
  </si>
  <si>
    <t>150.4M</t>
  </si>
  <si>
    <t>148.92M</t>
  </si>
  <si>
    <t>1.99%</t>
  </si>
  <si>
    <t>-2.27%</t>
  </si>
  <si>
    <t>-12.58%</t>
  </si>
  <si>
    <t>-0.95%</t>
  </si>
  <si>
    <t>15.63M</t>
  </si>
  <si>
    <t>16.12M</t>
  </si>
  <si>
    <t>21.45M</t>
  </si>
  <si>
    <t>26.75M</t>
  </si>
  <si>
    <t>21.18M</t>
  </si>
  <si>
    <t>46.53M</t>
  </si>
  <si>
    <t>69.17M</t>
  </si>
  <si>
    <t>64.76M</t>
  </si>
  <si>
    <t>25.67M</t>
  </si>
  <si>
    <t>10.92M</t>
  </si>
  <si>
    <t>(513,000)</t>
  </si>
  <si>
    <t>(1.98M)</t>
  </si>
  <si>
    <t>1.16M</t>
  </si>
  <si>
    <t>(402,000)</t>
  </si>
  <si>
    <t>269000</t>
  </si>
  <si>
    <t>264000</t>
  </si>
  <si>
    <t>4.53M</t>
  </si>
  <si>
    <t>3.43M</t>
  </si>
  <si>
    <t>2.65M</t>
  </si>
  <si>
    <t>2.84M</t>
  </si>
  <si>
    <t>-24.36%</t>
  </si>
  <si>
    <t>-22.57%</t>
  </si>
  <si>
    <t>7.24%</t>
  </si>
  <si>
    <t>16.39%</t>
  </si>
  <si>
    <t>41.76M</t>
  </si>
  <si>
    <t>64.04M</t>
  </si>
  <si>
    <t>63.26M</t>
  </si>
  <si>
    <t>22.43M</t>
  </si>
  <si>
    <t>53.35%</t>
  </si>
  <si>
    <t>-64.55%</t>
  </si>
  <si>
    <t>-56.84%</t>
  </si>
  <si>
    <t>1.64%</t>
  </si>
  <si>
    <t>10.96M</t>
  </si>
  <si>
    <t>16.92M</t>
  </si>
  <si>
    <t>12.88M</t>
  </si>
  <si>
    <t>12.57M</t>
  </si>
  <si>
    <t>(421,000)</t>
  </si>
  <si>
    <t>5.16M</t>
  </si>
  <si>
    <t>(507,000)</t>
  </si>
  <si>
    <t>6.85M</t>
  </si>
  <si>
    <t>7.83M</t>
  </si>
  <si>
    <t>10.46M</t>
  </si>
  <si>
    <t>10.82M</t>
  </si>
  <si>
    <t>(1.25M)</t>
  </si>
  <si>
    <t>(516,000)</t>
  </si>
  <si>
    <t>(1.15M)</t>
  </si>
  <si>
    <t>(7.41M)</t>
  </si>
  <si>
    <t>415000</t>
  </si>
  <si>
    <t>6.29M</t>
  </si>
  <si>
    <t>(1.59M)</t>
  </si>
  <si>
    <t>(3.33M)</t>
  </si>
  <si>
    <t>30.8M</t>
  </si>
  <si>
    <t>47.12M</t>
  </si>
  <si>
    <t>50.39M</t>
  </si>
  <si>
    <t>9.86M</t>
  </si>
  <si>
    <t>10.1M</t>
  </si>
  <si>
    <t>53.00%</t>
  </si>
  <si>
    <t>6.93%</t>
  </si>
  <si>
    <t>-80.43%</t>
  </si>
  <si>
    <t>2.41%</t>
  </si>
  <si>
    <t>1.71%</t>
  </si>
  <si>
    <t>1.77</t>
  </si>
  <si>
    <t>2.68</t>
  </si>
  <si>
    <t>2.85</t>
  </si>
  <si>
    <t>51.41%</t>
  </si>
  <si>
    <t>6.34%</t>
  </si>
  <si>
    <t>-79.30%</t>
  </si>
  <si>
    <t>5.08%</t>
  </si>
  <si>
    <t>17.41M</t>
  </si>
  <si>
    <t>17.56M</t>
  </si>
  <si>
    <t>17.66M</t>
  </si>
  <si>
    <t>16.85M</t>
  </si>
  <si>
    <t>16.42M</t>
  </si>
  <si>
    <t>2.67</t>
  </si>
  <si>
    <t>0.58</t>
  </si>
  <si>
    <t>51.70%</t>
  </si>
  <si>
    <t>6.37%</t>
  </si>
  <si>
    <t>-79.58%</t>
  </si>
  <si>
    <t>5.17%</t>
  </si>
  <si>
    <t>17.45M</t>
  </si>
  <si>
    <t>17.63M</t>
  </si>
  <si>
    <t>17.77M</t>
  </si>
  <si>
    <t>16.91M</t>
  </si>
  <si>
    <t>16.54M</t>
  </si>
  <si>
    <t>81.49M</t>
  </si>
  <si>
    <t>104.37M</t>
  </si>
  <si>
    <t>105.77M</t>
  </si>
  <si>
    <t>76.36M</t>
  </si>
  <si>
    <t>57.72M</t>
  </si>
  <si>
    <t>28.07%</t>
  </si>
  <si>
    <t>-27.81%</t>
  </si>
  <si>
    <t>-24.41%</t>
  </si>
  <si>
    <t>9.78%</t>
  </si>
  <si>
    <t>61.84M</t>
  </si>
  <si>
    <t>102.28M</t>
  </si>
  <si>
    <t>121.37M</t>
  </si>
  <si>
    <t>54.54M</t>
  </si>
  <si>
    <t>58.28M</t>
  </si>
  <si>
    <t>61.74M</t>
  </si>
  <si>
    <t>102.18M</t>
  </si>
  <si>
    <t>121.29M</t>
  </si>
  <si>
    <t>101000</t>
  </si>
  <si>
    <t>95000</t>
  </si>
  <si>
    <t>86000</t>
  </si>
  <si>
    <t>65.39%</t>
  </si>
  <si>
    <t>18.67%</t>
  </si>
  <si>
    <t>-55.06%</t>
  </si>
  <si>
    <t>6.85%</t>
  </si>
  <si>
    <t>8.71%</t>
  </si>
  <si>
    <t>16.75%</t>
  </si>
  <si>
    <t>8.14%</t>
  </si>
  <si>
    <t>7.10%</t>
  </si>
  <si>
    <t>150.83M</t>
  </si>
  <si>
    <t>144.74M</t>
  </si>
  <si>
    <t>156.74M</t>
  </si>
  <si>
    <t>125.63M</t>
  </si>
  <si>
    <t>133.05M</t>
  </si>
  <si>
    <t>152.53M</t>
  </si>
  <si>
    <t>147.19M</t>
  </si>
  <si>
    <t>166.27M</t>
  </si>
  <si>
    <t>133.92M</t>
  </si>
  <si>
    <t>138.1M</t>
  </si>
  <si>
    <t>(1.71M)</t>
  </si>
  <si>
    <t>(2.45M)</t>
  </si>
  <si>
    <t>(9.54M)</t>
  </si>
  <si>
    <t>(8.29M)</t>
  </si>
  <si>
    <t>(5.06M)</t>
  </si>
  <si>
    <t>-4.03%</t>
  </si>
  <si>
    <t>8.29%</t>
  </si>
  <si>
    <t>-19.85%</t>
  </si>
  <si>
    <t>5.90%</t>
  </si>
  <si>
    <t>5.61</t>
  </si>
  <si>
    <t>5.93</t>
  </si>
  <si>
    <t>5.37</t>
  </si>
  <si>
    <t>5.22</t>
  </si>
  <si>
    <t>4.44</t>
  </si>
  <si>
    <t>198.01M</t>
  </si>
  <si>
    <t>199.4M</t>
  </si>
  <si>
    <t>183.43M</t>
  </si>
  <si>
    <t>177.84M</t>
  </si>
  <si>
    <t>149.58M</t>
  </si>
  <si>
    <t>48.34M</t>
  </si>
  <si>
    <t>43.8M</t>
  </si>
  <si>
    <t>43.08M</t>
  </si>
  <si>
    <t>26.51M</t>
  </si>
  <si>
    <t>86.56M</t>
  </si>
  <si>
    <t>95.24M</t>
  </si>
  <si>
    <t>82.13M</t>
  </si>
  <si>
    <t>83.32M</t>
  </si>
  <si>
    <t>68.72M</t>
  </si>
  <si>
    <t>63.1M</t>
  </si>
  <si>
    <t>59.26M</t>
  </si>
  <si>
    <t>57.51M</t>
  </si>
  <si>
    <t>51.44M</t>
  </si>
  <si>
    <t>54.36M</t>
  </si>
  <si>
    <t>32.56M</t>
  </si>
  <si>
    <t>37.5M</t>
  </si>
  <si>
    <t>44.49M</t>
  </si>
  <si>
    <t>29.56M</t>
  </si>
  <si>
    <t>443.23M</t>
  </si>
  <si>
    <t>483.92M</t>
  </si>
  <si>
    <t>506.03M</t>
  </si>
  <si>
    <t>374.45M</t>
  </si>
  <si>
    <t>370.47M</t>
  </si>
  <si>
    <t>105.9M</t>
  </si>
  <si>
    <t>107.72M</t>
  </si>
  <si>
    <t>96.21M</t>
  </si>
  <si>
    <t>87.03M</t>
  </si>
  <si>
    <t>99.71M</t>
  </si>
  <si>
    <t>261.74M</t>
  </si>
  <si>
    <t>274.93M</t>
  </si>
  <si>
    <t>266.19M</t>
  </si>
  <si>
    <t>253.37M</t>
  </si>
  <si>
    <t>258.85M</t>
  </si>
  <si>
    <t>69.03M</t>
  </si>
  <si>
    <t>74.37M</t>
  </si>
  <si>
    <t>68.82M</t>
  </si>
  <si>
    <t>66.08M</t>
  </si>
  <si>
    <t>70.98M</t>
  </si>
  <si>
    <t>14.41M</t>
  </si>
  <si>
    <t>14.4M</t>
  </si>
  <si>
    <t>12.44M</t>
  </si>
  <si>
    <t>13.08M</t>
  </si>
  <si>
    <t>19.51M</t>
  </si>
  <si>
    <t>21.12M</t>
  </si>
  <si>
    <t>22.86M</t>
  </si>
  <si>
    <t>23.5M</t>
  </si>
  <si>
    <t>23.98M</t>
  </si>
  <si>
    <t>10.67M</t>
  </si>
  <si>
    <t>11.27M</t>
  </si>
  <si>
    <t>10.53M</t>
  </si>
  <si>
    <t>10.6M</t>
  </si>
  <si>
    <t>9.93M</t>
  </si>
  <si>
    <t>155.84M</t>
  </si>
  <si>
    <t>167.21M</t>
  </si>
  <si>
    <t>169.98M</t>
  </si>
  <si>
    <t>166.34M</t>
  </si>
  <si>
    <t>159.14M</t>
  </si>
  <si>
    <t>122.59M</t>
  </si>
  <si>
    <t>111.53M</t>
  </si>
  <si>
    <t>99.32M</t>
  </si>
  <si>
    <t>164.43M</t>
  </si>
  <si>
    <t>342.44M</t>
  </si>
  <si>
    <t>77.43M</t>
  </si>
  <si>
    <t>75.88M</t>
  </si>
  <si>
    <t>72.43M</t>
  </si>
  <si>
    <t>115.45M</t>
  </si>
  <si>
    <t>206.66M</t>
  </si>
  <si>
    <t>45.16M</t>
  </si>
  <si>
    <t>35.66M</t>
  </si>
  <si>
    <t>26.89M</t>
  </si>
  <si>
    <t>48.98M</t>
  </si>
  <si>
    <t>135.78M</t>
  </si>
  <si>
    <t>8.2M</t>
  </si>
  <si>
    <t>4.11M</t>
  </si>
  <si>
    <t>7.2M</t>
  </si>
  <si>
    <t>3.32M</t>
  </si>
  <si>
    <t>709.98M</t>
  </si>
  <si>
    <t>726.65M</t>
  </si>
  <si>
    <t>724.72M</t>
  </si>
  <si>
    <t>669.92M</t>
  </si>
  <si>
    <t>820.76M</t>
  </si>
  <si>
    <t>-0.27%</t>
  </si>
  <si>
    <t>-7.56%</t>
  </si>
  <si>
    <t>22.52%</t>
  </si>
  <si>
    <t>8.42M</t>
  </si>
  <si>
    <t>80.36M</t>
  </si>
  <si>
    <t>70.59M</t>
  </si>
  <si>
    <t>87.11M</t>
  </si>
  <si>
    <t>64.28M</t>
  </si>
  <si>
    <t>46.77M</t>
  </si>
  <si>
    <t>-12.16%</t>
  </si>
  <si>
    <t>23.41%</t>
  </si>
  <si>
    <t>-26.21%</t>
  </si>
  <si>
    <t>-27.25%</t>
  </si>
  <si>
    <t>393000</t>
  </si>
  <si>
    <t>3.97M</t>
  </si>
  <si>
    <t>1.31M</t>
  </si>
  <si>
    <t>6.59M</t>
  </si>
  <si>
    <t>2.56M</t>
  </si>
  <si>
    <t>93.78M</t>
  </si>
  <si>
    <t>88.8M</t>
  </si>
  <si>
    <t>88.64M</t>
  </si>
  <si>
    <t>71.3M</t>
  </si>
  <si>
    <t>68.4M</t>
  </si>
  <si>
    <t>26.54M</t>
  </si>
  <si>
    <t>44.19M</t>
  </si>
  <si>
    <t>39.8M</t>
  </si>
  <si>
    <t>28.87M</t>
  </si>
  <si>
    <t>20.25M</t>
  </si>
  <si>
    <t>67.24M</t>
  </si>
  <si>
    <t>44.61M</t>
  </si>
  <si>
    <t>48.84M</t>
  </si>
  <si>
    <t>42.43M</t>
  </si>
  <si>
    <t>48.15M</t>
  </si>
  <si>
    <t>182.28M</t>
  </si>
  <si>
    <t>170.55M</t>
  </si>
  <si>
    <t>185.49M</t>
  </si>
  <si>
    <t>142.17M</t>
  </si>
  <si>
    <t>117.72M</t>
  </si>
  <si>
    <t>62.73M</t>
  </si>
  <si>
    <t>42.44M</t>
  </si>
  <si>
    <t>5.26M</t>
  </si>
  <si>
    <t>90.5M</t>
  </si>
  <si>
    <t>251.2M</t>
  </si>
  <si>
    <t>62.25M</t>
  </si>
  <si>
    <t>42.1M</t>
  </si>
  <si>
    <t>5.07M</t>
  </si>
  <si>
    <t>483000</t>
  </si>
  <si>
    <t>331000</t>
  </si>
  <si>
    <t>187000</t>
  </si>
  <si>
    <t>(19.32M)</t>
  </si>
  <si>
    <t>(8.91M)</t>
  </si>
  <si>
    <t>(11.28M)</t>
  </si>
  <si>
    <t>(26.38M)</t>
  </si>
  <si>
    <t>8.83M</t>
  </si>
  <si>
    <t>10.74M</t>
  </si>
  <si>
    <t>9.67M</t>
  </si>
  <si>
    <t>7.77M</t>
  </si>
  <si>
    <t>10.42M</t>
  </si>
  <si>
    <t>13.66M</t>
  </si>
  <si>
    <t>30.06M</t>
  </si>
  <si>
    <t>18.58M</t>
  </si>
  <si>
    <t>19.05M</t>
  </si>
  <si>
    <t>36.8M</t>
  </si>
  <si>
    <t>4.82M</t>
  </si>
  <si>
    <t>35.98M</t>
  </si>
  <si>
    <t>27.11M</t>
  </si>
  <si>
    <t>32.11M</t>
  </si>
  <si>
    <t>26.04M</t>
  </si>
  <si>
    <t>33.77M</t>
  </si>
  <si>
    <t>291.73M</t>
  </si>
  <si>
    <t>249.76M</t>
  </si>
  <si>
    <t>230.63M</t>
  </si>
  <si>
    <t>269.14M</t>
  </si>
  <si>
    <t>416.35M</t>
  </si>
  <si>
    <t>41.09%</t>
  </si>
  <si>
    <t>34.37%</t>
  </si>
  <si>
    <t>31.82%</t>
  </si>
  <si>
    <t>40.17%</t>
  </si>
  <si>
    <t>50.73%</t>
  </si>
  <si>
    <t>418.25M</t>
  </si>
  <si>
    <t>476.89M</t>
  </si>
  <si>
    <t>494.09M</t>
  </si>
  <si>
    <t>400.78M</t>
  </si>
  <si>
    <t>404.41M</t>
  </si>
  <si>
    <t>174000</t>
  </si>
  <si>
    <t>176000</t>
  </si>
  <si>
    <t>178000</t>
  </si>
  <si>
    <t>158.51M</t>
  </si>
  <si>
    <t>202.93M</t>
  </si>
  <si>
    <t>250.64M</t>
  </si>
  <si>
    <t>257.94M</t>
  </si>
  <si>
    <t>265.54M</t>
  </si>
  <si>
    <t>(74.97M)</t>
  </si>
  <si>
    <t>(74.47M)</t>
  </si>
  <si>
    <t>58.91%</t>
  </si>
  <si>
    <t>65.63%</t>
  </si>
  <si>
    <t>68.18%</t>
  </si>
  <si>
    <t>59.83%</t>
  </si>
  <si>
    <t>49.27%</t>
  </si>
  <si>
    <t>(832,000)</t>
  </si>
  <si>
    <t>5.78M</t>
  </si>
  <si>
    <t>(2.74M)</t>
  </si>
  <si>
    <t>781000</t>
  </si>
  <si>
    <t>(10.74M)</t>
  </si>
  <si>
    <t>15.5M</t>
  </si>
  <si>
    <t>7.47M</t>
  </si>
  <si>
    <t>18.31M</t>
  </si>
  <si>
    <t>26.17M</t>
  </si>
  <si>
    <t>25.69M</t>
  </si>
  <si>
    <t>64.79M</t>
  </si>
  <si>
    <t>79.45M</t>
  </si>
  <si>
    <t>85.52M</t>
  </si>
  <si>
    <t>60.75M</t>
  </si>
  <si>
    <t>50.67M</t>
  </si>
  <si>
    <t>(4.27M)</t>
  </si>
  <si>
    <t>(7.24M)</t>
  </si>
  <si>
    <t>(14.69M)</t>
  </si>
  <si>
    <t>(33.61M)</t>
  </si>
  <si>
    <t>8.73M</t>
  </si>
  <si>
    <t>(38.44M)</t>
  </si>
  <si>
    <t>20.39M</t>
  </si>
  <si>
    <t>18.54M</t>
  </si>
  <si>
    <t>(15.29M)</t>
  </si>
  <si>
    <t>26.82M</t>
  </si>
  <si>
    <t>(2.42M)</t>
  </si>
  <si>
    <t>160000</t>
  </si>
  <si>
    <t>884000</t>
  </si>
  <si>
    <t>(39.56M)</t>
  </si>
  <si>
    <t>(45.9M)</t>
  </si>
  <si>
    <t>60.52M</t>
  </si>
  <si>
    <t>72.21M</t>
  </si>
  <si>
    <t>70.83M</t>
  </si>
  <si>
    <t>27.14M</t>
  </si>
  <si>
    <t>59.4M</t>
  </si>
  <si>
    <t>19.30%</t>
  </si>
  <si>
    <t>-61.68%</t>
  </si>
  <si>
    <t>118.85%</t>
  </si>
  <si>
    <t>8.42%</t>
  </si>
  <si>
    <t>4.14%</t>
  </si>
  <si>
    <t>10.06%</t>
  </si>
  <si>
    <t>(18.17M)</t>
  </si>
  <si>
    <t>(17.33M)</t>
  </si>
  <si>
    <t>(12.81M)</t>
  </si>
  <si>
    <t>(12.71M)</t>
  </si>
  <si>
    <t>4.63%</t>
  </si>
  <si>
    <t>26.07%</t>
  </si>
  <si>
    <t>0.77%</t>
  </si>
  <si>
    <t>-2.02%</t>
  </si>
  <si>
    <t>-1.52%</t>
  </si>
  <si>
    <t>-1.94%</t>
  </si>
  <si>
    <t>-2.49%</t>
  </si>
  <si>
    <t>(79.98M)</t>
  </si>
  <si>
    <t>(197.49M)</t>
  </si>
  <si>
    <t>541000</t>
  </si>
  <si>
    <t>664000</t>
  </si>
  <si>
    <t>791000</t>
  </si>
  <si>
    <t>4.97M</t>
  </si>
  <si>
    <t>1.7M</t>
  </si>
  <si>
    <t>3.4M</t>
  </si>
  <si>
    <t>10.18M</t>
  </si>
  <si>
    <t>(17.63M)</t>
  </si>
  <si>
    <t>(13.26M)</t>
  </si>
  <si>
    <t>(1.84M)</t>
  </si>
  <si>
    <t>(87.73M)</t>
  </si>
  <si>
    <t>(210.48M)</t>
  </si>
  <si>
    <t>24.76%</t>
  </si>
  <si>
    <t>86.11%</t>
  </si>
  <si>
    <t>-4,662.54%</t>
  </si>
  <si>
    <t>-139.93%</t>
  </si>
  <si>
    <t>-2.08%</t>
  </si>
  <si>
    <t>-0.22%</t>
  </si>
  <si>
    <t>-13.37%</t>
  </si>
  <si>
    <t>-35.66%</t>
  </si>
  <si>
    <t>(2.66M)</t>
  </si>
  <si>
    <t>(2.7M)</t>
  </si>
  <si>
    <t>(2.68M)</t>
  </si>
  <si>
    <t>(2.56M)</t>
  </si>
  <si>
    <t>(2.5M)</t>
  </si>
  <si>
    <t>406000</t>
  </si>
  <si>
    <t>2.39M</t>
  </si>
  <si>
    <t>420000</t>
  </si>
  <si>
    <t>(74.71M)</t>
  </si>
  <si>
    <t>746000</t>
  </si>
  <si>
    <t>258000</t>
  </si>
  <si>
    <t>500000</t>
  </si>
  <si>
    <t>246000</t>
  </si>
  <si>
    <t>(34.51M)</t>
  </si>
  <si>
    <t>(19.66M)</t>
  </si>
  <si>
    <t>(36.22M)</t>
  </si>
  <si>
    <t>79.39M</t>
  </si>
  <si>
    <t>160.66M</t>
  </si>
  <si>
    <t>186.41M</t>
  </si>
  <si>
    <t>146.58M</t>
  </si>
  <si>
    <t>149.14M</t>
  </si>
  <si>
    <t>261.39M</t>
  </si>
  <si>
    <t>323.2M</t>
  </si>
  <si>
    <t>(220.92M)</t>
  </si>
  <si>
    <t>(166.24M)</t>
  </si>
  <si>
    <t>(185.36M)</t>
  </si>
  <si>
    <t>(182M)</t>
  </si>
  <si>
    <t>(162.54M)</t>
  </si>
  <si>
    <t>(642,000)</t>
  </si>
  <si>
    <t>732000</t>
  </si>
  <si>
    <t>756000</t>
  </si>
  <si>
    <t>134000</t>
  </si>
  <si>
    <t>(145,000)</t>
  </si>
  <si>
    <t>(37.41M)</t>
  </si>
  <si>
    <t>(19.24M)</t>
  </si>
  <si>
    <t>(37.72M)</t>
  </si>
  <si>
    <t>2.25M</t>
  </si>
  <si>
    <t>158.76M</t>
  </si>
  <si>
    <t>48.58%</t>
  </si>
  <si>
    <t>-96.12%</t>
  </si>
  <si>
    <t>105.97%</t>
  </si>
  <si>
    <t>6,953.04%</t>
  </si>
  <si>
    <t>-4.42%</t>
  </si>
  <si>
    <t>-2.24%</t>
  </si>
  <si>
    <t>-4.48%</t>
  </si>
  <si>
    <t>0.34%</t>
  </si>
  <si>
    <t>26.90%</t>
  </si>
  <si>
    <t>1.4M</t>
  </si>
  <si>
    <t>735000</t>
  </si>
  <si>
    <t>(12.16M)</t>
  </si>
  <si>
    <t>(8.5M)</t>
  </si>
  <si>
    <t>(3.94M)</t>
  </si>
  <si>
    <t>6.88M</t>
  </si>
  <si>
    <t>40.44M</t>
  </si>
  <si>
    <t>19.1M</t>
  </si>
  <si>
    <t>(66.83M)</t>
  </si>
  <si>
    <t>3.74M</t>
  </si>
  <si>
    <t>42.35M</t>
  </si>
  <si>
    <t>54.88M</t>
  </si>
  <si>
    <t>58.02M</t>
  </si>
  <si>
    <t>14.43M</t>
  </si>
  <si>
    <t>44.71M</t>
  </si>
  <si>
    <t>29.57%</t>
  </si>
  <si>
    <t>5.72%</t>
  </si>
  <si>
    <t>-75.13%</t>
  </si>
  <si>
    <t>209.80%</t>
  </si>
  <si>
    <t>3.93%</t>
  </si>
  <si>
    <t>BOOM</t>
  </si>
  <si>
    <t>DMC Global</t>
  </si>
  <si>
    <t>NNBR</t>
  </si>
  <si>
    <t>NN</t>
  </si>
  <si>
    <t>NPK</t>
  </si>
  <si>
    <t>National Presto Indus</t>
  </si>
  <si>
    <t>OFLX</t>
  </si>
  <si>
    <t>Omega Flex</t>
  </si>
  <si>
    <t>MICT</t>
  </si>
  <si>
    <t>Micronet Enertec</t>
  </si>
  <si>
    <t>SDEV</t>
  </si>
  <si>
    <t>Security Devices International</t>
  </si>
  <si>
    <t>192.89M</t>
  </si>
  <si>
    <t>-20.37</t>
  </si>
  <si>
    <t>17.70</t>
  </si>
  <si>
    <t>3.63</t>
  </si>
  <si>
    <t>1.23</t>
  </si>
  <si>
    <t>764.9M</t>
  </si>
  <si>
    <t>45.66</t>
  </si>
  <si>
    <t>15.82</t>
  </si>
  <si>
    <t>0.87</t>
  </si>
  <si>
    <t>2.33</t>
  </si>
  <si>
    <t>791.05M</t>
  </si>
  <si>
    <t>14.27</t>
  </si>
  <si>
    <t>2.39</t>
  </si>
  <si>
    <t>610.25M</t>
  </si>
  <si>
    <t>38.44</t>
  </si>
  <si>
    <t>6.16</t>
  </si>
  <si>
    <t>12.22</t>
  </si>
  <si>
    <t>FULING POWER (600452.SS)</t>
  </si>
  <si>
    <t>41.97</t>
  </si>
  <si>
    <t>41.92</t>
  </si>
  <si>
    <t>42.19</t>
  </si>
  <si>
    <t>41.59 - 42.36</t>
  </si>
  <si>
    <t>31.03 - 55.55</t>
  </si>
  <si>
    <t>696289</t>
  </si>
  <si>
    <t>867369</t>
  </si>
  <si>
    <t>6.72B</t>
  </si>
  <si>
    <t>N/A (N/A)</t>
  </si>
  <si>
    <t>56.10</t>
  </si>
  <si>
    <t>2.13B</t>
  </si>
  <si>
    <t>2.55B</t>
  </si>
  <si>
    <t>2.42B</t>
  </si>
  <si>
    <t>2.2B</t>
  </si>
  <si>
    <t>2.77B</t>
  </si>
  <si>
    <t>28.20%</t>
  </si>
  <si>
    <t>600452.SS</t>
  </si>
  <si>
    <t>47.60%</t>
  </si>
  <si>
    <t>29.00%</t>
  </si>
  <si>
    <t>46.41%</t>
  </si>
  <si>
    <t>867.37k</t>
  </si>
  <si>
    <t>999.5k</t>
  </si>
  <si>
    <t>Civista Bancshares, Inc. (CIVB)</t>
  </si>
  <si>
    <t>21.04</t>
  </si>
  <si>
    <t>20.96</t>
  </si>
  <si>
    <t>21.05</t>
  </si>
  <si>
    <t>20.64 - 21.05</t>
  </si>
  <si>
    <t>12.99 - 23.75</t>
  </si>
  <si>
    <t>27700</t>
  </si>
  <si>
    <t>59004</t>
  </si>
  <si>
    <t>213.75M</t>
  </si>
  <si>
    <t>0.68</t>
  </si>
  <si>
    <t>13.66</t>
  </si>
  <si>
    <t>1.54</t>
  </si>
  <si>
    <t>0.24 (1.14%)</t>
  </si>
  <si>
    <t>2017-04-13</t>
  </si>
  <si>
    <t>24.00</t>
  </si>
  <si>
    <t>3</t>
  </si>
  <si>
    <t>17.64M</t>
  </si>
  <si>
    <t>17.55M</t>
  </si>
  <si>
    <t>71.48M</t>
  </si>
  <si>
    <t>76.37M</t>
  </si>
  <si>
    <t>17.3M</t>
  </si>
  <si>
    <t>17.15M</t>
  </si>
  <si>
    <t>70.24M</t>
  </si>
  <si>
    <t>74.41M</t>
  </si>
  <si>
    <t>17.9M</t>
  </si>
  <si>
    <t>72.4M</t>
  </si>
  <si>
    <t>77.8M</t>
  </si>
  <si>
    <t>17.02M</t>
  </si>
  <si>
    <t>16.18M</t>
  </si>
  <si>
    <t>66.39M</t>
  </si>
  <si>
    <t>8.50%</t>
  </si>
  <si>
    <t>7.70%</t>
  </si>
  <si>
    <t>0.45</t>
  </si>
  <si>
    <t>0.31</t>
  </si>
  <si>
    <t>0.34</t>
  </si>
  <si>
    <t>0.33</t>
  </si>
  <si>
    <t>0.4</t>
  </si>
  <si>
    <t>0.05</t>
  </si>
  <si>
    <t>-0.01</t>
  </si>
  <si>
    <t>17.20%</t>
  </si>
  <si>
    <t>-2.40%</t>
  </si>
  <si>
    <t>CIVB</t>
  </si>
  <si>
    <t>-34.00%</t>
  </si>
  <si>
    <t>-8.80%</t>
  </si>
  <si>
    <t>-15.90%</t>
  </si>
  <si>
    <t>10.60%</t>
  </si>
  <si>
    <t>29.75%</t>
  </si>
  <si>
    <t>14.41</t>
  </si>
  <si>
    <t>1.99</t>
  </si>
  <si>
    <t>3.13</t>
  </si>
  <si>
    <t>1.36</t>
  </si>
  <si>
    <t>25.10%</t>
  </si>
  <si>
    <t>36.99%</t>
  </si>
  <si>
    <t>1.11%</t>
  </si>
  <si>
    <t>11.22%</t>
  </si>
  <si>
    <t>68.23M</t>
  </si>
  <si>
    <t>8.20</t>
  </si>
  <si>
    <t>3.10%</t>
  </si>
  <si>
    <t>15.7M</t>
  </si>
  <si>
    <t>125.82M</t>
  </si>
  <si>
    <t>12.39</t>
  </si>
  <si>
    <t>68.1M</t>
  </si>
  <si>
    <t>15.48</t>
  </si>
  <si>
    <t>9.08M</t>
  </si>
  <si>
    <t>49.82%</t>
  </si>
  <si>
    <t>23.75</t>
  </si>
  <si>
    <t>12.99</t>
  </si>
  <si>
    <t>20.66</t>
  </si>
  <si>
    <t>21.34</t>
  </si>
  <si>
    <t>59k</t>
  </si>
  <si>
    <t>50.14k</t>
  </si>
  <si>
    <t>10.16M</t>
  </si>
  <si>
    <t>8.97M</t>
  </si>
  <si>
    <t>8.44%</t>
  </si>
  <si>
    <t>8.20%</t>
  </si>
  <si>
    <t>52.32k</t>
  </si>
  <si>
    <t>6.05</t>
  </si>
  <si>
    <t>0.64%</t>
  </si>
  <si>
    <t>600.04k</t>
  </si>
  <si>
    <t>0.24</t>
  </si>
  <si>
    <t>1.14%</t>
  </si>
  <si>
    <t>0.23</t>
  </si>
  <si>
    <t>1.10%</t>
  </si>
  <si>
    <t>1.80</t>
  </si>
  <si>
    <t>14.94%</t>
  </si>
  <si>
    <t>Aug 1, 2017</t>
  </si>
  <si>
    <t>Apr 13, 2017</t>
  </si>
  <si>
    <t>May 9, 1996</t>
  </si>
  <si>
    <t>Mr. James O. Miller</t>
  </si>
  <si>
    <t>Chairman, CEO &amp; Pres</t>
  </si>
  <si>
    <t>539.43k</t>
  </si>
  <si>
    <t>Mr. Todd A. Michel</t>
  </si>
  <si>
    <t>Principal Financial Officer, Principal Accounting Officer, SVP &amp; Controller</t>
  </si>
  <si>
    <t>216.47k</t>
  </si>
  <si>
    <t>Mr. Richard J. Dutton</t>
  </si>
  <si>
    <t>COO, Sr. VP, COO of Civista Bank and Exec. VP of Civista Bank</t>
  </si>
  <si>
    <t>325.95k</t>
  </si>
  <si>
    <t>Mr. James E. McGookey</t>
  </si>
  <si>
    <t>SVP, Gen. Counsel and Sec.</t>
  </si>
  <si>
    <t>254.2k</t>
  </si>
  <si>
    <t>Mr. Dennis G. Shaffer</t>
  </si>
  <si>
    <t>Exec. VP, Pres of Civista Bank and Director of Civista Bank</t>
  </si>
  <si>
    <t>348.54k</t>
  </si>
  <si>
    <t>Interest Income</t>
  </si>
  <si>
    <t>46.76M</t>
  </si>
  <si>
    <t>44.88M</t>
  </si>
  <si>
    <t>46.08M</t>
  </si>
  <si>
    <t>50.7M</t>
  </si>
  <si>
    <t>53.57M</t>
  </si>
  <si>
    <t>Interest and Fees on Loans</t>
  </si>
  <si>
    <t>40.05M</t>
  </si>
  <si>
    <t>38.78M</t>
  </si>
  <si>
    <t>39.65M</t>
  </si>
  <si>
    <t>44.78M</t>
  </si>
  <si>
    <t>47.19M</t>
  </si>
  <si>
    <t>Interest Income on Fed. Funds</t>
  </si>
  <si>
    <t>109000</t>
  </si>
  <si>
    <t>131000</t>
  </si>
  <si>
    <t>139000</t>
  </si>
  <si>
    <t>102000</t>
  </si>
  <si>
    <t>Interest Income on Fed. Repos</t>
  </si>
  <si>
    <t>Interest on Bank Deposits</t>
  </si>
  <si>
    <t>396000</t>
  </si>
  <si>
    <t>Other Interest or Dividend Income</t>
  </si>
  <si>
    <t>6.61M</t>
  </si>
  <si>
    <t>5.82M</t>
  </si>
  <si>
    <t>5.99M</t>
  </si>
  <si>
    <t>Interest Income Growth</t>
  </si>
  <si>
    <t>-4.02%</t>
  </si>
  <si>
    <t>2.66%</t>
  </si>
  <si>
    <t>10.04%</t>
  </si>
  <si>
    <t>5.65%</t>
  </si>
  <si>
    <t>Total Interest Expense</t>
  </si>
  <si>
    <t>6.18M</t>
  </si>
  <si>
    <t>4.91M</t>
  </si>
  <si>
    <t>4.1M</t>
  </si>
  <si>
    <t>Interest Expense on Bank Deposits</t>
  </si>
  <si>
    <t>2.29M</t>
  </si>
  <si>
    <t>Other Interest Expense</t>
  </si>
  <si>
    <t>2.1M</t>
  </si>
  <si>
    <t>1.79M</t>
  </si>
  <si>
    <t>1.2M</t>
  </si>
  <si>
    <t>Interest Expense on Debt</t>
  </si>
  <si>
    <t>Other Borrowed Funds</t>
  </si>
  <si>
    <t>Total Interest Expense Growth</t>
  </si>
  <si>
    <t>-20.65%</t>
  </si>
  <si>
    <t>-16.36%</t>
  </si>
  <si>
    <t>-19.37%</t>
  </si>
  <si>
    <t>-0.03%</t>
  </si>
  <si>
    <t>Net Interest Income</t>
  </si>
  <si>
    <t>40.58M</t>
  </si>
  <si>
    <t>39.97M</t>
  </si>
  <si>
    <t>41.97M</t>
  </si>
  <si>
    <t>47.39M</t>
  </si>
  <si>
    <t>50.26M</t>
  </si>
  <si>
    <t>Net Interest Income Growth</t>
  </si>
  <si>
    <t>-1.49%</t>
  </si>
  <si>
    <t>5.00%</t>
  </si>
  <si>
    <t>12.92%</t>
  </si>
  <si>
    <t>6.05%</t>
  </si>
  <si>
    <t>Loan Loss Provision</t>
  </si>
  <si>
    <t>1.5M</t>
  </si>
  <si>
    <t>(1.3M)</t>
  </si>
  <si>
    <t>Loan Loss Provision Growth</t>
  </si>
  <si>
    <t>-82.81%</t>
  </si>
  <si>
    <t>36.36%</t>
  </si>
  <si>
    <t>-20.00%</t>
  </si>
  <si>
    <t>-208.33%</t>
  </si>
  <si>
    <t>Net Interest Income after Provision</t>
  </si>
  <si>
    <t>34.18M</t>
  </si>
  <si>
    <t>38.87M</t>
  </si>
  <si>
    <t>40.47M</t>
  </si>
  <si>
    <t>46.19M</t>
  </si>
  <si>
    <t>51.56M</t>
  </si>
  <si>
    <t>Net Interest Inc After Loan Loss Prov Growth</t>
  </si>
  <si>
    <t>13.74%</t>
  </si>
  <si>
    <t>4.11%</t>
  </si>
  <si>
    <t>14.14%</t>
  </si>
  <si>
    <t>11.62%</t>
  </si>
  <si>
    <t>Net Interest Margin</t>
  </si>
  <si>
    <t>Non-Interest Income</t>
  </si>
  <si>
    <t>11.2M</t>
  </si>
  <si>
    <t>12.06M</t>
  </si>
  <si>
    <t>13.77M</t>
  </si>
  <si>
    <t>14.28M</t>
  </si>
  <si>
    <t>16.13M</t>
  </si>
  <si>
    <t>Securities Gain</t>
  </si>
  <si>
    <t>158000</t>
  </si>
  <si>
    <t>204000</t>
  </si>
  <si>
    <t>113000</t>
  </si>
  <si>
    <t>(18,000)</t>
  </si>
  <si>
    <t>19000</t>
  </si>
  <si>
    <t>Trading Account Income</t>
  </si>
  <si>
    <t>Trust Income, Commissions &amp; Fees</t>
  </si>
  <si>
    <t>8.62M</t>
  </si>
  <si>
    <t>9.07M</t>
  </si>
  <si>
    <t>12.21M</t>
  </si>
  <si>
    <t>12.61M</t>
  </si>
  <si>
    <t>Commission &amp; Fee Income</t>
  </si>
  <si>
    <t>6.46M</t>
  </si>
  <si>
    <t>6.45M</t>
  </si>
  <si>
    <t>8.96M</t>
  </si>
  <si>
    <t>Other Operating Income</t>
  </si>
  <si>
    <t>1.8M</t>
  </si>
  <si>
    <t>2.33M</t>
  </si>
  <si>
    <t>789000</t>
  </si>
  <si>
    <t>1.41M</t>
  </si>
  <si>
    <t>Non-Interest Expense</t>
  </si>
  <si>
    <t>38.07M</t>
  </si>
  <si>
    <t>43.38M</t>
  </si>
  <si>
    <t>41.55M</t>
  </si>
  <si>
    <t>42.94M</t>
  </si>
  <si>
    <t>43.86M</t>
  </si>
  <si>
    <t>Labor &amp; Related Expense</t>
  </si>
  <si>
    <t>21.19M</t>
  </si>
  <si>
    <t>24.96M</t>
  </si>
  <si>
    <t>22.69M</t>
  </si>
  <si>
    <t>26.06M</t>
  </si>
  <si>
    <t>Equipment Expense</t>
  </si>
  <si>
    <t>3.38M</t>
  </si>
  <si>
    <t>3.48M</t>
  </si>
  <si>
    <t>3.68M</t>
  </si>
  <si>
    <t>3.92M</t>
  </si>
  <si>
    <t>4.34M</t>
  </si>
  <si>
    <t>10.95M</t>
  </si>
  <si>
    <t>12.3M</t>
  </si>
  <si>
    <t>13.12M</t>
  </si>
  <si>
    <t>11.28M</t>
  </si>
  <si>
    <t>Operating Income</t>
  </si>
  <si>
    <t>7.3M</t>
  </si>
  <si>
    <t>7.55M</t>
  </si>
  <si>
    <t>17.53M</t>
  </si>
  <si>
    <t>23.84M</t>
  </si>
  <si>
    <t>Operating Income Growth</t>
  </si>
  <si>
    <t>3.40%</t>
  </si>
  <si>
    <t>68.03%</t>
  </si>
  <si>
    <t>38.11%</t>
  </si>
  <si>
    <t>36.00%</t>
  </si>
  <si>
    <t>Operating Income Margin</t>
  </si>
  <si>
    <t>34.20%</t>
  </si>
  <si>
    <t>Non-Operating Income (Expense)</t>
  </si>
  <si>
    <t>Miscellaneous Non Operating Expense</t>
  </si>
  <si>
    <t>Income Taxes</t>
  </si>
  <si>
    <t>3.16M</t>
  </si>
  <si>
    <t>4.78M</t>
  </si>
  <si>
    <t>6.62M</t>
  </si>
  <si>
    <t>Income Tax - Current - Domestic</t>
  </si>
  <si>
    <t>11000</t>
  </si>
  <si>
    <t>3.15M</t>
  </si>
  <si>
    <t>5.19M</t>
  </si>
  <si>
    <t>Income Tax - Current - Foreign</t>
  </si>
  <si>
    <t>Income Tax - Deferred - Domestic</t>
  </si>
  <si>
    <t>330000</t>
  </si>
  <si>
    <t>1.36M</t>
  </si>
  <si>
    <t>(410,000)</t>
  </si>
  <si>
    <t>170000</t>
  </si>
  <si>
    <t>Income Tax - Deferred - Foreign</t>
  </si>
  <si>
    <t>5.58M</t>
  </si>
  <si>
    <t>9.53M</t>
  </si>
  <si>
    <t>12.75M</t>
  </si>
  <si>
    <t>17.22M</t>
  </si>
  <si>
    <t>10.75%</t>
  </si>
  <si>
    <t>54.20%</t>
  </si>
  <si>
    <t>33.76%</t>
  </si>
  <si>
    <t>35.09%</t>
  </si>
  <si>
    <t>Net Margin</t>
  </si>
  <si>
    <t>24.70%</t>
  </si>
  <si>
    <t>1.19M</t>
  </si>
  <si>
    <t>1.87M</t>
  </si>
  <si>
    <t>1.58M</t>
  </si>
  <si>
    <t>5.02M</t>
  </si>
  <si>
    <t>7.66M</t>
  </si>
  <si>
    <t>11.17M</t>
  </si>
  <si>
    <t>15.72M</t>
  </si>
  <si>
    <t>0.57</t>
  </si>
  <si>
    <t>0.65</t>
  </si>
  <si>
    <t>0.99</t>
  </si>
  <si>
    <t>1.43</t>
  </si>
  <si>
    <t>1.96</t>
  </si>
  <si>
    <t>14.04%</t>
  </si>
  <si>
    <t>52.31%</t>
  </si>
  <si>
    <t>44.44%</t>
  </si>
  <si>
    <t>37.06%</t>
  </si>
  <si>
    <t>7.71M</t>
  </si>
  <si>
    <t>7.82M</t>
  </si>
  <si>
    <t>0.85</t>
  </si>
  <si>
    <t>1.17</t>
  </si>
  <si>
    <t>1.57</t>
  </si>
  <si>
    <t>12.28%</t>
  </si>
  <si>
    <t>32.81%</t>
  </si>
  <si>
    <t>37.65%</t>
  </si>
  <si>
    <t>34.19%</t>
  </si>
  <si>
    <t>10.9M</t>
  </si>
  <si>
    <t>Total Cash &amp; Due from Banks</t>
  </si>
  <si>
    <t>46.13M</t>
  </si>
  <si>
    <t>33.88M</t>
  </si>
  <si>
    <t>29.86M</t>
  </si>
  <si>
    <t>35.56M</t>
  </si>
  <si>
    <t>36.7M</t>
  </si>
  <si>
    <t>Cash &amp; Due from Banks Growth</t>
  </si>
  <si>
    <t>-26.55%</t>
  </si>
  <si>
    <t>-11.88%</t>
  </si>
  <si>
    <t>19.10%</t>
  </si>
  <si>
    <t>3.19%</t>
  </si>
  <si>
    <t>Investments - Total</t>
  </si>
  <si>
    <t>221.4M</t>
  </si>
  <si>
    <t>215.48M</t>
  </si>
  <si>
    <t>212.9M</t>
  </si>
  <si>
    <t>212.4M</t>
  </si>
  <si>
    <t>212.19M</t>
  </si>
  <si>
    <t>Trading Account Securities</t>
  </si>
  <si>
    <t>Federal Funds Sold &amp; Securities Purchased</t>
  </si>
  <si>
    <t>Federal Funds Sold</t>
  </si>
  <si>
    <t>Securities Bought Under Resale Agreement</t>
  </si>
  <si>
    <t>Treasury Securities</t>
  </si>
  <si>
    <t>54.29M</t>
  </si>
  <si>
    <t>42.9M</t>
  </si>
  <si>
    <t>40.94M</t>
  </si>
  <si>
    <t>37.45M</t>
  </si>
  <si>
    <t>Federal Agency Securities</t>
  </si>
  <si>
    <t>15.42M</t>
  </si>
  <si>
    <t>13.45M</t>
  </si>
  <si>
    <t>14.06M</t>
  </si>
  <si>
    <t>State &amp; Municipal Securities</t>
  </si>
  <si>
    <t>79.81M</t>
  </si>
  <si>
    <t>80.63M</t>
  </si>
  <si>
    <t>88.02M</t>
  </si>
  <si>
    <t>92.15M</t>
  </si>
  <si>
    <t>95M</t>
  </si>
  <si>
    <t>Mortgage Backed Securities</t>
  </si>
  <si>
    <t>69.44M</t>
  </si>
  <si>
    <t>66.98M</t>
  </si>
  <si>
    <t>66.44M</t>
  </si>
  <si>
    <t>62.57M</t>
  </si>
  <si>
    <t>62.64M</t>
  </si>
  <si>
    <t>Other Securities</t>
  </si>
  <si>
    <t>449000</t>
  </si>
  <si>
    <t>13.13M</t>
  </si>
  <si>
    <t>587000</t>
  </si>
  <si>
    <t>778000</t>
  </si>
  <si>
    <t>Other Investments</t>
  </si>
  <si>
    <t>438000</t>
  </si>
  <si>
    <t>2.41M</t>
  </si>
  <si>
    <t>2.27M</t>
  </si>
  <si>
    <t>Investments Growth</t>
  </si>
  <si>
    <t>-2.68%</t>
  </si>
  <si>
    <t>-1.19%</t>
  </si>
  <si>
    <t>-0.24%</t>
  </si>
  <si>
    <t>-0.10%</t>
  </si>
  <si>
    <t>Net Loans</t>
  </si>
  <si>
    <t>795.81M</t>
  </si>
  <si>
    <t>844.71M</t>
  </si>
  <si>
    <t>900.59M</t>
  </si>
  <si>
    <t>987.17M</t>
  </si>
  <si>
    <t>Gross Loans - Net of Unearned Income</t>
  </si>
  <si>
    <t>815.55M</t>
  </si>
  <si>
    <t>861.24M</t>
  </si>
  <si>
    <t>914.86M</t>
  </si>
  <si>
    <t>1B</t>
  </si>
  <si>
    <t>1.06B</t>
  </si>
  <si>
    <t>Commercial &amp; Industrial Loans</t>
  </si>
  <si>
    <t>100.66M</t>
  </si>
  <si>
    <t>115.88M</t>
  </si>
  <si>
    <t>114.19M</t>
  </si>
  <si>
    <t>124.4M</t>
  </si>
  <si>
    <t>135.46M</t>
  </si>
  <si>
    <t>Consumer &amp; Installment Loans</t>
  </si>
  <si>
    <t>9.81M</t>
  </si>
  <si>
    <t>15.03M</t>
  </si>
  <si>
    <t>18.56M</t>
  </si>
  <si>
    <t>17.98M</t>
  </si>
  <si>
    <t>Real Estate Mortgage Loans</t>
  </si>
  <si>
    <t>705.08M</t>
  </si>
  <si>
    <t>734.5M</t>
  </si>
  <si>
    <t>785.64M</t>
  </si>
  <si>
    <t>858.57M</t>
  </si>
  <si>
    <t>902.07M</t>
  </si>
  <si>
    <t>Lease Financing Loans</t>
  </si>
  <si>
    <t>Foreign Loans</t>
  </si>
  <si>
    <t>Broker &amp; Financial Institution Loans</t>
  </si>
  <si>
    <t>Unspecified/Other Loans</t>
  </si>
  <si>
    <t>Unearned Income</t>
  </si>
  <si>
    <t>Loan Loss Allowances (Reserves)</t>
  </si>
  <si>
    <t>(19.74M)</t>
  </si>
  <si>
    <t>(16.53M)</t>
  </si>
  <si>
    <t>(14.27M)</t>
  </si>
  <si>
    <t>(14.36M)</t>
  </si>
  <si>
    <t>(13.31M)</t>
  </si>
  <si>
    <t>Customer Liability on Acceptances</t>
  </si>
  <si>
    <t>Loans - 1 Yr Growth Rate</t>
  </si>
  <si>
    <t>6.14%</t>
  </si>
  <si>
    <t>6.61%</t>
  </si>
  <si>
    <t>5.58%</t>
  </si>
  <si>
    <t>Loans (Total) / Total Deposits</t>
  </si>
  <si>
    <t>Loans (Total) / Total Assets</t>
  </si>
  <si>
    <t>17.17M</t>
  </si>
  <si>
    <t>16.94M</t>
  </si>
  <si>
    <t>17.92M</t>
  </si>
  <si>
    <t>Other Assets (Including Intangibles)</t>
  </si>
  <si>
    <t>48.7M</t>
  </si>
  <si>
    <t>48.93M</t>
  </si>
  <si>
    <t>49.88M</t>
  </si>
  <si>
    <t>57.01M</t>
  </si>
  <si>
    <t>61.64M</t>
  </si>
  <si>
    <t>24.92M</t>
  </si>
  <si>
    <t>26.14M</t>
  </si>
  <si>
    <t>27.5M</t>
  </si>
  <si>
    <t>32.76M</t>
  </si>
  <si>
    <t>24.01M</t>
  </si>
  <si>
    <t>23.75M</t>
  </si>
  <si>
    <t>29.5M</t>
  </si>
  <si>
    <t>28.88M</t>
  </si>
  <si>
    <t>Interest Receivables</t>
  </si>
  <si>
    <t>3.71M</t>
  </si>
  <si>
    <t>3.88M</t>
  </si>
  <si>
    <t>3.85M</t>
  </si>
  <si>
    <t>Assets - Total Growth</t>
  </si>
  <si>
    <t>2.42%</t>
  </si>
  <si>
    <t>3.96%</t>
  </si>
  <si>
    <t>8.34%</t>
  </si>
  <si>
    <t>4.64%</t>
  </si>
  <si>
    <t>Return On Average Assets</t>
  </si>
  <si>
    <t>1.27%</t>
  </si>
  <si>
    <t>Total Deposits</t>
  </si>
  <si>
    <t>926.39M</t>
  </si>
  <si>
    <t>942.48M</t>
  </si>
  <si>
    <t>968.92M</t>
  </si>
  <si>
    <t>Demand Deposits</t>
  </si>
  <si>
    <t>372.61M</t>
  </si>
  <si>
    <t>403.09M</t>
  </si>
  <si>
    <t>430.09M</t>
  </si>
  <si>
    <t>476.92M</t>
  </si>
  <si>
    <t>529.35M</t>
  </si>
  <si>
    <t>Savings/Time Deposits</t>
  </si>
  <si>
    <t>553.78M</t>
  </si>
  <si>
    <t>539.39M</t>
  </si>
  <si>
    <t>538.83M</t>
  </si>
  <si>
    <t>575.12M</t>
  </si>
  <si>
    <t>591.76M</t>
  </si>
  <si>
    <t>Foreign Office Deposits</t>
  </si>
  <si>
    <t>Deposits Growth</t>
  </si>
  <si>
    <t>1.74%</t>
  </si>
  <si>
    <t>2.81%</t>
  </si>
  <si>
    <t>8.58%</t>
  </si>
  <si>
    <t>6.57%</t>
  </si>
  <si>
    <t>Total Debt</t>
  </si>
  <si>
    <t>92.91M</t>
  </si>
  <si>
    <t>87.21M</t>
  </si>
  <si>
    <t>116.24M</t>
  </si>
  <si>
    <t>125.67M</t>
  </si>
  <si>
    <t>106.85M</t>
  </si>
  <si>
    <t>23.22M</t>
  </si>
  <si>
    <t>50.28M</t>
  </si>
  <si>
    <t>69.31M</t>
  </si>
  <si>
    <t>78.74M</t>
  </si>
  <si>
    <t>30.23M</t>
  </si>
  <si>
    <t>47.7M</t>
  </si>
  <si>
    <t>2.5M</t>
  </si>
  <si>
    <t>20.05M</t>
  </si>
  <si>
    <t>21.61M</t>
  </si>
  <si>
    <t>25.04M</t>
  </si>
  <si>
    <t>59.93M</t>
  </si>
  <si>
    <t>69.69M</t>
  </si>
  <si>
    <t>36.93M</t>
  </si>
  <si>
    <t>46.93M</t>
  </si>
  <si>
    <t>LT Debt excl. Capitalized Leases</t>
  </si>
  <si>
    <t>Long Term Debt Growth</t>
  </si>
  <si>
    <t>-47.01%</t>
  </si>
  <si>
    <t>27.08%</t>
  </si>
  <si>
    <t>0.00%</t>
  </si>
  <si>
    <t>-5.33%</t>
  </si>
  <si>
    <t>Total Debt / Total Assets</t>
  </si>
  <si>
    <t>8.12%</t>
  </si>
  <si>
    <t>7.44%</t>
  </si>
  <si>
    <t>9.54%</t>
  </si>
  <si>
    <t>9.52%</t>
  </si>
  <si>
    <t>7.73%</t>
  </si>
  <si>
    <t>13.7M</t>
  </si>
  <si>
    <t>9.49M</t>
  </si>
  <si>
    <t>12.12M</t>
  </si>
  <si>
    <t>12.17M</t>
  </si>
  <si>
    <t>11.69M</t>
  </si>
  <si>
    <t>1.24B</t>
  </si>
  <si>
    <t>23.18M</t>
  </si>
  <si>
    <t>46.32M</t>
  </si>
  <si>
    <t>23.13M</t>
  </si>
  <si>
    <t>22.27M</t>
  </si>
  <si>
    <t>18.95M</t>
  </si>
  <si>
    <t>80.8M</t>
  </si>
  <si>
    <t>82.06M</t>
  </si>
  <si>
    <t>92.78M</t>
  </si>
  <si>
    <t>102.9M</t>
  </si>
  <si>
    <t>118.67M</t>
  </si>
  <si>
    <t>114.37M</t>
  </si>
  <si>
    <t>115.33M</t>
  </si>
  <si>
    <t>118.98M</t>
  </si>
  <si>
    <t>Additional Paid-In Capital/Capital Surplus</t>
  </si>
  <si>
    <t>(10.82M)</t>
  </si>
  <si>
    <t>(4.31M)</t>
  </si>
  <si>
    <t>5.3M</t>
  </si>
  <si>
    <t>19.26M</t>
  </si>
  <si>
    <t>341000</t>
  </si>
  <si>
    <t>3.73M</t>
  </si>
  <si>
    <t>2.01M</t>
  </si>
  <si>
    <t>Other Appropriated Reserves</t>
  </si>
  <si>
    <t>(1.65M)</t>
  </si>
  <si>
    <t>(4.59M)</t>
  </si>
  <si>
    <t>(4.05M)</t>
  </si>
  <si>
    <t>(4.35M)</t>
  </si>
  <si>
    <t>(17.24M)</t>
  </si>
  <si>
    <t>7.06%</t>
  </si>
  <si>
    <t>7.61%</t>
  </si>
  <si>
    <t>7.79%</t>
  </si>
  <si>
    <t>8.59%</t>
  </si>
  <si>
    <t>103.98M</t>
  </si>
  <si>
    <t>128.38M</t>
  </si>
  <si>
    <t>115.91M</t>
  </si>
  <si>
    <t>125.17M</t>
  </si>
  <si>
    <t>137.62M</t>
  </si>
  <si>
    <t>9.09%</t>
  </si>
  <si>
    <t>10.95%</t>
  </si>
  <si>
    <t>9.51%</t>
  </si>
  <si>
    <t>9.48%</t>
  </si>
  <si>
    <t>9.96%</t>
  </si>
  <si>
    <t>Return On Average Total Equity</t>
  </si>
  <si>
    <t>13.10%</t>
  </si>
  <si>
    <t>(905,000)</t>
  </si>
  <si>
    <t>(1.28M)</t>
  </si>
  <si>
    <t>(485,000)</t>
  </si>
  <si>
    <t>(2M)</t>
  </si>
  <si>
    <t>(2.44M)</t>
  </si>
  <si>
    <t>20000</t>
  </si>
  <si>
    <t>118000</t>
  </si>
  <si>
    <t>926000</t>
  </si>
  <si>
    <t>3000</t>
  </si>
  <si>
    <t>(4.58M)</t>
  </si>
  <si>
    <t>8.65M</t>
  </si>
  <si>
    <t>676000</t>
  </si>
  <si>
    <t>(3.59M)</t>
  </si>
  <si>
    <t>(77.28M)</t>
  </si>
  <si>
    <t>(64.3M)</t>
  </si>
  <si>
    <t>(58.54M)</t>
  </si>
  <si>
    <t>(30.06M)</t>
  </si>
  <si>
    <t>(42.36M)</t>
  </si>
  <si>
    <t>77.76M</t>
  </si>
  <si>
    <t>59.71M</t>
  </si>
  <si>
    <t>67.19M</t>
  </si>
  <si>
    <t>30.74M</t>
  </si>
  <si>
    <t>38.77M</t>
  </si>
  <si>
    <t>Increase in Loans</t>
  </si>
  <si>
    <t>(39.14M)</t>
  </si>
  <si>
    <t>(50.17M)</t>
  </si>
  <si>
    <t>(57.94M)</t>
  </si>
  <si>
    <t>(63.74M)</t>
  </si>
  <si>
    <t>(120.96M)</t>
  </si>
  <si>
    <t>Decrease in Loans</t>
  </si>
  <si>
    <t>53.13M</t>
  </si>
  <si>
    <t>69.48M</t>
  </si>
  <si>
    <t>(3.89M)</t>
  </si>
  <si>
    <t>(39.54M)</t>
  </si>
  <si>
    <t>(55.92M)</t>
  </si>
  <si>
    <t>(48.5M)</t>
  </si>
  <si>
    <t>(11.01M)</t>
  </si>
  <si>
    <t>(61.4M)</t>
  </si>
  <si>
    <t>-41.42%</t>
  </si>
  <si>
    <t>13.27%</t>
  </si>
  <si>
    <t>77.29%</t>
  </si>
  <si>
    <t>-457.53%</t>
  </si>
  <si>
    <t>Net Investing Cash Flow / Interest Income</t>
  </si>
  <si>
    <t>-84.56%</t>
  </si>
  <si>
    <t>-124.59%</t>
  </si>
  <si>
    <t>-105.25%</t>
  </si>
  <si>
    <t>-21.72%</t>
  </si>
  <si>
    <t>-114.61%</t>
  </si>
  <si>
    <t>(2.08M)</t>
  </si>
  <si>
    <t>(2.32M)</t>
  </si>
  <si>
    <t>(3.34M)</t>
  </si>
  <si>
    <t>(3.14M)</t>
  </si>
  <si>
    <t>(3.25M)</t>
  </si>
  <si>
    <t>(925,000)</t>
  </si>
  <si>
    <t>(1.16M)</t>
  </si>
  <si>
    <t>(1.56M)</t>
  </si>
  <si>
    <t>(1.75M)</t>
  </si>
  <si>
    <t>(1.87M)</t>
  </si>
  <si>
    <t>(1.58M)</t>
  </si>
  <si>
    <t>(1.5M)</t>
  </si>
  <si>
    <t>Cash Dividend Growth</t>
  </si>
  <si>
    <t>-11.08%</t>
  </si>
  <si>
    <t>-44.19%</t>
  </si>
  <si>
    <t>5.96%</t>
  </si>
  <si>
    <t>-3.66%</t>
  </si>
  <si>
    <t>Decrease in Deposits</t>
  </si>
  <si>
    <t>3.75M</t>
  </si>
  <si>
    <t>Increase in Deposits</t>
  </si>
  <si>
    <t>25.14M</t>
  </si>
  <si>
    <t>16.09M</t>
  </si>
  <si>
    <t>26.44M</t>
  </si>
  <si>
    <t>69.07M</t>
  </si>
  <si>
    <t>(564,000)</t>
  </si>
  <si>
    <t>(22.86M)</t>
  </si>
  <si>
    <t>(1,000)</t>
  </si>
  <si>
    <t>(5.7M)</t>
  </si>
  <si>
    <t>29.03M</t>
  </si>
  <si>
    <t>9.43M</t>
  </si>
  <si>
    <t>(18.82M)</t>
  </si>
  <si>
    <t>4.19M</t>
  </si>
  <si>
    <t>(3.17M)</t>
  </si>
  <si>
    <t>44.26M</t>
  </si>
  <si>
    <t>(10.03M)</t>
  </si>
  <si>
    <t>(2.54M)</t>
  </si>
  <si>
    <t>(15.23M)</t>
  </si>
  <si>
    <t>(5M)</t>
  </si>
  <si>
    <t>(30.23M)</t>
  </si>
  <si>
    <t>16.65M</t>
  </si>
  <si>
    <t>31.2M</t>
  </si>
  <si>
    <t>29.28M</t>
  </si>
  <si>
    <t>2.53M</t>
  </si>
  <si>
    <t>47M</t>
  </si>
  <si>
    <t>87.39%</t>
  </si>
  <si>
    <t>-6.15%</t>
  </si>
  <si>
    <t>-91.35%</t>
  </si>
  <si>
    <t>1,754.78%</t>
  </si>
  <si>
    <t>Net Financing Cash Flow / Interest Income</t>
  </si>
  <si>
    <t>35.61%</t>
  </si>
  <si>
    <t>69.52%</t>
  </si>
  <si>
    <t>63.55%</t>
  </si>
  <si>
    <t>87.74%</t>
  </si>
  <si>
    <t>(12.25M)</t>
  </si>
  <si>
    <t>(4.33M)</t>
  </si>
  <si>
    <t>1.13M</t>
  </si>
  <si>
    <t>15.99M</t>
  </si>
  <si>
    <t>11.19M</t>
  </si>
  <si>
    <t>12.18M</t>
  </si>
  <si>
    <t>13.09M</t>
  </si>
  <si>
    <t>-30.04%</t>
  </si>
  <si>
    <t>28.75%</t>
  </si>
  <si>
    <t>-15.41%</t>
  </si>
  <si>
    <t>7.47%</t>
  </si>
  <si>
    <t>FSB</t>
  </si>
  <si>
    <t>Franklin Finl Network</t>
  </si>
  <si>
    <t>AMNB</t>
  </si>
  <si>
    <t>American National</t>
  </si>
  <si>
    <t>AMRB</t>
  </si>
  <si>
    <t>American River Bankshares</t>
  </si>
  <si>
    <t>ANCX</t>
  </si>
  <si>
    <t>Access National</t>
  </si>
  <si>
    <t>AROW</t>
  </si>
  <si>
    <t>Arrow Financial</t>
  </si>
  <si>
    <t>ASRV</t>
  </si>
  <si>
    <t>AmeriServ Financial</t>
  </si>
  <si>
    <t>473.3M</t>
  </si>
  <si>
    <t>14.80</t>
  </si>
  <si>
    <t>10.54</t>
  </si>
  <si>
    <t>327.57M</t>
  </si>
  <si>
    <t>20.16</t>
  </si>
  <si>
    <t>15.79</t>
  </si>
  <si>
    <t>4.72</t>
  </si>
  <si>
    <t>5.05</t>
  </si>
  <si>
    <t>90.79M</t>
  </si>
  <si>
    <t>15.06</t>
  </si>
  <si>
    <t>16.34</t>
  </si>
  <si>
    <t>3.95</t>
  </si>
  <si>
    <t>1.09</t>
  </si>
  <si>
    <t>539.94M</t>
  </si>
  <si>
    <t>19.16</t>
  </si>
  <si>
    <t>14.45</t>
  </si>
  <si>
    <t>2.54</t>
  </si>
  <si>
    <t>7.47</t>
  </si>
  <si>
    <t>Colfax Corporation (CFX)</t>
  </si>
  <si>
    <t>40.83</t>
  </si>
  <si>
    <t>40.95</t>
  </si>
  <si>
    <t>41.30</t>
  </si>
  <si>
    <t>40.60 - 41.41</t>
  </si>
  <si>
    <t>27.76 - 42.50</t>
  </si>
  <si>
    <t>940494</t>
  </si>
  <si>
    <t>872768</t>
  </si>
  <si>
    <t>5.02B</t>
  </si>
  <si>
    <t>1.14</t>
  </si>
  <si>
    <t>34.90</t>
  </si>
  <si>
    <t>44.30</t>
  </si>
  <si>
    <t>13</t>
  </si>
  <si>
    <t>15</t>
  </si>
  <si>
    <t>940.31M</t>
  </si>
  <si>
    <t>903.67M</t>
  </si>
  <si>
    <t>3.66B</t>
  </si>
  <si>
    <t>3.84B</t>
  </si>
  <si>
    <t>922M</t>
  </si>
  <si>
    <t>880M</t>
  </si>
  <si>
    <t>3.71B</t>
  </si>
  <si>
    <t>974.7M</t>
  </si>
  <si>
    <t>939.91M</t>
  </si>
  <si>
    <t>3.76B</t>
  </si>
  <si>
    <t>4.02B</t>
  </si>
  <si>
    <t>957.25M</t>
  </si>
  <si>
    <t>879.2M</t>
  </si>
  <si>
    <t>3.65B</t>
  </si>
  <si>
    <t>-1.80%</t>
  </si>
  <si>
    <t>2.80%</t>
  </si>
  <si>
    <t>0.39</t>
  </si>
  <si>
    <t>0.3</t>
  </si>
  <si>
    <t>5.10%</t>
  </si>
  <si>
    <t>11.40%</t>
  </si>
  <si>
    <t>16.70%</t>
  </si>
  <si>
    <t>CFX</t>
  </si>
  <si>
    <t>4.90%</t>
  </si>
  <si>
    <t>10.90%</t>
  </si>
  <si>
    <t>15.60%</t>
  </si>
  <si>
    <t>11.91%</t>
  </si>
  <si>
    <t>2.25%</t>
  </si>
  <si>
    <t>20.42</t>
  </si>
  <si>
    <t>2.03</t>
  </si>
  <si>
    <t>1.39</t>
  </si>
  <si>
    <t>3.98%</t>
  </si>
  <si>
    <t>9.05%</t>
  </si>
  <si>
    <t>4.98%</t>
  </si>
  <si>
    <t>3.62B</t>
  </si>
  <si>
    <t>29.41</t>
  </si>
  <si>
    <t>-3.60%</t>
  </si>
  <si>
    <t>445.21M</t>
  </si>
  <si>
    <t>144.04M</t>
  </si>
  <si>
    <t>70.40%</t>
  </si>
  <si>
    <t>207.84M</t>
  </si>
  <si>
    <t>38.95</t>
  </si>
  <si>
    <t>1.65</t>
  </si>
  <si>
    <t>24.48</t>
  </si>
  <si>
    <t>271.86M</t>
  </si>
  <si>
    <t>277.51M</t>
  </si>
  <si>
    <t>40.24%</t>
  </si>
  <si>
    <t>42.50</t>
  </si>
  <si>
    <t>27.76</t>
  </si>
  <si>
    <t>39.83</t>
  </si>
  <si>
    <t>39.43</t>
  </si>
  <si>
    <t>872.77k</t>
  </si>
  <si>
    <t>893.14k</t>
  </si>
  <si>
    <t>122.99M</t>
  </si>
  <si>
    <t>98.13M</t>
  </si>
  <si>
    <t>19.07%</t>
  </si>
  <si>
    <t>91.00%</t>
  </si>
  <si>
    <t>1.56M</t>
  </si>
  <si>
    <t>1.81</t>
  </si>
  <si>
    <t>1.79%</t>
  </si>
  <si>
    <t>Mr. Mitchell P. Rales</t>
  </si>
  <si>
    <t>Co-Founder and Chairman</t>
  </si>
  <si>
    <t>Mr. Matthew L. Trerotola</t>
  </si>
  <si>
    <t>CEO, Pres, Director, CEO of ESAB Global and Pres of ESAB Global</t>
  </si>
  <si>
    <t>3.42M</t>
  </si>
  <si>
    <t>Mr. Christopher M. Hix</t>
  </si>
  <si>
    <t>Chief Financial Officer, Sr. VP of Fin. and Treasurer</t>
  </si>
  <si>
    <t>659.53k</t>
  </si>
  <si>
    <t>Ms. A. Lynne Puckett</t>
  </si>
  <si>
    <t>Sr. VP, Gen. Counsel and Sec.</t>
  </si>
  <si>
    <t>663.46k</t>
  </si>
  <si>
    <t>481.31k</t>
  </si>
  <si>
    <t>Ms. Lynn H. Clark</t>
  </si>
  <si>
    <t>Sr. VP of Global HR</t>
  </si>
  <si>
    <t>634.46k</t>
  </si>
  <si>
    <t>3.91B</t>
  </si>
  <si>
    <t>4.21B</t>
  </si>
  <si>
    <t>4.62B</t>
  </si>
  <si>
    <t>3.97B</t>
  </si>
  <si>
    <t>7.50%</t>
  </si>
  <si>
    <t>9.92%</t>
  </si>
  <si>
    <t>-14.22%</t>
  </si>
  <si>
    <t>-8.07%</t>
  </si>
  <si>
    <t>2.85B</t>
  </si>
  <si>
    <t>2.94B</t>
  </si>
  <si>
    <t>2.75B</t>
  </si>
  <si>
    <t>2.65B</t>
  </si>
  <si>
    <t>2.82B</t>
  </si>
  <si>
    <t>3.04B</t>
  </si>
  <si>
    <t>2.6B</t>
  </si>
  <si>
    <t>200.4M</t>
  </si>
  <si>
    <t>119.26M</t>
  </si>
  <si>
    <t>170.12M</t>
  </si>
  <si>
    <t>154.54M</t>
  </si>
  <si>
    <t>143.26M</t>
  </si>
  <si>
    <t>115.29M</t>
  </si>
  <si>
    <t>78.09M</t>
  </si>
  <si>
    <t>103.07M</t>
  </si>
  <si>
    <t>93.91M</t>
  </si>
  <si>
    <t>82.64M</t>
  </si>
  <si>
    <t>85.11M</t>
  </si>
  <si>
    <t>41.17M</t>
  </si>
  <si>
    <t>67.05M</t>
  </si>
  <si>
    <t>60.63M</t>
  </si>
  <si>
    <t>60.62M</t>
  </si>
  <si>
    <t>3.35%</t>
  </si>
  <si>
    <t>9.04%</t>
  </si>
  <si>
    <t>-14.13%</t>
  </si>
  <si>
    <t>-7.71%</t>
  </si>
  <si>
    <t>1.21B</t>
  </si>
  <si>
    <t>18.56%</t>
  </si>
  <si>
    <t>11.96%</t>
  </si>
  <si>
    <t>-14.41%</t>
  </si>
  <si>
    <t>-8.87%</t>
  </si>
  <si>
    <t>30.29%</t>
  </si>
  <si>
    <t>819.21M</t>
  </si>
  <si>
    <t>794.31M</t>
  </si>
  <si>
    <t>930.2M</t>
  </si>
  <si>
    <t>840.46M</t>
  </si>
  <si>
    <t>771.35M</t>
  </si>
  <si>
    <t>19.4M</t>
  </si>
  <si>
    <t>27.4M</t>
  </si>
  <si>
    <t>43M</t>
  </si>
  <si>
    <t>41.5M</t>
  </si>
  <si>
    <t>41.9M</t>
  </si>
  <si>
    <t>799.81M</t>
  </si>
  <si>
    <t>766.91M</t>
  </si>
  <si>
    <t>887.2M</t>
  </si>
  <si>
    <t>798.96M</t>
  </si>
  <si>
    <t>729.45M</t>
  </si>
  <si>
    <t>-3.04%</t>
  </si>
  <si>
    <t>17.11%</t>
  </si>
  <si>
    <t>-9.65%</t>
  </si>
  <si>
    <t>-8.22%</t>
  </si>
  <si>
    <t>21.09M</t>
  </si>
  <si>
    <t>19.67M</t>
  </si>
  <si>
    <t>113.55M</t>
  </si>
  <si>
    <t>91.37M</t>
  </si>
  <si>
    <t>61.77M</t>
  </si>
  <si>
    <t>68.61M</t>
  </si>
  <si>
    <t>77.51M</t>
  </si>
  <si>
    <t>134.26M</t>
  </si>
  <si>
    <t>379.37M</t>
  </si>
  <si>
    <t>424.43M</t>
  </si>
  <si>
    <t>282.08M</t>
  </si>
  <si>
    <t>236.18M</t>
  </si>
  <si>
    <t>4.25M</t>
  </si>
  <si>
    <t>(6.47M)</t>
  </si>
  <si>
    <t>(19.98M)</t>
  </si>
  <si>
    <t>(6.04M)</t>
  </si>
  <si>
    <t>90.07M</t>
  </si>
  <si>
    <t>70.1M</t>
  </si>
  <si>
    <t>46.21M</t>
  </si>
  <si>
    <t>39.14M</t>
  </si>
  <si>
    <t>32.42M</t>
  </si>
  <si>
    <t>-22.17%</t>
  </si>
  <si>
    <t>-34.08%</t>
  </si>
  <si>
    <t>-15.28%</t>
  </si>
  <si>
    <t>-17.19%</t>
  </si>
  <si>
    <t>48.44M</t>
  </si>
  <si>
    <t>302.8M</t>
  </si>
  <si>
    <t>358.25M</t>
  </si>
  <si>
    <t>236.9M</t>
  </si>
  <si>
    <t>208M</t>
  </si>
  <si>
    <t>525.11%</t>
  </si>
  <si>
    <t>18.31%</t>
  </si>
  <si>
    <t>-33.87%</t>
  </si>
  <si>
    <t>-12.20%</t>
  </si>
  <si>
    <t>5.70%</t>
  </si>
  <si>
    <t>90.7M</t>
  </si>
  <si>
    <t>93.65M</t>
  </si>
  <si>
    <t>(62.03M)</t>
  </si>
  <si>
    <t>49.72M</t>
  </si>
  <si>
    <t>62.81M</t>
  </si>
  <si>
    <t>362000</t>
  </si>
  <si>
    <t>407000</t>
  </si>
  <si>
    <t>2.85M</t>
  </si>
  <si>
    <t>1.54M</t>
  </si>
  <si>
    <t>133000</t>
  </si>
  <si>
    <t>83.12M</t>
  </si>
  <si>
    <t>83.3M</t>
  </si>
  <si>
    <t>74.62M</t>
  </si>
  <si>
    <t>70.9M</t>
  </si>
  <si>
    <t>64.36M</t>
  </si>
  <si>
    <t>50.34M</t>
  </si>
  <si>
    <t>11.6M</t>
  </si>
  <si>
    <t>(127.11M)</t>
  </si>
  <si>
    <t>(1.23M)</t>
  </si>
  <si>
    <t>3.72M</t>
  </si>
  <si>
    <t>(43.12M)</t>
  </si>
  <si>
    <t>(1.66M)</t>
  </si>
  <si>
    <t>(12.37M)</t>
  </si>
  <si>
    <t>(21.49M)</t>
  </si>
  <si>
    <t>(5.41M)</t>
  </si>
  <si>
    <t>(3.74M)</t>
  </si>
  <si>
    <t>(42.26M)</t>
  </si>
  <si>
    <t>205.4M</t>
  </si>
  <si>
    <t>420.27M</t>
  </si>
  <si>
    <t>187.18M</t>
  </si>
  <si>
    <t>145.19M</t>
  </si>
  <si>
    <t>22.14M</t>
  </si>
  <si>
    <t>30.52M</t>
  </si>
  <si>
    <t>28.18M</t>
  </si>
  <si>
    <t>19.44M</t>
  </si>
  <si>
    <t>17.08M</t>
  </si>
  <si>
    <t>(64.4M)</t>
  </si>
  <si>
    <t>174.89M</t>
  </si>
  <si>
    <t>392.1M</t>
  </si>
  <si>
    <t>167.74M</t>
  </si>
  <si>
    <t>128.11M</t>
  </si>
  <si>
    <t>371.56%</t>
  </si>
  <si>
    <t>124.20%</t>
  </si>
  <si>
    <t>-57.22%</t>
  </si>
  <si>
    <t>-23.62%</t>
  </si>
  <si>
    <t>3.51%</t>
  </si>
  <si>
    <t>(19.57M)</t>
  </si>
  <si>
    <t>372.53M</t>
  </si>
  <si>
    <t>20.4M</t>
  </si>
  <si>
    <t>2.35M</t>
  </si>
  <si>
    <t>(83.35M)</t>
  </si>
  <si>
    <t>154.49M</t>
  </si>
  <si>
    <t>389.75M</t>
  </si>
  <si>
    <t>(0.92)</t>
  </si>
  <si>
    <t>1.56</t>
  </si>
  <si>
    <t>3.22</t>
  </si>
  <si>
    <t>1.35</t>
  </si>
  <si>
    <t>1.04</t>
  </si>
  <si>
    <t>269.57%</t>
  </si>
  <si>
    <t>106.23%</t>
  </si>
  <si>
    <t>-58.04%</t>
  </si>
  <si>
    <t>-22.96%</t>
  </si>
  <si>
    <t>91.07M</t>
  </si>
  <si>
    <t>99.2M</t>
  </si>
  <si>
    <t>121.14M</t>
  </si>
  <si>
    <t>124.1M</t>
  </si>
  <si>
    <t>122.91M</t>
  </si>
  <si>
    <t>3.18</t>
  </si>
  <si>
    <t>1.34</t>
  </si>
  <si>
    <t>267.39%</t>
  </si>
  <si>
    <t>106.32%</t>
  </si>
  <si>
    <t>-57.83%</t>
  </si>
  <si>
    <t>-22.39%</t>
  </si>
  <si>
    <t>100.37M</t>
  </si>
  <si>
    <t>122.67M</t>
  </si>
  <si>
    <t>124.87M</t>
  </si>
  <si>
    <t>123.2M</t>
  </si>
  <si>
    <t>448.21M</t>
  </si>
  <si>
    <t>590M</t>
  </si>
  <si>
    <t>656.32M</t>
  </si>
  <si>
    <t>505.23M</t>
  </si>
  <si>
    <t>31.63%</t>
  </si>
  <si>
    <t>11.24%</t>
  </si>
  <si>
    <t>-23.02%</t>
  </si>
  <si>
    <t>-9.56%</t>
  </si>
  <si>
    <t>12.53%</t>
  </si>
  <si>
    <t>482.45M</t>
  </si>
  <si>
    <t>311.3M</t>
  </si>
  <si>
    <t>305.45M</t>
  </si>
  <si>
    <t>197.47M</t>
  </si>
  <si>
    <t>-35.47%</t>
  </si>
  <si>
    <t>-1.88%</t>
  </si>
  <si>
    <t>-35.35%</t>
  </si>
  <si>
    <t>12.29%</t>
  </si>
  <si>
    <t>7.87%</t>
  </si>
  <si>
    <t>4.73%</t>
  </si>
  <si>
    <t>4.22%</t>
  </si>
  <si>
    <t>2.93%</t>
  </si>
  <si>
    <t>3.47%</t>
  </si>
  <si>
    <t>873.38M</t>
  </si>
  <si>
    <t>888.17M</t>
  </si>
  <si>
    <t>913.61M</t>
  </si>
  <si>
    <t>889.85M</t>
  </si>
  <si>
    <t>927.67M</t>
  </si>
  <si>
    <t>955.13M</t>
  </si>
  <si>
    <t>(16.46M)</t>
  </si>
  <si>
    <t>(31.28M)</t>
  </si>
  <si>
    <t>(27.26M)</t>
  </si>
  <si>
    <t>(39.51M)</t>
  </si>
  <si>
    <t>(41.51M)</t>
  </si>
  <si>
    <t>18.03%</t>
  </si>
  <si>
    <t>-0.17%</t>
  </si>
  <si>
    <t>-13.70%</t>
  </si>
  <si>
    <t>2.87%</t>
  </si>
  <si>
    <t>4.48</t>
  </si>
  <si>
    <t>4.08</t>
  </si>
  <si>
    <t>4.49</t>
  </si>
  <si>
    <t>4.47</t>
  </si>
  <si>
    <t>3.99</t>
  </si>
  <si>
    <t>493.65M</t>
  </si>
  <si>
    <t>445.75M</t>
  </si>
  <si>
    <t>442.73M</t>
  </si>
  <si>
    <t>420.39M</t>
  </si>
  <si>
    <t>403.86M</t>
  </si>
  <si>
    <t>263.21M</t>
  </si>
  <si>
    <t>224.19M</t>
  </si>
  <si>
    <t>239.81M</t>
  </si>
  <si>
    <t>243.21M</t>
  </si>
  <si>
    <t>237.51M</t>
  </si>
  <si>
    <t>99.46M</t>
  </si>
  <si>
    <t>112.72M</t>
  </si>
  <si>
    <t>81.11M</t>
  </si>
  <si>
    <t>68.54M</t>
  </si>
  <si>
    <t>75.33M</t>
  </si>
  <si>
    <t>154.77M</t>
  </si>
  <si>
    <t>145.69M</t>
  </si>
  <si>
    <t>164.12M</t>
  </si>
  <si>
    <t>160.64M</t>
  </si>
  <si>
    <t>148.51M</t>
  </si>
  <si>
    <t>(23.79M)</t>
  </si>
  <si>
    <t>(36.85M)</t>
  </si>
  <si>
    <t>(42.3M)</t>
  </si>
  <si>
    <t>(52M)</t>
  </si>
  <si>
    <t>(57.49M)</t>
  </si>
  <si>
    <t>281.3M</t>
  </si>
  <si>
    <t>350.4M</t>
  </si>
  <si>
    <t>322.13M</t>
  </si>
  <si>
    <t>253.74M</t>
  </si>
  <si>
    <t>246.4M</t>
  </si>
  <si>
    <t>2.1B</t>
  </si>
  <si>
    <t>1.76B</t>
  </si>
  <si>
    <t>1.79B</t>
  </si>
  <si>
    <t>688.57M</t>
  </si>
  <si>
    <t>757.14M</t>
  </si>
  <si>
    <t>729.73M</t>
  </si>
  <si>
    <t>644.54M</t>
  </si>
  <si>
    <t>604.21M</t>
  </si>
  <si>
    <t>865.6M</t>
  </si>
  <si>
    <t>1.01B</t>
  </si>
  <si>
    <t>314.22M</t>
  </si>
  <si>
    <t>372.2M</t>
  </si>
  <si>
    <t>366.01M</t>
  </si>
  <si>
    <t>327.12M</t>
  </si>
  <si>
    <t>323.28M</t>
  </si>
  <si>
    <t>40.32M</t>
  </si>
  <si>
    <t>48.35M</t>
  </si>
  <si>
    <t>52.54M</t>
  </si>
  <si>
    <t>44.75M</t>
  </si>
  <si>
    <t>42.78M</t>
  </si>
  <si>
    <t>70.09M</t>
  </si>
  <si>
    <t>88.46M</t>
  </si>
  <si>
    <t>98.07M</t>
  </si>
  <si>
    <t>95.56M</t>
  </si>
  <si>
    <t>95.93M</t>
  </si>
  <si>
    <t>177.03M</t>
  </si>
  <si>
    <t>311.61M</t>
  </si>
  <si>
    <t>368.94M</t>
  </si>
  <si>
    <t>398.39M</t>
  </si>
  <si>
    <t>82.34M</t>
  </si>
  <si>
    <t>96.01M</t>
  </si>
  <si>
    <t>92.27M</t>
  </si>
  <si>
    <t>3.92B</t>
  </si>
  <si>
    <t>3.81B</t>
  </si>
  <si>
    <t>3.46B</t>
  </si>
  <si>
    <t>2.38B</t>
  </si>
  <si>
    <t>779.05M</t>
  </si>
  <si>
    <t>832.55M</t>
  </si>
  <si>
    <t>995.71M</t>
  </si>
  <si>
    <t>899.34M</t>
  </si>
  <si>
    <t>457.1M</t>
  </si>
  <si>
    <t>470.29M</t>
  </si>
  <si>
    <t>417.08M</t>
  </si>
  <si>
    <t>419.21M</t>
  </si>
  <si>
    <t>440.71M</t>
  </si>
  <si>
    <t>445.7M</t>
  </si>
  <si>
    <t>452.09M</t>
  </si>
  <si>
    <t>398.58M</t>
  </si>
  <si>
    <t>412.31M</t>
  </si>
  <si>
    <t>435.41M</t>
  </si>
  <si>
    <t>6.13B</t>
  </si>
  <si>
    <t>6.58B</t>
  </si>
  <si>
    <t>7.25B</t>
  </si>
  <si>
    <t>6.73B</t>
  </si>
  <si>
    <t>6.39B</t>
  </si>
  <si>
    <t>-7.07%</t>
  </si>
  <si>
    <t>-5.16%</t>
  </si>
  <si>
    <t>34.8M</t>
  </si>
  <si>
    <t>29.45M</t>
  </si>
  <si>
    <t>5.79M</t>
  </si>
  <si>
    <t>5.41M</t>
  </si>
  <si>
    <t>699.63M</t>
  </si>
  <si>
    <t>860.38M</t>
  </si>
  <si>
    <t>780.29M</t>
  </si>
  <si>
    <t>718.89M</t>
  </si>
  <si>
    <t>605.9M</t>
  </si>
  <si>
    <t>22.98%</t>
  </si>
  <si>
    <t>-9.31%</t>
  </si>
  <si>
    <t>-7.87%</t>
  </si>
  <si>
    <t>-15.72%</t>
  </si>
  <si>
    <t>71.31M</t>
  </si>
  <si>
    <t>58.01M</t>
  </si>
  <si>
    <t>51.83M</t>
  </si>
  <si>
    <t>38.37M</t>
  </si>
  <si>
    <t>441.03M</t>
  </si>
  <si>
    <t>413.95M</t>
  </si>
  <si>
    <t>437.38M</t>
  </si>
  <si>
    <t>339.83M</t>
  </si>
  <si>
    <t>457.01M</t>
  </si>
  <si>
    <t>99.58M</t>
  </si>
  <si>
    <t>136.65M</t>
  </si>
  <si>
    <t>120.07M</t>
  </si>
  <si>
    <t>99.38M</t>
  </si>
  <si>
    <t>102.96M</t>
  </si>
  <si>
    <t>341.45M</t>
  </si>
  <si>
    <t>277.3M</t>
  </si>
  <si>
    <t>317.32M</t>
  </si>
  <si>
    <t>240.44M</t>
  </si>
  <si>
    <t>354.05M</t>
  </si>
  <si>
    <t>1.46B</t>
  </si>
  <si>
    <t>1.41B</t>
  </si>
  <si>
    <t>1.9M</t>
  </si>
  <si>
    <t>946.99M</t>
  </si>
  <si>
    <t>897.69M</t>
  </si>
  <si>
    <t>3.89B</t>
  </si>
  <si>
    <t>3.48B</t>
  </si>
  <si>
    <t>3.29B</t>
  </si>
  <si>
    <t>64.82%</t>
  </si>
  <si>
    <t>58.36%</t>
  </si>
  <si>
    <t>53.73%</t>
  </si>
  <si>
    <t>51.63%</t>
  </si>
  <si>
    <t>51.56%</t>
  </si>
  <si>
    <t>14000</t>
  </si>
  <si>
    <t>1.91B</t>
  </si>
  <si>
    <t>2.51B</t>
  </si>
  <si>
    <t>3.15B</t>
  </si>
  <si>
    <t>3.07B</t>
  </si>
  <si>
    <t>2.9B</t>
  </si>
  <si>
    <t>94000</t>
  </si>
  <si>
    <t>124000</t>
  </si>
  <si>
    <t>123000</t>
  </si>
  <si>
    <t>(138.86M)</t>
  </si>
  <si>
    <t>19.38M</t>
  </si>
  <si>
    <t>389.56M</t>
  </si>
  <si>
    <t>557.3M</t>
  </si>
  <si>
    <t>685.41M</t>
  </si>
  <si>
    <t>104.72M</t>
  </si>
  <si>
    <t>127.6M</t>
  </si>
  <si>
    <t>(217.77M)</t>
  </si>
  <si>
    <t>(528.62M)</t>
  </si>
  <si>
    <t>(860.79M)</t>
  </si>
  <si>
    <t>31.20%</t>
  </si>
  <si>
    <t>38.19%</t>
  </si>
  <si>
    <t>43.43%</t>
  </si>
  <si>
    <t>45.60%</t>
  </si>
  <si>
    <t>45.37%</t>
  </si>
  <si>
    <t>243.93M</t>
  </si>
  <si>
    <t>227.23M</t>
  </si>
  <si>
    <t>205.62M</t>
  </si>
  <si>
    <t>186.58M</t>
  </si>
  <si>
    <t>196.47M</t>
  </si>
  <si>
    <t>2.16B</t>
  </si>
  <si>
    <t>2.74B</t>
  </si>
  <si>
    <t>3.35B</t>
  </si>
  <si>
    <t>3.09B</t>
  </si>
  <si>
    <t>209.14M</t>
  </si>
  <si>
    <t>594.85%</t>
  </si>
  <si>
    <t>100.95%</t>
  </si>
  <si>
    <t>-55.46%</t>
  </si>
  <si>
    <t>-22.43%</t>
  </si>
  <si>
    <t>174.72M</t>
  </si>
  <si>
    <t>107.67M</t>
  </si>
  <si>
    <t>7.22M</t>
  </si>
  <si>
    <t>9.95M</t>
  </si>
  <si>
    <t>(139.49M)</t>
  </si>
  <si>
    <t>(22.72M)</t>
  </si>
  <si>
    <t>(1.68M)</t>
  </si>
  <si>
    <t>9.37M</t>
  </si>
  <si>
    <t>43.93M</t>
  </si>
  <si>
    <t>26.67M</t>
  </si>
  <si>
    <t>26.42M</t>
  </si>
  <si>
    <t>23.2M</t>
  </si>
  <si>
    <t>174.73M</t>
  </si>
  <si>
    <t>382.27M</t>
  </si>
  <si>
    <t>482.18M</t>
  </si>
  <si>
    <t>345.43M</t>
  </si>
  <si>
    <t>309.96M</t>
  </si>
  <si>
    <t>(10.43M)</t>
  </si>
  <si>
    <t>(20.11M)</t>
  </si>
  <si>
    <t>(96.43M)</t>
  </si>
  <si>
    <t>(41.61M)</t>
  </si>
  <si>
    <t>(62.99M)</t>
  </si>
  <si>
    <t>(37.34M)</t>
  </si>
  <si>
    <t>(98.91M)</t>
  </si>
  <si>
    <t>(19.92M)</t>
  </si>
  <si>
    <t>64.05M</t>
  </si>
  <si>
    <t>(50.96M)</t>
  </si>
  <si>
    <t>88.93M</t>
  </si>
  <si>
    <t>128.89M</t>
  </si>
  <si>
    <t>(54.67M)</t>
  </si>
  <si>
    <t>(11.18M)</t>
  </si>
  <si>
    <t>52.31M</t>
  </si>
  <si>
    <t>(88.72M)</t>
  </si>
  <si>
    <t>(130.07M)</t>
  </si>
  <si>
    <t>(79.69M)</t>
  </si>
  <si>
    <t>(94.09M)</t>
  </si>
  <si>
    <t>(84M)</t>
  </si>
  <si>
    <t>164.3M</t>
  </si>
  <si>
    <t>362.17M</t>
  </si>
  <si>
    <t>385.76M</t>
  </si>
  <si>
    <t>303.81M</t>
  </si>
  <si>
    <t>246.97M</t>
  </si>
  <si>
    <t>120.43%</t>
  </si>
  <si>
    <t>6.51%</t>
  </si>
  <si>
    <t>-18.71%</t>
  </si>
  <si>
    <t>4.20%</t>
  </si>
  <si>
    <t>8.61%</t>
  </si>
  <si>
    <t>7.66%</t>
  </si>
  <si>
    <t>6.77%</t>
  </si>
  <si>
    <t>(83.59M)</t>
  </si>
  <si>
    <t>(71.48M)</t>
  </si>
  <si>
    <t>(81.34M)</t>
  </si>
  <si>
    <t>(69.88M)</t>
  </si>
  <si>
    <t>(63.25M)</t>
  </si>
  <si>
    <t>14.48%</t>
  </si>
  <si>
    <t>-13.80%</t>
  </si>
  <si>
    <t>14.10%</t>
  </si>
  <si>
    <t>-2.14%</t>
  </si>
  <si>
    <t>-1.73%</t>
  </si>
  <si>
    <t>(1.86B)</t>
  </si>
  <si>
    <t>(372.48M)</t>
  </si>
  <si>
    <t>(948.8M)</t>
  </si>
  <si>
    <t>(196.01M)</t>
  </si>
  <si>
    <t>(25.99M)</t>
  </si>
  <si>
    <t>399000</t>
  </si>
  <si>
    <t>(2.87M)</t>
  </si>
  <si>
    <t>(31.01M)</t>
  </si>
  <si>
    <t>4.73M</t>
  </si>
  <si>
    <t>18.93M</t>
  </si>
  <si>
    <t>7.25M</t>
  </si>
  <si>
    <t>(1.94B)</t>
  </si>
  <si>
    <t>(474.97M)</t>
  </si>
  <si>
    <t>(1.03B)</t>
  </si>
  <si>
    <t>(246.96M)</t>
  </si>
  <si>
    <t>(81.99M)</t>
  </si>
  <si>
    <t>75.53%</t>
  </si>
  <si>
    <t>-116.89%</t>
  </si>
  <si>
    <t>76.03%</t>
  </si>
  <si>
    <t>66.80%</t>
  </si>
  <si>
    <t>-49.59%</t>
  </si>
  <si>
    <t>-11.29%</t>
  </si>
  <si>
    <t>-22.28%</t>
  </si>
  <si>
    <t>-6.23%</t>
  </si>
  <si>
    <t>-2.25%</t>
  </si>
  <si>
    <t>(17.45M)</t>
  </si>
  <si>
    <t>(20.4M)</t>
  </si>
  <si>
    <t>(3.85M)</t>
  </si>
  <si>
    <t>324.15M</t>
  </si>
  <si>
    <t>613.93M</t>
  </si>
  <si>
    <t>(21.32M)</t>
  </si>
  <si>
    <t>(18.61M)</t>
  </si>
  <si>
    <t>(27.37M)</t>
  </si>
  <si>
    <t>(20.81M)</t>
  </si>
  <si>
    <t>6.05M</t>
  </si>
  <si>
    <t>2.21M</t>
  </si>
  <si>
    <t>(309.03M)</t>
  </si>
  <si>
    <t>90.94M</t>
  </si>
  <si>
    <t>(88.89M)</t>
  </si>
  <si>
    <t>(118.78M)</t>
  </si>
  <si>
    <t>1.73B</t>
  </si>
  <si>
    <t>698.86M</t>
  </si>
  <si>
    <t>1.52B</t>
  </si>
  <si>
    <t>2.25B</t>
  </si>
  <si>
    <t>896.74M</t>
  </si>
  <si>
    <t>(584.83M)</t>
  </si>
  <si>
    <t>(1.01B)</t>
  </si>
  <si>
    <t>(1.43B)</t>
  </si>
  <si>
    <t>(2.34B)</t>
  </si>
  <si>
    <t>(1.02B)</t>
  </si>
  <si>
    <t>(29.29M)</t>
  </si>
  <si>
    <t>(39.78M)</t>
  </si>
  <si>
    <t>(21.07M)</t>
  </si>
  <si>
    <t>(7.83M)</t>
  </si>
  <si>
    <t>(45.05M)</t>
  </si>
  <si>
    <t>650.05M</t>
  </si>
  <si>
    <t>(131.27M)</t>
  </si>
  <si>
    <t>(145.22M)</t>
  </si>
  <si>
    <t>-102.05%</t>
  </si>
  <si>
    <t>1,542.85%</t>
  </si>
  <si>
    <t>-120.19%</t>
  </si>
  <si>
    <t>-10.63%</t>
  </si>
  <si>
    <t>56.03%</t>
  </si>
  <si>
    <t>-1.07%</t>
  </si>
  <si>
    <t>14.06%</t>
  </si>
  <si>
    <t>-3.31%</t>
  </si>
  <si>
    <t>-3.98%</t>
  </si>
  <si>
    <t>(8.93M)</t>
  </si>
  <si>
    <t>(13.29M)</t>
  </si>
  <si>
    <t>(11.52M)</t>
  </si>
  <si>
    <t>(33.57M)</t>
  </si>
  <si>
    <t>4.5M</t>
  </si>
  <si>
    <t>407.34M</t>
  </si>
  <si>
    <t>(171.15M)</t>
  </si>
  <si>
    <t>(107.98M)</t>
  </si>
  <si>
    <t>24.26M</t>
  </si>
  <si>
    <t>80.71M</t>
  </si>
  <si>
    <t>290.69M</t>
  </si>
  <si>
    <t>304.42M</t>
  </si>
  <si>
    <t>233.94M</t>
  </si>
  <si>
    <t>183.72M</t>
  </si>
  <si>
    <t>260.15%</t>
  </si>
  <si>
    <t>4.72%</t>
  </si>
  <si>
    <t>-23.15%</t>
  </si>
  <si>
    <t>-21.46%</t>
  </si>
  <si>
    <t>4.15%</t>
  </si>
  <si>
    <t>FLS</t>
  </si>
  <si>
    <t>Flowserve</t>
  </si>
  <si>
    <t>GGG</t>
  </si>
  <si>
    <t>Graco</t>
  </si>
  <si>
    <t>IEX</t>
  </si>
  <si>
    <t>IDEX</t>
  </si>
  <si>
    <t>LECO</t>
  </si>
  <si>
    <t>Lincoln Electric Holdings</t>
  </si>
  <si>
    <t>TEX</t>
  </si>
  <si>
    <t>Terex</t>
  </si>
  <si>
    <t>6.06B</t>
  </si>
  <si>
    <t>49.85</t>
  </si>
  <si>
    <t>20.51</t>
  </si>
  <si>
    <t>1.72</t>
  </si>
  <si>
    <t>3.59</t>
  </si>
  <si>
    <t>6.41B</t>
  </si>
  <si>
    <t>107.64</t>
  </si>
  <si>
    <t>25.87</t>
  </si>
  <si>
    <t>2.37</t>
  </si>
  <si>
    <t>4.70</t>
  </si>
  <si>
    <t>11.30</t>
  </si>
  <si>
    <t>8.82B</t>
  </si>
  <si>
    <t>31.83</t>
  </si>
  <si>
    <t>25.51</t>
  </si>
  <si>
    <t>4.07</t>
  </si>
  <si>
    <t>DBV Technologies S.A. (DBV.PA)</t>
  </si>
  <si>
    <t>75.42</t>
  </si>
  <si>
    <t>75.64</t>
  </si>
  <si>
    <t>75.80</t>
  </si>
  <si>
    <t>52.01 x 40000</t>
  </si>
  <si>
    <t>52.66 x 100000</t>
  </si>
  <si>
    <t>75.06 - 76.40</t>
  </si>
  <si>
    <t>58.20 - 77.50</t>
  </si>
  <si>
    <t>32214</t>
  </si>
  <si>
    <t>43946</t>
  </si>
  <si>
    <t>0.17</t>
  </si>
  <si>
    <t>-16.11</t>
  </si>
  <si>
    <t>-4.68</t>
  </si>
  <si>
    <t>98.13</t>
  </si>
  <si>
    <t>Current Qtr. (Dec 2016)</t>
  </si>
  <si>
    <t>Next Qtr. (Mar 2017)</t>
  </si>
  <si>
    <t>Current Year (2016)</t>
  </si>
  <si>
    <t>Next Year (2017)</t>
  </si>
  <si>
    <t>9.54M</t>
  </si>
  <si>
    <t>21M</t>
  </si>
  <si>
    <t>6.17M</t>
  </si>
  <si>
    <t>47.30%</t>
  </si>
  <si>
    <t>DBV.PA</t>
  </si>
  <si>
    <t>-21.60%</t>
  </si>
  <si>
    <t>-15.45</t>
  </si>
  <si>
    <t>247.44</t>
  </si>
  <si>
    <t>7.65</t>
  </si>
  <si>
    <t>-1,540.92%</t>
  </si>
  <si>
    <t>-22.99%</t>
  </si>
  <si>
    <t>-40.55%</t>
  </si>
  <si>
    <t>7.53M</t>
  </si>
  <si>
    <t>6M</t>
  </si>
  <si>
    <t>-114.68M</t>
  </si>
  <si>
    <t>-114.53M</t>
  </si>
  <si>
    <t>256.47M</t>
  </si>
  <si>
    <t>4.64M</t>
  </si>
  <si>
    <t>9.39</t>
  </si>
  <si>
    <t>9.85</t>
  </si>
  <si>
    <t>-59.54M</t>
  </si>
  <si>
    <t>-36.77M</t>
  </si>
  <si>
    <t>22.36%</t>
  </si>
  <si>
    <t>77.50</t>
  </si>
  <si>
    <t>58.20</t>
  </si>
  <si>
    <t>65.70</t>
  </si>
  <si>
    <t>64.77</t>
  </si>
  <si>
    <t>43.95k</t>
  </si>
  <si>
    <t>49.84k</t>
  </si>
  <si>
    <t>24.7M</t>
  </si>
  <si>
    <t>Dr. Pierre-Henri Benhamou M.D.</t>
  </si>
  <si>
    <t>Co-Founder, Chairman and Chief Exec. Officer</t>
  </si>
  <si>
    <t>Mr. David Schilansky</t>
  </si>
  <si>
    <t>Chief Financial Officer and Chief Operating Officer</t>
  </si>
  <si>
    <t>487.71k</t>
  </si>
  <si>
    <t>Mr. Daniel B. Soland</t>
  </si>
  <si>
    <t>Consultant and Independent Director</t>
  </si>
  <si>
    <t>40k</t>
  </si>
  <si>
    <t>Mr. Jorge Ronco Ph.D., MBA</t>
  </si>
  <si>
    <t>Co-Founder</t>
  </si>
  <si>
    <t>Mr. Bertrand Dupont</t>
  </si>
  <si>
    <t>Co-Founder and Chief Technical Officer</t>
  </si>
  <si>
    <t>Domtar Corporation (UFS.TO)</t>
  </si>
  <si>
    <t>48.33</t>
  </si>
  <si>
    <t>47.85</t>
  </si>
  <si>
    <t>48.07</t>
  </si>
  <si>
    <t>48.19 x</t>
  </si>
  <si>
    <t>48.53 x</t>
  </si>
  <si>
    <t>47.82 - 48.67</t>
  </si>
  <si>
    <t>45.48 - 58.31</t>
  </si>
  <si>
    <t>34294</t>
  </si>
  <si>
    <t>22800</t>
  </si>
  <si>
    <t>3.31B</t>
  </si>
  <si>
    <t>21.01</t>
  </si>
  <si>
    <t>2.3</t>
  </si>
  <si>
    <t>Oct 26, 2017</t>
  </si>
  <si>
    <t>40.67</t>
  </si>
  <si>
    <t>5.27B</t>
  </si>
  <si>
    <t>5.35B</t>
  </si>
  <si>
    <t>5.16B</t>
  </si>
  <si>
    <t>5.2B</t>
  </si>
  <si>
    <t>1.43B</t>
  </si>
  <si>
    <t>5.52B</t>
  </si>
  <si>
    <t>5.5B</t>
  </si>
  <si>
    <t>5.1B</t>
  </si>
  <si>
    <t>0.18</t>
  </si>
  <si>
    <t>0.97</t>
  </si>
  <si>
    <t>0.95</t>
  </si>
  <si>
    <t>1.13</t>
  </si>
  <si>
    <t>0.75</t>
  </si>
  <si>
    <t>0.16</t>
  </si>
  <si>
    <t>-0.2</t>
  </si>
  <si>
    <t>238.90%</t>
  </si>
  <si>
    <t>16.50%</t>
  </si>
  <si>
    <t>-21.10%</t>
  </si>
  <si>
    <t>88.20%</t>
  </si>
  <si>
    <t>UFS.TO</t>
  </si>
  <si>
    <t>-11.50%</t>
  </si>
  <si>
    <t>-22.10%</t>
  </si>
  <si>
    <t>-8.50%</t>
  </si>
  <si>
    <t>14.20%</t>
  </si>
  <si>
    <t>3.00%</t>
  </si>
  <si>
    <t>-1.27%</t>
  </si>
  <si>
    <t>16.27</t>
  </si>
  <si>
    <t>5.63%</t>
  </si>
  <si>
    <t>3.16%</t>
  </si>
  <si>
    <t>5.31%</t>
  </si>
  <si>
    <t>81.74</t>
  </si>
  <si>
    <t>1.30%</t>
  </si>
  <si>
    <t>627M</t>
  </si>
  <si>
    <t>144M</t>
  </si>
  <si>
    <t>400.00%</t>
  </si>
  <si>
    <t>46.70</t>
  </si>
  <si>
    <t>2.13</t>
  </si>
  <si>
    <t>42.87</t>
  </si>
  <si>
    <t>179.75M</t>
  </si>
  <si>
    <t>-8.21%</t>
  </si>
  <si>
    <t>14.37%</t>
  </si>
  <si>
    <t>58.31</t>
  </si>
  <si>
    <t>45.48</t>
  </si>
  <si>
    <t>49.19</t>
  </si>
  <si>
    <t>51.06</t>
  </si>
  <si>
    <t>22.8k</t>
  </si>
  <si>
    <t>17.35k</t>
  </si>
  <si>
    <t>62.63M</t>
  </si>
  <si>
    <t>93.90%</t>
  </si>
  <si>
    <t>249.2k</t>
  </si>
  <si>
    <t>0.48%</t>
  </si>
  <si>
    <t>245.71k</t>
  </si>
  <si>
    <t>1.66</t>
  </si>
  <si>
    <t>Jul 17, 2017</t>
  </si>
  <si>
    <t>Jun 18, 2014</t>
  </si>
  <si>
    <t>Mr. John D. Williams BA</t>
  </si>
  <si>
    <t>Mr. Daniel Buron</t>
  </si>
  <si>
    <t>Chief Financial Officer and Sr. VP</t>
  </si>
  <si>
    <t>Mr. Zygmunt Jablonski</t>
  </si>
  <si>
    <t>Chief Legal &amp; Admin. Officer and Sr. VP</t>
  </si>
  <si>
    <t>Mr. Michael E. Fagan</t>
  </si>
  <si>
    <t>Pres of Personal Care Division</t>
  </si>
  <si>
    <t>Mr. Michael Dennis Garcia</t>
  </si>
  <si>
    <t>Pres of Pulp and Paper Division</t>
  </si>
  <si>
    <t>1.47B</t>
  </si>
  <si>
    <t>6.81</t>
  </si>
  <si>
    <t>10.43</t>
  </si>
  <si>
    <t>0.36</t>
  </si>
  <si>
    <t>0.37</t>
  </si>
  <si>
    <t>1.27</t>
  </si>
  <si>
    <t>13.9B</t>
  </si>
  <si>
    <t>55.03</t>
  </si>
  <si>
    <t>31.51</t>
  </si>
  <si>
    <t>1.01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</si>
</sst>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B10"/>
  <sheetViews>
    <sheetView workbookViewId="0"/>
  </sheetViews>
  <sheetFormatPr defaultRowHeight="14.4" x14ac:dyDescent="0.3"/>
  <sheetData>
    <row r="1" spans="2:2" x14ac:dyDescent="0.3">
      <c r="B1" t="str">
        <f ca="1">AAN!K17</f>
        <v>Aaron's, Inc. is scheduled to report earnings on Jul 28, 2017. The current stock price is $40.62, up 2.21% after opening a bit below yesterday's closing price. The one year target estimate for Aaron's is $39.63 which would be a 2.44% decrease from the current price. Earnings are expected to decrease by 12.07% from last quarter based on the average of 9 analyst estimates (Yahoo Finance). The stock is trading in the high end of its 52-week range. Over the last 4 quarters, there have been positive earnings surprises 4 times, and a negative earnings surprise 0 times.</v>
      </c>
    </row>
    <row r="2" spans="2:2" x14ac:dyDescent="0.3">
      <c r="B2" t="str">
        <f ca="1">ARCB!K17</f>
        <v>ArcBest Corporation is scheduled to report earnings on Jul 28, 2017. The stock is currently trading at $21.50, down 1.83% after opening up slightly over yesterday's close. The one year target estimate for ArcBest is $22.29 which would be a 3.67% increase over the current price. Earnings are expected to increase by 27.08% over last quarter based on the average of 9 analyst estimates (Yahoo Finance). The stock is trading in the low end of its 52-week range. Over the last 4 quarters, there have been positive earnings surprises 2 times, and a negative earnings surprise 2 times.</v>
      </c>
    </row>
    <row r="3" spans="2:2" x14ac:dyDescent="0.3">
      <c r="B3" t="str">
        <f ca="1">B!K17</f>
        <v>Barnes Group Inc. is scheduled to report earnings on Jul 28, 2017. The stock is currently trading at $59.69, up .61% after opening up slightly over yesterday's close. Barnes Group is expected to be trading at $58.75, based on target estimates which would be a 1.57% decrease from the current price. Earnings are expected to increase by 1.45% over last quarter based on the average of 8 analyst estimates (Yahoo Finance). The stock is trading in the high end of its 52-week range. Over the last 4 quarters, there have been positive earnings surprises 4 times, and a negative earnings surprise 0 times.</v>
      </c>
    </row>
    <row r="4" spans="2:2" x14ac:dyDescent="0.3">
      <c r="B4" t="str">
        <f ca="1">BVI.PA!K17</f>
        <v>Bureau Veritas SA is going to report earnings on Jul 28, 2017. The stock is currently trading at $20.22, up 1.86% after opening slightly below yesterday's close. Bureau Veritas SA is expected to be trading at $19.77, based on target estimates which would be a 2.23% decrease from the current price. Earnings are expected to remain constant over the next quarter based on the average of  analyst estimates (Yahoo Finance). The stock is trading in the high end of its 52-week range. Over the last 4 quarters, there have been positive earnings surprises 4 times, and a negative earnings surprise 0 times.</v>
      </c>
    </row>
    <row r="5" spans="2:2" x14ac:dyDescent="0.3">
      <c r="B5" t="str">
        <f ca="1">CIR!K17</f>
        <v>CIRCOR International, Inc. is going to report earnings on Jul 28, 2017. The current stock price is $56.78, up 1.18% after opening up a fraction over yesterday's closing price. The one year target estimate for CIRCOR International is $67.40 which would be an 18.70% increase over the current price. Earnings are expected to increase by 19.57% over last quarter based on the average of 6 analyst estimates (Yahoo Finance). The stock is trading near the middle of its 52 week range. Over the last 4 quarters, there have been positive earnings surprises 3 times, and a negative earnings surprise 1 time.</v>
      </c>
    </row>
    <row r="6" spans="2:2" x14ac:dyDescent="0.3">
      <c r="B6" t="str">
        <f ca="1">'600452.SS'!K17</f>
        <v>FULING POWER plans to report earnings on . The current stock price is $41.97, up .12% after opening up a fraction over yesterday's closing price. FULING POWER is expected to be trading at $56.10, based on target estimates which would be a 33.67% increase over the current price. Earnings are expected to remain constant over the next quarter based on the average of  analyst estimates (Yahoo Finance). The stock is trading near the middle of its 52 week range. Over the last 4 quarters, there have been positive earnings surprises 4 times, and a negative earnings surprise 0 times.</v>
      </c>
    </row>
    <row r="7" spans="2:2" x14ac:dyDescent="0.3">
      <c r="B7" t="str">
        <f ca="1">CIVB!K17</f>
        <v>Civista Bancshares, Inc. plans to report earnings on Jul 28, 2017. The stock is currently trading at $21.04, up .38% after opening up slightly over yesterday's close. The one year target estimate for Civista Bancshares is $24.00 which would be a 14.07% increase over the current price. Earnings are expected to remain constant over the next quarter based on the average of 5 analyst estimates (Yahoo Finance). The stock is trading in the high end of its 52-week range. Over the last 4 quarters, there have been positive earnings surprises 3 times, and a negative earnings surprise 1 time.</v>
      </c>
    </row>
    <row r="8" spans="2:2" x14ac:dyDescent="0.3">
      <c r="B8" t="str">
        <f ca="1">CFX!K17</f>
        <v>Colfax Corporation is going to report earnings on Jul 28, 2017. The current stock price is $40.83, down .29% after opening up a fraction over yesterday's closing price. Colfax is expected to be trading at $44.30, based on target estimates which would be an 8.50% increase over the current price. Earnings are expected to decrease by 2.33% from last quarter based on the average of 15 analyst estimates (Yahoo Finance). The stock is trading in the high end of its 52-week range. Over the last 4 quarters, there have been positive earnings surprises 4 times, and a negative earnings surprise 0 times.</v>
      </c>
    </row>
    <row r="9" spans="2:2" x14ac:dyDescent="0.3">
      <c r="B9" t="str">
        <f ca="1">DBV.PA!K17</f>
        <v>DBV Technologies S.A. plans to report earnings on Jul 28, 2017. The current stock price is $75.42, down .29% after opening up a fraction over yesterday's closing price. The one year target estimate for DBV Technologies S.A. is $98.13 which would be a 30.11% increase over the current price. Earnings are expected to remain constant over the next quarter based on the average of  analyst estimates (Yahoo Finance). The stock is trading in the high end of its 52-week range. Over the last 4 quarters, there have been positive earnings surprises 4 times, and a negative earnings surprise 0 times.</v>
      </c>
    </row>
    <row r="10" spans="2:2" x14ac:dyDescent="0.3">
      <c r="B10" t="str">
        <f ca="1">UFS.TO!K17</f>
        <v>Domtar Corporation will report earnings on Oct 26, 2017. The stock is currently trading at $48.33, up 1.% after opening up slightly over yesterday's close. Domtar is expected to be trading at $40.67, based on target estimates which would be a 15.85% decrease from the current price. Earnings are expected to increase by 62.96% over last quarter based on the average of 8 analyst estimates (Yahoo Finance). The stock is trading in the low end of its 52-week range. Over the last 4 quarters, there have been positive earnings surprises 3 times, and a negative earnings surprise 1 time.</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H540"/>
  <sheetViews>
    <sheetView tabSelected="1" topLeftCell="C1" zoomScale="52" workbookViewId="0">
      <selection activeCell="L22" sqref="L22"/>
    </sheetView>
  </sheetViews>
  <sheetFormatPr defaultRowHeight="14.4" x14ac:dyDescent="0.3"/>
  <cols>
    <col min="1" max="1" width="0" hidden="1" customWidth="1"/>
    <col min="2" max="7" width="20.6640625" customWidth="1"/>
    <col min="8" max="9" width="9" bestFit="1" customWidth="1"/>
    <col min="10" max="14" width="19.21875" bestFit="1" customWidth="1"/>
    <col min="15" max="15" width="9" bestFit="1" customWidth="1"/>
    <col min="16" max="16" width="19.21875" bestFit="1" customWidth="1"/>
    <col min="17" max="17" width="9.77734375" bestFit="1" customWidth="1"/>
    <col min="18" max="18" width="19.21875" bestFit="1" customWidth="1"/>
    <col min="19" max="19" width="9.77734375" bestFit="1" customWidth="1"/>
    <col min="20" max="20" width="19.21875" bestFit="1" customWidth="1"/>
    <col min="21" max="21" width="20.88671875" bestFit="1" customWidth="1"/>
    <col min="22" max="22" width="9.109375" bestFit="1" customWidth="1"/>
    <col min="23" max="23" width="9" bestFit="1" customWidth="1"/>
    <col min="24" max="27" width="9.109375" bestFit="1" customWidth="1"/>
    <col min="28" max="28" width="9.77734375" bestFit="1" customWidth="1"/>
    <col min="31" max="31" width="17.6640625" bestFit="1" customWidth="1"/>
    <col min="32" max="32" width="9.77734375" bestFit="1" customWidth="1"/>
    <col min="33" max="34" width="9" bestFit="1" customWidth="1"/>
    <col min="37" max="37" width="16.5546875" bestFit="1" customWidth="1"/>
    <col min="38" max="38" width="10.109375" bestFit="1" customWidth="1"/>
    <col min="39" max="39" width="9" bestFit="1" customWidth="1"/>
    <col min="40" max="40" width="9.109375" bestFit="1" customWidth="1"/>
    <col min="52" max="52" width="14.21875" customWidth="1"/>
    <col min="53" max="53" width="9" bestFit="1" customWidth="1"/>
    <col min="54" max="54" width="19.109375" bestFit="1" customWidth="1"/>
    <col min="56" max="56" width="17.5546875" bestFit="1" customWidth="1"/>
  </cols>
  <sheetData>
    <row r="1" spans="1:16" x14ac:dyDescent="0.3">
      <c r="B1" t="s">
        <v>0</v>
      </c>
      <c r="C1" t="s">
        <v>1</v>
      </c>
      <c r="D1" t="str">
        <f>TRIM(IFERROR(IFERROR(IFERROR(IFERROR(IFERROR(IFERROR(IFERROR(REPLACE(LEFT(C1,FIND("(",C1) - 2), FIND("PLC",UPPER(LEFT(C1,FIND("(",C1) - 2))),3,"" ), REPLACE(LEFT(C1,FIND("(",C1) - 2), FIND(", INC.",UPPER(LEFT(C1,FIND("(",C1) - 2))),6,"" )), REPLACE(LEFT(C1,FIND("(",C1) - 2), FIND("CORPORATION",UPPER(LEFT(C1,FIND("(",C1) - 2))),11,"" )),REPLACE(LEFT(C1,FIND("(",C1) - 2), FIND("CORP.",UPPER(LEFT(C1,FIND("(",C1) - 2))),5,"" )), REPLACE(LEFT(C1,FIND("(",C1) - 2), FIND("COMPANY",UPPER(LEFT(C1,FIND("(",C1) - 2))),7,"" )),REPLACE(LEFT(C1,FIND("(",C1) - 2), FIND("INC.",UPPER(LEFT(C1,FIND("(",C1) - 2))),4,"" )),REPLACE(LEFT(C1,FIND("(",C1) - 2), FIND("CORP",UPPER(LEFT(C1,FIND("(",C1) - 2))),4,"" )),LEFT(C1,FIND("(",C1) - 2)))</f>
        <v>Aaron's</v>
      </c>
    </row>
    <row r="2" spans="1:16" x14ac:dyDescent="0.3">
      <c r="B2" t="s">
        <v>2</v>
      </c>
      <c r="C2" t="s">
        <v>3</v>
      </c>
      <c r="K2" t="str">
        <f>LEFT(C1,FIND("(",C1) - 2)</f>
        <v>Aaron's, Inc.</v>
      </c>
    </row>
    <row r="3" spans="1:16" x14ac:dyDescent="0.3">
      <c r="J3">
        <f ca="1">RANDBETWEEN(1,6)</f>
        <v>1</v>
      </c>
      <c r="K3" t="str">
        <f>" is scheduled to report earnings "&amp;IFERROR("between "&amp;LEFT(C20,FIND("-",C20)-2)&amp;" and "&amp;RIGHT(C20,FIND("-",C20)-2),"on "&amp;C20)</f>
        <v xml:space="preserve"> is scheduled to report earnings on Jul 28, 2017</v>
      </c>
      <c r="L3" t="str">
        <f>" is slated to report earnings "&amp;IFERROR("between "&amp;LEFT(C20,FIND("-",C20)-2)&amp;" and "&amp;RIGHT(C20,FIND("-",C20)-2),"on "&amp;C20)</f>
        <v xml:space="preserve"> is slated to report earnings on Jul 28, 2017</v>
      </c>
      <c r="M3" t="str">
        <f>" will report earnings "&amp;IFERROR("between "&amp;LEFT(C20,FIND("-",C20)-2)&amp;" and "&amp;RIGHT(C20,FIND("-",C20)-2),"on "&amp;C20)</f>
        <v xml:space="preserve"> will report earnings on Jul 28, 2017</v>
      </c>
      <c r="N3" t="str">
        <f>" reports earnings "&amp;IFERROR("between "&amp;LEFT(C20,FIND("-",C20)-2)&amp;" and "&amp;RIGHT(C20,FIND("-",C20)-2),"on "&amp;C20)</f>
        <v xml:space="preserve"> reports earnings on Jul 28, 2017</v>
      </c>
      <c r="O3" t="str">
        <f>" plans to report earnings "&amp;IFERROR("between "&amp;LEFT(C20,FIND("-",C20)-2)&amp;" and "&amp;RIGHT(C20,FIND("-",C20)-2),"on "&amp;C20)</f>
        <v xml:space="preserve"> plans to report earnings on Jul 28, 2017</v>
      </c>
      <c r="P3" t="str">
        <f>" is going to report earnings "&amp;IFERROR("between "&amp;LEFT(C20,FIND("-",C20)-2)&amp;" and "&amp;RIGHT(C20,FIND("-",C20)-2),"on "&amp;C20)</f>
        <v xml:space="preserve"> is going to report earnings on Jul 28, 2017</v>
      </c>
    </row>
    <row r="4" spans="1:16" x14ac:dyDescent="0.3">
      <c r="B4" t="s">
        <v>4</v>
      </c>
      <c r="J4">
        <f ca="1">RANDBETWEEN(1,2)</f>
        <v>2</v>
      </c>
      <c r="K4" t="str">
        <f>"The stock is currently trading at " &amp; TEXT(C2,"$####.00") &amp; ", " &amp; IF(C2-C7=0, "at the same price" &amp; " after opening " &amp; IF(C8-C7=0, "at the same price as yesterday's close", IF(C8-C7&gt;0, "up " &amp; IF((C7-C8)/C7*-1 &lt;0.01, "slightly", TEXT((C7-C8)/C7*-1,"##.##%")) &amp; " over yesterday's close", IF((C7-C8)/C7 &lt;0.01, "slightly below", "down " &amp; TEXT((C7-C8)/C7*1,"##.##%") &amp; " from") &amp; " yesterday's close")), IF(C2-C7&gt;0, "up " &amp; TEXT((C7-C2)/C7*-1,"##.##%") &amp; " after opening " &amp; IF(C8-C7=0, "at the same price as yesterday's close", IF(C8-C7&gt;0, "up " &amp; IF((C7-C8)/C7*-1 &lt;0.01, "slightly", TEXT((C7-C8)/C7*-1,"##.##%")) &amp; " over yesterday's close", IF((C7-C8)/C7 &lt;0.01, "slightly below", "down " &amp; TEXT((C7-C8)/C7*1,"##.##%") &amp; " from") &amp; " yesterday's close")), "down " &amp; TEXT((C7-C2)/C7*1,"##.##%") &amp; " after opening " &amp; IF(C8-C7=0, "at the same price as yesterday's close", IF(C8-C7&gt;0, "up " &amp; IF((C7-C8)/C7*-1 &lt;0.01, "slightly", TEXT((C7-C8)/C7*-1,"##.##%")) &amp; " over yesterday's close", IF((C7-C8)/C7 &lt;0.01, "slightly below", "down " &amp; TEXT((C7-C8)/C7*1,"##.##%") &amp; " from") &amp; " yesterday's close")) ))</f>
        <v>The stock is currently trading at $40.62, up 2.21% after opening slightly below yesterday's close</v>
      </c>
      <c r="L4" t="str">
        <f>"The current stock price is " &amp; TEXT(C2,"$####.00") &amp; ", " &amp; IF(C2-C7=0, "at the same price" &amp; " after opening " &amp; IF(C8-C7=0, "at the same price as yesterday's closing price", IF(C8-C7&gt;0, "up " &amp; IF((C7-C8)/C7*-1 &lt;0.01, "a fraction", TEXT((C7-C8)/C7*-1,"##.##%")) &amp; " over yesterday's closing price", IF((C7-C8)/C7 &lt;0.01, "a bit below", "down " &amp; TEXT((C7-C8)/C7*1,"##.##%") &amp; " from") &amp; " yesterday's closing price")), IF(C2-C7&gt;0, "up " &amp; TEXT((C7-C2)/C7*-1,"##.##%") &amp; " after opening " &amp; IF(C8-C7=0, "at yesterday's closing price", IF(C8-C7&gt;0, "up " &amp; IF((C7-C8)/C7*-1 &lt;0.01, "a fraction", TEXT((C7-C8)/C7*-1,"##.##%")) &amp; " over yesterday's closing price", IF((C7-C8)/C7 &lt;0.01, "a bit below", "down " &amp; TEXT((C7-C8)/C7*1,"##.##%") &amp; " from") &amp; " yesterday's closing price")), "down " &amp; TEXT((C7-C2)/C7*1,"##.##%") &amp; " after opening " &amp; IF(C8-C7=0, "at yesterday's closing price", IF(C8-C7&gt;0, "up " &amp; IF((C7-C8)/C7*-1 &lt;0.01, "a fraction", TEXT((C7-C8)/C7*-1,"##.##%")) &amp; " over yesterday's closing price", IF((C7-C8)/C7 &lt;0.01, "a bit below", "down " &amp; TEXT((C7-C8)/C7*1,"##.##%") &amp; " from") &amp; " yesterday's closing price")) ))</f>
        <v>The current stock price is $40.62, up 2.21% after opening a bit below yesterday's closing price</v>
      </c>
    </row>
    <row r="5" spans="1:16" x14ac:dyDescent="0.3">
      <c r="J5">
        <f ca="1">RANDBETWEEN(1,2)</f>
        <v>1</v>
      </c>
      <c r="K5" t="str">
        <f>"The one year target estimate for " &amp; D1 &amp; " is " &amp; TEXT(C23,"$####.00")</f>
        <v>The one year target estimate for Aaron's is $39.63</v>
      </c>
      <c r="L5" t="str">
        <f>D1 &amp; " is expected to be trading at " &amp; TEXT(C23, "$####.00") &amp; ", based on target estimates"</f>
        <v>Aaron's is expected to be trading at $39.63, based on target estimates</v>
      </c>
    </row>
    <row r="6" spans="1:16" x14ac:dyDescent="0.3">
      <c r="K6" t="str">
        <f>" which would be " &amp; IF(OR(LEFT(ABS((C23-C2)/C2*100),1)="8",LEFT(ABS((C23-C2)/C2*100),2)="18"), "an ", "a ")  &amp;TEXT(ABS((C23-C2)/C2),"####.00%")&amp;IF((C23-C2)&gt;0," increase over"," decrease from")&amp;" the current price"</f>
        <v xml:space="preserve"> which would be a 2.44% decrease from the current price</v>
      </c>
    </row>
    <row r="7" spans="1:16" x14ac:dyDescent="0.3">
      <c r="A7" s="1">
        <v>0</v>
      </c>
      <c r="B7" t="s">
        <v>5</v>
      </c>
      <c r="C7" t="s">
        <v>6</v>
      </c>
      <c r="K7" t="str">
        <f>"Earnings are expected to " &amp; IF(C28=D28, "remain constant over the next quarter", IF( D28&gt;C28,  "increase by " &amp; TEXT((D28-C28)/C28*100,"##.##") &amp; "% over last quarter", "decrease by " &amp; TEXT((D28-C28)/C28*-100,"##.##") &amp; "% from last quarter")) &amp; " based on the average of " &amp; $C$27 &amp; " analyst estimates (Yahoo Finance)"</f>
        <v>Earnings are expected to decrease by 12.07% from last quarter based on the average of 9 analyst estimates (Yahoo Finance)</v>
      </c>
    </row>
    <row r="8" spans="1:16" x14ac:dyDescent="0.3">
      <c r="A8" s="1">
        <v>1</v>
      </c>
      <c r="B8" t="s">
        <v>7</v>
      </c>
      <c r="C8" t="s">
        <v>8</v>
      </c>
      <c r="K8" t="str">
        <f>IF(VALUE(C2)=D12, "The stock is trading at an all-time low",IF(VALUE(C2) =E12,"The stock is trading at an all-time high",IF(VALUE(C2)&lt;D12+(E12-D12)/3, "The stock is trading in the low end of its 52-week range",IF(VALUE(C2)&lt;D12+2*(E12-D12)/3, "The stock is trading near the middle of its 52 week range", "The stock is trading in the high end of its 52-week range"))) )</f>
        <v>The stock is trading in the high end of its 52-week range</v>
      </c>
    </row>
    <row r="9" spans="1:16" x14ac:dyDescent="0.3">
      <c r="A9" s="1">
        <v>2</v>
      </c>
      <c r="B9" t="s">
        <v>9</v>
      </c>
      <c r="C9" t="s">
        <v>10</v>
      </c>
      <c r="K9" t="str">
        <f>"Over the last 4 quarters, there" &amp; IF(4 - COUNTIF(C45:F45,"-*")=1, " has"," have") &amp; " been" &amp; IF(4 - COUNTIF(C45:F45,"-*")=1, " a,","") &amp; " positive earnings surprise" &amp; IF(4 - COUNTIF(C45:F45,"-*")=1, " ","s ") &amp; 4 -COUNTIF(C45:F45,"-*") &amp; IF(4 - COUNTIF(C45:F45,"-*")=1, " time,"," times,") &amp; " and a negative earnings surprise " &amp; COUNTIF(C45:F45,"-*") &amp; IF(COUNTIF(C45:F45,"-*")=1, " time", " times")</f>
        <v>Over the last 4 quarters, there have been positive earnings surprises 4 times, and a negative earnings surprise 0 times</v>
      </c>
    </row>
    <row r="10" spans="1:16" x14ac:dyDescent="0.3">
      <c r="A10" s="1">
        <v>3</v>
      </c>
      <c r="B10" t="s">
        <v>11</v>
      </c>
      <c r="C10" t="s">
        <v>10</v>
      </c>
      <c r="K10" t="str">
        <f>IF(F48=F52,"",IF(F48&gt;F52, "EPS estimates have increased by " &amp; TEXT(F48-F52,"$0.00") &amp; " in the 2 months leading up to the earnings report", "EPS estimates have decreased by " &amp; TEXT(ABS(F48-F52),"$0.00") &amp; " in the 2 months leading up to the earnings report"))</f>
        <v>EPS estimates have increased by $0.14 in the 2 months leading up to the earnings report</v>
      </c>
    </row>
    <row r="11" spans="1:16" x14ac:dyDescent="0.3">
      <c r="A11" s="1">
        <v>4</v>
      </c>
      <c r="B11" t="s">
        <v>12</v>
      </c>
      <c r="C11" t="s">
        <v>13</v>
      </c>
      <c r="K11" t="str">
        <f>IF(B145="Interest Income",U42, K42)</f>
        <v>Aaron's has managed to increase revenue, and gross income each year since 2012</v>
      </c>
    </row>
    <row r="12" spans="1:16" x14ac:dyDescent="0.3">
      <c r="A12" s="1">
        <v>5</v>
      </c>
      <c r="B12" t="s">
        <v>14</v>
      </c>
      <c r="C12" t="s">
        <v>15</v>
      </c>
      <c r="D12" t="str">
        <f>LEFT(C12,FIND("-",C12)-2)</f>
        <v>21.50</v>
      </c>
      <c r="E12" t="str">
        <f>TRIM(RIGHT(C12,FIND("-",C12)-1))</f>
        <v>40.90</v>
      </c>
      <c r="K12" t="str">
        <f ca="1">D78</f>
        <v>There are some indications that Aaron's may be overvalued. The company has a higher trailing p/e, forward p/e, peg ratio, and price/book than the comparable average</v>
      </c>
    </row>
    <row r="13" spans="1:16" x14ac:dyDescent="0.3">
      <c r="A13" s="1">
        <v>6</v>
      </c>
      <c r="B13" t="s">
        <v>16</v>
      </c>
      <c r="C13" t="s">
        <v>17</v>
      </c>
      <c r="K13" t="str">
        <f ca="1">D89</f>
        <v>There are some indications that Aaron's may be undervalued. The company has a lower price/sales than the comparable average</v>
      </c>
    </row>
    <row r="14" spans="1:16" x14ac:dyDescent="0.3">
      <c r="A14" s="1">
        <v>7</v>
      </c>
      <c r="B14" t="s">
        <v>18</v>
      </c>
      <c r="C14" t="s">
        <v>19</v>
      </c>
    </row>
    <row r="16" spans="1:16" x14ac:dyDescent="0.3">
      <c r="A16" s="1">
        <v>0</v>
      </c>
      <c r="B16" t="s">
        <v>20</v>
      </c>
      <c r="C16" t="s">
        <v>21</v>
      </c>
    </row>
    <row r="17" spans="1:23" x14ac:dyDescent="0.3">
      <c r="A17" s="1">
        <v>1</v>
      </c>
      <c r="B17" t="s">
        <v>22</v>
      </c>
      <c r="C17" t="s">
        <v>23</v>
      </c>
      <c r="K17" t="str">
        <f ca="1">K2 &amp; IF(J3=1, K3,IF(J3=2,L3,IF(J3=3,M3,IF(J3=4,N3,IF(J3=5,O3,IF(J3=6,P3)))))) &amp; ". " &amp; IF(J4=1,K4,IF(J4=2,L4)) &amp; ". " &amp; IF(J5=1,K5,IF(J5=2,L5)) &amp; K6 &amp; ". " &amp; K7 &amp; ". " &amp; K8 &amp; ". " &amp; K9 &amp; "."</f>
        <v>Aaron's, Inc. is scheduled to report earnings on Jul 28, 2017. The current stock price is $40.62, up 2.21% after opening a bit below yesterday's closing price. The one year target estimate for Aaron's is $39.63 which would be a 2.44% decrease from the current price. Earnings are expected to decrease by 12.07% from last quarter based on the average of 9 analyst estimates (Yahoo Finance). The stock is trading in the high end of its 52-week range. Over the last 4 quarters, there have been positive earnings surprises 4 times, and a negative earnings surprise 0 times.</v>
      </c>
    </row>
    <row r="18" spans="1:23" x14ac:dyDescent="0.3">
      <c r="A18" s="1">
        <v>2</v>
      </c>
      <c r="B18" t="s">
        <v>24</v>
      </c>
      <c r="C18" t="s">
        <v>25</v>
      </c>
    </row>
    <row r="19" spans="1:23" x14ac:dyDescent="0.3">
      <c r="A19" s="1">
        <v>3</v>
      </c>
      <c r="B19" t="s">
        <v>26</v>
      </c>
      <c r="C19" t="s">
        <v>27</v>
      </c>
    </row>
    <row r="20" spans="1:23" x14ac:dyDescent="0.3">
      <c r="A20" s="1">
        <v>4</v>
      </c>
      <c r="B20" t="s">
        <v>28</v>
      </c>
      <c r="C20" t="s">
        <v>29</v>
      </c>
    </row>
    <row r="21" spans="1:23" x14ac:dyDescent="0.3">
      <c r="A21" s="1">
        <v>5</v>
      </c>
      <c r="B21" t="s">
        <v>30</v>
      </c>
      <c r="C21" t="s">
        <v>31</v>
      </c>
    </row>
    <row r="22" spans="1:23" x14ac:dyDescent="0.3">
      <c r="A22" s="1">
        <v>6</v>
      </c>
      <c r="B22" t="s">
        <v>32</v>
      </c>
      <c r="C22" t="s">
        <v>33</v>
      </c>
      <c r="J22">
        <f>IF(K22 &lt;&gt; "",1, 0)</f>
        <v>1</v>
      </c>
      <c r="K22" t="str">
        <f>IF(I145="pos_trend","Revenue","")</f>
        <v>Revenue</v>
      </c>
      <c r="L22" t="str">
        <f t="shared" ref="L22:L38" si="0">IF(EXACT(K22,UPPER(K22)),K22,LOWER(K22))</f>
        <v>revenue</v>
      </c>
      <c r="M22" t="str">
        <f>L22</f>
        <v>revenue</v>
      </c>
      <c r="T22">
        <f>IF(U22 &lt;&gt; "",1, 0)</f>
        <v>0</v>
      </c>
      <c r="U22" t="str">
        <f>IF(AND(B145 = "Interest Income",I145="pos_trend"), "Interest Income","")</f>
        <v/>
      </c>
      <c r="V22" t="str">
        <f t="shared" ref="V22:V38" si="1">IF(EXACT(U22,UPPER(U22)),U22,LOWER(U22))</f>
        <v/>
      </c>
      <c r="W22" t="str">
        <f>V22</f>
        <v/>
      </c>
    </row>
    <row r="23" spans="1:23" x14ac:dyDescent="0.3">
      <c r="A23" s="1">
        <v>7</v>
      </c>
      <c r="B23" t="s">
        <v>34</v>
      </c>
      <c r="C23" t="s">
        <v>35</v>
      </c>
      <c r="J23">
        <f>IF(K23 &lt;&gt; "",2, 0)</f>
        <v>0</v>
      </c>
      <c r="K23" t="str">
        <f>IF(I146="pos_trend",B146,"")</f>
        <v/>
      </c>
      <c r="L23" t="str">
        <f t="shared" si="0"/>
        <v/>
      </c>
      <c r="M23" t="str">
        <f t="shared" ref="M23:M39" si="2">IF(L23&lt;&gt;"", M22 &amp; ", " &amp; L23,M22)</f>
        <v>revenue</v>
      </c>
      <c r="T23">
        <f>IF(U23 &lt;&gt; "",2, 0)</f>
        <v>0</v>
      </c>
      <c r="U23" t="str">
        <f>IF(I151="pos_trend",B151,"")</f>
        <v/>
      </c>
      <c r="V23" t="str">
        <f t="shared" si="1"/>
        <v/>
      </c>
      <c r="W23" t="str">
        <f t="shared" ref="W23:W39" si="3">IF(V23&lt;&gt;"", W22 &amp; ", " &amp; V23,W22)</f>
        <v/>
      </c>
    </row>
    <row r="24" spans="1:23" x14ac:dyDescent="0.3">
      <c r="J24">
        <f>IF(K24 &lt;&gt; "",3, 0)</f>
        <v>3</v>
      </c>
      <c r="K24" t="str">
        <f>IF(I153="pos_trend",B153,"")</f>
        <v>Gross Income</v>
      </c>
      <c r="L24" t="str">
        <f t="shared" si="0"/>
        <v>gross income</v>
      </c>
      <c r="M24" t="str">
        <f t="shared" si="2"/>
        <v>revenue, gross income</v>
      </c>
      <c r="T24">
        <f>IF(U24 &lt;&gt; "",3, 0)</f>
        <v>0</v>
      </c>
      <c r="U24" t="str">
        <f>IF(I161="pos_trend",B161,"")</f>
        <v/>
      </c>
      <c r="V24" t="str">
        <f t="shared" si="1"/>
        <v/>
      </c>
      <c r="W24" t="str">
        <f t="shared" si="3"/>
        <v/>
      </c>
    </row>
    <row r="25" spans="1:23" x14ac:dyDescent="0.3">
      <c r="J25">
        <f>IF(K25 &lt;&gt; "",4, 0)</f>
        <v>0</v>
      </c>
      <c r="K25" t="str">
        <f>IF(I154="pos_trend",B154,"")</f>
        <v/>
      </c>
      <c r="L25" t="str">
        <f t="shared" si="0"/>
        <v/>
      </c>
      <c r="M25" t="str">
        <f t="shared" si="2"/>
        <v>revenue, gross income</v>
      </c>
      <c r="T25">
        <f>IF(U25 &lt;&gt; "",4, 0)</f>
        <v>0</v>
      </c>
      <c r="U25" t="str">
        <f>IF(I162="pos_trend",B162,"")</f>
        <v/>
      </c>
      <c r="V25" t="str">
        <f t="shared" si="1"/>
        <v/>
      </c>
      <c r="W25" t="str">
        <f t="shared" si="3"/>
        <v/>
      </c>
    </row>
    <row r="26" spans="1:23" x14ac:dyDescent="0.3">
      <c r="B26" s="1" t="s">
        <v>36</v>
      </c>
      <c r="C26" s="1" t="s">
        <v>37</v>
      </c>
      <c r="D26" s="1" t="s">
        <v>38</v>
      </c>
      <c r="E26" s="1" t="s">
        <v>39</v>
      </c>
      <c r="F26" s="1" t="s">
        <v>40</v>
      </c>
      <c r="J26">
        <f>IF(K26 &lt;&gt; "",5, 0)</f>
        <v>0</v>
      </c>
      <c r="K26" t="str">
        <f>IF(I155="pos_trend",B155,"")</f>
        <v/>
      </c>
      <c r="L26" t="str">
        <f t="shared" si="0"/>
        <v/>
      </c>
      <c r="M26" t="str">
        <f t="shared" si="2"/>
        <v>revenue, gross income</v>
      </c>
      <c r="T26">
        <f>IF(U26 &lt;&gt; "",5, 0)</f>
        <v>0</v>
      </c>
      <c r="U26" t="str">
        <f>IF(I167="pos_trend",B167,"")</f>
        <v/>
      </c>
      <c r="V26" t="str">
        <f t="shared" si="1"/>
        <v/>
      </c>
      <c r="W26" t="str">
        <f t="shared" si="3"/>
        <v/>
      </c>
    </row>
    <row r="27" spans="1:23" x14ac:dyDescent="0.3">
      <c r="A27" s="1">
        <v>0</v>
      </c>
      <c r="B27" t="s">
        <v>41</v>
      </c>
      <c r="C27">
        <v>9</v>
      </c>
      <c r="D27">
        <v>9</v>
      </c>
      <c r="E27">
        <v>10</v>
      </c>
      <c r="F27">
        <v>9</v>
      </c>
      <c r="J27">
        <f>IF(K27 &lt;&gt; "",6, 0)</f>
        <v>0</v>
      </c>
      <c r="K27" t="str">
        <f>IF(I172="pos_trend",B172,"")</f>
        <v/>
      </c>
      <c r="L27" t="str">
        <f t="shared" si="0"/>
        <v/>
      </c>
      <c r="M27" t="str">
        <f t="shared" si="2"/>
        <v>revenue, gross income</v>
      </c>
      <c r="T27">
        <f>IF(U27 &lt;&gt; "",6, 0)</f>
        <v>0</v>
      </c>
      <c r="U27" t="str">
        <f>IF(I170="pos_trend",B170,"")</f>
        <v/>
      </c>
      <c r="V27" t="str">
        <f t="shared" si="1"/>
        <v/>
      </c>
      <c r="W27" t="str">
        <f t="shared" si="3"/>
        <v/>
      </c>
    </row>
    <row r="28" spans="1:23" x14ac:dyDescent="0.3">
      <c r="A28" s="1">
        <v>1</v>
      </c>
      <c r="B28" t="s">
        <v>42</v>
      </c>
      <c r="C28">
        <v>0.57999999999999996</v>
      </c>
      <c r="D28">
        <v>0.51</v>
      </c>
      <c r="E28">
        <v>2.4</v>
      </c>
      <c r="F28">
        <v>2.71</v>
      </c>
      <c r="J28">
        <f>IF(K28 &lt;&gt; "",7, 0)</f>
        <v>0</v>
      </c>
      <c r="K28" t="str">
        <f>IF(I173="pos_trend",B173,"")</f>
        <v/>
      </c>
      <c r="L28" t="str">
        <f t="shared" si="0"/>
        <v/>
      </c>
      <c r="M28" t="str">
        <f t="shared" si="2"/>
        <v>revenue, gross income</v>
      </c>
      <c r="T28">
        <f>IF(U28 &lt;&gt; "",7, 0)</f>
        <v>0</v>
      </c>
      <c r="U28" t="str">
        <f>IF(I171="pos_trend",B171,"")</f>
        <v/>
      </c>
      <c r="V28" t="str">
        <f t="shared" si="1"/>
        <v/>
      </c>
      <c r="W28" t="str">
        <f t="shared" si="3"/>
        <v/>
      </c>
    </row>
    <row r="29" spans="1:23" x14ac:dyDescent="0.3">
      <c r="A29" s="1">
        <v>2</v>
      </c>
      <c r="B29" t="s">
        <v>43</v>
      </c>
      <c r="C29">
        <v>0.46</v>
      </c>
      <c r="D29">
        <v>0.46</v>
      </c>
      <c r="E29">
        <v>2.31</v>
      </c>
      <c r="F29">
        <v>2.5499999999999998</v>
      </c>
      <c r="J29">
        <f>IF(K29 &lt;&gt; "",8, 0)</f>
        <v>0</v>
      </c>
      <c r="K29" t="str">
        <f>IF(I174="pos_trend",B174,"")</f>
        <v/>
      </c>
      <c r="L29" t="str">
        <f t="shared" si="0"/>
        <v/>
      </c>
      <c r="M29" t="str">
        <f t="shared" si="2"/>
        <v>revenue, gross income</v>
      </c>
      <c r="T29">
        <f>IF(U29 &lt;&gt; "",8, 0)</f>
        <v>0</v>
      </c>
      <c r="U29" t="str">
        <f>IF(I172="pos_trend",B172,"")</f>
        <v/>
      </c>
      <c r="V29" t="str">
        <f t="shared" si="1"/>
        <v/>
      </c>
      <c r="W29" t="str">
        <f t="shared" si="3"/>
        <v/>
      </c>
    </row>
    <row r="30" spans="1:23" x14ac:dyDescent="0.3">
      <c r="A30" s="1">
        <v>3</v>
      </c>
      <c r="B30" t="s">
        <v>44</v>
      </c>
      <c r="C30">
        <v>0.65</v>
      </c>
      <c r="D30">
        <v>0.56000000000000005</v>
      </c>
      <c r="E30">
        <v>2.52</v>
      </c>
      <c r="F30">
        <v>3.07</v>
      </c>
      <c r="J30">
        <f>IF(K30 &lt;&gt; "",9, 0)</f>
        <v>0</v>
      </c>
      <c r="K30" t="str">
        <f>IF(I185="pos_trend",B185,"")</f>
        <v/>
      </c>
      <c r="L30" t="str">
        <f t="shared" si="0"/>
        <v/>
      </c>
      <c r="M30" t="str">
        <f t="shared" si="2"/>
        <v>revenue, gross income</v>
      </c>
      <c r="T30">
        <f>IF(U30 &lt;&gt; "",9, 0)</f>
        <v>0</v>
      </c>
      <c r="U30" t="str">
        <f>IF(I178="pos_trend",B178,"")</f>
        <v/>
      </c>
      <c r="V30" t="str">
        <f t="shared" si="1"/>
        <v/>
      </c>
      <c r="W30" t="str">
        <f t="shared" si="3"/>
        <v/>
      </c>
    </row>
    <row r="31" spans="1:23" x14ac:dyDescent="0.3">
      <c r="A31" s="1">
        <v>4</v>
      </c>
      <c r="B31" t="s">
        <v>45</v>
      </c>
      <c r="C31">
        <v>0.59</v>
      </c>
      <c r="D31">
        <v>0.5</v>
      </c>
      <c r="E31">
        <v>2.2999999999999998</v>
      </c>
      <c r="F31">
        <v>2.4</v>
      </c>
      <c r="J31">
        <f>IF(K31 &lt;&gt; "",10, 0)</f>
        <v>0</v>
      </c>
      <c r="K31" t="str">
        <f>IF(I186="pos_trend",B186,"")</f>
        <v/>
      </c>
      <c r="L31" t="str">
        <f t="shared" si="0"/>
        <v/>
      </c>
      <c r="M31" t="str">
        <f t="shared" si="2"/>
        <v>revenue, gross income</v>
      </c>
      <c r="T31">
        <f>IF(U31 &lt;&gt; "",10, 0)</f>
        <v>0</v>
      </c>
      <c r="U31" t="str">
        <f>IF(I199="pos_trend",B199,"")</f>
        <v/>
      </c>
      <c r="V31" t="str">
        <f t="shared" si="1"/>
        <v/>
      </c>
      <c r="W31" t="str">
        <f t="shared" si="3"/>
        <v/>
      </c>
    </row>
    <row r="32" spans="1:23" x14ac:dyDescent="0.3">
      <c r="J32">
        <f>IF(K32 &lt;&gt; "",11, 0)</f>
        <v>0</v>
      </c>
      <c r="K32" t="str">
        <f>IF(I187="pos_trend",B187,"")</f>
        <v/>
      </c>
      <c r="L32" t="str">
        <f t="shared" si="0"/>
        <v/>
      </c>
      <c r="M32" t="str">
        <f t="shared" si="2"/>
        <v>revenue, gross income</v>
      </c>
      <c r="T32">
        <f>IF(U32 &lt;&gt; "",11, 0)</f>
        <v>0</v>
      </c>
      <c r="U32" t="str">
        <f>IF(I209="pos_trend",B209,"")</f>
        <v/>
      </c>
      <c r="V32" t="str">
        <f t="shared" si="1"/>
        <v/>
      </c>
      <c r="W32" t="str">
        <f t="shared" si="3"/>
        <v/>
      </c>
    </row>
    <row r="33" spans="1:23" x14ac:dyDescent="0.3">
      <c r="B33" s="1" t="s">
        <v>46</v>
      </c>
      <c r="C33" s="1" t="s">
        <v>37</v>
      </c>
      <c r="D33" s="1" t="s">
        <v>38</v>
      </c>
      <c r="E33" s="1" t="s">
        <v>39</v>
      </c>
      <c r="F33" s="1" t="s">
        <v>40</v>
      </c>
      <c r="J33">
        <f>IF(K33 &lt;&gt; "",12, 0)</f>
        <v>0</v>
      </c>
      <c r="K33" t="str">
        <f>IF(I195="pos_trend",B195,"")</f>
        <v/>
      </c>
      <c r="L33" t="str">
        <f t="shared" si="0"/>
        <v/>
      </c>
      <c r="M33" t="str">
        <f t="shared" si="2"/>
        <v>revenue, gross income</v>
      </c>
      <c r="T33">
        <f>IF(U33 &lt;&gt; "",12, 0)</f>
        <v>0</v>
      </c>
      <c r="U33" t="str">
        <f>IF(I231="pos_trend",B231,"")</f>
        <v/>
      </c>
      <c r="V33" t="str">
        <f t="shared" si="1"/>
        <v/>
      </c>
      <c r="W33" t="str">
        <f t="shared" si="3"/>
        <v/>
      </c>
    </row>
    <row r="34" spans="1:23" x14ac:dyDescent="0.3">
      <c r="A34" s="1">
        <v>0</v>
      </c>
      <c r="B34" t="s">
        <v>41</v>
      </c>
      <c r="C34" t="s">
        <v>47</v>
      </c>
      <c r="D34" t="s">
        <v>47</v>
      </c>
      <c r="E34" t="s">
        <v>48</v>
      </c>
      <c r="F34" t="s">
        <v>48</v>
      </c>
      <c r="J34">
        <f>IF(K34 &lt;&gt; "",13, 0)</f>
        <v>0</v>
      </c>
      <c r="K34" t="str">
        <f>IF(I196="pos_trend",B196,"")</f>
        <v/>
      </c>
      <c r="L34" t="str">
        <f t="shared" si="0"/>
        <v/>
      </c>
      <c r="M34" t="str">
        <f t="shared" si="2"/>
        <v>revenue, gross income</v>
      </c>
      <c r="T34">
        <f>IF(U34 &lt;&gt; "",13, 0)</f>
        <v>0</v>
      </c>
      <c r="U34" t="str">
        <f>IF(I251="pos_trend",B251,"")</f>
        <v/>
      </c>
      <c r="V34" t="str">
        <f t="shared" si="1"/>
        <v/>
      </c>
      <c r="W34" t="str">
        <f t="shared" si="3"/>
        <v/>
      </c>
    </row>
    <row r="35" spans="1:23" x14ac:dyDescent="0.3">
      <c r="A35" s="1">
        <v>1</v>
      </c>
      <c r="B35" t="s">
        <v>42</v>
      </c>
      <c r="C35" t="s">
        <v>49</v>
      </c>
      <c r="D35" t="s">
        <v>50</v>
      </c>
      <c r="E35" t="s">
        <v>51</v>
      </c>
      <c r="F35" t="s">
        <v>52</v>
      </c>
      <c r="J35">
        <f>IF(K35 &lt;&gt; "",14, 0)</f>
        <v>0</v>
      </c>
      <c r="K35" t="str">
        <f>IF(I201="pos_trend",B201,"")</f>
        <v/>
      </c>
      <c r="L35" t="str">
        <f t="shared" si="0"/>
        <v/>
      </c>
      <c r="M35" t="str">
        <f t="shared" si="2"/>
        <v>revenue, gross income</v>
      </c>
      <c r="T35">
        <f>IF(U35 &lt;&gt; "",14, 0)</f>
        <v>0</v>
      </c>
      <c r="U35" t="str">
        <f>IF(I279="pos_trend",B279,"")</f>
        <v/>
      </c>
      <c r="V35" t="str">
        <f t="shared" si="1"/>
        <v/>
      </c>
      <c r="W35" t="str">
        <f t="shared" si="3"/>
        <v/>
      </c>
    </row>
    <row r="36" spans="1:23" x14ac:dyDescent="0.3">
      <c r="A36" s="1">
        <v>2</v>
      </c>
      <c r="B36" t="s">
        <v>43</v>
      </c>
      <c r="C36" t="s">
        <v>53</v>
      </c>
      <c r="D36" t="s">
        <v>54</v>
      </c>
      <c r="E36" t="s">
        <v>55</v>
      </c>
      <c r="F36" t="s">
        <v>56</v>
      </c>
      <c r="J36">
        <f>IF(K36 &lt;&gt; "",15, 0)</f>
        <v>0</v>
      </c>
      <c r="K36" t="str">
        <f>IF(I202="pos_trend",B202,"")</f>
        <v/>
      </c>
      <c r="L36" t="str">
        <f t="shared" si="0"/>
        <v/>
      </c>
      <c r="M36" t="str">
        <f t="shared" si="2"/>
        <v>revenue, gross income</v>
      </c>
      <c r="T36">
        <f>IF(U36 &lt;&gt; "",15, 0)</f>
        <v>0</v>
      </c>
      <c r="U36" t="str">
        <f>IF(I336="pos_trend",B336,"")</f>
        <v/>
      </c>
      <c r="V36" t="str">
        <f t="shared" si="1"/>
        <v/>
      </c>
      <c r="W36" t="str">
        <f t="shared" si="3"/>
        <v/>
      </c>
    </row>
    <row r="37" spans="1:23" x14ac:dyDescent="0.3">
      <c r="A37" s="1">
        <v>3</v>
      </c>
      <c r="B37" t="s">
        <v>44</v>
      </c>
      <c r="C37" t="s">
        <v>57</v>
      </c>
      <c r="D37" t="s">
        <v>58</v>
      </c>
      <c r="E37" t="s">
        <v>59</v>
      </c>
      <c r="F37" t="s">
        <v>60</v>
      </c>
      <c r="J37">
        <f>IF(K37 &lt;&gt; "",16, 0)</f>
        <v>0</v>
      </c>
      <c r="K37" t="str">
        <f>IF(I203="pos_trend",B203,"")</f>
        <v/>
      </c>
      <c r="L37" t="str">
        <f t="shared" si="0"/>
        <v/>
      </c>
      <c r="M37" t="str">
        <f t="shared" si="2"/>
        <v>revenue, gross income</v>
      </c>
      <c r="T37">
        <f>IF(U37 &lt;&gt; "",16, 0)</f>
        <v>0</v>
      </c>
      <c r="U37" t="str">
        <f>IF(I235="pos_trend",B235,"")</f>
        <v/>
      </c>
      <c r="V37" t="str">
        <f t="shared" si="1"/>
        <v/>
      </c>
      <c r="W37" t="str">
        <f t="shared" si="3"/>
        <v/>
      </c>
    </row>
    <row r="38" spans="1:23" x14ac:dyDescent="0.3">
      <c r="A38" s="1">
        <v>4</v>
      </c>
      <c r="B38" t="s">
        <v>61</v>
      </c>
      <c r="C38" t="s">
        <v>62</v>
      </c>
      <c r="D38" t="s">
        <v>63</v>
      </c>
      <c r="E38" t="s">
        <v>64</v>
      </c>
      <c r="F38" t="s">
        <v>51</v>
      </c>
      <c r="J38">
        <f>IF(K38 &lt;&gt; "",17, 0)</f>
        <v>0</v>
      </c>
      <c r="K38" t="str">
        <f>IF(I351="pos_trend",B351,"")</f>
        <v/>
      </c>
      <c r="L38" t="str">
        <f t="shared" si="0"/>
        <v/>
      </c>
      <c r="M38" t="str">
        <f t="shared" si="2"/>
        <v>revenue, gross income</v>
      </c>
      <c r="T38">
        <f>IF(U38 &lt;&gt; "",17, 0)</f>
        <v>0</v>
      </c>
      <c r="U38" t="str">
        <f>IF(I236="pos_trend",B236,"")</f>
        <v/>
      </c>
      <c r="V38" t="str">
        <f t="shared" si="1"/>
        <v/>
      </c>
      <c r="W38" t="str">
        <f t="shared" si="3"/>
        <v/>
      </c>
    </row>
    <row r="39" spans="1:23" x14ac:dyDescent="0.3">
      <c r="A39" s="1">
        <v>5</v>
      </c>
      <c r="B39" t="s">
        <v>65</v>
      </c>
      <c r="C39" t="s">
        <v>66</v>
      </c>
      <c r="D39" t="s">
        <v>67</v>
      </c>
      <c r="E39" t="s">
        <v>68</v>
      </c>
      <c r="F39" t="s">
        <v>69</v>
      </c>
      <c r="K39" t="str">
        <f>IF(I352="pos_trend",B352,"")</f>
        <v/>
      </c>
      <c r="M39" t="str">
        <f t="shared" si="2"/>
        <v>revenue, gross income</v>
      </c>
      <c r="W39" t="str">
        <f t="shared" si="3"/>
        <v/>
      </c>
    </row>
    <row r="40" spans="1:23" x14ac:dyDescent="0.3">
      <c r="J40">
        <f>MAX(J22:J39)</f>
        <v>3</v>
      </c>
      <c r="K40" t="str">
        <f>VLOOKUP(J40,J22:K39,2,FALSE)</f>
        <v>Gross Income</v>
      </c>
      <c r="M40" t="str">
        <f>IF(IFERROR(FIND(",",M39),TRUE)=TRUE,M39,IF(NOT(EXACT(K40,UPPER(K40))),SUBSTITUTE(M39,LOWER(K40),"and "&amp;LOWER(K40)),SUBSTITUTE(M39,K40,"and "&amp;K40)))</f>
        <v>revenue, and gross income</v>
      </c>
      <c r="T40">
        <f>MAX(T22:T39)</f>
        <v>0</v>
      </c>
      <c r="U40" t="str">
        <f>VLOOKUP(T40,T22:U39,2,FALSE)</f>
        <v/>
      </c>
      <c r="W40" t="str">
        <f>IF(IFERROR(FIND(",",W39),TRUE)=TRUE,W39,IF(NOT(EXACT(U40,UPPER(U40))),SUBSTITUTE(W39,LOWER(U40),"and "&amp;LOWER(U40)),SUBSTITUTE(W39,U40,"and "&amp;U40)))</f>
        <v/>
      </c>
    </row>
    <row r="41" spans="1:23" x14ac:dyDescent="0.3">
      <c r="B41" s="1" t="s">
        <v>70</v>
      </c>
      <c r="C41" s="1" t="s">
        <v>71</v>
      </c>
      <c r="D41" s="1" t="s">
        <v>72</v>
      </c>
      <c r="E41" s="1" t="s">
        <v>73</v>
      </c>
      <c r="F41" s="1" t="s">
        <v>74</v>
      </c>
    </row>
    <row r="42" spans="1:23" x14ac:dyDescent="0.3">
      <c r="A42" s="1">
        <v>0</v>
      </c>
      <c r="B42" t="s">
        <v>75</v>
      </c>
      <c r="C42" t="s">
        <v>76</v>
      </c>
      <c r="D42" t="s">
        <v>77</v>
      </c>
      <c r="E42" t="s">
        <v>78</v>
      </c>
      <c r="F42" t="s">
        <v>79</v>
      </c>
      <c r="K42" t="str">
        <f>SUBSTITUTE(IF(M40&lt;&gt;"", D1 &amp; " has managed to increase " &amp; M40 &amp; " each year since " &amp; C144, "No positive trends")," , "," ")</f>
        <v>Aaron's has managed to increase revenue, and gross income each year since 2012</v>
      </c>
      <c r="U42" t="str">
        <f>SUBSTITUTE(IF(W40&lt;&gt;"", D1 &amp; " has managed to increase " &amp; W40 &amp; " each year since " &amp; C144, "No positive trends")," , "," ")</f>
        <v>No positive trends</v>
      </c>
    </row>
    <row r="43" spans="1:23" x14ac:dyDescent="0.3">
      <c r="A43" s="1">
        <v>1</v>
      </c>
      <c r="B43" t="s">
        <v>80</v>
      </c>
      <c r="C43" t="s">
        <v>81</v>
      </c>
      <c r="D43" t="s">
        <v>82</v>
      </c>
      <c r="E43" t="s">
        <v>82</v>
      </c>
      <c r="F43" t="s">
        <v>83</v>
      </c>
    </row>
    <row r="44" spans="1:23" x14ac:dyDescent="0.3">
      <c r="A44" s="1">
        <v>2</v>
      </c>
      <c r="B44" t="s">
        <v>84</v>
      </c>
      <c r="C44" t="s">
        <v>85</v>
      </c>
      <c r="D44" t="s">
        <v>86</v>
      </c>
      <c r="E44" t="s">
        <v>87</v>
      </c>
      <c r="F44" t="s">
        <v>88</v>
      </c>
    </row>
    <row r="45" spans="1:23" x14ac:dyDescent="0.3">
      <c r="A45" s="1">
        <v>3</v>
      </c>
      <c r="B45" t="s">
        <v>89</v>
      </c>
      <c r="C45" t="s">
        <v>90</v>
      </c>
      <c r="D45" t="s">
        <v>91</v>
      </c>
      <c r="E45" t="s">
        <v>92</v>
      </c>
      <c r="F45" t="s">
        <v>93</v>
      </c>
    </row>
    <row r="47" spans="1:23" x14ac:dyDescent="0.3">
      <c r="B47" s="1" t="s">
        <v>94</v>
      </c>
      <c r="C47" s="1" t="s">
        <v>37</v>
      </c>
      <c r="D47" s="1" t="s">
        <v>38</v>
      </c>
      <c r="E47" s="1" t="s">
        <v>39</v>
      </c>
      <c r="F47" s="1" t="s">
        <v>40</v>
      </c>
    </row>
    <row r="48" spans="1:23" x14ac:dyDescent="0.3">
      <c r="A48" s="1">
        <v>0</v>
      </c>
      <c r="B48" t="s">
        <v>95</v>
      </c>
      <c r="C48">
        <v>0.57999999999999996</v>
      </c>
      <c r="D48">
        <v>0.51</v>
      </c>
      <c r="E48">
        <v>2.4</v>
      </c>
      <c r="F48">
        <v>2.71</v>
      </c>
    </row>
    <row r="49" spans="1:14" x14ac:dyDescent="0.3">
      <c r="A49" s="1">
        <v>1</v>
      </c>
      <c r="B49" t="s">
        <v>96</v>
      </c>
      <c r="C49">
        <v>0.57999999999999996</v>
      </c>
      <c r="D49">
        <v>0.51</v>
      </c>
      <c r="E49">
        <v>2.4</v>
      </c>
      <c r="F49">
        <v>2.71</v>
      </c>
    </row>
    <row r="50" spans="1:14" x14ac:dyDescent="0.3">
      <c r="A50" s="1">
        <v>2</v>
      </c>
      <c r="B50" t="s">
        <v>97</v>
      </c>
      <c r="C50">
        <v>0.57999999999999996</v>
      </c>
      <c r="D50">
        <v>0.51</v>
      </c>
      <c r="E50">
        <v>2.4</v>
      </c>
      <c r="F50">
        <v>2.72</v>
      </c>
    </row>
    <row r="51" spans="1:14" x14ac:dyDescent="0.3">
      <c r="A51" s="1">
        <v>3</v>
      </c>
      <c r="B51" t="s">
        <v>98</v>
      </c>
      <c r="C51">
        <v>0.57999999999999996</v>
      </c>
      <c r="D51">
        <v>0.51</v>
      </c>
      <c r="E51">
        <v>2.41</v>
      </c>
      <c r="F51">
        <v>2.68</v>
      </c>
    </row>
    <row r="52" spans="1:14" x14ac:dyDescent="0.3">
      <c r="A52" s="1">
        <v>4</v>
      </c>
      <c r="B52" t="s">
        <v>99</v>
      </c>
      <c r="C52">
        <v>0.57999999999999996</v>
      </c>
      <c r="D52">
        <v>0.53</v>
      </c>
      <c r="E52">
        <v>2.2999999999999998</v>
      </c>
      <c r="F52">
        <v>2.57</v>
      </c>
    </row>
    <row r="54" spans="1:14" x14ac:dyDescent="0.3">
      <c r="B54" s="1" t="s">
        <v>100</v>
      </c>
      <c r="C54" s="1" t="s">
        <v>37</v>
      </c>
      <c r="D54" s="1" t="s">
        <v>38</v>
      </c>
      <c r="E54" s="1" t="s">
        <v>39</v>
      </c>
      <c r="F54" s="1" t="s">
        <v>40</v>
      </c>
    </row>
    <row r="55" spans="1:14" x14ac:dyDescent="0.3">
      <c r="A55" s="1">
        <v>0</v>
      </c>
      <c r="B55" t="s">
        <v>101</v>
      </c>
    </row>
    <row r="56" spans="1:14" x14ac:dyDescent="0.3">
      <c r="A56" s="1">
        <v>1</v>
      </c>
      <c r="B56" t="s">
        <v>102</v>
      </c>
    </row>
    <row r="57" spans="1:14" x14ac:dyDescent="0.3">
      <c r="A57" s="1">
        <v>2</v>
      </c>
      <c r="B57" t="s">
        <v>103</v>
      </c>
    </row>
    <row r="58" spans="1:14" x14ac:dyDescent="0.3">
      <c r="A58" s="1">
        <v>3</v>
      </c>
      <c r="B58" t="s">
        <v>104</v>
      </c>
    </row>
    <row r="60" spans="1:14" x14ac:dyDescent="0.3">
      <c r="B60" s="1" t="s">
        <v>105</v>
      </c>
      <c r="C60" s="1" t="s">
        <v>106</v>
      </c>
      <c r="D60" s="1" t="s">
        <v>107</v>
      </c>
      <c r="E60" s="1" t="s">
        <v>108</v>
      </c>
      <c r="F60" s="1" t="s">
        <v>109</v>
      </c>
      <c r="I60" t="str">
        <f t="shared" ref="I60:I91" si="4">IF(AND(K60&gt; J60, L60&gt; K60, M60&gt; L60, N60&gt; M60), "pos_trend", IF(AND(K60&lt; J60, L60&lt; K60, M60&lt; L60, N60&lt; M60), "neg_trend", "N/A"))</f>
        <v>N/A</v>
      </c>
      <c r="J60" t="str">
        <f t="shared" ref="J60:J91" si="5">IFERROR(IF(TRIM(C60)="-", "N/A", IF(RIGHT(C60,1)=")",IF(RIGHT(C60,2)="T)",-1000000000000*VALUE(MID(C60,2,LEN(C60)-3)),IF(RIGHT(C60,2)="M)",-1000000*VALUE(MID(C60,2,LEN(C60)-3)),IF(RIGHT(C60,2)="B)",-1000000000*VALUE(MID(C60,2,LEN(C60)-3)),IF(RIGHT(C60,2)="k)",-1000*VALUE(MID(C60,2,LEN(C60)-3)),VALUE(SUBSTITUTE(C60,",","")))))),IF(RIGHT(C60,1)="T",1000000000000*VALUE(LEFT(C60,LEN(C60)-1)),IF(RIGHT(C60,1)="M",1000000*VALUE(LEFT(C60,LEN(C60)-1)),IF(RIGHT(C60,1)="B",1000000000*VALUE(LEFT(C60,LEN(C60)-1)),IF(RIGHT(C60,1)="%",0.01*VALUE(LEFT(C60,LEN(C60)-1)),IF(RIGHT(C60,1)="k",1000*VALUE(LEFT(C60,LEN(C60)-1)),VALUE(SUBSTITUTE(C60,",",""))))))))),"N/A")</f>
        <v>N/A</v>
      </c>
      <c r="K60" t="str">
        <f t="shared" ref="K60:K91" si="6">IFERROR(IF(TRIM(D60)="-", "N/A", IF(RIGHT(D60,1)=")",IF(RIGHT(D60,2)="T)",-1000000000000*VALUE(MID(D60,2,LEN(D60)-3)),IF(RIGHT(D60,2)="M)",-1000000*VALUE(MID(D60,2,LEN(D60)-3)),IF(RIGHT(D60,2)="B)",-1000000000*VALUE(MID(D60,2,LEN(D60)-3)),IF(RIGHT(D60,2)="k)",-1000*VALUE(MID(D60,2,LEN(D60)-3)),VALUE(SUBSTITUTE(D60,",","")))))),IF(RIGHT(D60,1)="T",1000000000000*VALUE(LEFT(D60,LEN(D60)-1)),IF(RIGHT(D60,1)="M",1000000*VALUE(LEFT(D60,LEN(D60)-1)),IF(RIGHT(D60,1)="B",1000000000*VALUE(LEFT(D60,LEN(D60)-1)),IF(RIGHT(D60,1)="%",0.01*VALUE(LEFT(D60,LEN(D60)-1)),IF(RIGHT(D60,1)="k",1000*VALUE(LEFT(D60,LEN(D60)-1)),VALUE(SUBSTITUTE(D60,",",""))))))))),"N/A")</f>
        <v>N/A</v>
      </c>
      <c r="L60" t="str">
        <f t="shared" ref="L60:L91" si="7">IFERROR(IF(TRIM(E60)="-", "N/A", IF(RIGHT(E60,1)=")",IF(RIGHT(E60,2)="T)",-1000000000000*VALUE(MID(E60,2,LEN(E60)-3)),IF(RIGHT(E60,2)="M)",-1000000*VALUE(MID(E60,2,LEN(E60)-3)),IF(RIGHT(E60,2)="B)",-1000000000*VALUE(MID(E60,2,LEN(E60)-3)),IF(RIGHT(E60,2)="k)",-1000*VALUE(MID(E60,2,LEN(E60)-3)),VALUE(SUBSTITUTE(E60,",","")))))),IF(RIGHT(E60,1)="T",1000000000000*VALUE(LEFT(E60,LEN(E60)-1)),IF(RIGHT(E60,1)="M",1000000*VALUE(LEFT(E60,LEN(E60)-1)),IF(RIGHT(E60,1)="B",1000000000*VALUE(LEFT(E60,LEN(E60)-1)),IF(RIGHT(E60,1)="%",0.01*VALUE(LEFT(E60,LEN(E60)-1)),IF(RIGHT(E60,1)="k",1000*VALUE(LEFT(E60,LEN(E60)-1)),VALUE(SUBSTITUTE(E60,",",""))))))))),"N/A")</f>
        <v>N/A</v>
      </c>
      <c r="M60" t="str">
        <f t="shared" ref="M60:M91" si="8">IFERROR(IF(TRIM(F60)="-", "N/A", IF(RIGHT(F60,1)=")",IF(RIGHT(F60,2)="T)",-1000000000000*VALUE(MID(F60,2,LEN(F60)-3)),IF(RIGHT(F60,2)="M)",-1000000*VALUE(MID(F60,2,LEN(F60)-3)),IF(RIGHT(F60,2)="B)",-1000000000*VALUE(MID(F60,2,LEN(F60)-3)),IF(RIGHT(F60,2)="k)",-1000*VALUE(MID(F60,2,LEN(F60)-3)),VALUE(SUBSTITUTE(F60,",","")))))),IF(RIGHT(F60,1)="T",1000000000000*VALUE(LEFT(F60,LEN(F60)-1)),IF(RIGHT(F60,1)="M",1000000*VALUE(LEFT(F60,LEN(F60)-1)),IF(RIGHT(F60,1)="B",1000000000*VALUE(LEFT(F60,LEN(F60)-1)),IF(RIGHT(F60,1)="%",0.01*VALUE(LEFT(F60,LEN(F60)-1)),IF(RIGHT(F60,1)="k",1000*VALUE(LEFT(F60,LEN(F60)-1)),VALUE(SUBSTITUTE(F60,",",""))))))))),"N/A")</f>
        <v>N/A</v>
      </c>
      <c r="N60" t="str">
        <f t="shared" ref="N60:N91" si="9">IFERROR(IF(TRIM(G60)="-", "N/A", IF(RIGHT(G60,1)=")",IF(RIGHT(G60,2)="T)",-1000000000000*VALUE(MID(G60,2,LEN(G60)-3)),IF(RIGHT(G60,2)="M)",-1000000*VALUE(MID(G60,2,LEN(G60)-3)),IF(RIGHT(G60,2)="B)",-1000000000*VALUE(MID(G60,2,LEN(G60)-3)),IF(RIGHT(G60,2)="k)",-1000*VALUE(MID(G60,2,LEN(G60)-3)),VALUE(SUBSTITUTE(G60,",","")))))),IF(RIGHT(G60,1)="T",1000000000000*VALUE(LEFT(G60,LEN(G60)-1)),IF(RIGHT(G60,1)="M",1000000*VALUE(LEFT(G60,LEN(G60)-1)),IF(RIGHT(G60,1)="B",1000000000*VALUE(LEFT(G60,LEN(G60)-1)),IF(RIGHT(G60,1)="%",0.01*VALUE(LEFT(G60,LEN(G60)-1)),IF(RIGHT(G60,1)="k",1000*VALUE(LEFT(G60,LEN(G60)-1)),VALUE(SUBSTITUTE(G60,",",""))))))))),"N/A")</f>
        <v>N/A</v>
      </c>
    </row>
    <row r="61" spans="1:14" x14ac:dyDescent="0.3">
      <c r="A61" s="1">
        <v>0</v>
      </c>
      <c r="B61" t="s">
        <v>110</v>
      </c>
      <c r="C61" t="s">
        <v>111</v>
      </c>
      <c r="F61">
        <v>0.18</v>
      </c>
      <c r="I61" t="str">
        <f t="shared" si="4"/>
        <v>N/A</v>
      </c>
      <c r="J61">
        <f t="shared" si="5"/>
        <v>-1.7000000000000001E-2</v>
      </c>
      <c r="K61" t="str">
        <f t="shared" si="6"/>
        <v>N/A</v>
      </c>
      <c r="L61" t="str">
        <f t="shared" si="7"/>
        <v>N/A</v>
      </c>
      <c r="M61">
        <f t="shared" si="8"/>
        <v>0.18</v>
      </c>
      <c r="N61" t="str">
        <f t="shared" si="9"/>
        <v>N/A</v>
      </c>
    </row>
    <row r="62" spans="1:14" x14ac:dyDescent="0.3">
      <c r="A62" s="1">
        <v>1</v>
      </c>
      <c r="B62" t="s">
        <v>112</v>
      </c>
      <c r="C62" t="s">
        <v>113</v>
      </c>
      <c r="F62">
        <v>0.24</v>
      </c>
      <c r="I62" t="str">
        <f t="shared" si="4"/>
        <v>N/A</v>
      </c>
      <c r="J62">
        <f t="shared" si="5"/>
        <v>0.02</v>
      </c>
      <c r="K62" t="str">
        <f t="shared" si="6"/>
        <v>N/A</v>
      </c>
      <c r="L62" t="str">
        <f t="shared" si="7"/>
        <v>N/A</v>
      </c>
      <c r="M62">
        <f t="shared" si="8"/>
        <v>0.24</v>
      </c>
      <c r="N62" t="str">
        <f t="shared" si="9"/>
        <v>N/A</v>
      </c>
    </row>
    <row r="63" spans="1:14" x14ac:dyDescent="0.3">
      <c r="A63" s="1">
        <v>2</v>
      </c>
      <c r="B63" t="s">
        <v>114</v>
      </c>
      <c r="C63" t="s">
        <v>115</v>
      </c>
      <c r="F63">
        <v>0.08</v>
      </c>
      <c r="I63" t="str">
        <f t="shared" si="4"/>
        <v>N/A</v>
      </c>
      <c r="J63">
        <f t="shared" si="5"/>
        <v>4.2999999999999997E-2</v>
      </c>
      <c r="K63" t="str">
        <f t="shared" si="6"/>
        <v>N/A</v>
      </c>
      <c r="L63" t="str">
        <f t="shared" si="7"/>
        <v>N/A</v>
      </c>
      <c r="M63">
        <f t="shared" si="8"/>
        <v>0.08</v>
      </c>
      <c r="N63" t="str">
        <f t="shared" si="9"/>
        <v>N/A</v>
      </c>
    </row>
    <row r="64" spans="1:14" x14ac:dyDescent="0.3">
      <c r="A64" s="1">
        <v>3</v>
      </c>
      <c r="B64" t="s">
        <v>116</v>
      </c>
      <c r="C64" t="s">
        <v>117</v>
      </c>
      <c r="F64">
        <v>0.12</v>
      </c>
      <c r="I64" t="str">
        <f t="shared" si="4"/>
        <v>N/A</v>
      </c>
      <c r="J64">
        <f t="shared" si="5"/>
        <v>0.129</v>
      </c>
      <c r="K64" t="str">
        <f t="shared" si="6"/>
        <v>N/A</v>
      </c>
      <c r="L64" t="str">
        <f t="shared" si="7"/>
        <v>N/A</v>
      </c>
      <c r="M64">
        <f t="shared" si="8"/>
        <v>0.12</v>
      </c>
      <c r="N64" t="str">
        <f t="shared" si="9"/>
        <v>N/A</v>
      </c>
    </row>
    <row r="65" spans="1:14" x14ac:dyDescent="0.3">
      <c r="A65" s="1">
        <v>4</v>
      </c>
      <c r="B65" t="s">
        <v>118</v>
      </c>
      <c r="C65" t="s">
        <v>119</v>
      </c>
      <c r="F65">
        <v>0.1</v>
      </c>
      <c r="I65" t="str">
        <f t="shared" si="4"/>
        <v>N/A</v>
      </c>
      <c r="J65">
        <f t="shared" si="5"/>
        <v>0.12</v>
      </c>
      <c r="K65" t="str">
        <f t="shared" si="6"/>
        <v>N/A</v>
      </c>
      <c r="L65" t="str">
        <f t="shared" si="7"/>
        <v>N/A</v>
      </c>
      <c r="M65">
        <f t="shared" si="8"/>
        <v>0.1</v>
      </c>
      <c r="N65" t="str">
        <f t="shared" si="9"/>
        <v>N/A</v>
      </c>
    </row>
    <row r="66" spans="1:14" x14ac:dyDescent="0.3">
      <c r="A66" s="1">
        <v>5</v>
      </c>
      <c r="B66" t="s">
        <v>120</v>
      </c>
      <c r="C66" t="s">
        <v>121</v>
      </c>
      <c r="I66" t="str">
        <f t="shared" si="4"/>
        <v>N/A</v>
      </c>
      <c r="J66">
        <f t="shared" si="5"/>
        <v>3.6900000000000002E-2</v>
      </c>
      <c r="K66" t="str">
        <f t="shared" si="6"/>
        <v>N/A</v>
      </c>
      <c r="L66" t="str">
        <f t="shared" si="7"/>
        <v>N/A</v>
      </c>
      <c r="M66" t="str">
        <f t="shared" si="8"/>
        <v>N/A</v>
      </c>
      <c r="N66" t="str">
        <f t="shared" si="9"/>
        <v>N/A</v>
      </c>
    </row>
    <row r="67" spans="1:14" x14ac:dyDescent="0.3">
      <c r="D67" t="s">
        <v>122</v>
      </c>
      <c r="E67" t="str">
        <f>C1</f>
        <v>Aaron's, Inc. (AAN)</v>
      </c>
      <c r="I67" t="str">
        <f t="shared" si="4"/>
        <v>N/A</v>
      </c>
      <c r="J67" t="str">
        <f t="shared" si="5"/>
        <v>N/A</v>
      </c>
      <c r="K67" t="str">
        <f t="shared" si="6"/>
        <v>N/A</v>
      </c>
      <c r="L67" t="str">
        <f t="shared" si="7"/>
        <v>N/A</v>
      </c>
      <c r="M67" t="str">
        <f t="shared" si="8"/>
        <v>N/A</v>
      </c>
      <c r="N67" t="str">
        <f t="shared" si="9"/>
        <v>N/A</v>
      </c>
    </row>
    <row r="68" spans="1:14" x14ac:dyDescent="0.3">
      <c r="A68" s="1">
        <v>0</v>
      </c>
      <c r="B68" t="s">
        <v>123</v>
      </c>
      <c r="C68" t="s">
        <v>21</v>
      </c>
      <c r="D68">
        <f ca="1">IFERROR(AVERAGE(VALUE(INDIRECT("J"&amp;(MATCH(B68,B69:B500,0)+68))),VALUE(INDIRECT("J"&amp;(MATCH(B68,B69:B500,0)+79))),VALUE(INDIRECT("J"&amp;(MATCH(B68,B69:B500,0)+90))),VALUE(INDIRECT("J"&amp;(MATCH(B68,B69:B500,0)+101)))),"")</f>
        <v>2755000000</v>
      </c>
      <c r="E68" t="str">
        <f t="shared" ref="E68:E76" ca="1" si="10">IFERROR(IF(AND(C68&lt;&gt;"",D68&lt;&gt;0),IF(VALUE(J68)&gt;VALUE(K68),"above average","below average"),"no data"),"no data")</f>
        <v>above average</v>
      </c>
      <c r="I68" t="str">
        <f t="shared" ca="1" si="4"/>
        <v>N/A</v>
      </c>
      <c r="J68">
        <f t="shared" si="5"/>
        <v>2870000000</v>
      </c>
      <c r="K68">
        <f t="shared" ca="1" si="6"/>
        <v>2755000000</v>
      </c>
      <c r="L68" t="str">
        <f t="shared" ca="1" si="7"/>
        <v>N/A</v>
      </c>
      <c r="M68" t="str">
        <f t="shared" si="8"/>
        <v>N/A</v>
      </c>
      <c r="N68" t="str">
        <f t="shared" si="9"/>
        <v>N/A</v>
      </c>
    </row>
    <row r="69" spans="1:14" x14ac:dyDescent="0.3">
      <c r="A69" s="1">
        <v>1</v>
      </c>
      <c r="B69" t="s">
        <v>124</v>
      </c>
      <c r="D69" t="str">
        <f ca="1">IFERROR(AVERAGE(VALUE(INDIRECT("J"&amp;(MATCH(B69,B70:B501,0)+69))),VALUE(INDIRECT("J"&amp;(MATCH(B69,B70:B501,0)+80))),VALUE(INDIRECT("J"&amp;(MATCH(B69,B70:B501,0)+91))),VALUE(INDIRECT("J"&amp;(MATCH(B69,B70:B501,0)+102)))),"")</f>
        <v/>
      </c>
      <c r="E69" t="str">
        <f t="shared" ca="1" si="10"/>
        <v>no data</v>
      </c>
      <c r="I69" t="str">
        <f t="shared" ca="1" si="4"/>
        <v>N/A</v>
      </c>
      <c r="J69" t="str">
        <f t="shared" si="5"/>
        <v>N/A</v>
      </c>
      <c r="K69" t="str">
        <f t="shared" ca="1" si="6"/>
        <v>N/A</v>
      </c>
      <c r="L69" t="str">
        <f t="shared" ca="1" si="7"/>
        <v>N/A</v>
      </c>
      <c r="M69" t="str">
        <f t="shared" si="8"/>
        <v>N/A</v>
      </c>
      <c r="N69" t="str">
        <f t="shared" si="9"/>
        <v>N/A</v>
      </c>
    </row>
    <row r="70" spans="1:14" x14ac:dyDescent="0.3">
      <c r="A70" s="1">
        <v>2</v>
      </c>
      <c r="B70" t="s">
        <v>125</v>
      </c>
      <c r="C70" t="s">
        <v>25</v>
      </c>
      <c r="D70">
        <f ca="1">IFERROR(AVERAGE(VALUE(INDIRECT("J"&amp;(MATCH(B70,B71:B502,0)+70))),VALUE(INDIRECT("J"&amp;(MATCH(B70,B71:B502,0)+81))),VALUE(INDIRECT("J"&amp;(MATCH(B70,B71:B502,0)+92))),VALUE(INDIRECT("J"&amp;(MATCH(B70,B71:B502,0)+103)))),"")</f>
        <v>17.805</v>
      </c>
      <c r="E70" t="str">
        <f t="shared" ca="1" si="10"/>
        <v>above average</v>
      </c>
      <c r="F70" t="str">
        <f t="shared" ref="F70:F76" ca="1" si="11">IF(E70="above average",LOWER(TRIM(IF(ISNUMBER(VALUE(RIGHT(B70,1))),REPLACE(B70,LEN(B70),1,""),B70))),"")</f>
        <v>trailing p/e</v>
      </c>
      <c r="G70" t="str">
        <f ca="1">IFERROR(LEFT(F70,FIND("(",F70) - 2),F70)</f>
        <v>trailing p/e</v>
      </c>
      <c r="I70" t="str">
        <f t="shared" ca="1" si="4"/>
        <v>N/A</v>
      </c>
      <c r="J70">
        <f t="shared" si="5"/>
        <v>20.65</v>
      </c>
      <c r="K70">
        <f t="shared" ca="1" si="6"/>
        <v>17.805</v>
      </c>
      <c r="L70" t="str">
        <f t="shared" ca="1" si="7"/>
        <v>N/A</v>
      </c>
      <c r="M70" t="str">
        <f t="shared" ca="1" si="8"/>
        <v>N/A</v>
      </c>
      <c r="N70" t="str">
        <f t="shared" ca="1" si="9"/>
        <v>N/A</v>
      </c>
    </row>
    <row r="71" spans="1:14" x14ac:dyDescent="0.3">
      <c r="A71" s="1">
        <v>3</v>
      </c>
      <c r="B71" t="s">
        <v>126</v>
      </c>
      <c r="C71" t="s">
        <v>127</v>
      </c>
      <c r="D71">
        <f ca="1">IFERROR(AVERAGE(VALUE(INDIRECT("J"&amp;(MATCH(B71,B72:B503,0)+71))),VALUE(INDIRECT("J"&amp;(MATCH(B71,B72:B503,0)+82))),VALUE(INDIRECT("J"&amp;(MATCH(B71,B72:B503,0)+93))),VALUE(INDIRECT("J"&amp;(MATCH(B71,B72:B503,0)+104)))),"")</f>
        <v>11.317499999999999</v>
      </c>
      <c r="E71" t="str">
        <f t="shared" ca="1" si="10"/>
        <v>above average</v>
      </c>
      <c r="F71" t="str">
        <f t="shared" ca="1" si="11"/>
        <v>forward p/e</v>
      </c>
      <c r="G71" t="str">
        <f t="shared" ref="G71:G76" ca="1" si="12">IF(F71&lt;&gt;"", G70 &amp; ", " &amp; IFERROR(LEFT(F71,FIND("(",F71) - 2),F71),G70)</f>
        <v>trailing p/e, forward p/e</v>
      </c>
      <c r="I71" t="str">
        <f t="shared" ca="1" si="4"/>
        <v>N/A</v>
      </c>
      <c r="J71">
        <f t="shared" si="5"/>
        <v>14.99</v>
      </c>
      <c r="K71">
        <f t="shared" ca="1" si="6"/>
        <v>11.317500000000001</v>
      </c>
      <c r="L71" t="str">
        <f t="shared" ca="1" si="7"/>
        <v>N/A</v>
      </c>
      <c r="M71" t="str">
        <f t="shared" ca="1" si="8"/>
        <v>N/A</v>
      </c>
      <c r="N71" t="str">
        <f t="shared" ca="1" si="9"/>
        <v>N/A</v>
      </c>
    </row>
    <row r="72" spans="1:14" x14ac:dyDescent="0.3">
      <c r="A72" s="1">
        <v>4</v>
      </c>
      <c r="B72" t="s">
        <v>128</v>
      </c>
      <c r="C72" t="s">
        <v>129</v>
      </c>
      <c r="D72">
        <f ca="1">IFERROR(AVERAGE(VALUE(INDIRECT("J"&amp;(MATCH(B72,B73:B504,0)+72))),VALUE(INDIRECT("J"&amp;(MATCH(B72,B73:B504,0)+83))),VALUE(INDIRECT("J"&amp;(MATCH(B72,B73:B504,0)+94))),VALUE(INDIRECT("J"&amp;(MATCH(B72,B73:B504,0)+105)))),"")</f>
        <v>0.95499999999999996</v>
      </c>
      <c r="E72" t="str">
        <f t="shared" ca="1" si="10"/>
        <v>above average</v>
      </c>
      <c r="F72" t="str">
        <f t="shared" ca="1" si="11"/>
        <v>peg ratio (5 yr expected)</v>
      </c>
      <c r="G72" t="str">
        <f t="shared" ca="1" si="12"/>
        <v>trailing p/e, forward p/e, peg ratio</v>
      </c>
      <c r="I72" t="str">
        <f t="shared" ca="1" si="4"/>
        <v>N/A</v>
      </c>
      <c r="J72">
        <f t="shared" si="5"/>
        <v>1.38</v>
      </c>
      <c r="K72">
        <f t="shared" ca="1" si="6"/>
        <v>0.95499999999999996</v>
      </c>
      <c r="L72" t="str">
        <f t="shared" ca="1" si="7"/>
        <v>N/A</v>
      </c>
      <c r="M72" t="str">
        <f t="shared" ca="1" si="8"/>
        <v>N/A</v>
      </c>
      <c r="N72" t="str">
        <f t="shared" ca="1" si="9"/>
        <v>N/A</v>
      </c>
    </row>
    <row r="73" spans="1:14" x14ac:dyDescent="0.3">
      <c r="A73" s="1">
        <v>5</v>
      </c>
      <c r="B73" t="s">
        <v>130</v>
      </c>
      <c r="C73" t="s">
        <v>131</v>
      </c>
      <c r="D73">
        <f ca="1">IFERROR(AVERAGE(VALUE(INDIRECT("J"&amp;(MATCH(B73,B74:B505,0)+73))),VALUE(INDIRECT("J"&amp;(MATCH(B73,B74:B505,0)+84))),VALUE(INDIRECT("J"&amp;(MATCH(B73,B74:B505,0)+95))),VALUE(INDIRECT("J"&amp;(MATCH(B73,B74:B505,0)+106)))),"")</f>
        <v>1.7200000000000002</v>
      </c>
      <c r="E73" t="str">
        <f t="shared" ca="1" si="10"/>
        <v>below average</v>
      </c>
      <c r="F73" t="str">
        <f t="shared" ca="1" si="11"/>
        <v/>
      </c>
      <c r="G73" t="str">
        <f t="shared" ca="1" si="12"/>
        <v>trailing p/e, forward p/e, peg ratio</v>
      </c>
      <c r="I73" t="str">
        <f t="shared" ca="1" si="4"/>
        <v>N/A</v>
      </c>
      <c r="J73">
        <f t="shared" si="5"/>
        <v>0.9</v>
      </c>
      <c r="K73">
        <f t="shared" ca="1" si="6"/>
        <v>1.72</v>
      </c>
      <c r="L73" t="str">
        <f t="shared" ca="1" si="7"/>
        <v>N/A</v>
      </c>
      <c r="M73" t="str">
        <f t="shared" ca="1" si="8"/>
        <v>N/A</v>
      </c>
      <c r="N73" t="str">
        <f t="shared" ca="1" si="9"/>
        <v>N/A</v>
      </c>
    </row>
    <row r="74" spans="1:14" x14ac:dyDescent="0.3">
      <c r="A74" s="1">
        <v>6</v>
      </c>
      <c r="B74" t="s">
        <v>132</v>
      </c>
      <c r="C74" t="s">
        <v>133</v>
      </c>
      <c r="D74">
        <f ca="1">IFERROR(AVERAGE(VALUE(INDIRECT("J"&amp;(MATCH(B74,B75:B506,0)+74))),VALUE(INDIRECT("J"&amp;(MATCH(B74,B75:B506,0)+85))),VALUE(INDIRECT("J"&amp;(MATCH(B74,B75:B506,0)+96))),VALUE(INDIRECT("J"&amp;(MATCH(B74,B75:B506,0)+107)))),"")</f>
        <v>0.97250000000000003</v>
      </c>
      <c r="E74" t="str">
        <f t="shared" ca="1" si="10"/>
        <v>above average</v>
      </c>
      <c r="F74" t="str">
        <f t="shared" ca="1" si="11"/>
        <v>price/book (mrq)</v>
      </c>
      <c r="G74" t="str">
        <f t="shared" ca="1" si="12"/>
        <v>trailing p/e, forward p/e, peg ratio, price/book</v>
      </c>
      <c r="I74" t="str">
        <f t="shared" ca="1" si="4"/>
        <v>N/A</v>
      </c>
      <c r="J74">
        <f t="shared" si="5"/>
        <v>1.91</v>
      </c>
      <c r="K74">
        <f t="shared" ca="1" si="6"/>
        <v>0.97250000000000003</v>
      </c>
      <c r="L74" t="str">
        <f t="shared" ca="1" si="7"/>
        <v>N/A</v>
      </c>
      <c r="M74" t="str">
        <f t="shared" ca="1" si="8"/>
        <v>N/A</v>
      </c>
      <c r="N74" t="str">
        <f t="shared" ca="1" si="9"/>
        <v>N/A</v>
      </c>
    </row>
    <row r="75" spans="1:14" x14ac:dyDescent="0.3">
      <c r="A75" s="1">
        <v>7</v>
      </c>
      <c r="B75" t="s">
        <v>134</v>
      </c>
      <c r="D75" t="str">
        <f ca="1">IFERROR(AVERAGE(VALUE(INDIRECT("J"&amp;(MATCH(B75,B76:B507,0)+75))),VALUE(INDIRECT("J"&amp;(MATCH(B75,B76:B507,0)+86))),VALUE(INDIRECT("J"&amp;(MATCH(B75,B76:B507,0)+97))),VALUE(INDIRECT("J"&amp;(MATCH(B75,B76:B507,0)+108)))),"")</f>
        <v/>
      </c>
      <c r="E75" t="str">
        <f t="shared" ca="1" si="10"/>
        <v>no data</v>
      </c>
      <c r="F75" t="str">
        <f t="shared" ca="1" si="11"/>
        <v/>
      </c>
      <c r="G75" t="str">
        <f t="shared" ca="1" si="12"/>
        <v>trailing p/e, forward p/e, peg ratio, price/book</v>
      </c>
      <c r="I75" t="str">
        <f t="shared" ca="1" si="4"/>
        <v>N/A</v>
      </c>
      <c r="J75" t="str">
        <f t="shared" si="5"/>
        <v>N/A</v>
      </c>
      <c r="K75" t="str">
        <f t="shared" ca="1" si="6"/>
        <v>N/A</v>
      </c>
      <c r="L75" t="str">
        <f t="shared" ca="1" si="7"/>
        <v>N/A</v>
      </c>
      <c r="M75" t="str">
        <f t="shared" ca="1" si="8"/>
        <v>N/A</v>
      </c>
      <c r="N75" t="str">
        <f t="shared" ca="1" si="9"/>
        <v>N/A</v>
      </c>
    </row>
    <row r="76" spans="1:14" x14ac:dyDescent="0.3">
      <c r="A76" s="1">
        <v>8</v>
      </c>
      <c r="B76" t="s">
        <v>135</v>
      </c>
      <c r="D76" t="str">
        <f ca="1">IFERROR(AVERAGE(VALUE(INDIRECT("J"&amp;(MATCH(B76,B77:B508,0)+76))),VALUE(INDIRECT("J"&amp;(MATCH(B76,B77:B508,0)+87))),VALUE(INDIRECT("J"&amp;(MATCH(B76,B77:B508,0)+98))),VALUE(INDIRECT("J"&amp;(MATCH(B76,B77:B508,0)+109)))),"")</f>
        <v/>
      </c>
      <c r="E76" t="str">
        <f t="shared" ca="1" si="10"/>
        <v>no data</v>
      </c>
      <c r="F76" t="str">
        <f t="shared" ca="1" si="11"/>
        <v/>
      </c>
      <c r="G76" t="str">
        <f t="shared" ca="1" si="12"/>
        <v>trailing p/e, forward p/e, peg ratio, price/book</v>
      </c>
      <c r="I76" t="str">
        <f t="shared" ca="1" si="4"/>
        <v>N/A</v>
      </c>
      <c r="J76" t="str">
        <f t="shared" si="5"/>
        <v>N/A</v>
      </c>
      <c r="K76" t="str">
        <f t="shared" ca="1" si="6"/>
        <v>N/A</v>
      </c>
      <c r="L76" t="str">
        <f t="shared" ca="1" si="7"/>
        <v>N/A</v>
      </c>
      <c r="M76" t="str">
        <f t="shared" ca="1" si="8"/>
        <v>N/A</v>
      </c>
      <c r="N76" t="str">
        <f t="shared" ca="1" si="9"/>
        <v>N/A</v>
      </c>
    </row>
    <row r="77" spans="1:14" x14ac:dyDescent="0.3">
      <c r="F77" t="str">
        <f ca="1">IF(F76="",IF(F75="",IF(F74="",IF(F73="",IF(F72="",IF(F71="",IFERROR(LEFT(F70,FIND("(",F70) - 2),F70),IFERROR(LEFT(F71,FIND("(",F71) - 2),F71)),IFERROR(LEFT(F72,FIND("(",F72) - 2),F72)),IFERROR(LEFT(F73,FIND("(",F73) - 2),F73)),IFERROR(LEFT(F74,FIND("(",F74) - 2),F74)),IFERROR(LEFT(F75,FIND("(",F75) - 2),F75)),IFERROR(LEFT(F76,FIND("(",F76) - 2),F76))</f>
        <v>price/book</v>
      </c>
      <c r="G77" t="str">
        <f ca="1">TRIM(IF(LEFT(G76,1)=",",REPLACE(G76,1,1,""),SUBSTITUTE(G76,F77, "and " &amp; F77)))</f>
        <v>trailing p/e, forward p/e, peg ratio, and price/book</v>
      </c>
      <c r="I77" t="str">
        <f t="shared" ca="1" si="4"/>
        <v>N/A</v>
      </c>
      <c r="J77" t="str">
        <f t="shared" si="5"/>
        <v>N/A</v>
      </c>
      <c r="K77" t="str">
        <f t="shared" si="6"/>
        <v>N/A</v>
      </c>
      <c r="L77" t="str">
        <f t="shared" si="7"/>
        <v>N/A</v>
      </c>
      <c r="M77" t="str">
        <f t="shared" ca="1" si="8"/>
        <v>N/A</v>
      </c>
      <c r="N77" t="str">
        <f t="shared" ca="1" si="9"/>
        <v>N/A</v>
      </c>
    </row>
    <row r="78" spans="1:14" x14ac:dyDescent="0.3">
      <c r="A78" s="1">
        <v>0</v>
      </c>
      <c r="B78" t="s">
        <v>136</v>
      </c>
      <c r="C78" t="s">
        <v>137</v>
      </c>
      <c r="D78" t="str">
        <f ca="1">IF(COUNTIF(E70:E76,"=above average")&gt;0,"There are some indications that "&amp;D1&amp;" may be overvalued. The company has a higher " &amp; G77 &amp; " than the comparable average", "Inconclusive")</f>
        <v>There are some indications that Aaron's may be overvalued. The company has a higher trailing p/e, forward p/e, peg ratio, and price/book than the comparable average</v>
      </c>
      <c r="I78" t="str">
        <f t="shared" ca="1" si="4"/>
        <v>N/A</v>
      </c>
      <c r="J78" t="str">
        <f t="shared" si="5"/>
        <v>N/A</v>
      </c>
      <c r="K78" t="str">
        <f t="shared" ca="1" si="6"/>
        <v>N/A</v>
      </c>
      <c r="L78" t="str">
        <f t="shared" si="7"/>
        <v>N/A</v>
      </c>
      <c r="M78" t="str">
        <f t="shared" si="8"/>
        <v>N/A</v>
      </c>
      <c r="N78" t="str">
        <f t="shared" si="9"/>
        <v>N/A</v>
      </c>
    </row>
    <row r="79" spans="1:14" x14ac:dyDescent="0.3">
      <c r="A79" s="1">
        <v>1</v>
      </c>
      <c r="B79" t="s">
        <v>138</v>
      </c>
      <c r="C79" t="s">
        <v>139</v>
      </c>
      <c r="I79" t="str">
        <f t="shared" si="4"/>
        <v>N/A</v>
      </c>
      <c r="J79" t="str">
        <f t="shared" si="5"/>
        <v>N/A</v>
      </c>
      <c r="K79" t="str">
        <f t="shared" si="6"/>
        <v>N/A</v>
      </c>
      <c r="L79" t="str">
        <f t="shared" si="7"/>
        <v>N/A</v>
      </c>
      <c r="M79" t="str">
        <f t="shared" si="8"/>
        <v>N/A</v>
      </c>
      <c r="N79" t="str">
        <f t="shared" si="9"/>
        <v>N/A</v>
      </c>
    </row>
    <row r="80" spans="1:14" x14ac:dyDescent="0.3">
      <c r="I80" t="str">
        <f t="shared" si="4"/>
        <v>N/A</v>
      </c>
      <c r="J80" t="str">
        <f t="shared" si="5"/>
        <v>N/A</v>
      </c>
      <c r="K80" t="str">
        <f t="shared" si="6"/>
        <v>N/A</v>
      </c>
      <c r="L80" t="str">
        <f t="shared" si="7"/>
        <v>N/A</v>
      </c>
      <c r="M80" t="str">
        <f t="shared" si="8"/>
        <v>N/A</v>
      </c>
      <c r="N80" t="str">
        <f t="shared" si="9"/>
        <v>N/A</v>
      </c>
    </row>
    <row r="81" spans="1:14" x14ac:dyDescent="0.3">
      <c r="A81" s="1">
        <v>0</v>
      </c>
      <c r="B81" t="s">
        <v>140</v>
      </c>
      <c r="C81" t="s">
        <v>141</v>
      </c>
      <c r="F81" t="str">
        <f t="shared" ref="F81:F87" ca="1" si="13">IF(E70="below average",LOWER(TRIM(IF(ISNUMBER(VALUE(RIGHT(B70,1))),REPLACE(B70,LEN(B70),1,""),B70))),"")</f>
        <v/>
      </c>
      <c r="G81" t="str">
        <f ca="1">IFERROR(LEFT(F81,FIND("(",F81) - 2),F81)</f>
        <v/>
      </c>
      <c r="I81" t="str">
        <f t="shared" ca="1" si="4"/>
        <v>N/A</v>
      </c>
      <c r="J81">
        <f t="shared" si="5"/>
        <v>4.4699999999999997E-2</v>
      </c>
      <c r="K81" t="str">
        <f t="shared" si="6"/>
        <v>N/A</v>
      </c>
      <c r="L81" t="str">
        <f t="shared" si="7"/>
        <v>N/A</v>
      </c>
      <c r="M81" t="str">
        <f t="shared" ca="1" si="8"/>
        <v>N/A</v>
      </c>
      <c r="N81" t="str">
        <f t="shared" ca="1" si="9"/>
        <v>N/A</v>
      </c>
    </row>
    <row r="82" spans="1:14" x14ac:dyDescent="0.3">
      <c r="A82" s="1">
        <v>1</v>
      </c>
      <c r="B82" t="s">
        <v>142</v>
      </c>
      <c r="C82" t="s">
        <v>143</v>
      </c>
      <c r="F82" t="str">
        <f t="shared" ca="1" si="13"/>
        <v/>
      </c>
      <c r="G82" t="str">
        <f t="shared" ref="G82:G87" ca="1" si="14">IF(F82&lt;&gt;"", G81 &amp; ", " &amp; IFERROR(LEFT(F82,FIND("(",F82) - 2),F82),G81)</f>
        <v/>
      </c>
      <c r="I82" t="str">
        <f t="shared" ca="1" si="4"/>
        <v>N/A</v>
      </c>
      <c r="J82">
        <f t="shared" si="5"/>
        <v>0.1234</v>
      </c>
      <c r="K82" t="str">
        <f t="shared" si="6"/>
        <v>N/A</v>
      </c>
      <c r="L82" t="str">
        <f t="shared" si="7"/>
        <v>N/A</v>
      </c>
      <c r="M82" t="str">
        <f t="shared" ca="1" si="8"/>
        <v>N/A</v>
      </c>
      <c r="N82" t="str">
        <f t="shared" ca="1" si="9"/>
        <v>N/A</v>
      </c>
    </row>
    <row r="83" spans="1:14" x14ac:dyDescent="0.3">
      <c r="F83" t="str">
        <f t="shared" ca="1" si="13"/>
        <v/>
      </c>
      <c r="G83" t="str">
        <f t="shared" ca="1" si="14"/>
        <v/>
      </c>
      <c r="I83" t="str">
        <f t="shared" ca="1" si="4"/>
        <v>N/A</v>
      </c>
      <c r="J83" t="str">
        <f t="shared" si="5"/>
        <v>N/A</v>
      </c>
      <c r="K83" t="str">
        <f t="shared" si="6"/>
        <v>N/A</v>
      </c>
      <c r="L83" t="str">
        <f t="shared" si="7"/>
        <v>N/A</v>
      </c>
      <c r="M83" t="str">
        <f t="shared" ca="1" si="8"/>
        <v>N/A</v>
      </c>
      <c r="N83" t="str">
        <f t="shared" ca="1" si="9"/>
        <v>N/A</v>
      </c>
    </row>
    <row r="84" spans="1:14" x14ac:dyDescent="0.3">
      <c r="A84" s="1">
        <v>0</v>
      </c>
      <c r="B84" t="s">
        <v>144</v>
      </c>
      <c r="C84" t="s">
        <v>145</v>
      </c>
      <c r="F84" t="str">
        <f t="shared" ca="1" si="13"/>
        <v>price/sales (ttm)</v>
      </c>
      <c r="G84" t="str">
        <f t="shared" ca="1" si="14"/>
        <v>, price/sales</v>
      </c>
      <c r="I84" t="str">
        <f t="shared" ca="1" si="4"/>
        <v>N/A</v>
      </c>
      <c r="J84">
        <f t="shared" si="5"/>
        <v>9.5299999999999996E-2</v>
      </c>
      <c r="K84" t="str">
        <f t="shared" si="6"/>
        <v>N/A</v>
      </c>
      <c r="L84" t="str">
        <f t="shared" si="7"/>
        <v>N/A</v>
      </c>
      <c r="M84" t="str">
        <f t="shared" ca="1" si="8"/>
        <v>N/A</v>
      </c>
      <c r="N84" t="str">
        <f t="shared" ca="1" si="9"/>
        <v>N/A</v>
      </c>
    </row>
    <row r="85" spans="1:14" x14ac:dyDescent="0.3">
      <c r="A85" s="1">
        <v>1</v>
      </c>
      <c r="B85" t="s">
        <v>146</v>
      </c>
      <c r="C85" t="s">
        <v>147</v>
      </c>
      <c r="F85" t="str">
        <f t="shared" ca="1" si="13"/>
        <v/>
      </c>
      <c r="G85" t="str">
        <f t="shared" ca="1" si="14"/>
        <v>, price/sales</v>
      </c>
      <c r="I85" t="str">
        <f t="shared" ca="1" si="4"/>
        <v>N/A</v>
      </c>
      <c r="J85">
        <f t="shared" si="5"/>
        <v>9.7899999999999987E-2</v>
      </c>
      <c r="K85" t="str">
        <f t="shared" si="6"/>
        <v>N/A</v>
      </c>
      <c r="L85" t="str">
        <f t="shared" si="7"/>
        <v>N/A</v>
      </c>
      <c r="M85" t="str">
        <f t="shared" ca="1" si="8"/>
        <v>N/A</v>
      </c>
      <c r="N85" t="str">
        <f t="shared" ca="1" si="9"/>
        <v>N/A</v>
      </c>
    </row>
    <row r="86" spans="1:14" x14ac:dyDescent="0.3">
      <c r="F86" t="str">
        <f t="shared" ca="1" si="13"/>
        <v/>
      </c>
      <c r="G86" t="str">
        <f t="shared" ca="1" si="14"/>
        <v>, price/sales</v>
      </c>
      <c r="I86" t="str">
        <f t="shared" ca="1" si="4"/>
        <v>N/A</v>
      </c>
      <c r="J86" t="str">
        <f t="shared" si="5"/>
        <v>N/A</v>
      </c>
      <c r="K86" t="str">
        <f t="shared" si="6"/>
        <v>N/A</v>
      </c>
      <c r="L86" t="str">
        <f t="shared" si="7"/>
        <v>N/A</v>
      </c>
      <c r="M86" t="str">
        <f t="shared" ca="1" si="8"/>
        <v>N/A</v>
      </c>
      <c r="N86" t="str">
        <f t="shared" ca="1" si="9"/>
        <v>N/A</v>
      </c>
    </row>
    <row r="87" spans="1:14" x14ac:dyDescent="0.3">
      <c r="A87" s="1">
        <v>0</v>
      </c>
      <c r="B87" t="s">
        <v>148</v>
      </c>
      <c r="C87" t="s">
        <v>149</v>
      </c>
      <c r="F87" t="str">
        <f t="shared" ca="1" si="13"/>
        <v/>
      </c>
      <c r="G87" t="str">
        <f t="shared" ca="1" si="14"/>
        <v>, price/sales</v>
      </c>
      <c r="I87" t="str">
        <f t="shared" ca="1" si="4"/>
        <v>N/A</v>
      </c>
      <c r="J87">
        <f t="shared" si="5"/>
        <v>3200000000</v>
      </c>
      <c r="K87" t="str">
        <f t="shared" si="6"/>
        <v>N/A</v>
      </c>
      <c r="L87" t="str">
        <f t="shared" si="7"/>
        <v>N/A</v>
      </c>
      <c r="M87" t="str">
        <f t="shared" ca="1" si="8"/>
        <v>N/A</v>
      </c>
      <c r="N87" t="str">
        <f t="shared" ca="1" si="9"/>
        <v>N/A</v>
      </c>
    </row>
    <row r="88" spans="1:14" x14ac:dyDescent="0.3">
      <c r="A88" s="1">
        <v>1</v>
      </c>
      <c r="B88" t="s">
        <v>150</v>
      </c>
      <c r="C88" t="s">
        <v>151</v>
      </c>
      <c r="F88" t="str">
        <f ca="1">IF(F87="",IF(F86="",IF(F85="",IF(F84="",IF(F83="",IF(F82="",IFERROR(LEFT(F81,FIND("(",F81) - 2),F81),IFERROR(LEFT(F82,FIND("(",F82) - 2),F82)),IFERROR(LEFT(F83,FIND("(",F83) - 2),F83)),IFERROR(LEFT(F84,FIND("(",F84) - 2),F84)),IFERROR(LEFT(F85,FIND("(",F85) - 2),F85)),IFERROR(LEFT(F86,FIND("(",F86) - 2),F86)),IFERROR(LEFT(F87,FIND("(",F87) - 2),F87))</f>
        <v>price/sales</v>
      </c>
      <c r="G88" t="str">
        <f ca="1">TRIM(IF(LEFT(G87,1)=",",REPLACE(G87,1,1,""),SUBSTITUTE(G87,F88, "and " &amp; F88)))</f>
        <v>price/sales</v>
      </c>
      <c r="I88" t="str">
        <f t="shared" ca="1" si="4"/>
        <v>N/A</v>
      </c>
      <c r="J88">
        <f t="shared" si="5"/>
        <v>44.4</v>
      </c>
      <c r="K88" t="str">
        <f t="shared" si="6"/>
        <v>N/A</v>
      </c>
      <c r="L88" t="str">
        <f t="shared" si="7"/>
        <v>N/A</v>
      </c>
      <c r="M88" t="str">
        <f t="shared" ca="1" si="8"/>
        <v>N/A</v>
      </c>
      <c r="N88" t="str">
        <f t="shared" ca="1" si="9"/>
        <v>N/A</v>
      </c>
    </row>
    <row r="89" spans="1:14" x14ac:dyDescent="0.3">
      <c r="A89" s="1">
        <v>2</v>
      </c>
      <c r="B89" t="s">
        <v>152</v>
      </c>
      <c r="C89" t="s">
        <v>153</v>
      </c>
      <c r="D89" t="str">
        <f ca="1">IF(COUNTIF(E70:E76,"=below average")&gt;0,"There are some indications that "&amp;D1&amp;" may be undervalued. The company has a lower " &amp; G88 &amp; " than the comparable average", "Inconclusive")</f>
        <v>There are some indications that Aaron's may be undervalued. The company has a lower price/sales than the comparable average</v>
      </c>
      <c r="I89" t="str">
        <f t="shared" ca="1" si="4"/>
        <v>N/A</v>
      </c>
      <c r="J89">
        <f t="shared" si="5"/>
        <v>-1.2E-2</v>
      </c>
      <c r="K89" t="str">
        <f t="shared" ca="1" si="6"/>
        <v>N/A</v>
      </c>
      <c r="L89" t="str">
        <f t="shared" si="7"/>
        <v>N/A</v>
      </c>
      <c r="M89" t="str">
        <f t="shared" si="8"/>
        <v>N/A</v>
      </c>
      <c r="N89" t="str">
        <f t="shared" si="9"/>
        <v>N/A</v>
      </c>
    </row>
    <row r="90" spans="1:14" x14ac:dyDescent="0.3">
      <c r="A90" s="1">
        <v>3</v>
      </c>
      <c r="B90" t="s">
        <v>154</v>
      </c>
      <c r="C90" t="s">
        <v>155</v>
      </c>
      <c r="I90" t="str">
        <f t="shared" si="4"/>
        <v>N/A</v>
      </c>
      <c r="J90">
        <f t="shared" si="5"/>
        <v>1560000000</v>
      </c>
      <c r="K90" t="str">
        <f t="shared" si="6"/>
        <v>N/A</v>
      </c>
      <c r="L90" t="str">
        <f t="shared" si="7"/>
        <v>N/A</v>
      </c>
      <c r="M90" t="str">
        <f t="shared" si="8"/>
        <v>N/A</v>
      </c>
      <c r="N90" t="str">
        <f t="shared" si="9"/>
        <v>N/A</v>
      </c>
    </row>
    <row r="91" spans="1:14" x14ac:dyDescent="0.3">
      <c r="A91" s="1">
        <v>4</v>
      </c>
      <c r="B91" t="s">
        <v>156</v>
      </c>
      <c r="C91" t="s">
        <v>157</v>
      </c>
      <c r="I91" t="str">
        <f t="shared" si="4"/>
        <v>N/A</v>
      </c>
      <c r="J91">
        <f t="shared" si="5"/>
        <v>467520000</v>
      </c>
      <c r="K91" t="str">
        <f t="shared" si="6"/>
        <v>N/A</v>
      </c>
      <c r="L91" t="str">
        <f t="shared" si="7"/>
        <v>N/A</v>
      </c>
      <c r="M91" t="str">
        <f t="shared" si="8"/>
        <v>N/A</v>
      </c>
      <c r="N91" t="str">
        <f t="shared" si="9"/>
        <v>N/A</v>
      </c>
    </row>
    <row r="92" spans="1:14" x14ac:dyDescent="0.3">
      <c r="A92" s="1">
        <v>5</v>
      </c>
      <c r="B92" t="s">
        <v>158</v>
      </c>
      <c r="C92" t="s">
        <v>159</v>
      </c>
      <c r="I92" t="str">
        <f t="shared" ref="I92:I123" si="15">IF(AND(K92&gt; J92, L92&gt; K92, M92&gt; L92, N92&gt; M92), "pos_trend", IF(AND(K92&lt; J92, L92&lt; K92, M92&lt; L92, N92&lt; M92), "neg_trend", "N/A"))</f>
        <v>N/A</v>
      </c>
      <c r="J92">
        <f t="shared" ref="J92:J123" si="16">IFERROR(IF(TRIM(C92)="-", "N/A", IF(RIGHT(C92,1)=")",IF(RIGHT(C92,2)="T)",-1000000000000*VALUE(MID(C92,2,LEN(C92)-3)),IF(RIGHT(C92,2)="M)",-1000000*VALUE(MID(C92,2,LEN(C92)-3)),IF(RIGHT(C92,2)="B)",-1000000000*VALUE(MID(C92,2,LEN(C92)-3)),IF(RIGHT(C92,2)="k)",-1000*VALUE(MID(C92,2,LEN(C92)-3)),VALUE(SUBSTITUTE(C92,",","")))))),IF(RIGHT(C92,1)="T",1000000000000*VALUE(LEFT(C92,LEN(C92)-1)),IF(RIGHT(C92,1)="M",1000000*VALUE(LEFT(C92,LEN(C92)-1)),IF(RIGHT(C92,1)="B",1000000000*VALUE(LEFT(C92,LEN(C92)-1)),IF(RIGHT(C92,1)="%",0.01*VALUE(LEFT(C92,LEN(C92)-1)),IF(RIGHT(C92,1)="k",1000*VALUE(LEFT(C92,LEN(C92)-1)),VALUE(SUBSTITUTE(C92,",",""))))))))),"N/A")</f>
        <v>142900000</v>
      </c>
      <c r="K92" t="str">
        <f t="shared" ref="K92:K123" si="17">IFERROR(IF(TRIM(D92)="-", "N/A", IF(RIGHT(D92,1)=")",IF(RIGHT(D92,2)="T)",-1000000000000*VALUE(MID(D92,2,LEN(D92)-3)),IF(RIGHT(D92,2)="M)",-1000000*VALUE(MID(D92,2,LEN(D92)-3)),IF(RIGHT(D92,2)="B)",-1000000000*VALUE(MID(D92,2,LEN(D92)-3)),IF(RIGHT(D92,2)="k)",-1000*VALUE(MID(D92,2,LEN(D92)-3)),VALUE(SUBSTITUTE(D92,",","")))))),IF(RIGHT(D92,1)="T",1000000000000*VALUE(LEFT(D92,LEN(D92)-1)),IF(RIGHT(D92,1)="M",1000000*VALUE(LEFT(D92,LEN(D92)-1)),IF(RIGHT(D92,1)="B",1000000000*VALUE(LEFT(D92,LEN(D92)-1)),IF(RIGHT(D92,1)="%",0.01*VALUE(LEFT(D92,LEN(D92)-1)),IF(RIGHT(D92,1)="k",1000*VALUE(LEFT(D92,LEN(D92)-1)),VALUE(SUBSTITUTE(D92,",",""))))))))),"N/A")</f>
        <v>N/A</v>
      </c>
      <c r="L92" t="str">
        <f t="shared" ref="L92:L123" si="18">IFERROR(IF(TRIM(E92)="-", "N/A", IF(RIGHT(E92,1)=")",IF(RIGHT(E92,2)="T)",-1000000000000*VALUE(MID(E92,2,LEN(E92)-3)),IF(RIGHT(E92,2)="M)",-1000000*VALUE(MID(E92,2,LEN(E92)-3)),IF(RIGHT(E92,2)="B)",-1000000000*VALUE(MID(E92,2,LEN(E92)-3)),IF(RIGHT(E92,2)="k)",-1000*VALUE(MID(E92,2,LEN(E92)-3)),VALUE(SUBSTITUTE(E92,",","")))))),IF(RIGHT(E92,1)="T",1000000000000*VALUE(LEFT(E92,LEN(E92)-1)),IF(RIGHT(E92,1)="M",1000000*VALUE(LEFT(E92,LEN(E92)-1)),IF(RIGHT(E92,1)="B",1000000000*VALUE(LEFT(E92,LEN(E92)-1)),IF(RIGHT(E92,1)="%",0.01*VALUE(LEFT(E92,LEN(E92)-1)),IF(RIGHT(E92,1)="k",1000*VALUE(LEFT(E92,LEN(E92)-1)),VALUE(SUBSTITUTE(E92,",",""))))))))),"N/A")</f>
        <v>N/A</v>
      </c>
      <c r="M92" t="str">
        <f t="shared" ref="M92:M123" si="19">IFERROR(IF(TRIM(F92)="-", "N/A", IF(RIGHT(F92,1)=")",IF(RIGHT(F92,2)="T)",-1000000000000*VALUE(MID(F92,2,LEN(F92)-3)),IF(RIGHT(F92,2)="M)",-1000000*VALUE(MID(F92,2,LEN(F92)-3)),IF(RIGHT(F92,2)="B)",-1000000000*VALUE(MID(F92,2,LEN(F92)-3)),IF(RIGHT(F92,2)="k)",-1000*VALUE(MID(F92,2,LEN(F92)-3)),VALUE(SUBSTITUTE(F92,",","")))))),IF(RIGHT(F92,1)="T",1000000000000*VALUE(LEFT(F92,LEN(F92)-1)),IF(RIGHT(F92,1)="M",1000000*VALUE(LEFT(F92,LEN(F92)-1)),IF(RIGHT(F92,1)="B",1000000000*VALUE(LEFT(F92,LEN(F92)-1)),IF(RIGHT(F92,1)="%",0.01*VALUE(LEFT(F92,LEN(F92)-1)),IF(RIGHT(F92,1)="k",1000*VALUE(LEFT(F92,LEN(F92)-1)),VALUE(SUBSTITUTE(F92,",",""))))))))),"N/A")</f>
        <v>N/A</v>
      </c>
      <c r="N92" t="str">
        <f t="shared" ref="N92:N123" si="20">IFERROR(IF(TRIM(G92)="-", "N/A", IF(RIGHT(G92,1)=")",IF(RIGHT(G92,2)="T)",-1000000000000*VALUE(MID(G92,2,LEN(G92)-3)),IF(RIGHT(G92,2)="M)",-1000000*VALUE(MID(G92,2,LEN(G92)-3)),IF(RIGHT(G92,2)="B)",-1000000000*VALUE(MID(G92,2,LEN(G92)-3)),IF(RIGHT(G92,2)="k)",-1000*VALUE(MID(G92,2,LEN(G92)-3)),VALUE(SUBSTITUTE(G92,",","")))))),IF(RIGHT(G92,1)="T",1000000000000*VALUE(LEFT(G92,LEN(G92)-1)),IF(RIGHT(G92,1)="M",1000000*VALUE(LEFT(G92,LEN(G92)-1)),IF(RIGHT(G92,1)="B",1000000000*VALUE(LEFT(G92,LEN(G92)-1)),IF(RIGHT(G92,1)="%",0.01*VALUE(LEFT(G92,LEN(G92)-1)),IF(RIGHT(G92,1)="k",1000*VALUE(LEFT(G92,LEN(G92)-1)),VALUE(SUBSTITUTE(G92,",",""))))))))),"N/A")</f>
        <v>N/A</v>
      </c>
    </row>
    <row r="93" spans="1:14" x14ac:dyDescent="0.3">
      <c r="A93" s="1">
        <v>6</v>
      </c>
      <c r="B93" t="s">
        <v>160</v>
      </c>
      <c r="C93" t="s">
        <v>27</v>
      </c>
      <c r="I93" t="str">
        <f t="shared" si="15"/>
        <v>N/A</v>
      </c>
      <c r="J93">
        <f t="shared" si="16"/>
        <v>1.97</v>
      </c>
      <c r="K93" t="str">
        <f t="shared" si="17"/>
        <v>N/A</v>
      </c>
      <c r="L93" t="str">
        <f t="shared" si="18"/>
        <v>N/A</v>
      </c>
      <c r="M93" t="str">
        <f t="shared" si="19"/>
        <v>N/A</v>
      </c>
      <c r="N93" t="str">
        <f t="shared" si="20"/>
        <v>N/A</v>
      </c>
    </row>
    <row r="94" spans="1:14" x14ac:dyDescent="0.3">
      <c r="A94" s="1">
        <v>7</v>
      </c>
      <c r="B94" t="s">
        <v>161</v>
      </c>
      <c r="C94" t="s">
        <v>162</v>
      </c>
      <c r="I94" t="str">
        <f t="shared" si="15"/>
        <v>N/A</v>
      </c>
      <c r="J94">
        <f t="shared" si="16"/>
        <v>7.2999999999999995E-2</v>
      </c>
      <c r="K94" t="str">
        <f t="shared" si="17"/>
        <v>N/A</v>
      </c>
      <c r="L94" t="str">
        <f t="shared" si="18"/>
        <v>N/A</v>
      </c>
      <c r="M94" t="str">
        <f t="shared" si="19"/>
        <v>N/A</v>
      </c>
      <c r="N94" t="str">
        <f t="shared" si="20"/>
        <v>N/A</v>
      </c>
    </row>
    <row r="95" spans="1:14" x14ac:dyDescent="0.3">
      <c r="I95" t="str">
        <f t="shared" si="15"/>
        <v>N/A</v>
      </c>
      <c r="J95" t="str">
        <f t="shared" si="16"/>
        <v>N/A</v>
      </c>
      <c r="K95" t="str">
        <f t="shared" si="17"/>
        <v>N/A</v>
      </c>
      <c r="L95" t="str">
        <f t="shared" si="18"/>
        <v>N/A</v>
      </c>
      <c r="M95" t="str">
        <f t="shared" si="19"/>
        <v>N/A</v>
      </c>
      <c r="N95" t="str">
        <f t="shared" si="20"/>
        <v>N/A</v>
      </c>
    </row>
    <row r="96" spans="1:14" x14ac:dyDescent="0.3">
      <c r="A96" s="1">
        <v>0</v>
      </c>
      <c r="B96" t="s">
        <v>163</v>
      </c>
      <c r="C96" t="s">
        <v>164</v>
      </c>
      <c r="I96" t="str">
        <f t="shared" si="15"/>
        <v>N/A</v>
      </c>
      <c r="J96">
        <f t="shared" si="16"/>
        <v>348490000</v>
      </c>
      <c r="K96" t="str">
        <f t="shared" si="17"/>
        <v>N/A</v>
      </c>
      <c r="L96" t="str">
        <f t="shared" si="18"/>
        <v>N/A</v>
      </c>
      <c r="M96" t="str">
        <f t="shared" si="19"/>
        <v>N/A</v>
      </c>
      <c r="N96" t="str">
        <f t="shared" si="20"/>
        <v>N/A</v>
      </c>
    </row>
    <row r="97" spans="1:14" x14ac:dyDescent="0.3">
      <c r="A97" s="1">
        <v>1</v>
      </c>
      <c r="B97" t="s">
        <v>165</v>
      </c>
      <c r="C97" t="s">
        <v>166</v>
      </c>
      <c r="I97" t="str">
        <f t="shared" si="15"/>
        <v>N/A</v>
      </c>
      <c r="J97">
        <f t="shared" si="16"/>
        <v>4.93</v>
      </c>
      <c r="K97" t="str">
        <f t="shared" si="17"/>
        <v>N/A</v>
      </c>
      <c r="L97" t="str">
        <f t="shared" si="18"/>
        <v>N/A</v>
      </c>
      <c r="M97" t="str">
        <f t="shared" si="19"/>
        <v>N/A</v>
      </c>
      <c r="N97" t="str">
        <f t="shared" si="20"/>
        <v>N/A</v>
      </c>
    </row>
    <row r="98" spans="1:14" x14ac:dyDescent="0.3">
      <c r="A98" s="1">
        <v>2</v>
      </c>
      <c r="B98" t="s">
        <v>167</v>
      </c>
      <c r="C98" t="s">
        <v>168</v>
      </c>
      <c r="I98" t="str">
        <f t="shared" si="15"/>
        <v>N/A</v>
      </c>
      <c r="J98">
        <f t="shared" si="16"/>
        <v>484720000</v>
      </c>
      <c r="K98" t="str">
        <f t="shared" si="17"/>
        <v>N/A</v>
      </c>
      <c r="L98" t="str">
        <f t="shared" si="18"/>
        <v>N/A</v>
      </c>
      <c r="M98" t="str">
        <f t="shared" si="19"/>
        <v>N/A</v>
      </c>
      <c r="N98" t="str">
        <f t="shared" si="20"/>
        <v>N/A</v>
      </c>
    </row>
    <row r="99" spans="1:14" x14ac:dyDescent="0.3">
      <c r="A99" s="1">
        <v>3</v>
      </c>
      <c r="B99" t="s">
        <v>169</v>
      </c>
      <c r="C99" t="s">
        <v>170</v>
      </c>
      <c r="I99" t="str">
        <f t="shared" si="15"/>
        <v>N/A</v>
      </c>
      <c r="J99">
        <f t="shared" si="16"/>
        <v>32.31</v>
      </c>
      <c r="K99" t="str">
        <f t="shared" si="17"/>
        <v>N/A</v>
      </c>
      <c r="L99" t="str">
        <f t="shared" si="18"/>
        <v>N/A</v>
      </c>
      <c r="M99" t="str">
        <f t="shared" si="19"/>
        <v>N/A</v>
      </c>
      <c r="N99" t="str">
        <f t="shared" si="20"/>
        <v>N/A</v>
      </c>
    </row>
    <row r="100" spans="1:14" x14ac:dyDescent="0.3">
      <c r="A100" s="1">
        <v>4</v>
      </c>
      <c r="B100" t="s">
        <v>171</v>
      </c>
      <c r="C100" t="s">
        <v>172</v>
      </c>
      <c r="I100" t="str">
        <f t="shared" si="15"/>
        <v>N/A</v>
      </c>
      <c r="J100">
        <f t="shared" si="16"/>
        <v>2.0699999999999998</v>
      </c>
      <c r="K100" t="str">
        <f t="shared" si="17"/>
        <v>N/A</v>
      </c>
      <c r="L100" t="str">
        <f t="shared" si="18"/>
        <v>N/A</v>
      </c>
      <c r="M100" t="str">
        <f t="shared" si="19"/>
        <v>N/A</v>
      </c>
      <c r="N100" t="str">
        <f t="shared" si="20"/>
        <v>N/A</v>
      </c>
    </row>
    <row r="101" spans="1:14" x14ac:dyDescent="0.3">
      <c r="A101" s="1">
        <v>5</v>
      </c>
      <c r="B101" t="s">
        <v>173</v>
      </c>
      <c r="C101" t="s">
        <v>174</v>
      </c>
      <c r="I101" t="str">
        <f t="shared" si="15"/>
        <v>N/A</v>
      </c>
      <c r="J101">
        <f t="shared" si="16"/>
        <v>21.24</v>
      </c>
      <c r="K101" t="str">
        <f t="shared" si="17"/>
        <v>N/A</v>
      </c>
      <c r="L101" t="str">
        <f t="shared" si="18"/>
        <v>N/A</v>
      </c>
      <c r="M101" t="str">
        <f t="shared" si="19"/>
        <v>N/A</v>
      </c>
      <c r="N101" t="str">
        <f t="shared" si="20"/>
        <v>N/A</v>
      </c>
    </row>
    <row r="102" spans="1:14" x14ac:dyDescent="0.3">
      <c r="I102" t="str">
        <f t="shared" si="15"/>
        <v>N/A</v>
      </c>
      <c r="J102" t="str">
        <f t="shared" si="16"/>
        <v>N/A</v>
      </c>
      <c r="K102" t="str">
        <f t="shared" si="17"/>
        <v>N/A</v>
      </c>
      <c r="L102" t="str">
        <f t="shared" si="18"/>
        <v>N/A</v>
      </c>
      <c r="M102" t="str">
        <f t="shared" si="19"/>
        <v>N/A</v>
      </c>
      <c r="N102" t="str">
        <f t="shared" si="20"/>
        <v>N/A</v>
      </c>
    </row>
    <row r="103" spans="1:14" x14ac:dyDescent="0.3">
      <c r="A103" s="1">
        <v>0</v>
      </c>
      <c r="B103" t="s">
        <v>175</v>
      </c>
      <c r="C103" t="s">
        <v>176</v>
      </c>
      <c r="I103" t="str">
        <f t="shared" si="15"/>
        <v>N/A</v>
      </c>
      <c r="J103">
        <f t="shared" si="16"/>
        <v>373970000</v>
      </c>
      <c r="K103" t="str">
        <f t="shared" si="17"/>
        <v>N/A</v>
      </c>
      <c r="L103" t="str">
        <f t="shared" si="18"/>
        <v>N/A</v>
      </c>
      <c r="M103" t="str">
        <f t="shared" si="19"/>
        <v>N/A</v>
      </c>
      <c r="N103" t="str">
        <f t="shared" si="20"/>
        <v>N/A</v>
      </c>
    </row>
    <row r="104" spans="1:14" x14ac:dyDescent="0.3">
      <c r="A104" s="1">
        <v>1</v>
      </c>
      <c r="B104" t="s">
        <v>177</v>
      </c>
      <c r="C104" t="s">
        <v>178</v>
      </c>
      <c r="I104" t="str">
        <f t="shared" si="15"/>
        <v>N/A</v>
      </c>
      <c r="J104">
        <f t="shared" si="16"/>
        <v>1690000000</v>
      </c>
      <c r="K104" t="str">
        <f t="shared" si="17"/>
        <v>N/A</v>
      </c>
      <c r="L104" t="str">
        <f t="shared" si="18"/>
        <v>N/A</v>
      </c>
      <c r="M104" t="str">
        <f t="shared" si="19"/>
        <v>N/A</v>
      </c>
      <c r="N104" t="str">
        <f t="shared" si="20"/>
        <v>N/A</v>
      </c>
    </row>
    <row r="105" spans="1:14" x14ac:dyDescent="0.3">
      <c r="I105" t="str">
        <f t="shared" si="15"/>
        <v>N/A</v>
      </c>
      <c r="J105" t="str">
        <f t="shared" si="16"/>
        <v>N/A</v>
      </c>
      <c r="K105" t="str">
        <f t="shared" si="17"/>
        <v>N/A</v>
      </c>
      <c r="L105" t="str">
        <f t="shared" si="18"/>
        <v>N/A</v>
      </c>
      <c r="M105" t="str">
        <f t="shared" si="19"/>
        <v>N/A</v>
      </c>
      <c r="N105" t="str">
        <f t="shared" si="20"/>
        <v>N/A</v>
      </c>
    </row>
    <row r="106" spans="1:14" x14ac:dyDescent="0.3">
      <c r="A106" s="1">
        <v>0</v>
      </c>
      <c r="B106" t="s">
        <v>22</v>
      </c>
      <c r="C106" t="s">
        <v>23</v>
      </c>
      <c r="I106" t="str">
        <f t="shared" si="15"/>
        <v>N/A</v>
      </c>
      <c r="J106">
        <f t="shared" si="16"/>
        <v>-0.26</v>
      </c>
      <c r="K106" t="str">
        <f t="shared" si="17"/>
        <v>N/A</v>
      </c>
      <c r="L106" t="str">
        <f t="shared" si="18"/>
        <v>N/A</v>
      </c>
      <c r="M106" t="str">
        <f t="shared" si="19"/>
        <v>N/A</v>
      </c>
      <c r="N106" t="str">
        <f t="shared" si="20"/>
        <v>N/A</v>
      </c>
    </row>
    <row r="107" spans="1:14" x14ac:dyDescent="0.3">
      <c r="A107" s="1">
        <v>1</v>
      </c>
      <c r="B107" t="s">
        <v>179</v>
      </c>
      <c r="C107" t="s">
        <v>180</v>
      </c>
      <c r="I107" t="str">
        <f t="shared" si="15"/>
        <v>N/A</v>
      </c>
      <c r="J107">
        <f t="shared" si="16"/>
        <v>0.8105</v>
      </c>
      <c r="K107" t="str">
        <f t="shared" si="17"/>
        <v>N/A</v>
      </c>
      <c r="L107" t="str">
        <f t="shared" si="18"/>
        <v>N/A</v>
      </c>
      <c r="M107" t="str">
        <f t="shared" si="19"/>
        <v>N/A</v>
      </c>
      <c r="N107" t="str">
        <f t="shared" si="20"/>
        <v>N/A</v>
      </c>
    </row>
    <row r="108" spans="1:14" x14ac:dyDescent="0.3">
      <c r="A108" s="1">
        <v>2</v>
      </c>
      <c r="B108" t="s">
        <v>181</v>
      </c>
      <c r="C108" t="s">
        <v>182</v>
      </c>
      <c r="I108" t="str">
        <f t="shared" si="15"/>
        <v>N/A</v>
      </c>
      <c r="J108">
        <f t="shared" si="16"/>
        <v>0.14180000000000001</v>
      </c>
      <c r="K108" t="str">
        <f t="shared" si="17"/>
        <v>N/A</v>
      </c>
      <c r="L108" t="str">
        <f t="shared" si="18"/>
        <v>N/A</v>
      </c>
      <c r="M108" t="str">
        <f t="shared" si="19"/>
        <v>N/A</v>
      </c>
      <c r="N108" t="str">
        <f t="shared" si="20"/>
        <v>N/A</v>
      </c>
    </row>
    <row r="109" spans="1:14" x14ac:dyDescent="0.3">
      <c r="A109" s="1">
        <v>3</v>
      </c>
      <c r="B109" t="s">
        <v>183</v>
      </c>
      <c r="C109" t="s">
        <v>184</v>
      </c>
      <c r="I109" t="str">
        <f t="shared" si="15"/>
        <v>N/A</v>
      </c>
      <c r="J109">
        <f t="shared" si="16"/>
        <v>40.9</v>
      </c>
      <c r="K109" t="str">
        <f t="shared" si="17"/>
        <v>N/A</v>
      </c>
      <c r="L109" t="str">
        <f t="shared" si="18"/>
        <v>N/A</v>
      </c>
      <c r="M109" t="str">
        <f t="shared" si="19"/>
        <v>N/A</v>
      </c>
      <c r="N109" t="str">
        <f t="shared" si="20"/>
        <v>N/A</v>
      </c>
    </row>
    <row r="110" spans="1:14" x14ac:dyDescent="0.3">
      <c r="A110" s="1">
        <v>4</v>
      </c>
      <c r="B110" t="s">
        <v>185</v>
      </c>
      <c r="C110" t="s">
        <v>186</v>
      </c>
      <c r="I110" t="str">
        <f t="shared" si="15"/>
        <v>N/A</v>
      </c>
      <c r="J110">
        <f t="shared" si="16"/>
        <v>21.5</v>
      </c>
      <c r="K110" t="str">
        <f t="shared" si="17"/>
        <v>N/A</v>
      </c>
      <c r="L110" t="str">
        <f t="shared" si="18"/>
        <v>N/A</v>
      </c>
      <c r="M110" t="str">
        <f t="shared" si="19"/>
        <v>N/A</v>
      </c>
      <c r="N110" t="str">
        <f t="shared" si="20"/>
        <v>N/A</v>
      </c>
    </row>
    <row r="111" spans="1:14" x14ac:dyDescent="0.3">
      <c r="A111" s="1">
        <v>5</v>
      </c>
      <c r="B111" t="s">
        <v>187</v>
      </c>
      <c r="C111" t="s">
        <v>188</v>
      </c>
      <c r="I111" t="str">
        <f t="shared" si="15"/>
        <v>N/A</v>
      </c>
      <c r="J111">
        <f t="shared" si="16"/>
        <v>38.96</v>
      </c>
      <c r="K111" t="str">
        <f t="shared" si="17"/>
        <v>N/A</v>
      </c>
      <c r="L111" t="str">
        <f t="shared" si="18"/>
        <v>N/A</v>
      </c>
      <c r="M111" t="str">
        <f t="shared" si="19"/>
        <v>N/A</v>
      </c>
      <c r="N111" t="str">
        <f t="shared" si="20"/>
        <v>N/A</v>
      </c>
    </row>
    <row r="112" spans="1:14" x14ac:dyDescent="0.3">
      <c r="A112" s="1">
        <v>6</v>
      </c>
      <c r="B112" t="s">
        <v>189</v>
      </c>
      <c r="C112" t="s">
        <v>190</v>
      </c>
      <c r="I112" t="str">
        <f t="shared" si="15"/>
        <v>N/A</v>
      </c>
      <c r="J112">
        <f t="shared" si="16"/>
        <v>33.32</v>
      </c>
      <c r="K112" t="str">
        <f t="shared" si="17"/>
        <v>N/A</v>
      </c>
      <c r="L112" t="str">
        <f t="shared" si="18"/>
        <v>N/A</v>
      </c>
      <c r="M112" t="str">
        <f t="shared" si="19"/>
        <v>N/A</v>
      </c>
      <c r="N112" t="str">
        <f t="shared" si="20"/>
        <v>N/A</v>
      </c>
    </row>
    <row r="113" spans="1:14" x14ac:dyDescent="0.3">
      <c r="I113" t="str">
        <f t="shared" si="15"/>
        <v>N/A</v>
      </c>
      <c r="J113" t="str">
        <f t="shared" si="16"/>
        <v>N/A</v>
      </c>
      <c r="K113" t="str">
        <f t="shared" si="17"/>
        <v>N/A</v>
      </c>
      <c r="L113" t="str">
        <f t="shared" si="18"/>
        <v>N/A</v>
      </c>
      <c r="M113" t="str">
        <f t="shared" si="19"/>
        <v>N/A</v>
      </c>
      <c r="N113" t="str">
        <f t="shared" si="20"/>
        <v>N/A</v>
      </c>
    </row>
    <row r="114" spans="1:14" x14ac:dyDescent="0.3">
      <c r="A114" s="1">
        <v>0</v>
      </c>
      <c r="B114" t="s">
        <v>191</v>
      </c>
      <c r="C114" t="s">
        <v>192</v>
      </c>
      <c r="I114" t="str">
        <f t="shared" si="15"/>
        <v>N/A</v>
      </c>
      <c r="J114">
        <f t="shared" si="16"/>
        <v>784000</v>
      </c>
      <c r="K114" t="str">
        <f t="shared" si="17"/>
        <v>N/A</v>
      </c>
      <c r="L114" t="str">
        <f t="shared" si="18"/>
        <v>N/A</v>
      </c>
      <c r="M114" t="str">
        <f t="shared" si="19"/>
        <v>N/A</v>
      </c>
      <c r="N114" t="str">
        <f t="shared" si="20"/>
        <v>N/A</v>
      </c>
    </row>
    <row r="115" spans="1:14" x14ac:dyDescent="0.3">
      <c r="A115" s="1">
        <v>1</v>
      </c>
      <c r="B115" t="s">
        <v>193</v>
      </c>
      <c r="C115" t="s">
        <v>194</v>
      </c>
      <c r="I115" t="str">
        <f t="shared" si="15"/>
        <v>N/A</v>
      </c>
      <c r="J115">
        <f t="shared" si="16"/>
        <v>683880</v>
      </c>
      <c r="K115" t="str">
        <f t="shared" si="17"/>
        <v>N/A</v>
      </c>
      <c r="L115" t="str">
        <f t="shared" si="18"/>
        <v>N/A</v>
      </c>
      <c r="M115" t="str">
        <f t="shared" si="19"/>
        <v>N/A</v>
      </c>
      <c r="N115" t="str">
        <f t="shared" si="20"/>
        <v>N/A</v>
      </c>
    </row>
    <row r="116" spans="1:14" x14ac:dyDescent="0.3">
      <c r="A116" s="1">
        <v>2</v>
      </c>
      <c r="B116" t="s">
        <v>195</v>
      </c>
      <c r="C116" t="s">
        <v>196</v>
      </c>
      <c r="I116" t="str">
        <f t="shared" si="15"/>
        <v>N/A</v>
      </c>
      <c r="J116">
        <f t="shared" si="16"/>
        <v>70660000</v>
      </c>
      <c r="K116" t="str">
        <f t="shared" si="17"/>
        <v>N/A</v>
      </c>
      <c r="L116" t="str">
        <f t="shared" si="18"/>
        <v>N/A</v>
      </c>
      <c r="M116" t="str">
        <f t="shared" si="19"/>
        <v>N/A</v>
      </c>
      <c r="N116" t="str">
        <f t="shared" si="20"/>
        <v>N/A</v>
      </c>
    </row>
    <row r="117" spans="1:14" x14ac:dyDescent="0.3">
      <c r="A117" s="1">
        <v>3</v>
      </c>
      <c r="B117" t="s">
        <v>197</v>
      </c>
      <c r="C117" t="s">
        <v>198</v>
      </c>
      <c r="I117" t="str">
        <f t="shared" si="15"/>
        <v>N/A</v>
      </c>
      <c r="J117">
        <f t="shared" si="16"/>
        <v>62320000</v>
      </c>
      <c r="K117" t="str">
        <f t="shared" si="17"/>
        <v>N/A</v>
      </c>
      <c r="L117" t="str">
        <f t="shared" si="18"/>
        <v>N/A</v>
      </c>
      <c r="M117" t="str">
        <f t="shared" si="19"/>
        <v>N/A</v>
      </c>
      <c r="N117" t="str">
        <f t="shared" si="20"/>
        <v>N/A</v>
      </c>
    </row>
    <row r="118" spans="1:14" x14ac:dyDescent="0.3">
      <c r="A118" s="1">
        <v>4</v>
      </c>
      <c r="B118" t="s">
        <v>199</v>
      </c>
      <c r="C118" t="s">
        <v>200</v>
      </c>
      <c r="I118" t="str">
        <f t="shared" si="15"/>
        <v>N/A</v>
      </c>
      <c r="J118">
        <f t="shared" si="16"/>
        <v>0.159</v>
      </c>
      <c r="K118" t="str">
        <f t="shared" si="17"/>
        <v>N/A</v>
      </c>
      <c r="L118" t="str">
        <f t="shared" si="18"/>
        <v>N/A</v>
      </c>
      <c r="M118" t="str">
        <f t="shared" si="19"/>
        <v>N/A</v>
      </c>
      <c r="N118" t="str">
        <f t="shared" si="20"/>
        <v>N/A</v>
      </c>
    </row>
    <row r="119" spans="1:14" x14ac:dyDescent="0.3">
      <c r="A119" s="1">
        <v>5</v>
      </c>
      <c r="B119" t="s">
        <v>201</v>
      </c>
      <c r="C119" t="s">
        <v>202</v>
      </c>
      <c r="I119" t="str">
        <f t="shared" si="15"/>
        <v>N/A</v>
      </c>
      <c r="J119">
        <f t="shared" si="16"/>
        <v>0.82299999999999995</v>
      </c>
      <c r="K119" t="str">
        <f t="shared" si="17"/>
        <v>N/A</v>
      </c>
      <c r="L119" t="str">
        <f t="shared" si="18"/>
        <v>N/A</v>
      </c>
      <c r="M119" t="str">
        <f t="shared" si="19"/>
        <v>N/A</v>
      </c>
      <c r="N119" t="str">
        <f t="shared" si="20"/>
        <v>N/A</v>
      </c>
    </row>
    <row r="120" spans="1:14" x14ac:dyDescent="0.3">
      <c r="A120" s="1">
        <v>6</v>
      </c>
      <c r="B120" t="s">
        <v>203</v>
      </c>
      <c r="C120" t="s">
        <v>204</v>
      </c>
      <c r="I120" t="str">
        <f t="shared" si="15"/>
        <v>N/A</v>
      </c>
      <c r="J120">
        <f t="shared" si="16"/>
        <v>3030000</v>
      </c>
      <c r="K120" t="str">
        <f t="shared" si="17"/>
        <v>N/A</v>
      </c>
      <c r="L120" t="str">
        <f t="shared" si="18"/>
        <v>N/A</v>
      </c>
      <c r="M120" t="str">
        <f t="shared" si="19"/>
        <v>N/A</v>
      </c>
      <c r="N120" t="str">
        <f t="shared" si="20"/>
        <v>N/A</v>
      </c>
    </row>
    <row r="121" spans="1:14" x14ac:dyDescent="0.3">
      <c r="A121" s="1">
        <v>7</v>
      </c>
      <c r="B121" t="s">
        <v>205</v>
      </c>
      <c r="C121" t="s">
        <v>206</v>
      </c>
      <c r="I121" t="str">
        <f t="shared" si="15"/>
        <v>N/A</v>
      </c>
      <c r="J121">
        <f t="shared" si="16"/>
        <v>4.03</v>
      </c>
      <c r="K121" t="str">
        <f t="shared" si="17"/>
        <v>N/A</v>
      </c>
      <c r="L121" t="str">
        <f t="shared" si="18"/>
        <v>N/A</v>
      </c>
      <c r="M121" t="str">
        <f t="shared" si="19"/>
        <v>N/A</v>
      </c>
      <c r="N121" t="str">
        <f t="shared" si="20"/>
        <v>N/A</v>
      </c>
    </row>
    <row r="122" spans="1:14" x14ac:dyDescent="0.3">
      <c r="A122" s="1">
        <v>8</v>
      </c>
      <c r="B122" t="s">
        <v>207</v>
      </c>
      <c r="C122" t="s">
        <v>208</v>
      </c>
      <c r="I122" t="str">
        <f t="shared" si="15"/>
        <v>N/A</v>
      </c>
      <c r="J122">
        <f t="shared" si="16"/>
        <v>5.4900000000000004E-2</v>
      </c>
      <c r="K122" t="str">
        <f t="shared" si="17"/>
        <v>N/A</v>
      </c>
      <c r="L122" t="str">
        <f t="shared" si="18"/>
        <v>N/A</v>
      </c>
      <c r="M122" t="str">
        <f t="shared" si="19"/>
        <v>N/A</v>
      </c>
      <c r="N122" t="str">
        <f t="shared" si="20"/>
        <v>N/A</v>
      </c>
    </row>
    <row r="123" spans="1:14" x14ac:dyDescent="0.3">
      <c r="A123" s="1">
        <v>9</v>
      </c>
      <c r="B123" t="s">
        <v>209</v>
      </c>
      <c r="C123" t="s">
        <v>210</v>
      </c>
      <c r="I123" t="str">
        <f t="shared" si="15"/>
        <v>N/A</v>
      </c>
      <c r="J123">
        <f t="shared" si="16"/>
        <v>3610000</v>
      </c>
      <c r="K123" t="str">
        <f t="shared" si="17"/>
        <v>N/A</v>
      </c>
      <c r="L123" t="str">
        <f t="shared" si="18"/>
        <v>N/A</v>
      </c>
      <c r="M123" t="str">
        <f t="shared" si="19"/>
        <v>N/A</v>
      </c>
      <c r="N123" t="str">
        <f t="shared" si="20"/>
        <v>N/A</v>
      </c>
    </row>
    <row r="124" spans="1:14" x14ac:dyDescent="0.3">
      <c r="I124" t="str">
        <f t="shared" ref="I124:I155" si="21">IF(AND(K124&gt; J124, L124&gt; K124, M124&gt; L124, N124&gt; M124), "pos_trend", IF(AND(K124&lt; J124, L124&lt; K124, M124&lt; L124, N124&lt; M124), "neg_trend", "N/A"))</f>
        <v>N/A</v>
      </c>
      <c r="J124" t="str">
        <f t="shared" ref="J124:J156" si="22">IFERROR(IF(TRIM(C124)="-", "N/A", IF(RIGHT(C124,1)=")",IF(RIGHT(C124,2)="T)",-1000000000000*VALUE(MID(C124,2,LEN(C124)-3)),IF(RIGHT(C124,2)="M)",-1000000*VALUE(MID(C124,2,LEN(C124)-3)),IF(RIGHT(C124,2)="B)",-1000000000*VALUE(MID(C124,2,LEN(C124)-3)),IF(RIGHT(C124,2)="k)",-1000*VALUE(MID(C124,2,LEN(C124)-3)),VALUE(SUBSTITUTE(C124,",","")))))),IF(RIGHT(C124,1)="T",1000000000000*VALUE(LEFT(C124,LEN(C124)-1)),IF(RIGHT(C124,1)="M",1000000*VALUE(LEFT(C124,LEN(C124)-1)),IF(RIGHT(C124,1)="B",1000000000*VALUE(LEFT(C124,LEN(C124)-1)),IF(RIGHT(C124,1)="%",0.01*VALUE(LEFT(C124,LEN(C124)-1)),IF(RIGHT(C124,1)="k",1000*VALUE(LEFT(C124,LEN(C124)-1)),VALUE(SUBSTITUTE(C124,",",""))))))))),"N/A")</f>
        <v>N/A</v>
      </c>
      <c r="K124" t="str">
        <f t="shared" ref="K124:K156" si="23">IFERROR(IF(TRIM(D124)="-", "N/A", IF(RIGHT(D124,1)=")",IF(RIGHT(D124,2)="T)",-1000000000000*VALUE(MID(D124,2,LEN(D124)-3)),IF(RIGHT(D124,2)="M)",-1000000*VALUE(MID(D124,2,LEN(D124)-3)),IF(RIGHT(D124,2)="B)",-1000000000*VALUE(MID(D124,2,LEN(D124)-3)),IF(RIGHT(D124,2)="k)",-1000*VALUE(MID(D124,2,LEN(D124)-3)),VALUE(SUBSTITUTE(D124,",","")))))),IF(RIGHT(D124,1)="T",1000000000000*VALUE(LEFT(D124,LEN(D124)-1)),IF(RIGHT(D124,1)="M",1000000*VALUE(LEFT(D124,LEN(D124)-1)),IF(RIGHT(D124,1)="B",1000000000*VALUE(LEFT(D124,LEN(D124)-1)),IF(RIGHT(D124,1)="%",0.01*VALUE(LEFT(D124,LEN(D124)-1)),IF(RIGHT(D124,1)="k",1000*VALUE(LEFT(D124,LEN(D124)-1)),VALUE(SUBSTITUTE(D124,",",""))))))))),"N/A")</f>
        <v>N/A</v>
      </c>
      <c r="L124" t="str">
        <f t="shared" ref="L124:L156" si="24">IFERROR(IF(TRIM(E124)="-", "N/A", IF(RIGHT(E124,1)=")",IF(RIGHT(E124,2)="T)",-1000000000000*VALUE(MID(E124,2,LEN(E124)-3)),IF(RIGHT(E124,2)="M)",-1000000*VALUE(MID(E124,2,LEN(E124)-3)),IF(RIGHT(E124,2)="B)",-1000000000*VALUE(MID(E124,2,LEN(E124)-3)),IF(RIGHT(E124,2)="k)",-1000*VALUE(MID(E124,2,LEN(E124)-3)),VALUE(SUBSTITUTE(E124,",","")))))),IF(RIGHT(E124,1)="T",1000000000000*VALUE(LEFT(E124,LEN(E124)-1)),IF(RIGHT(E124,1)="M",1000000*VALUE(LEFT(E124,LEN(E124)-1)),IF(RIGHT(E124,1)="B",1000000000*VALUE(LEFT(E124,LEN(E124)-1)),IF(RIGHT(E124,1)="%",0.01*VALUE(LEFT(E124,LEN(E124)-1)),IF(RIGHT(E124,1)="k",1000*VALUE(LEFT(E124,LEN(E124)-1)),VALUE(SUBSTITUTE(E124,",",""))))))))),"N/A")</f>
        <v>N/A</v>
      </c>
      <c r="M124" t="str">
        <f t="shared" ref="M124:M156" si="25">IFERROR(IF(TRIM(F124)="-", "N/A", IF(RIGHT(F124,1)=")",IF(RIGHT(F124,2)="T)",-1000000000000*VALUE(MID(F124,2,LEN(F124)-3)),IF(RIGHT(F124,2)="M)",-1000000*VALUE(MID(F124,2,LEN(F124)-3)),IF(RIGHT(F124,2)="B)",-1000000000*VALUE(MID(F124,2,LEN(F124)-3)),IF(RIGHT(F124,2)="k)",-1000*VALUE(MID(F124,2,LEN(F124)-3)),VALUE(SUBSTITUTE(F124,",","")))))),IF(RIGHT(F124,1)="T",1000000000000*VALUE(LEFT(F124,LEN(F124)-1)),IF(RIGHT(F124,1)="M",1000000*VALUE(LEFT(F124,LEN(F124)-1)),IF(RIGHT(F124,1)="B",1000000000*VALUE(LEFT(F124,LEN(F124)-1)),IF(RIGHT(F124,1)="%",0.01*VALUE(LEFT(F124,LEN(F124)-1)),IF(RIGHT(F124,1)="k",1000*VALUE(LEFT(F124,LEN(F124)-1)),VALUE(SUBSTITUTE(F124,",",""))))))))),"N/A")</f>
        <v>N/A</v>
      </c>
      <c r="N124" t="str">
        <f t="shared" ref="N124:N156" si="26">IFERROR(IF(TRIM(G124)="-", "N/A", IF(RIGHT(G124,1)=")",IF(RIGHT(G124,2)="T)",-1000000000000*VALUE(MID(G124,2,LEN(G124)-3)),IF(RIGHT(G124,2)="M)",-1000000*VALUE(MID(G124,2,LEN(G124)-3)),IF(RIGHT(G124,2)="B)",-1000000000*VALUE(MID(G124,2,LEN(G124)-3)),IF(RIGHT(G124,2)="k)",-1000*VALUE(MID(G124,2,LEN(G124)-3)),VALUE(SUBSTITUTE(G124,",","")))))),IF(RIGHT(G124,1)="T",1000000000000*VALUE(LEFT(G124,LEN(G124)-1)),IF(RIGHT(G124,1)="M",1000000*VALUE(LEFT(G124,LEN(G124)-1)),IF(RIGHT(G124,1)="B",1000000000*VALUE(LEFT(G124,LEN(G124)-1)),IF(RIGHT(G124,1)="%",0.01*VALUE(LEFT(G124,LEN(G124)-1)),IF(RIGHT(G124,1)="k",1000*VALUE(LEFT(G124,LEN(G124)-1)),VALUE(SUBSTITUTE(G124,",",""))))))))),"N/A")</f>
        <v>N/A</v>
      </c>
    </row>
    <row r="125" spans="1:14" x14ac:dyDescent="0.3">
      <c r="A125" s="1">
        <v>0</v>
      </c>
      <c r="B125" t="s">
        <v>211</v>
      </c>
      <c r="C125" t="s">
        <v>212</v>
      </c>
      <c r="I125" t="str">
        <f t="shared" si="21"/>
        <v>N/A</v>
      </c>
      <c r="J125">
        <f t="shared" si="22"/>
        <v>0.11</v>
      </c>
      <c r="K125" t="str">
        <f t="shared" si="23"/>
        <v>N/A</v>
      </c>
      <c r="L125" t="str">
        <f t="shared" si="24"/>
        <v>N/A</v>
      </c>
      <c r="M125" t="str">
        <f t="shared" si="25"/>
        <v>N/A</v>
      </c>
      <c r="N125" t="str">
        <f t="shared" si="26"/>
        <v>N/A</v>
      </c>
    </row>
    <row r="126" spans="1:14" x14ac:dyDescent="0.3">
      <c r="A126" s="1">
        <v>1</v>
      </c>
      <c r="B126" t="s">
        <v>213</v>
      </c>
      <c r="C126" t="s">
        <v>214</v>
      </c>
      <c r="I126" t="str">
        <f t="shared" si="21"/>
        <v>N/A</v>
      </c>
      <c r="J126">
        <f t="shared" si="22"/>
        <v>2.7000000000000001E-3</v>
      </c>
      <c r="K126" t="str">
        <f t="shared" si="23"/>
        <v>N/A</v>
      </c>
      <c r="L126" t="str">
        <f t="shared" si="24"/>
        <v>N/A</v>
      </c>
      <c r="M126" t="str">
        <f t="shared" si="25"/>
        <v>N/A</v>
      </c>
      <c r="N126" t="str">
        <f t="shared" si="26"/>
        <v>N/A</v>
      </c>
    </row>
    <row r="127" spans="1:14" x14ac:dyDescent="0.3">
      <c r="A127" s="1">
        <v>2</v>
      </c>
      <c r="B127" t="s">
        <v>215</v>
      </c>
      <c r="C127" t="s">
        <v>216</v>
      </c>
      <c r="I127" t="str">
        <f t="shared" si="21"/>
        <v>N/A</v>
      </c>
      <c r="J127">
        <f t="shared" si="22"/>
        <v>0.1</v>
      </c>
      <c r="K127" t="str">
        <f t="shared" si="23"/>
        <v>N/A</v>
      </c>
      <c r="L127" t="str">
        <f t="shared" si="24"/>
        <v>N/A</v>
      </c>
      <c r="M127" t="str">
        <f t="shared" si="25"/>
        <v>N/A</v>
      </c>
      <c r="N127" t="str">
        <f t="shared" si="26"/>
        <v>N/A</v>
      </c>
    </row>
    <row r="128" spans="1:14" x14ac:dyDescent="0.3">
      <c r="A128" s="1">
        <v>3</v>
      </c>
      <c r="B128" t="s">
        <v>217</v>
      </c>
      <c r="C128" t="s">
        <v>218</v>
      </c>
      <c r="I128" t="str">
        <f t="shared" si="21"/>
        <v>N/A</v>
      </c>
      <c r="J128">
        <f t="shared" si="22"/>
        <v>2.6000000000000003E-3</v>
      </c>
      <c r="K128" t="str">
        <f t="shared" si="23"/>
        <v>N/A</v>
      </c>
      <c r="L128" t="str">
        <f t="shared" si="24"/>
        <v>N/A</v>
      </c>
      <c r="M128" t="str">
        <f t="shared" si="25"/>
        <v>N/A</v>
      </c>
      <c r="N128" t="str">
        <f t="shared" si="26"/>
        <v>N/A</v>
      </c>
    </row>
    <row r="129" spans="1:60" x14ac:dyDescent="0.3">
      <c r="A129" s="1">
        <v>4</v>
      </c>
      <c r="B129" t="s">
        <v>219</v>
      </c>
      <c r="C129" t="s">
        <v>220</v>
      </c>
      <c r="I129" t="str">
        <f t="shared" si="21"/>
        <v>N/A</v>
      </c>
      <c r="J129">
        <f t="shared" si="22"/>
        <v>0.28999999999999998</v>
      </c>
      <c r="K129" t="str">
        <f t="shared" si="23"/>
        <v>N/A</v>
      </c>
      <c r="L129" t="str">
        <f t="shared" si="24"/>
        <v>N/A</v>
      </c>
      <c r="M129" t="str">
        <f t="shared" si="25"/>
        <v>N/A</v>
      </c>
      <c r="N129" t="str">
        <f t="shared" si="26"/>
        <v>N/A</v>
      </c>
    </row>
    <row r="130" spans="1:60" x14ac:dyDescent="0.3">
      <c r="A130" s="1">
        <v>5</v>
      </c>
      <c r="B130" t="s">
        <v>221</v>
      </c>
      <c r="C130" t="s">
        <v>222</v>
      </c>
      <c r="I130" t="str">
        <f t="shared" si="21"/>
        <v>N/A</v>
      </c>
      <c r="J130">
        <f t="shared" si="22"/>
        <v>5.33E-2</v>
      </c>
      <c r="K130" t="str">
        <f t="shared" si="23"/>
        <v>N/A</v>
      </c>
      <c r="L130" t="str">
        <f t="shared" si="24"/>
        <v>N/A</v>
      </c>
      <c r="M130" t="str">
        <f t="shared" si="25"/>
        <v>N/A</v>
      </c>
      <c r="N130" t="str">
        <f t="shared" si="26"/>
        <v>N/A</v>
      </c>
    </row>
    <row r="131" spans="1:60" x14ac:dyDescent="0.3">
      <c r="A131" s="1">
        <v>6</v>
      </c>
      <c r="B131" t="s">
        <v>223</v>
      </c>
      <c r="C131" t="s">
        <v>224</v>
      </c>
      <c r="I131" t="str">
        <f t="shared" si="21"/>
        <v>N/A</v>
      </c>
      <c r="J131" t="str">
        <f t="shared" si="22"/>
        <v>N/A</v>
      </c>
      <c r="K131" t="str">
        <f t="shared" si="23"/>
        <v>N/A</v>
      </c>
      <c r="L131" t="str">
        <f t="shared" si="24"/>
        <v>N/A</v>
      </c>
      <c r="M131" t="str">
        <f t="shared" si="25"/>
        <v>N/A</v>
      </c>
      <c r="N131" t="str">
        <f t="shared" si="26"/>
        <v>N/A</v>
      </c>
    </row>
    <row r="132" spans="1:60" x14ac:dyDescent="0.3">
      <c r="A132" s="1">
        <v>7</v>
      </c>
      <c r="B132" t="s">
        <v>225</v>
      </c>
      <c r="C132" t="s">
        <v>226</v>
      </c>
      <c r="I132" t="str">
        <f t="shared" si="21"/>
        <v>N/A</v>
      </c>
      <c r="J132" t="str">
        <f t="shared" si="22"/>
        <v>N/A</v>
      </c>
      <c r="K132" t="str">
        <f t="shared" si="23"/>
        <v>N/A</v>
      </c>
      <c r="L132" t="str">
        <f t="shared" si="24"/>
        <v>N/A</v>
      </c>
      <c r="M132" t="str">
        <f t="shared" si="25"/>
        <v>N/A</v>
      </c>
      <c r="N132" t="str">
        <f t="shared" si="26"/>
        <v>N/A</v>
      </c>
    </row>
    <row r="133" spans="1:60" x14ac:dyDescent="0.3">
      <c r="A133" s="1">
        <v>8</v>
      </c>
      <c r="B133" t="s">
        <v>227</v>
      </c>
      <c r="C133" t="s">
        <v>228</v>
      </c>
      <c r="I133" t="str">
        <f t="shared" si="21"/>
        <v>N/A</v>
      </c>
      <c r="J133">
        <f t="shared" si="22"/>
        <v>42796</v>
      </c>
      <c r="K133" t="str">
        <f t="shared" si="23"/>
        <v>N/A</v>
      </c>
      <c r="L133" t="str">
        <f t="shared" si="24"/>
        <v>N/A</v>
      </c>
      <c r="M133" t="str">
        <f t="shared" si="25"/>
        <v>N/A</v>
      </c>
      <c r="N133" t="str">
        <f t="shared" si="26"/>
        <v>N/A</v>
      </c>
    </row>
    <row r="134" spans="1:60" x14ac:dyDescent="0.3">
      <c r="A134" s="1">
        <v>9</v>
      </c>
      <c r="B134" t="s">
        <v>229</v>
      </c>
      <c r="C134" t="s">
        <v>230</v>
      </c>
      <c r="I134" t="str">
        <f t="shared" si="21"/>
        <v>N/A</v>
      </c>
      <c r="J134" t="str">
        <f t="shared" si="22"/>
        <v>N/A</v>
      </c>
      <c r="K134" t="str">
        <f t="shared" si="23"/>
        <v>N/A</v>
      </c>
      <c r="L134" t="str">
        <f t="shared" si="24"/>
        <v>N/A</v>
      </c>
      <c r="M134" t="str">
        <f t="shared" si="25"/>
        <v>N/A</v>
      </c>
      <c r="N134" t="str">
        <f t="shared" si="26"/>
        <v>N/A</v>
      </c>
    </row>
    <row r="135" spans="1:60" x14ac:dyDescent="0.3">
      <c r="I135" t="str">
        <f t="shared" si="21"/>
        <v>N/A</v>
      </c>
      <c r="J135" t="str">
        <f t="shared" si="22"/>
        <v>N/A</v>
      </c>
      <c r="K135" t="str">
        <f t="shared" si="23"/>
        <v>N/A</v>
      </c>
      <c r="L135" t="str">
        <f t="shared" si="24"/>
        <v>N/A</v>
      </c>
      <c r="M135" t="str">
        <f t="shared" si="25"/>
        <v>N/A</v>
      </c>
      <c r="N135" t="str">
        <f t="shared" si="26"/>
        <v>N/A</v>
      </c>
    </row>
    <row r="136" spans="1:60" x14ac:dyDescent="0.3">
      <c r="I136" t="str">
        <f t="shared" si="21"/>
        <v>N/A</v>
      </c>
      <c r="J136" t="str">
        <f t="shared" si="22"/>
        <v>N/A</v>
      </c>
      <c r="K136" t="str">
        <f t="shared" si="23"/>
        <v>N/A</v>
      </c>
      <c r="L136" t="str">
        <f t="shared" si="24"/>
        <v>N/A</v>
      </c>
      <c r="M136" t="str">
        <f t="shared" si="25"/>
        <v>N/A</v>
      </c>
      <c r="N136" t="str">
        <f t="shared" si="26"/>
        <v>N/A</v>
      </c>
    </row>
    <row r="137" spans="1:60" x14ac:dyDescent="0.3">
      <c r="B137" s="1" t="s">
        <v>231</v>
      </c>
      <c r="C137" s="1" t="s">
        <v>232</v>
      </c>
      <c r="D137" s="1" t="s">
        <v>233</v>
      </c>
      <c r="E137" s="1" t="s">
        <v>234</v>
      </c>
      <c r="F137" s="1" t="s">
        <v>235</v>
      </c>
      <c r="I137" t="str">
        <f t="shared" si="21"/>
        <v>N/A</v>
      </c>
      <c r="J137" t="str">
        <f t="shared" si="22"/>
        <v>N/A</v>
      </c>
      <c r="K137" t="str">
        <f t="shared" si="23"/>
        <v>N/A</v>
      </c>
      <c r="L137" t="str">
        <f t="shared" si="24"/>
        <v>N/A</v>
      </c>
      <c r="M137" t="str">
        <f t="shared" si="25"/>
        <v>N/A</v>
      </c>
      <c r="N137" t="str">
        <f t="shared" si="26"/>
        <v>N/A</v>
      </c>
    </row>
    <row r="138" spans="1:60" x14ac:dyDescent="0.3">
      <c r="A138" s="1">
        <v>0</v>
      </c>
      <c r="B138" t="s">
        <v>236</v>
      </c>
      <c r="C138" t="s">
        <v>237</v>
      </c>
      <c r="D138" t="s">
        <v>238</v>
      </c>
      <c r="F138">
        <v>45</v>
      </c>
      <c r="I138" t="str">
        <f t="shared" si="21"/>
        <v>N/A</v>
      </c>
      <c r="J138" t="str">
        <f t="shared" si="22"/>
        <v>N/A</v>
      </c>
      <c r="K138">
        <f t="shared" si="23"/>
        <v>1490000</v>
      </c>
      <c r="L138" t="str">
        <f t="shared" si="24"/>
        <v>N/A</v>
      </c>
      <c r="M138">
        <f t="shared" si="25"/>
        <v>45</v>
      </c>
      <c r="N138" t="str">
        <f t="shared" si="26"/>
        <v>N/A</v>
      </c>
    </row>
    <row r="139" spans="1:60" x14ac:dyDescent="0.3">
      <c r="A139" s="1">
        <v>1</v>
      </c>
      <c r="B139" t="s">
        <v>239</v>
      </c>
      <c r="C139" t="s">
        <v>240</v>
      </c>
      <c r="D139" t="s">
        <v>241</v>
      </c>
      <c r="F139">
        <v>45</v>
      </c>
      <c r="I139" t="str">
        <f t="shared" si="21"/>
        <v>N/A</v>
      </c>
      <c r="J139" t="str">
        <f t="shared" si="22"/>
        <v>N/A</v>
      </c>
      <c r="K139">
        <f t="shared" si="23"/>
        <v>1060000</v>
      </c>
      <c r="L139" t="str">
        <f t="shared" si="24"/>
        <v>N/A</v>
      </c>
      <c r="M139">
        <f t="shared" si="25"/>
        <v>45</v>
      </c>
      <c r="N139" t="str">
        <f t="shared" si="26"/>
        <v>N/A</v>
      </c>
    </row>
    <row r="140" spans="1:60" x14ac:dyDescent="0.3">
      <c r="A140" s="1">
        <v>2</v>
      </c>
      <c r="B140" t="s">
        <v>242</v>
      </c>
      <c r="C140" t="s">
        <v>243</v>
      </c>
      <c r="D140" t="s">
        <v>244</v>
      </c>
      <c r="F140">
        <v>44</v>
      </c>
      <c r="I140" t="str">
        <f t="shared" si="21"/>
        <v>N/A</v>
      </c>
      <c r="J140" t="str">
        <f t="shared" si="22"/>
        <v>N/A</v>
      </c>
      <c r="K140">
        <f t="shared" si="23"/>
        <v>1020000</v>
      </c>
      <c r="L140" t="str">
        <f t="shared" si="24"/>
        <v>N/A</v>
      </c>
      <c r="M140">
        <f t="shared" si="25"/>
        <v>44</v>
      </c>
      <c r="N140" t="str">
        <f t="shared" si="26"/>
        <v>N/A</v>
      </c>
    </row>
    <row r="141" spans="1:60" x14ac:dyDescent="0.3">
      <c r="A141" s="1">
        <v>3</v>
      </c>
      <c r="B141" t="s">
        <v>245</v>
      </c>
      <c r="C141" t="s">
        <v>246</v>
      </c>
      <c r="D141" t="s">
        <v>247</v>
      </c>
      <c r="F141">
        <v>40</v>
      </c>
      <c r="I141" t="str">
        <f t="shared" si="21"/>
        <v>N/A</v>
      </c>
      <c r="J141" t="str">
        <f t="shared" si="22"/>
        <v>N/A</v>
      </c>
      <c r="K141">
        <f t="shared" si="23"/>
        <v>1100000</v>
      </c>
      <c r="L141" t="str">
        <f t="shared" si="24"/>
        <v>N/A</v>
      </c>
      <c r="M141">
        <f t="shared" si="25"/>
        <v>40</v>
      </c>
      <c r="N141" t="str">
        <f t="shared" si="26"/>
        <v>N/A</v>
      </c>
    </row>
    <row r="142" spans="1:60" x14ac:dyDescent="0.3">
      <c r="A142" s="1">
        <v>4</v>
      </c>
      <c r="B142" t="s">
        <v>248</v>
      </c>
      <c r="C142" t="s">
        <v>249</v>
      </c>
      <c r="D142" t="s">
        <v>250</v>
      </c>
      <c r="F142">
        <v>46</v>
      </c>
      <c r="I142" t="str">
        <f t="shared" si="21"/>
        <v>N/A</v>
      </c>
      <c r="J142" t="str">
        <f t="shared" si="22"/>
        <v>N/A</v>
      </c>
      <c r="K142">
        <f t="shared" si="23"/>
        <v>1150000</v>
      </c>
      <c r="L142" t="str">
        <f t="shared" si="24"/>
        <v>N/A</v>
      </c>
      <c r="M142">
        <f t="shared" si="25"/>
        <v>46</v>
      </c>
      <c r="N142" t="str">
        <f t="shared" si="26"/>
        <v>N/A</v>
      </c>
    </row>
    <row r="143" spans="1:60" x14ac:dyDescent="0.3">
      <c r="I143" t="str">
        <f t="shared" si="21"/>
        <v>N/A</v>
      </c>
      <c r="J143" t="str">
        <f t="shared" si="22"/>
        <v>N/A</v>
      </c>
      <c r="K143" t="str">
        <f t="shared" si="23"/>
        <v>N/A</v>
      </c>
      <c r="L143" t="str">
        <f t="shared" si="24"/>
        <v>N/A</v>
      </c>
      <c r="M143" t="str">
        <f t="shared" si="25"/>
        <v>N/A</v>
      </c>
      <c r="N143" t="str">
        <f t="shared" si="26"/>
        <v>N/A</v>
      </c>
      <c r="V143" t="str">
        <f>"z-score"</f>
        <v>z-score</v>
      </c>
    </row>
    <row r="144" spans="1:60" x14ac:dyDescent="0.3">
      <c r="B144" s="1" t="s">
        <v>251</v>
      </c>
      <c r="C144" s="1" t="s">
        <v>252</v>
      </c>
      <c r="D144" s="1" t="s">
        <v>253</v>
      </c>
      <c r="E144" s="1" t="s">
        <v>254</v>
      </c>
      <c r="F144" s="1" t="s">
        <v>255</v>
      </c>
      <c r="G144" s="1" t="s">
        <v>256</v>
      </c>
      <c r="H144" s="1" t="s">
        <v>257</v>
      </c>
      <c r="I144" t="str">
        <f t="shared" si="21"/>
        <v>pos_trend</v>
      </c>
      <c r="J144">
        <f t="shared" si="22"/>
        <v>2012</v>
      </c>
      <c r="K144">
        <f t="shared" si="23"/>
        <v>2013</v>
      </c>
      <c r="L144">
        <f t="shared" si="24"/>
        <v>2014</v>
      </c>
      <c r="M144">
        <f t="shared" si="25"/>
        <v>2015</v>
      </c>
      <c r="N144">
        <f t="shared" si="26"/>
        <v>2016</v>
      </c>
      <c r="P144" t="str">
        <f>"Max"</f>
        <v>Max</v>
      </c>
      <c r="Q144" t="str">
        <f>"Max Year"</f>
        <v>Max Year</v>
      </c>
      <c r="R144" t="str">
        <f>"Min"</f>
        <v>Min</v>
      </c>
      <c r="S144" t="str">
        <f>"Min Year"</f>
        <v>Min Year</v>
      </c>
      <c r="T144" t="str">
        <f>"Average"</f>
        <v>Average</v>
      </c>
      <c r="U144" t="str">
        <f>"SD"</f>
        <v>SD</v>
      </c>
      <c r="V144">
        <f>J144</f>
        <v>2012</v>
      </c>
      <c r="W144">
        <f>K144</f>
        <v>2013</v>
      </c>
      <c r="X144">
        <f>L144</f>
        <v>2014</v>
      </c>
      <c r="Y144">
        <f>M144</f>
        <v>2015</v>
      </c>
      <c r="Z144">
        <f>N144</f>
        <v>2016</v>
      </c>
      <c r="AA144" t="str">
        <f>"Max z"</f>
        <v>Max z</v>
      </c>
      <c r="AB144" t="str">
        <f>"Max z Year"</f>
        <v>Max z Year</v>
      </c>
      <c r="AC144" t="str">
        <f>"Direction"</f>
        <v>Direction</v>
      </c>
      <c r="AE144" t="str">
        <f>"Trendline"</f>
        <v>Trendline</v>
      </c>
      <c r="AF144" t="str">
        <f>"Correlation"</f>
        <v>Correlation</v>
      </c>
      <c r="AZ144" t="str">
        <f>"Max/Min inequality check"</f>
        <v>Max/Min inequality check</v>
      </c>
      <c r="BA144" t="str">
        <f>"If most recent year is max"</f>
        <v>If most recent year is max</v>
      </c>
      <c r="BC144" t="str">
        <f>"If most recent year is min"</f>
        <v>If most recent year is min</v>
      </c>
      <c r="BE144" t="str">
        <f>"Trend direction"</f>
        <v>Trend direction</v>
      </c>
      <c r="BF144" t="str">
        <f>"If trend matched by max or min in most recent year"</f>
        <v>If trend matched by max or min in most recent year</v>
      </c>
      <c r="BG144" t="str">
        <f>"If 5 years of increasing"</f>
        <v>If 5 years of increasing</v>
      </c>
      <c r="BH144" t="str">
        <f>"If correlation &gt; .8"</f>
        <v>If correlation &gt; .8</v>
      </c>
    </row>
    <row r="145" spans="1:60" x14ac:dyDescent="0.3">
      <c r="A145" s="1">
        <v>0</v>
      </c>
      <c r="B145" t="s">
        <v>258</v>
      </c>
      <c r="C145" t="s">
        <v>259</v>
      </c>
      <c r="D145" t="s">
        <v>260</v>
      </c>
      <c r="E145" t="s">
        <v>261</v>
      </c>
      <c r="F145" t="s">
        <v>262</v>
      </c>
      <c r="G145" t="s">
        <v>64</v>
      </c>
      <c r="I145" t="str">
        <f t="shared" si="21"/>
        <v>pos_trend</v>
      </c>
      <c r="J145">
        <f t="shared" si="22"/>
        <v>2220000000</v>
      </c>
      <c r="K145">
        <f t="shared" si="23"/>
        <v>2230000000</v>
      </c>
      <c r="L145">
        <f t="shared" si="24"/>
        <v>2700000000</v>
      </c>
      <c r="M145">
        <f t="shared" si="25"/>
        <v>3180000000</v>
      </c>
      <c r="N145">
        <f t="shared" si="26"/>
        <v>3210000000</v>
      </c>
      <c r="P145">
        <f t="shared" ref="P145:P208" si="27">MAX(J145:N145)</f>
        <v>3210000000</v>
      </c>
      <c r="Q145">
        <f>IFERROR(J144+MATCH(P145,J145:N145,0)-1,"")</f>
        <v>2016</v>
      </c>
      <c r="R145">
        <f t="shared" ref="R145:R208" si="28">IF(Q145="","",MIN(J145:N145))</f>
        <v>2220000000</v>
      </c>
      <c r="S145">
        <f>IFERROR(J144+MATCH(R145,J145:N145,0)-1,"")</f>
        <v>2012</v>
      </c>
      <c r="T145">
        <f t="shared" ref="T145:T208" si="29">IFERROR(AVERAGE(J145:N145),"")</f>
        <v>2708000000</v>
      </c>
      <c r="U145">
        <f t="shared" ref="U145:U208" si="30">IFERROR(STDEV(J145:N145),"")</f>
        <v>485149461.50645167</v>
      </c>
      <c r="V145">
        <f t="shared" ref="V145:V208" si="31">IFERROR(IF(C145="-","",IF(ISBLANK(B145),"",IF(OR(ISNUMBER(FIND("Growth",B145)),ISNUMBER(FIND("Margin",B145))),"",(J145-T145)/U145))),"")</f>
        <v>-1.005875588287158</v>
      </c>
      <c r="W145">
        <f t="shared" ref="W145:W208" si="32">IFERROR(IF(OR(D145="-",ISBLANK(D145)),"",(K145-T145)/U145),"")</f>
        <v>-0.98526338360914245</v>
      </c>
      <c r="X145">
        <f t="shared" ref="X145:X208" si="33">IFERROR(IF(OR(E145="-",ISBLANK(E145)),"",(L145-T145)/U145),"")</f>
        <v>-1.6489763742412428E-2</v>
      </c>
      <c r="Y145">
        <f t="shared" ref="Y145:Y208" si="34">IFERROR(IF(OR(F145="-",ISBLANK(F145)),"",(M145-T145)/U145),"")</f>
        <v>0.97289606080233315</v>
      </c>
      <c r="Z145">
        <f t="shared" ref="Z145:Z208" si="35">IFERROR(IF(OR(G145="-",ISBLANK(G145)),"",(N145-T145)/U145),"")</f>
        <v>1.0347326748363799</v>
      </c>
      <c r="AA145">
        <f t="shared" ref="AA145:AA208" si="36">IF(MAX(MAX(V145:Z145),ABS(MIN(V145:Z145)))=ABS(MIN(V145:Z145)),MIN(V145:Z145),MAX(V145:Z145))</f>
        <v>1.0347326748363799</v>
      </c>
      <c r="AB145">
        <f>IFERROR(V144+MATCH(AA145,V145:Z145,0)-1,"")</f>
        <v>2016</v>
      </c>
      <c r="AC145" t="str">
        <f t="shared" ref="AC145:AC208" si="37">IF(AB145&lt;&gt;"",IF(S145=AB145,"Low",IF(AB145=Q145,"High","")),"")</f>
        <v>High</v>
      </c>
      <c r="AE145">
        <f>IF(ISNUMBER(MATCH("N/A",J145:N145,0)),"",IFERROR((5 * SUMPRODUCT(J144:N144,J145:N145) - PRODUCT(SUM(J144:N144),SUM(J145:N145))) / ((5 * SUM((J144^2)+(K144^2)+(L144^2)+(M144^2)+(N144^2))) - SUM(J144:N144)^2),""))</f>
        <v>293000000</v>
      </c>
      <c r="AF145">
        <f>IFERROR(CORREL(J144:N144,J145:N145),"")</f>
        <v>0.95490918566856298</v>
      </c>
      <c r="AZ145">
        <f t="shared" ref="AZ145:AZ208" si="38">IF(Q145=S145,0,1)</f>
        <v>1</v>
      </c>
      <c r="BA145" t="str">
        <f>IF(AZ145=1,IF(Q145="","",IF(Q145=N144,"Yes","No")),"")</f>
        <v>Yes</v>
      </c>
      <c r="BB145">
        <f t="shared" ref="BB145:BB208" si="39">IF(BA145="Yes",P145,"")</f>
        <v>3210000000</v>
      </c>
      <c r="BC145" t="str">
        <f>IF(AZ145=1,IF(S145="","",IF(S145=N144,"Yes","No")),"")</f>
        <v>No</v>
      </c>
      <c r="BD145" t="str">
        <f t="shared" ref="BD145:BD208" si="40">IF(BC145="Yes",R145,"")</f>
        <v/>
      </c>
      <c r="BE145" t="str">
        <f t="shared" ref="BE145:BE208" si="41">IFERROR(IF(SIGN(AE145)=1,"Increasing",IF(SIGN(AE145)=-1,"Decreasing","")),"")</f>
        <v>Increasing</v>
      </c>
      <c r="BF145" t="str">
        <f t="shared" ref="BF145:BF208" si="42">IF(OR(AND(BE145="Increasing",BA145="Yes"),AND(BE145="Decreasing",BC145="Yes")),"Yes","No")</f>
        <v>Yes</v>
      </c>
      <c r="BG145" t="str">
        <f t="shared" ref="BG145:BG208" si="43">IF(I145="pos_trend","Yes","No")</f>
        <v>Yes</v>
      </c>
      <c r="BH145" t="str">
        <f t="shared" ref="BH145:BH208" si="44">IF(AF145&lt;&gt;"",IF(ABS(AF145)&gt;0.8,"Yes","No"),"")</f>
        <v>Yes</v>
      </c>
    </row>
    <row r="146" spans="1:60" x14ac:dyDescent="0.3">
      <c r="A146" s="1">
        <v>1</v>
      </c>
      <c r="B146" t="s">
        <v>263</v>
      </c>
      <c r="C146" t="s">
        <v>264</v>
      </c>
      <c r="D146" t="s">
        <v>265</v>
      </c>
      <c r="E146" t="s">
        <v>266</v>
      </c>
      <c r="F146" t="s">
        <v>267</v>
      </c>
      <c r="G146" t="s">
        <v>268</v>
      </c>
      <c r="I146" t="str">
        <f t="shared" si="21"/>
        <v>N/A</v>
      </c>
      <c r="J146" t="str">
        <f t="shared" si="22"/>
        <v>N/A</v>
      </c>
      <c r="K146">
        <f t="shared" si="23"/>
        <v>5.4000000000000003E-3</v>
      </c>
      <c r="L146">
        <f t="shared" si="24"/>
        <v>0.20600000000000002</v>
      </c>
      <c r="M146">
        <f t="shared" si="25"/>
        <v>0.17989999999999998</v>
      </c>
      <c r="N146">
        <f t="shared" si="26"/>
        <v>8.8000000000000005E-3</v>
      </c>
      <c r="P146">
        <f t="shared" si="27"/>
        <v>0.20600000000000002</v>
      </c>
      <c r="Q146">
        <f>IFERROR(J144+MATCH(P146,J146:N146,0)-1,"")</f>
        <v>2014</v>
      </c>
      <c r="R146">
        <f t="shared" si="28"/>
        <v>5.4000000000000003E-3</v>
      </c>
      <c r="S146">
        <f>IFERROR(J144+MATCH(R146,J146:N146,0)-1,"")</f>
        <v>2013</v>
      </c>
      <c r="T146">
        <f t="shared" si="29"/>
        <v>0.10002499999999999</v>
      </c>
      <c r="U146">
        <f t="shared" si="30"/>
        <v>0.10783723460227765</v>
      </c>
      <c r="V146" t="str">
        <f t="shared" si="31"/>
        <v/>
      </c>
      <c r="W146">
        <f t="shared" si="32"/>
        <v>-0.8774798458899038</v>
      </c>
      <c r="X146">
        <f t="shared" si="33"/>
        <v>0.98273106122253728</v>
      </c>
      <c r="Y146">
        <f t="shared" si="34"/>
        <v>0.74069963213163603</v>
      </c>
      <c r="Z146">
        <f t="shared" si="35"/>
        <v>-0.84595084746426918</v>
      </c>
      <c r="AA146">
        <f t="shared" si="36"/>
        <v>0.98273106122253728</v>
      </c>
      <c r="AB146">
        <f>IFERROR(V144+MATCH(AA146,V146:Z146,0)-1,"")</f>
        <v>2014</v>
      </c>
      <c r="AC146" t="str">
        <f t="shared" si="37"/>
        <v>High</v>
      </c>
      <c r="AE146" t="str">
        <f>IF(ISNUMBER(MATCH("N/A",J146:N146,0)),"",IFERROR((5 * SUMPRODUCT(J144:N144,J146:N146) - PRODUCT(SUM(J144:N144),SUM(J146:N146))) / ((5 * SUM((J144^2)+(K144^2)+(L144^2)+(M144^2)+(N144^2))) - SUM(J144:N144)^2),""))</f>
        <v/>
      </c>
      <c r="AF146">
        <f>IFERROR(CORREL(J144:N144,J146:N146),"")</f>
        <v>-1.9034994555086442E-2</v>
      </c>
      <c r="AZ146">
        <f t="shared" si="38"/>
        <v>1</v>
      </c>
      <c r="BA146" t="str">
        <f>IF(AZ146=1,IF(Q146="","",IF(Q146=N144,"Yes","No")),"")</f>
        <v>No</v>
      </c>
      <c r="BB146" t="str">
        <f t="shared" si="39"/>
        <v/>
      </c>
      <c r="BC146" t="str">
        <f>IF(AZ146=1,IF(S146="","",IF(S146=N144,"Yes","No")),"")</f>
        <v>No</v>
      </c>
      <c r="BD146" t="str">
        <f t="shared" si="40"/>
        <v/>
      </c>
      <c r="BE146" t="str">
        <f t="shared" si="41"/>
        <v/>
      </c>
      <c r="BF146" t="str">
        <f t="shared" si="42"/>
        <v>No</v>
      </c>
      <c r="BG146" t="str">
        <f t="shared" si="43"/>
        <v>No</v>
      </c>
      <c r="BH146" t="str">
        <f t="shared" si="44"/>
        <v>No</v>
      </c>
    </row>
    <row r="147" spans="1:60" x14ac:dyDescent="0.3">
      <c r="A147" s="1">
        <v>2</v>
      </c>
      <c r="B147" t="s">
        <v>269</v>
      </c>
      <c r="C147" t="s">
        <v>270</v>
      </c>
      <c r="D147" t="s">
        <v>271</v>
      </c>
      <c r="E147" t="s">
        <v>272</v>
      </c>
      <c r="F147" t="s">
        <v>273</v>
      </c>
      <c r="G147" t="s">
        <v>274</v>
      </c>
      <c r="I147" t="str">
        <f t="shared" si="21"/>
        <v>N/A</v>
      </c>
      <c r="J147">
        <f t="shared" si="22"/>
        <v>1070000000.0000001</v>
      </c>
      <c r="K147">
        <f t="shared" si="23"/>
        <v>1050000000</v>
      </c>
      <c r="L147">
        <f t="shared" si="24"/>
        <v>1370000000</v>
      </c>
      <c r="M147">
        <f t="shared" si="25"/>
        <v>1670000000</v>
      </c>
      <c r="N147">
        <f t="shared" si="26"/>
        <v>1680000000</v>
      </c>
      <c r="P147">
        <f t="shared" si="27"/>
        <v>1680000000</v>
      </c>
      <c r="Q147">
        <f>IFERROR(J144+MATCH(P147,J147:N147,0)-1,"")</f>
        <v>2016</v>
      </c>
      <c r="R147">
        <f t="shared" si="28"/>
        <v>1050000000</v>
      </c>
      <c r="S147">
        <f>IFERROR(J144+MATCH(R147,J147:N147,0)-1,"")</f>
        <v>2013</v>
      </c>
      <c r="T147">
        <f t="shared" si="29"/>
        <v>1368000000</v>
      </c>
      <c r="U147">
        <f t="shared" si="30"/>
        <v>307603641.07077795</v>
      </c>
      <c r="V147">
        <f t="shared" si="31"/>
        <v>-0.96877916972195943</v>
      </c>
      <c r="W147">
        <f t="shared" si="32"/>
        <v>-1.0337979059449101</v>
      </c>
      <c r="X147">
        <f t="shared" si="33"/>
        <v>6.5018736222950324E-3</v>
      </c>
      <c r="Y147">
        <f t="shared" si="34"/>
        <v>0.98178291696654985</v>
      </c>
      <c r="Z147">
        <f t="shared" si="35"/>
        <v>1.0142922850780249</v>
      </c>
      <c r="AA147">
        <f t="shared" si="36"/>
        <v>-1.0337979059449101</v>
      </c>
      <c r="AB147">
        <f>IFERROR(V144+MATCH(AA147,V147:Z147,0)-1,"")</f>
        <v>2013</v>
      </c>
      <c r="AC147" t="str">
        <f t="shared" si="37"/>
        <v>Low</v>
      </c>
      <c r="AE147">
        <f>IF(ISNUMBER(MATCH("N/A",J147:N147,0)),"",IFERROR((5 * SUMPRODUCT(J144:N144,J147:N147) - PRODUCT(SUM(J144:N144),SUM(J147:N147))) / ((5 * SUM((J144^2)+(K144^2)+(L144^2)+(M144^2)+(N144^2))) - SUM(J144:N144)^2),""))</f>
        <v>184000000</v>
      </c>
      <c r="AF147">
        <f>IFERROR(CORREL(J144:N144,J147:N147),"")</f>
        <v>0.94579356643099532</v>
      </c>
      <c r="AZ147">
        <f t="shared" si="38"/>
        <v>1</v>
      </c>
      <c r="BA147" t="str">
        <f>IF(AZ147=1,IF(Q147="","",IF(Q147=N144,"Yes","No")),"")</f>
        <v>Yes</v>
      </c>
      <c r="BB147">
        <f t="shared" si="39"/>
        <v>1680000000</v>
      </c>
      <c r="BC147" t="str">
        <f>IF(AZ147=1,IF(S147="","",IF(S147=N144,"Yes","No")),"")</f>
        <v>No</v>
      </c>
      <c r="BD147" t="str">
        <f t="shared" si="40"/>
        <v/>
      </c>
      <c r="BE147" t="str">
        <f t="shared" si="41"/>
        <v>Increasing</v>
      </c>
      <c r="BF147" t="str">
        <f t="shared" si="42"/>
        <v>Yes</v>
      </c>
      <c r="BG147" t="str">
        <f t="shared" si="43"/>
        <v>No</v>
      </c>
      <c r="BH147" t="str">
        <f t="shared" si="44"/>
        <v>Yes</v>
      </c>
    </row>
    <row r="148" spans="1:60" x14ac:dyDescent="0.3">
      <c r="A148" s="1">
        <v>3</v>
      </c>
      <c r="B148" t="s">
        <v>275</v>
      </c>
      <c r="C148" t="s">
        <v>276</v>
      </c>
      <c r="D148" t="s">
        <v>277</v>
      </c>
      <c r="E148" t="s">
        <v>278</v>
      </c>
      <c r="F148" t="s">
        <v>279</v>
      </c>
      <c r="G148" t="s">
        <v>280</v>
      </c>
      <c r="I148" t="str">
        <f t="shared" si="21"/>
        <v>N/A</v>
      </c>
      <c r="J148">
        <f t="shared" si="22"/>
        <v>1020000000</v>
      </c>
      <c r="K148">
        <f t="shared" si="23"/>
        <v>989990000</v>
      </c>
      <c r="L148">
        <f t="shared" si="24"/>
        <v>1290000000</v>
      </c>
      <c r="M148">
        <f t="shared" si="25"/>
        <v>1590000000</v>
      </c>
      <c r="N148">
        <f t="shared" si="26"/>
        <v>1600000000</v>
      </c>
      <c r="P148">
        <f t="shared" si="27"/>
        <v>1600000000</v>
      </c>
      <c r="Q148">
        <f>IFERROR(J144+MATCH(P148,J148:N148,0)-1,"")</f>
        <v>2016</v>
      </c>
      <c r="R148">
        <f t="shared" si="28"/>
        <v>989990000</v>
      </c>
      <c r="S148">
        <f>IFERROR(J144+MATCH(R148,J148:N148,0)-1,"")</f>
        <v>2013</v>
      </c>
      <c r="T148">
        <f t="shared" si="29"/>
        <v>1297998000</v>
      </c>
      <c r="U148">
        <f t="shared" si="30"/>
        <v>295248268.44538772</v>
      </c>
      <c r="V148">
        <f t="shared" si="31"/>
        <v>-0.94157368462745616</v>
      </c>
      <c r="W148">
        <f t="shared" si="32"/>
        <v>-1.0432169564339797</v>
      </c>
      <c r="X148">
        <f t="shared" si="33"/>
        <v>-2.7089066574760949E-2</v>
      </c>
      <c r="Y148">
        <f t="shared" si="34"/>
        <v>0.98900495348378925</v>
      </c>
      <c r="Z148">
        <f t="shared" si="35"/>
        <v>1.0228747541524075</v>
      </c>
      <c r="AA148">
        <f t="shared" si="36"/>
        <v>-1.0432169564339797</v>
      </c>
      <c r="AB148">
        <f>IFERROR(V144+MATCH(AA148,V148:Z148,0)-1,"")</f>
        <v>2013</v>
      </c>
      <c r="AC148" t="str">
        <f t="shared" si="37"/>
        <v>Low</v>
      </c>
      <c r="AE148">
        <f>IF(ISNUMBER(MATCH("N/A",J148:N148,0)),"",IFERROR((5 * SUMPRODUCT(J144:N144,J148:N148) - PRODUCT(SUM(J144:N144),SUM(J148:N148))) / ((5 * SUM((J144^2)+(K144^2)+(L144^2)+(M144^2)+(N144^2))) - SUM(J144:N144)^2),""))</f>
        <v>176001000</v>
      </c>
      <c r="AF148">
        <f>IFERROR(CORREL(J144:N144,J148:N148),"")</f>
        <v>0.94253563856250366</v>
      </c>
      <c r="AZ148">
        <f t="shared" si="38"/>
        <v>1</v>
      </c>
      <c r="BA148" t="str">
        <f>IF(AZ148=1,IF(Q148="","",IF(Q148=N144,"Yes","No")),"")</f>
        <v>Yes</v>
      </c>
      <c r="BB148">
        <f t="shared" si="39"/>
        <v>1600000000</v>
      </c>
      <c r="BC148" t="str">
        <f>IF(AZ148=1,IF(S148="","",IF(S148=N144,"Yes","No")),"")</f>
        <v>No</v>
      </c>
      <c r="BD148" t="str">
        <f t="shared" si="40"/>
        <v/>
      </c>
      <c r="BE148" t="str">
        <f t="shared" si="41"/>
        <v>Increasing</v>
      </c>
      <c r="BF148" t="str">
        <f t="shared" si="42"/>
        <v>Yes</v>
      </c>
      <c r="BG148" t="str">
        <f t="shared" si="43"/>
        <v>No</v>
      </c>
      <c r="BH148" t="str">
        <f t="shared" si="44"/>
        <v>Yes</v>
      </c>
    </row>
    <row r="149" spans="1:60" x14ac:dyDescent="0.3">
      <c r="A149" s="1">
        <v>4</v>
      </c>
      <c r="B149" t="s">
        <v>281</v>
      </c>
      <c r="C149" t="s">
        <v>282</v>
      </c>
      <c r="D149" t="s">
        <v>283</v>
      </c>
      <c r="E149" t="s">
        <v>284</v>
      </c>
      <c r="F149" t="s">
        <v>285</v>
      </c>
      <c r="G149" t="s">
        <v>286</v>
      </c>
      <c r="I149" t="str">
        <f t="shared" si="21"/>
        <v>N/A</v>
      </c>
      <c r="J149">
        <f t="shared" si="22"/>
        <v>56780000</v>
      </c>
      <c r="K149">
        <f t="shared" si="23"/>
        <v>57020000</v>
      </c>
      <c r="L149">
        <f t="shared" si="24"/>
        <v>85600000</v>
      </c>
      <c r="M149">
        <f t="shared" si="25"/>
        <v>80200000</v>
      </c>
      <c r="N149">
        <f t="shared" si="26"/>
        <v>82380000</v>
      </c>
      <c r="P149">
        <f t="shared" si="27"/>
        <v>85600000</v>
      </c>
      <c r="Q149">
        <f>IFERROR(J144+MATCH(P149,J149:N149,0)-1,"")</f>
        <v>2014</v>
      </c>
      <c r="R149">
        <f t="shared" si="28"/>
        <v>56780000</v>
      </c>
      <c r="S149">
        <f>IFERROR(J144+MATCH(R149,J149:N149,0)-1,"")</f>
        <v>2012</v>
      </c>
      <c r="T149">
        <f t="shared" si="29"/>
        <v>72396000</v>
      </c>
      <c r="U149">
        <f t="shared" si="30"/>
        <v>14275933.594690051</v>
      </c>
      <c r="V149">
        <f t="shared" si="31"/>
        <v>-1.0938689155718957</v>
      </c>
      <c r="W149">
        <f t="shared" si="32"/>
        <v>-1.077057405598967</v>
      </c>
      <c r="X149">
        <f t="shared" si="33"/>
        <v>0.92491324034396194</v>
      </c>
      <c r="Y149">
        <f t="shared" si="34"/>
        <v>0.54665426595306565</v>
      </c>
      <c r="Z149">
        <f t="shared" si="35"/>
        <v>0.69935881487383489</v>
      </c>
      <c r="AA149">
        <f t="shared" si="36"/>
        <v>-1.0938689155718957</v>
      </c>
      <c r="AB149">
        <f>IFERROR(V144+MATCH(AA149,V149:Z149,0)-1,"")</f>
        <v>2012</v>
      </c>
      <c r="AC149" t="str">
        <f t="shared" si="37"/>
        <v>Low</v>
      </c>
      <c r="AE149">
        <f>IF(ISNUMBER(MATCH("N/A",J149:N149,0)),"",IFERROR((5 * SUMPRODUCT(J144:N144,J149:N149) - PRODUCT(SUM(J144:N144),SUM(J149:N149))) / ((5 * SUM((J144^2)+(K144^2)+(L144^2)+(M144^2)+(N144^2))) - SUM(J144:N144)^2),""))</f>
        <v>7438000</v>
      </c>
      <c r="AF149">
        <f>IFERROR(CORREL(J144:N144,J149:N149),"")</f>
        <v>0.82379975643348025</v>
      </c>
      <c r="AZ149">
        <f t="shared" si="38"/>
        <v>1</v>
      </c>
      <c r="BA149" t="str">
        <f>IF(AZ149=1,IF(Q149="","",IF(Q149=N144,"Yes","No")),"")</f>
        <v>No</v>
      </c>
      <c r="BB149" t="str">
        <f t="shared" si="39"/>
        <v/>
      </c>
      <c r="BC149" t="str">
        <f>IF(AZ149=1,IF(S149="","",IF(S149=N144,"Yes","No")),"")</f>
        <v>No</v>
      </c>
      <c r="BD149" t="str">
        <f t="shared" si="40"/>
        <v/>
      </c>
      <c r="BE149" t="str">
        <f t="shared" si="41"/>
        <v>Increasing</v>
      </c>
      <c r="BF149" t="str">
        <f t="shared" si="42"/>
        <v>No</v>
      </c>
      <c r="BG149" t="str">
        <f t="shared" si="43"/>
        <v>No</v>
      </c>
      <c r="BH149" t="str">
        <f t="shared" si="44"/>
        <v>Yes</v>
      </c>
    </row>
    <row r="150" spans="1:60" x14ac:dyDescent="0.3">
      <c r="A150" s="1">
        <v>5</v>
      </c>
      <c r="B150" t="s">
        <v>287</v>
      </c>
      <c r="C150" t="s">
        <v>288</v>
      </c>
      <c r="D150" t="s">
        <v>289</v>
      </c>
      <c r="E150" t="s">
        <v>290</v>
      </c>
      <c r="F150" t="s">
        <v>291</v>
      </c>
      <c r="G150" t="s">
        <v>292</v>
      </c>
      <c r="I150" t="str">
        <f t="shared" si="21"/>
        <v>N/A</v>
      </c>
      <c r="J150">
        <f t="shared" si="22"/>
        <v>53080000</v>
      </c>
      <c r="K150">
        <f t="shared" si="23"/>
        <v>53320000</v>
      </c>
      <c r="L150">
        <f t="shared" si="24"/>
        <v>53700000</v>
      </c>
      <c r="M150">
        <f t="shared" si="25"/>
        <v>52000000</v>
      </c>
      <c r="N150">
        <f t="shared" si="26"/>
        <v>53580000</v>
      </c>
      <c r="P150">
        <f t="shared" si="27"/>
        <v>53700000</v>
      </c>
      <c r="Q150">
        <f>IFERROR(J144+MATCH(P150,J150:N150,0)-1,"")</f>
        <v>2014</v>
      </c>
      <c r="R150">
        <f t="shared" si="28"/>
        <v>52000000</v>
      </c>
      <c r="S150">
        <f>IFERROR(J144+MATCH(R150,J150:N150,0)-1,"")</f>
        <v>2015</v>
      </c>
      <c r="T150">
        <f t="shared" si="29"/>
        <v>53136000</v>
      </c>
      <c r="U150">
        <f t="shared" si="30"/>
        <v>678734.11583623814</v>
      </c>
      <c r="V150">
        <f t="shared" si="31"/>
        <v>-8.2506534876333554E-2</v>
      </c>
      <c r="W150">
        <f t="shared" si="32"/>
        <v>0.27109290030795308</v>
      </c>
      <c r="X150">
        <f t="shared" si="33"/>
        <v>0.83095867268307366</v>
      </c>
      <c r="Y150">
        <f t="shared" si="34"/>
        <v>-1.6737039932056235</v>
      </c>
      <c r="Z150">
        <f t="shared" si="35"/>
        <v>0.65415895509093036</v>
      </c>
      <c r="AA150">
        <f t="shared" si="36"/>
        <v>-1.6737039932056235</v>
      </c>
      <c r="AB150">
        <f>IFERROR(V144+MATCH(AA150,V150:Z150,0)-1,"")</f>
        <v>2015</v>
      </c>
      <c r="AC150" t="str">
        <f t="shared" si="37"/>
        <v>Low</v>
      </c>
      <c r="AE150">
        <f>IF(ISNUMBER(MATCH("N/A",J150:N150,0)),"",IFERROR((5 * SUMPRODUCT(J144:N144,J150:N150) - PRODUCT(SUM(J144:N144),SUM(J150:N150))) / ((5 * SUM((J144^2)+(K144^2)+(L144^2)+(M144^2)+(N144^2))) - SUM(J144:N144)^2),""))</f>
        <v>-32000</v>
      </c>
      <c r="AF150">
        <f>IFERROR(CORREL(J144:N144,J150:N150),"")</f>
        <v>-7.4545306302095105E-2</v>
      </c>
      <c r="AZ150">
        <f t="shared" si="38"/>
        <v>1</v>
      </c>
      <c r="BA150" t="str">
        <f>IF(AZ150=1,IF(Q150="","",IF(Q150=N144,"Yes","No")),"")</f>
        <v>No</v>
      </c>
      <c r="BB150" t="str">
        <f t="shared" si="39"/>
        <v/>
      </c>
      <c r="BC150" t="str">
        <f>IF(AZ150=1,IF(S150="","",IF(S150=N144,"Yes","No")),"")</f>
        <v>No</v>
      </c>
      <c r="BD150" t="str">
        <f t="shared" si="40"/>
        <v/>
      </c>
      <c r="BE150" t="str">
        <f t="shared" si="41"/>
        <v>Decreasing</v>
      </c>
      <c r="BF150" t="str">
        <f t="shared" si="42"/>
        <v>No</v>
      </c>
      <c r="BG150" t="str">
        <f t="shared" si="43"/>
        <v>No</v>
      </c>
      <c r="BH150" t="str">
        <f t="shared" si="44"/>
        <v>No</v>
      </c>
    </row>
    <row r="151" spans="1:60" x14ac:dyDescent="0.3">
      <c r="A151" s="1">
        <v>6</v>
      </c>
      <c r="B151" t="s">
        <v>293</v>
      </c>
      <c r="C151" t="s">
        <v>294</v>
      </c>
      <c r="D151" t="s">
        <v>294</v>
      </c>
      <c r="E151" t="s">
        <v>295</v>
      </c>
      <c r="F151" t="s">
        <v>296</v>
      </c>
      <c r="G151" t="s">
        <v>297</v>
      </c>
      <c r="I151" t="str">
        <f t="shared" si="21"/>
        <v>N/A</v>
      </c>
      <c r="J151">
        <f t="shared" si="22"/>
        <v>3700000</v>
      </c>
      <c r="K151">
        <f t="shared" si="23"/>
        <v>3700000</v>
      </c>
      <c r="L151">
        <f t="shared" si="24"/>
        <v>31900000</v>
      </c>
      <c r="M151">
        <f t="shared" si="25"/>
        <v>28200000</v>
      </c>
      <c r="N151">
        <f t="shared" si="26"/>
        <v>28800000</v>
      </c>
      <c r="P151">
        <f t="shared" si="27"/>
        <v>31900000</v>
      </c>
      <c r="Q151">
        <f>IFERROR(J144+MATCH(P151,J151:N151,0)-1,"")</f>
        <v>2014</v>
      </c>
      <c r="R151">
        <f t="shared" si="28"/>
        <v>3700000</v>
      </c>
      <c r="S151">
        <f>IFERROR(J144+MATCH(R151,J151:N151,0)-1,"")</f>
        <v>2012</v>
      </c>
      <c r="T151">
        <f t="shared" si="29"/>
        <v>19260000</v>
      </c>
      <c r="U151">
        <f t="shared" si="30"/>
        <v>14273506.927171052</v>
      </c>
      <c r="V151">
        <f t="shared" si="31"/>
        <v>-1.0901315338545134</v>
      </c>
      <c r="W151">
        <f t="shared" si="32"/>
        <v>-1.0901315338545134</v>
      </c>
      <c r="X151">
        <f t="shared" si="33"/>
        <v>0.88555672158875631</v>
      </c>
      <c r="Y151">
        <f t="shared" si="34"/>
        <v>0.62633521289584504</v>
      </c>
      <c r="Z151">
        <f t="shared" si="35"/>
        <v>0.66837113322442532</v>
      </c>
      <c r="AA151">
        <f t="shared" si="36"/>
        <v>-1.0901315338545134</v>
      </c>
      <c r="AB151">
        <f>IFERROR(V144+MATCH(AA151,V151:Z151,0)-1,"")</f>
        <v>2012</v>
      </c>
      <c r="AC151" t="str">
        <f t="shared" si="37"/>
        <v>Low</v>
      </c>
      <c r="AE151">
        <f>IF(ISNUMBER(MATCH("N/A",J151:N151,0)),"",IFERROR((5 * SUMPRODUCT(J144:N144,J151:N151) - PRODUCT(SUM(J144:N144),SUM(J151:N151))) / ((5 * SUM((J144^2)+(K144^2)+(L144^2)+(M144^2)+(N144^2))) - SUM(J144:N144)^2),""))</f>
        <v>7470000</v>
      </c>
      <c r="AF151">
        <f>IFERROR(CORREL(J144:N144,J151:N151),"")</f>
        <v>0.82748459232855165</v>
      </c>
      <c r="AZ151">
        <f t="shared" si="38"/>
        <v>1</v>
      </c>
      <c r="BA151" t="str">
        <f>IF(AZ151=1,IF(Q151="","",IF(Q151=N144,"Yes","No")),"")</f>
        <v>No</v>
      </c>
      <c r="BB151" t="str">
        <f t="shared" si="39"/>
        <v/>
      </c>
      <c r="BC151" t="str">
        <f>IF(AZ151=1,IF(S151="","",IF(S151=N144,"Yes","No")),"")</f>
        <v>No</v>
      </c>
      <c r="BD151" t="str">
        <f t="shared" si="40"/>
        <v/>
      </c>
      <c r="BE151" t="str">
        <f t="shared" si="41"/>
        <v>Increasing</v>
      </c>
      <c r="BF151" t="str">
        <f t="shared" si="42"/>
        <v>No</v>
      </c>
      <c r="BG151" t="str">
        <f t="shared" si="43"/>
        <v>No</v>
      </c>
      <c r="BH151" t="str">
        <f t="shared" si="44"/>
        <v>Yes</v>
      </c>
    </row>
    <row r="152" spans="1:60" x14ac:dyDescent="0.3">
      <c r="A152" s="1">
        <v>7</v>
      </c>
      <c r="B152" t="s">
        <v>298</v>
      </c>
      <c r="C152" t="s">
        <v>264</v>
      </c>
      <c r="D152" t="s">
        <v>299</v>
      </c>
      <c r="E152" t="s">
        <v>300</v>
      </c>
      <c r="F152" t="s">
        <v>301</v>
      </c>
      <c r="G152" t="s">
        <v>302</v>
      </c>
      <c r="I152" t="str">
        <f t="shared" si="21"/>
        <v>N/A</v>
      </c>
      <c r="J152" t="str">
        <f t="shared" si="22"/>
        <v>N/A</v>
      </c>
      <c r="K152">
        <f t="shared" si="23"/>
        <v>-2.3799999999999998E-2</v>
      </c>
      <c r="L152">
        <f t="shared" si="24"/>
        <v>0.31120000000000003</v>
      </c>
      <c r="M152">
        <f t="shared" si="25"/>
        <v>0.21329999999999999</v>
      </c>
      <c r="N152">
        <f t="shared" si="26"/>
        <v>9.7000000000000003E-3</v>
      </c>
      <c r="P152">
        <f t="shared" si="27"/>
        <v>0.31120000000000003</v>
      </c>
      <c r="Q152">
        <f>IFERROR(J144+MATCH(P152,J152:N152,0)-1,"")</f>
        <v>2014</v>
      </c>
      <c r="R152">
        <f t="shared" si="28"/>
        <v>-2.3799999999999998E-2</v>
      </c>
      <c r="S152">
        <f>IFERROR(J144+MATCH(R152,J152:N152,0)-1,"")</f>
        <v>2013</v>
      </c>
      <c r="T152">
        <f t="shared" si="29"/>
        <v>0.12760000000000002</v>
      </c>
      <c r="U152">
        <f t="shared" si="30"/>
        <v>0.16111674856037364</v>
      </c>
      <c r="V152" t="str">
        <f t="shared" si="31"/>
        <v/>
      </c>
      <c r="W152">
        <f t="shared" si="32"/>
        <v>-0.93969125713375123</v>
      </c>
      <c r="X152">
        <f t="shared" si="33"/>
        <v>1.139546332957442</v>
      </c>
      <c r="Y152">
        <f t="shared" si="34"/>
        <v>0.53191242230094082</v>
      </c>
      <c r="Z152">
        <f t="shared" si="35"/>
        <v>-0.73176749812463193</v>
      </c>
      <c r="AA152">
        <f t="shared" si="36"/>
        <v>1.139546332957442</v>
      </c>
      <c r="AB152">
        <f>IFERROR(V144+MATCH(AA152,V152:Z152,0)-1,"")</f>
        <v>2014</v>
      </c>
      <c r="AC152" t="str">
        <f t="shared" si="37"/>
        <v>High</v>
      </c>
      <c r="AE152" t="str">
        <f>IF(ISNUMBER(MATCH("N/A",J152:N152,0)),"",IFERROR((5 * SUMPRODUCT(J144:N144,J152:N152) - PRODUCT(SUM(J144:N144),SUM(J152:N152))) / ((5 * SUM((J144^2)+(K144^2)+(L144^2)+(M144^2)+(N144^2))) - SUM(J144:N144)^2),""))</f>
        <v/>
      </c>
      <c r="AF152">
        <f>IFERROR(CORREL(J144:N144,J152:N152),"")</f>
        <v>2.0833250401992216E-3</v>
      </c>
      <c r="AZ152">
        <f t="shared" si="38"/>
        <v>1</v>
      </c>
      <c r="BA152" t="str">
        <f>IF(AZ152=1,IF(Q152="","",IF(Q152=N144,"Yes","No")),"")</f>
        <v>No</v>
      </c>
      <c r="BB152" t="str">
        <f t="shared" si="39"/>
        <v/>
      </c>
      <c r="BC152" t="str">
        <f>IF(AZ152=1,IF(S152="","",IF(S152=N144,"Yes","No")),"")</f>
        <v>No</v>
      </c>
      <c r="BD152" t="str">
        <f t="shared" si="40"/>
        <v/>
      </c>
      <c r="BE152" t="str">
        <f t="shared" si="41"/>
        <v/>
      </c>
      <c r="BF152" t="str">
        <f t="shared" si="42"/>
        <v>No</v>
      </c>
      <c r="BG152" t="str">
        <f t="shared" si="43"/>
        <v>No</v>
      </c>
      <c r="BH152" t="str">
        <f t="shared" si="44"/>
        <v>No</v>
      </c>
    </row>
    <row r="153" spans="1:60" x14ac:dyDescent="0.3">
      <c r="A153" s="1">
        <v>8</v>
      </c>
      <c r="B153" t="s">
        <v>303</v>
      </c>
      <c r="C153" t="s">
        <v>304</v>
      </c>
      <c r="D153" t="s">
        <v>305</v>
      </c>
      <c r="E153" t="s">
        <v>306</v>
      </c>
      <c r="F153" t="s">
        <v>307</v>
      </c>
      <c r="G153" t="s">
        <v>308</v>
      </c>
      <c r="I153" t="str">
        <f t="shared" si="21"/>
        <v>pos_trend</v>
      </c>
      <c r="J153">
        <f t="shared" si="22"/>
        <v>1150000000</v>
      </c>
      <c r="K153">
        <f t="shared" si="23"/>
        <v>1190000000</v>
      </c>
      <c r="L153">
        <f t="shared" si="24"/>
        <v>1320000000</v>
      </c>
      <c r="M153">
        <f t="shared" si="25"/>
        <v>1510000000</v>
      </c>
      <c r="N153">
        <f t="shared" si="26"/>
        <v>1530000000</v>
      </c>
      <c r="P153">
        <f t="shared" si="27"/>
        <v>1530000000</v>
      </c>
      <c r="Q153">
        <f>IFERROR(J144+MATCH(P153,J153:N153,0)-1,"")</f>
        <v>2016</v>
      </c>
      <c r="R153">
        <f t="shared" si="28"/>
        <v>1150000000</v>
      </c>
      <c r="S153">
        <f>IFERROR(J144+MATCH(R153,J153:N153,0)-1,"")</f>
        <v>2012</v>
      </c>
      <c r="T153">
        <f t="shared" si="29"/>
        <v>1340000000</v>
      </c>
      <c r="U153">
        <f t="shared" si="30"/>
        <v>176068168.61659008</v>
      </c>
      <c r="V153">
        <f t="shared" si="31"/>
        <v>-1.0791274850694232</v>
      </c>
      <c r="W153">
        <f t="shared" si="32"/>
        <v>-0.85194275137059727</v>
      </c>
      <c r="X153">
        <f t="shared" si="33"/>
        <v>-0.11359236684941297</v>
      </c>
      <c r="Y153">
        <f t="shared" si="34"/>
        <v>0.96553511822001026</v>
      </c>
      <c r="Z153">
        <f t="shared" si="35"/>
        <v>1.0791274850694232</v>
      </c>
      <c r="AA153">
        <f t="shared" si="36"/>
        <v>-1.0791274850694232</v>
      </c>
      <c r="AB153">
        <f>IFERROR(V144+MATCH(AA153,V153:Z153,0)-1,"")</f>
        <v>2012</v>
      </c>
      <c r="AC153" t="str">
        <f t="shared" si="37"/>
        <v>Low</v>
      </c>
      <c r="AE153">
        <f>IF(ISNUMBER(MATCH("N/A",J153:N153,0)),"",IFERROR((5 * SUMPRODUCT(J144:N144,J153:N153) - PRODUCT(SUM(J144:N144),SUM(J153:N153))) / ((5 * SUM((J144^2)+(K144^2)+(L144^2)+(M144^2)+(N144^2))) - SUM(J144:N144)^2),""))</f>
        <v>108000000</v>
      </c>
      <c r="AF153">
        <f>IFERROR(CORREL(J144:N144,J153:N153),"")</f>
        <v>0.96986863094458431</v>
      </c>
      <c r="AZ153">
        <f t="shared" si="38"/>
        <v>1</v>
      </c>
      <c r="BA153" t="str">
        <f>IF(AZ153=1,IF(Q153="","",IF(Q153=N144,"Yes","No")),"")</f>
        <v>Yes</v>
      </c>
      <c r="BB153">
        <f t="shared" si="39"/>
        <v>1530000000</v>
      </c>
      <c r="BC153" t="str">
        <f>IF(AZ153=1,IF(S153="","",IF(S153=N144,"Yes","No")),"")</f>
        <v>No</v>
      </c>
      <c r="BD153" t="str">
        <f t="shared" si="40"/>
        <v/>
      </c>
      <c r="BE153" t="str">
        <f t="shared" si="41"/>
        <v>Increasing</v>
      </c>
      <c r="BF153" t="str">
        <f t="shared" si="42"/>
        <v>Yes</v>
      </c>
      <c r="BG153" t="str">
        <f t="shared" si="43"/>
        <v>Yes</v>
      </c>
      <c r="BH153" t="str">
        <f t="shared" si="44"/>
        <v>Yes</v>
      </c>
    </row>
    <row r="154" spans="1:60" x14ac:dyDescent="0.3">
      <c r="A154" s="1">
        <v>9</v>
      </c>
      <c r="B154" t="s">
        <v>309</v>
      </c>
      <c r="C154" t="s">
        <v>264</v>
      </c>
      <c r="D154" t="s">
        <v>310</v>
      </c>
      <c r="E154" t="s">
        <v>311</v>
      </c>
      <c r="F154" t="s">
        <v>312</v>
      </c>
      <c r="G154" t="s">
        <v>313</v>
      </c>
      <c r="I154" t="str">
        <f t="shared" si="21"/>
        <v>N/A</v>
      </c>
      <c r="J154" t="str">
        <f t="shared" si="22"/>
        <v>N/A</v>
      </c>
      <c r="K154">
        <f t="shared" si="23"/>
        <v>3.2599999999999997E-2</v>
      </c>
      <c r="L154">
        <f t="shared" si="24"/>
        <v>0.1133</v>
      </c>
      <c r="M154">
        <f t="shared" si="25"/>
        <v>0.14510000000000001</v>
      </c>
      <c r="N154">
        <f t="shared" si="26"/>
        <v>7.8000000000000005E-3</v>
      </c>
      <c r="P154">
        <f t="shared" si="27"/>
        <v>0.14510000000000001</v>
      </c>
      <c r="Q154">
        <f>IFERROR(J144+MATCH(P154,J154:N154,0)-1,"")</f>
        <v>2015</v>
      </c>
      <c r="R154">
        <f t="shared" si="28"/>
        <v>7.8000000000000005E-3</v>
      </c>
      <c r="S154">
        <f>IFERROR(J144+MATCH(R154,J154:N154,0)-1,"")</f>
        <v>2016</v>
      </c>
      <c r="T154">
        <f t="shared" si="29"/>
        <v>7.4700000000000003E-2</v>
      </c>
      <c r="U154">
        <f t="shared" si="30"/>
        <v>6.5049058409787905E-2</v>
      </c>
      <c r="V154" t="str">
        <f t="shared" si="31"/>
        <v/>
      </c>
      <c r="W154">
        <f t="shared" si="32"/>
        <v>-0.64720383398609249</v>
      </c>
      <c r="X154">
        <f t="shared" si="33"/>
        <v>0.59339828959294927</v>
      </c>
      <c r="Y154">
        <f t="shared" si="34"/>
        <v>1.0822600929363637</v>
      </c>
      <c r="Z154">
        <f t="shared" si="35"/>
        <v>-1.0284545485432206</v>
      </c>
      <c r="AA154">
        <f t="shared" si="36"/>
        <v>1.0822600929363637</v>
      </c>
      <c r="AB154">
        <f>IFERROR(V144+MATCH(AA154,V154:Z154,0)-1,"")</f>
        <v>2015</v>
      </c>
      <c r="AC154" t="str">
        <f t="shared" si="37"/>
        <v>High</v>
      </c>
      <c r="AE154" t="str">
        <f>IF(ISNUMBER(MATCH("N/A",J154:N154,0)),"",IFERROR((5 * SUMPRODUCT(J144:N144,J154:N154) - PRODUCT(SUM(J144:N144),SUM(J154:N154))) / ((5 * SUM((J144^2)+(K144^2)+(L144^2)+(M144^2)+(N144^2))) - SUM(J144:N144)^2),""))</f>
        <v/>
      </c>
      <c r="AF154">
        <f>IFERROR(CORREL(J144:N144,J154:N154),"")</f>
        <v>-8.4545979389411108E-2</v>
      </c>
      <c r="AZ154">
        <f t="shared" si="38"/>
        <v>1</v>
      </c>
      <c r="BA154" t="str">
        <f>IF(AZ154=1,IF(Q154="","",IF(Q154=N144,"Yes","No")),"")</f>
        <v>No</v>
      </c>
      <c r="BB154" t="str">
        <f t="shared" si="39"/>
        <v/>
      </c>
      <c r="BC154" t="str">
        <f>IF(AZ154=1,IF(S154="","",IF(S154=N144,"Yes","No")),"")</f>
        <v>Yes</v>
      </c>
      <c r="BD154">
        <f t="shared" si="40"/>
        <v>7.8000000000000005E-3</v>
      </c>
      <c r="BE154" t="str">
        <f t="shared" si="41"/>
        <v/>
      </c>
      <c r="BF154" t="str">
        <f t="shared" si="42"/>
        <v>No</v>
      </c>
      <c r="BG154" t="str">
        <f t="shared" si="43"/>
        <v>No</v>
      </c>
      <c r="BH154" t="str">
        <f t="shared" si="44"/>
        <v>No</v>
      </c>
    </row>
    <row r="155" spans="1:60" x14ac:dyDescent="0.3">
      <c r="A155" s="1">
        <v>10</v>
      </c>
      <c r="B155" t="s">
        <v>314</v>
      </c>
      <c r="C155" t="s">
        <v>264</v>
      </c>
      <c r="D155" t="s">
        <v>264</v>
      </c>
      <c r="E155" t="s">
        <v>264</v>
      </c>
      <c r="F155" t="s">
        <v>264</v>
      </c>
      <c r="G155" t="s">
        <v>315</v>
      </c>
      <c r="I155" t="str">
        <f t="shared" si="21"/>
        <v>N/A</v>
      </c>
      <c r="J155" t="str">
        <f t="shared" si="22"/>
        <v>N/A</v>
      </c>
      <c r="K155" t="str">
        <f t="shared" si="23"/>
        <v>N/A</v>
      </c>
      <c r="L155" t="str">
        <f t="shared" si="24"/>
        <v>N/A</v>
      </c>
      <c r="M155" t="str">
        <f t="shared" si="25"/>
        <v>N/A</v>
      </c>
      <c r="N155">
        <f t="shared" si="26"/>
        <v>0.47570000000000001</v>
      </c>
      <c r="P155">
        <f t="shared" si="27"/>
        <v>0.47570000000000001</v>
      </c>
      <c r="Q155">
        <f>IFERROR(J144+MATCH(P155,J155:N155,0)-1,"")</f>
        <v>2016</v>
      </c>
      <c r="R155">
        <f t="shared" si="28"/>
        <v>0.47570000000000001</v>
      </c>
      <c r="S155">
        <f>IFERROR(J144+MATCH(R155,J155:N155,0)-1,"")</f>
        <v>2016</v>
      </c>
      <c r="T155">
        <f t="shared" si="29"/>
        <v>0.47570000000000001</v>
      </c>
      <c r="U155" t="str">
        <f t="shared" si="30"/>
        <v/>
      </c>
      <c r="V155" t="str">
        <f t="shared" si="31"/>
        <v/>
      </c>
      <c r="W155" t="str">
        <f t="shared" si="32"/>
        <v/>
      </c>
      <c r="X155" t="str">
        <f t="shared" si="33"/>
        <v/>
      </c>
      <c r="Y155" t="str">
        <f t="shared" si="34"/>
        <v/>
      </c>
      <c r="Z155" t="str">
        <f t="shared" si="35"/>
        <v/>
      </c>
      <c r="AA155">
        <f t="shared" si="36"/>
        <v>0</v>
      </c>
      <c r="AB155" t="str">
        <f>IFERROR(V144+MATCH(AA155,V155:Z155,0)-1,"")</f>
        <v/>
      </c>
      <c r="AC155" t="str">
        <f t="shared" si="37"/>
        <v/>
      </c>
      <c r="AE155" t="str">
        <f>IF(ISNUMBER(MATCH("N/A",J155:N155,0)),"",IFERROR((5 * SUMPRODUCT(J144:N144,J155:N155) - PRODUCT(SUM(J144:N144),SUM(J155:N155))) / ((5 * SUM((J144^2)+(K144^2)+(L144^2)+(M144^2)+(N144^2))) - SUM(J144:N144)^2),""))</f>
        <v/>
      </c>
      <c r="AF155" t="str">
        <f>IFERROR(CORREL(J144:N144,J155:N155),"")</f>
        <v/>
      </c>
      <c r="AZ155">
        <f t="shared" si="38"/>
        <v>0</v>
      </c>
      <c r="BA155" t="str">
        <f>IF(AZ155=1,IF(Q155="","",IF(Q155=N144,"Yes","No")),"")</f>
        <v/>
      </c>
      <c r="BB155" t="str">
        <f t="shared" si="39"/>
        <v/>
      </c>
      <c r="BC155" t="str">
        <f>IF(AZ155=1,IF(S155="","",IF(S155=N144,"Yes","No")),"")</f>
        <v/>
      </c>
      <c r="BD155" t="str">
        <f t="shared" si="40"/>
        <v/>
      </c>
      <c r="BE155" t="str">
        <f t="shared" si="41"/>
        <v/>
      </c>
      <c r="BF155" t="str">
        <f t="shared" si="42"/>
        <v>No</v>
      </c>
      <c r="BG155" t="str">
        <f t="shared" si="43"/>
        <v>No</v>
      </c>
      <c r="BH155" t="str">
        <f t="shared" si="44"/>
        <v/>
      </c>
    </row>
    <row r="156" spans="1:60" x14ac:dyDescent="0.3">
      <c r="I156" t="str">
        <f t="shared" ref="I156:I187" si="45">IF(AND(K156&gt; J156, L156&gt; K156, M156&gt; L156, N156&gt; M156), "pos_trend", IF(AND(K156&lt; J156, L156&lt; K156, M156&lt; L156, N156&lt; M156), "neg_trend", "N/A"))</f>
        <v>N/A</v>
      </c>
      <c r="J156" t="str">
        <f t="shared" si="22"/>
        <v>N/A</v>
      </c>
      <c r="K156" t="str">
        <f t="shared" si="23"/>
        <v>N/A</v>
      </c>
      <c r="L156" t="str">
        <f t="shared" si="24"/>
        <v>N/A</v>
      </c>
      <c r="M156" t="str">
        <f t="shared" si="25"/>
        <v>N/A</v>
      </c>
      <c r="N156" t="str">
        <f t="shared" si="26"/>
        <v>N/A</v>
      </c>
      <c r="P156">
        <f t="shared" si="27"/>
        <v>0</v>
      </c>
      <c r="Q156" t="str">
        <f>IFERROR(J144+MATCH(P156,J156:N156,0)-1,"")</f>
        <v/>
      </c>
      <c r="R156" t="str">
        <f t="shared" si="28"/>
        <v/>
      </c>
      <c r="S156" t="str">
        <f>IFERROR(J144+MATCH(R156,J156:N156,0)-1,"")</f>
        <v/>
      </c>
      <c r="T156" t="str">
        <f t="shared" si="29"/>
        <v/>
      </c>
      <c r="U156" t="str">
        <f t="shared" si="30"/>
        <v/>
      </c>
      <c r="V156" t="str">
        <f t="shared" si="31"/>
        <v/>
      </c>
      <c r="W156" t="str">
        <f t="shared" si="32"/>
        <v/>
      </c>
      <c r="X156" t="str">
        <f t="shared" si="33"/>
        <v/>
      </c>
      <c r="Y156" t="str">
        <f t="shared" si="34"/>
        <v/>
      </c>
      <c r="Z156" t="str">
        <f t="shared" si="35"/>
        <v/>
      </c>
      <c r="AA156">
        <f t="shared" si="36"/>
        <v>0</v>
      </c>
      <c r="AB156" t="str">
        <f>IFERROR(V144+MATCH(AA156,V156:Z156,0)-1,"")</f>
        <v/>
      </c>
      <c r="AC156" t="str">
        <f t="shared" si="37"/>
        <v/>
      </c>
      <c r="AE156" t="str">
        <f>IF(ISNUMBER(MATCH("N/A",J156:N156,0)),"",IFERROR((5 * SUMPRODUCT(J144:N144,J156:N156) - PRODUCT(SUM(J144:N144),SUM(J156:N156))) / ((5 * SUM((J144^2)+(K144^2)+(L144^2)+(M144^2)+(N144^2))) - SUM(J144:N144)^2),""))</f>
        <v/>
      </c>
      <c r="AF156" t="str">
        <f>IFERROR(CORREL(J144:N144,J156:N156),"")</f>
        <v/>
      </c>
      <c r="AZ156">
        <f t="shared" si="38"/>
        <v>0</v>
      </c>
      <c r="BA156" t="str">
        <f>IF(AZ156=1,IF(Q156="","",IF(Q156=N144,"Yes","No")),"")</f>
        <v/>
      </c>
      <c r="BB156" t="str">
        <f t="shared" si="39"/>
        <v/>
      </c>
      <c r="BC156" t="str">
        <f>IF(AZ156=1,IF(S156="","",IF(S156=N144,"Yes","No")),"")</f>
        <v/>
      </c>
      <c r="BD156" t="str">
        <f t="shared" si="40"/>
        <v/>
      </c>
      <c r="BE156" t="str">
        <f t="shared" si="41"/>
        <v/>
      </c>
      <c r="BF156" t="str">
        <f t="shared" si="42"/>
        <v>No</v>
      </c>
      <c r="BG156" t="str">
        <f t="shared" si="43"/>
        <v>No</v>
      </c>
      <c r="BH156" t="str">
        <f t="shared" si="44"/>
        <v/>
      </c>
    </row>
    <row r="157" spans="1:60" x14ac:dyDescent="0.3">
      <c r="B157" s="1" t="s">
        <v>316</v>
      </c>
      <c r="C157" s="1" t="s">
        <v>252</v>
      </c>
      <c r="D157" s="1" t="s">
        <v>253</v>
      </c>
      <c r="E157" s="1" t="s">
        <v>254</v>
      </c>
      <c r="F157" s="1" t="s">
        <v>255</v>
      </c>
      <c r="G157" s="1" t="s">
        <v>256</v>
      </c>
      <c r="H157" s="1" t="s">
        <v>257</v>
      </c>
      <c r="P157">
        <f t="shared" si="27"/>
        <v>0</v>
      </c>
      <c r="Q157" t="str">
        <f>IFERROR(J144+MATCH(P157,J157:N157,0)-1,"")</f>
        <v/>
      </c>
      <c r="R157" t="str">
        <f t="shared" si="28"/>
        <v/>
      </c>
      <c r="S157" t="str">
        <f>IFERROR(J144+MATCH(R157,J157:N157,0)-1,"")</f>
        <v/>
      </c>
      <c r="T157" t="str">
        <f t="shared" si="29"/>
        <v/>
      </c>
      <c r="U157" t="str">
        <f t="shared" si="30"/>
        <v/>
      </c>
      <c r="V157" t="str">
        <f t="shared" si="31"/>
        <v/>
      </c>
      <c r="W157" t="str">
        <f t="shared" si="32"/>
        <v/>
      </c>
      <c r="X157" t="str">
        <f t="shared" si="33"/>
        <v/>
      </c>
      <c r="Y157" t="str">
        <f t="shared" si="34"/>
        <v/>
      </c>
      <c r="Z157" t="str">
        <f t="shared" si="35"/>
        <v/>
      </c>
      <c r="AA157">
        <f t="shared" si="36"/>
        <v>0</v>
      </c>
      <c r="AB157" t="str">
        <f>IFERROR(V144+MATCH(AA157,V157:Z157,0)-1,"")</f>
        <v/>
      </c>
      <c r="AC157" t="str">
        <f t="shared" si="37"/>
        <v/>
      </c>
      <c r="AE157">
        <f>IF(ISNUMBER(MATCH("N/A",J157:N157,0)),"",IFERROR((5 * SUMPRODUCT(J144:N144,J157:N157) - PRODUCT(SUM(J144:N144),SUM(J157:N157))) / ((5 * SUM((J144^2)+(K144^2)+(L144^2)+(M144^2)+(N144^2))) - SUM(J144:N144)^2),""))</f>
        <v>0</v>
      </c>
      <c r="AF157" t="str">
        <f>IFERROR(CORREL(J144:N144,J157:N157),"")</f>
        <v/>
      </c>
      <c r="AZ157">
        <f t="shared" si="38"/>
        <v>0</v>
      </c>
      <c r="BA157" t="str">
        <f>IF(AZ157=1,IF(Q157="","",IF(Q157=N144,"Yes","No")),"")</f>
        <v/>
      </c>
      <c r="BB157" t="str">
        <f t="shared" si="39"/>
        <v/>
      </c>
      <c r="BC157" t="str">
        <f>IF(AZ157=1,IF(S157="","",IF(S157=N144,"Yes","No")),"")</f>
        <v/>
      </c>
      <c r="BD157" t="str">
        <f t="shared" si="40"/>
        <v/>
      </c>
      <c r="BE157" t="str">
        <f t="shared" si="41"/>
        <v/>
      </c>
      <c r="BF157" t="str">
        <f t="shared" si="42"/>
        <v>No</v>
      </c>
      <c r="BG157" t="str">
        <f t="shared" si="43"/>
        <v>No</v>
      </c>
      <c r="BH157" t="str">
        <f t="shared" si="44"/>
        <v/>
      </c>
    </row>
    <row r="158" spans="1:60" x14ac:dyDescent="0.3">
      <c r="A158" s="1">
        <v>0</v>
      </c>
      <c r="B158" t="s">
        <v>317</v>
      </c>
      <c r="C158" t="s">
        <v>318</v>
      </c>
      <c r="D158" t="s">
        <v>319</v>
      </c>
      <c r="E158" t="s">
        <v>270</v>
      </c>
      <c r="F158" t="s">
        <v>320</v>
      </c>
      <c r="G158" t="s">
        <v>320</v>
      </c>
      <c r="I158" t="str">
        <f t="shared" ref="I158:I204" si="46">IF(AND(K158&gt; J158, L158&gt; K158, M158&gt; L158, N158&gt; M158), "pos_trend", IF(AND(K158&lt; J158, L158&lt; K158, M158&lt; L158, N158&lt; M158), "neg_trend", "N/A"))</f>
        <v>N/A</v>
      </c>
      <c r="J158">
        <f>IFERROR(IF(TRIM(C158)="-", "0", IF(RIGHT(C158,1)=")",IF(RIGHT(C158,2)="T)",-1000000000000*VALUE(MID(C158,2,LEN(C158)-3)),IF(RIGHT(C158,2)="M)",-1000000*VALUE(MID(C158,2,LEN(C158)-3)),IF(RIGHT(C158,2)="B)",-1000000000*VALUE(MID(C158,2,LEN(C158)-3)),IF(RIGHT(C158,2)="k)",-1000*VALUE(MID(C158,2,LEN(C158)-3)),VALUE(SUBSTITUTE(C158,",","")))))),IF(RIGHT(C158,1)="T",1000000000000*VALUE(LEFT(C158,LEN(C158)-1)),IF(RIGHT(C158,1)="M",1000000*VALUE(LEFT(C158,LEN(C158)-1)),IF(RIGHT(C158,1)="B",1000000000*VALUE(LEFT(C158,LEN(C158)-1)),IF(RIGHT(C158,1)="%",0.01*VALUE(LEFT(C158,LEN(C158)-1)),IF(RIGHT(C158,1)="k",1000*VALUE(LEFT(C158,LEN(C158)-1)),VALUE(SUBSTITUTE(C158,",",""))))))))),"N/A")</f>
        <v>841520000</v>
      </c>
      <c r="K158">
        <f>IFERROR(IF(TRIM(D158)="-", "0", IF(RIGHT(D158,1)=")",IF(RIGHT(D158,2)="T)",-1000000000000*VALUE(MID(D158,2,LEN(D158)-3)),IF(RIGHT(D158,2)="M)",-1000000*VALUE(MID(D158,2,LEN(D158)-3)),IF(RIGHT(D158,2)="B)",-1000000000*VALUE(MID(D158,2,LEN(D158)-3)),IF(RIGHT(D158,2)="k)",-1000*VALUE(MID(D158,2,LEN(D158)-3)),VALUE(SUBSTITUTE(D158,",","")))))),IF(RIGHT(D158,1)="T",1000000000000*VALUE(LEFT(D158,LEN(D158)-1)),IF(RIGHT(D158,1)="M",1000000*VALUE(LEFT(D158,LEN(D158)-1)),IF(RIGHT(D158,1)="B",1000000000*VALUE(LEFT(D158,LEN(D158)-1)),IF(RIGHT(D158,1)="%",0.01*VALUE(LEFT(D158,LEN(D158)-1)),IF(RIGHT(D158,1)="k",1000*VALUE(LEFT(D158,LEN(D158)-1)),VALUE(SUBSTITUTE(D158,",",""))))))))),"N/A")</f>
        <v>907670000</v>
      </c>
      <c r="L158">
        <f>IFERROR(IF(TRIM(E158)="-", "0", IF(RIGHT(E158,1)=")",IF(RIGHT(E158,2)="T)",-1000000000000*VALUE(MID(E158,2,LEN(E158)-3)),IF(RIGHT(E158,2)="M)",-1000000*VALUE(MID(E158,2,LEN(E158)-3)),IF(RIGHT(E158,2)="B)",-1000000000*VALUE(MID(E158,2,LEN(E158)-3)),IF(RIGHT(E158,2)="k)",-1000*VALUE(MID(E158,2,LEN(E158)-3)),VALUE(SUBSTITUTE(E158,",","")))))),IF(RIGHT(E158,1)="T",1000000000000*VALUE(LEFT(E158,LEN(E158)-1)),IF(RIGHT(E158,1)="M",1000000*VALUE(LEFT(E158,LEN(E158)-1)),IF(RIGHT(E158,1)="B",1000000000*VALUE(LEFT(E158,LEN(E158)-1)),IF(RIGHT(E158,1)="%",0.01*VALUE(LEFT(E158,LEN(E158)-1)),IF(RIGHT(E158,1)="k",1000*VALUE(LEFT(E158,LEN(E158)-1)),VALUE(SUBSTITUTE(E158,",",""))))))))),"N/A")</f>
        <v>1070000000.0000001</v>
      </c>
      <c r="M158">
        <f>IFERROR(IF(TRIM(F158)="-", "0", IF(RIGHT(F158,1)=")",IF(RIGHT(F158,2)="T)",-1000000000000*VALUE(MID(F158,2,LEN(F158)-3)),IF(RIGHT(F158,2)="M)",-1000000*VALUE(MID(F158,2,LEN(F158)-3)),IF(RIGHT(F158,2)="B)",-1000000000*VALUE(MID(F158,2,LEN(F158)-3)),IF(RIGHT(F158,2)="k)",-1000*VALUE(MID(F158,2,LEN(F158)-3)),VALUE(SUBSTITUTE(F158,",","")))))),IF(RIGHT(F158,1)="T",1000000000000*VALUE(LEFT(F158,LEN(F158)-1)),IF(RIGHT(F158,1)="M",1000000*VALUE(LEFT(F158,LEN(F158)-1)),IF(RIGHT(F158,1)="B",1000000000*VALUE(LEFT(F158,LEN(F158)-1)),IF(RIGHT(F158,1)="%",0.01*VALUE(LEFT(F158,LEN(F158)-1)),IF(RIGHT(F158,1)="k",1000*VALUE(LEFT(F158,LEN(F158)-1)),VALUE(SUBSTITUTE(F158,",",""))))))))),"N/A")</f>
        <v>1140000000</v>
      </c>
      <c r="N158">
        <f>IFERROR(IF(TRIM(G158)="-", "0", IF(RIGHT(G158,1)=")",IF(RIGHT(G158,2)="T)",-1000000000000*VALUE(MID(G158,2,LEN(G158)-3)),IF(RIGHT(G158,2)="M)",-1000000*VALUE(MID(G158,2,LEN(G158)-3)),IF(RIGHT(G158,2)="B)",-1000000000*VALUE(MID(G158,2,LEN(G158)-3)),IF(RIGHT(G158,2)="k)",-1000*VALUE(MID(G158,2,LEN(G158)-3)),VALUE(SUBSTITUTE(G158,",","")))))),IF(RIGHT(G158,1)="T",1000000000000*VALUE(LEFT(G158,LEN(G158)-1)),IF(RIGHT(G158,1)="M",1000000*VALUE(LEFT(G158,LEN(G158)-1)),IF(RIGHT(G158,1)="B",1000000000*VALUE(LEFT(G158,LEN(G158)-1)),IF(RIGHT(G158,1)="%",0.01*VALUE(LEFT(G158,LEN(G158)-1)),IF(RIGHT(G158,1)="k",1000*VALUE(LEFT(G158,LEN(G158)-1)),VALUE(SUBSTITUTE(G158,",",""))))))))),"N/A")</f>
        <v>1140000000</v>
      </c>
      <c r="P158">
        <f t="shared" si="27"/>
        <v>1140000000</v>
      </c>
      <c r="Q158">
        <f>IFERROR(J144+MATCH(P158,J158:N158,0)-1,"")</f>
        <v>2015</v>
      </c>
      <c r="R158">
        <f t="shared" si="28"/>
        <v>841520000</v>
      </c>
      <c r="S158">
        <f>IFERROR(J144+MATCH(R158,J158:N158,0)-1,"")</f>
        <v>2012</v>
      </c>
      <c r="T158">
        <f t="shared" si="29"/>
        <v>1019838000</v>
      </c>
      <c r="U158">
        <f t="shared" si="30"/>
        <v>137634487.02995917</v>
      </c>
      <c r="V158">
        <f t="shared" si="31"/>
        <v>-1.2955909804872174</v>
      </c>
      <c r="W158">
        <f t="shared" si="32"/>
        <v>-0.8149701606079599</v>
      </c>
      <c r="X158">
        <f t="shared" si="33"/>
        <v>0.36445807357193299</v>
      </c>
      <c r="Y158">
        <f t="shared" si="34"/>
        <v>0.87305153376162259</v>
      </c>
      <c r="Z158">
        <f t="shared" si="35"/>
        <v>0.87305153376162259</v>
      </c>
      <c r="AA158">
        <f t="shared" si="36"/>
        <v>-1.2955909804872174</v>
      </c>
      <c r="AB158">
        <f>IFERROR(V144+MATCH(AA158,V158:Z158,0)-1,"")</f>
        <v>2012</v>
      </c>
      <c r="AC158" t="str">
        <f t="shared" si="37"/>
        <v>Low</v>
      </c>
      <c r="AE158">
        <f>IF(ISNUMBER(MATCH("N/A",J158:N158,0)),"",IFERROR((5 * SUMPRODUCT(J144:N144,J158:N158) - PRODUCT(SUM(J144:N144),SUM(J158:N158))) / ((5 * SUM((J144^2)+(K144^2)+(L144^2)+(M144^2)+(N144^2))) - SUM(J144:N144)^2),""))</f>
        <v>82929000</v>
      </c>
      <c r="AF158">
        <f>IFERROR(CORREL(J144:N144,J158:N158),"")</f>
        <v>0.9526846422692743</v>
      </c>
      <c r="AZ158">
        <f t="shared" si="38"/>
        <v>1</v>
      </c>
      <c r="BA158" t="str">
        <f>IF(AZ158=1,IF(Q158="","",IF(Q158=N144,"Yes","No")),"")</f>
        <v>No</v>
      </c>
      <c r="BB158" t="str">
        <f t="shared" si="39"/>
        <v/>
      </c>
      <c r="BC158" t="str">
        <f>IF(AZ158=1,IF(S158="","",IF(S158=N144,"Yes","No")),"")</f>
        <v>No</v>
      </c>
      <c r="BD158" t="str">
        <f t="shared" si="40"/>
        <v/>
      </c>
      <c r="BE158" t="str">
        <f t="shared" si="41"/>
        <v>Increasing</v>
      </c>
      <c r="BF158" t="str">
        <f t="shared" si="42"/>
        <v>No</v>
      </c>
      <c r="BG158" t="str">
        <f t="shared" si="43"/>
        <v>No</v>
      </c>
      <c r="BH158" t="str">
        <f t="shared" si="44"/>
        <v>Yes</v>
      </c>
    </row>
    <row r="159" spans="1:60" x14ac:dyDescent="0.3">
      <c r="A159" s="1">
        <v>1</v>
      </c>
      <c r="B159" t="s">
        <v>321</v>
      </c>
      <c r="C159" t="s">
        <v>264</v>
      </c>
      <c r="D159" t="s">
        <v>264</v>
      </c>
      <c r="E159" t="s">
        <v>264</v>
      </c>
      <c r="F159" t="s">
        <v>264</v>
      </c>
      <c r="G159" t="s">
        <v>264</v>
      </c>
      <c r="I159" t="str">
        <f t="shared" si="46"/>
        <v>N/A</v>
      </c>
      <c r="J159" t="str">
        <f t="shared" ref="J159:J204" si="47">IFERROR(IF(TRIM(C159)="-", "N/A", IF(RIGHT(C159,1)=")",IF(RIGHT(C159,2)="T)",-1000000000000*VALUE(MID(C159,2,LEN(C159)-3)),IF(RIGHT(C159,2)="M)",-1000000*VALUE(MID(C159,2,LEN(C159)-3)),IF(RIGHT(C159,2)="B)",-1000000000*VALUE(MID(C159,2,LEN(C159)-3)),IF(RIGHT(C159,2)="k)",-1000*VALUE(MID(C159,2,LEN(C159)-3)),VALUE(SUBSTITUTE(C159,",","")))))),IF(RIGHT(C159,1)="T",1000000000000*VALUE(LEFT(C159,LEN(C159)-1)),IF(RIGHT(C159,1)="M",1000000*VALUE(LEFT(C159,LEN(C159)-1)),IF(RIGHT(C159,1)="B",1000000000*VALUE(LEFT(C159,LEN(C159)-1)),IF(RIGHT(C159,1)="%",0.01*VALUE(LEFT(C159,LEN(C159)-1)),IF(RIGHT(C159,1)="k",1000*VALUE(LEFT(C159,LEN(C159)-1)),VALUE(SUBSTITUTE(C159,",",""))))))))),"N/A")</f>
        <v>N/A</v>
      </c>
      <c r="K159" t="str">
        <f t="shared" ref="K159:K204" si="48">IFERROR(IF(TRIM(D159)="-", "N/A", IF(RIGHT(D159,1)=")",IF(RIGHT(D159,2)="T)",-1000000000000*VALUE(MID(D159,2,LEN(D159)-3)),IF(RIGHT(D159,2)="M)",-1000000*VALUE(MID(D159,2,LEN(D159)-3)),IF(RIGHT(D159,2)="B)",-1000000000*VALUE(MID(D159,2,LEN(D159)-3)),IF(RIGHT(D159,2)="k)",-1000*VALUE(MID(D159,2,LEN(D159)-3)),VALUE(SUBSTITUTE(D159,",","")))))),IF(RIGHT(D159,1)="T",1000000000000*VALUE(LEFT(D159,LEN(D159)-1)),IF(RIGHT(D159,1)="M",1000000*VALUE(LEFT(D159,LEN(D159)-1)),IF(RIGHT(D159,1)="B",1000000000*VALUE(LEFT(D159,LEN(D159)-1)),IF(RIGHT(D159,1)="%",0.01*VALUE(LEFT(D159,LEN(D159)-1)),IF(RIGHT(D159,1)="k",1000*VALUE(LEFT(D159,LEN(D159)-1)),VALUE(SUBSTITUTE(D159,",",""))))))))),"N/A")</f>
        <v>N/A</v>
      </c>
      <c r="L159" t="str">
        <f t="shared" ref="L159:L204" si="49">IFERROR(IF(TRIM(E159)="-", "N/A", IF(RIGHT(E159,1)=")",IF(RIGHT(E159,2)="T)",-1000000000000*VALUE(MID(E159,2,LEN(E159)-3)),IF(RIGHT(E159,2)="M)",-1000000*VALUE(MID(E159,2,LEN(E159)-3)),IF(RIGHT(E159,2)="B)",-1000000000*VALUE(MID(E159,2,LEN(E159)-3)),IF(RIGHT(E159,2)="k)",-1000*VALUE(MID(E159,2,LEN(E159)-3)),VALUE(SUBSTITUTE(E159,",","")))))),IF(RIGHT(E159,1)="T",1000000000000*VALUE(LEFT(E159,LEN(E159)-1)),IF(RIGHT(E159,1)="M",1000000*VALUE(LEFT(E159,LEN(E159)-1)),IF(RIGHT(E159,1)="B",1000000000*VALUE(LEFT(E159,LEN(E159)-1)),IF(RIGHT(E159,1)="%",0.01*VALUE(LEFT(E159,LEN(E159)-1)),IF(RIGHT(E159,1)="k",1000*VALUE(LEFT(E159,LEN(E159)-1)),VALUE(SUBSTITUTE(E159,",",""))))))))),"N/A")</f>
        <v>N/A</v>
      </c>
      <c r="M159" t="str">
        <f t="shared" ref="M159:M204" si="50">IFERROR(IF(TRIM(F159)="-", "N/A", IF(RIGHT(F159,1)=")",IF(RIGHT(F159,2)="T)",-1000000000000*VALUE(MID(F159,2,LEN(F159)-3)),IF(RIGHT(F159,2)="M)",-1000000*VALUE(MID(F159,2,LEN(F159)-3)),IF(RIGHT(F159,2)="B)",-1000000000*VALUE(MID(F159,2,LEN(F159)-3)),IF(RIGHT(F159,2)="k)",-1000*VALUE(MID(F159,2,LEN(F159)-3)),VALUE(SUBSTITUTE(F159,",","")))))),IF(RIGHT(F159,1)="T",1000000000000*VALUE(LEFT(F159,LEN(F159)-1)),IF(RIGHT(F159,1)="M",1000000*VALUE(LEFT(F159,LEN(F159)-1)),IF(RIGHT(F159,1)="B",1000000000*VALUE(LEFT(F159,LEN(F159)-1)),IF(RIGHT(F159,1)="%",0.01*VALUE(LEFT(F159,LEN(F159)-1)),IF(RIGHT(F159,1)="k",1000*VALUE(LEFT(F159,LEN(F159)-1)),VALUE(SUBSTITUTE(F159,",",""))))))))),"N/A")</f>
        <v>N/A</v>
      </c>
      <c r="N159" t="str">
        <f t="shared" ref="N159:N204" si="51">IFERROR(IF(TRIM(G159)="-", "N/A", IF(RIGHT(G159,1)=")",IF(RIGHT(G159,2)="T)",-1000000000000*VALUE(MID(G159,2,LEN(G159)-3)),IF(RIGHT(G159,2)="M)",-1000000*VALUE(MID(G159,2,LEN(G159)-3)),IF(RIGHT(G159,2)="B)",-1000000000*VALUE(MID(G159,2,LEN(G159)-3)),IF(RIGHT(G159,2)="k)",-1000*VALUE(MID(G159,2,LEN(G159)-3)),VALUE(SUBSTITUTE(G159,",","")))))),IF(RIGHT(G159,1)="T",1000000000000*VALUE(LEFT(G159,LEN(G159)-1)),IF(RIGHT(G159,1)="M",1000000*VALUE(LEFT(G159,LEN(G159)-1)),IF(RIGHT(G159,1)="B",1000000000*VALUE(LEFT(G159,LEN(G159)-1)),IF(RIGHT(G159,1)="%",0.01*VALUE(LEFT(G159,LEN(G159)-1)),IF(RIGHT(G159,1)="k",1000*VALUE(LEFT(G159,LEN(G159)-1)),VALUE(SUBSTITUTE(G159,",",""))))))))),"N/A")</f>
        <v>N/A</v>
      </c>
      <c r="P159">
        <f t="shared" si="27"/>
        <v>0</v>
      </c>
      <c r="Q159" t="str">
        <f>IFERROR(J144+MATCH(P159,J159:N159,0)-1,"")</f>
        <v/>
      </c>
      <c r="R159" t="str">
        <f t="shared" si="28"/>
        <v/>
      </c>
      <c r="S159" t="str">
        <f>IFERROR(J144+MATCH(R159,J159:N159,0)-1,"")</f>
        <v/>
      </c>
      <c r="T159" t="str">
        <f t="shared" si="29"/>
        <v/>
      </c>
      <c r="U159" t="str">
        <f t="shared" si="30"/>
        <v/>
      </c>
      <c r="V159" t="str">
        <f t="shared" si="31"/>
        <v/>
      </c>
      <c r="W159" t="str">
        <f t="shared" si="32"/>
        <v/>
      </c>
      <c r="X159" t="str">
        <f t="shared" si="33"/>
        <v/>
      </c>
      <c r="Y159" t="str">
        <f t="shared" si="34"/>
        <v/>
      </c>
      <c r="Z159" t="str">
        <f t="shared" si="35"/>
        <v/>
      </c>
      <c r="AA159">
        <f t="shared" si="36"/>
        <v>0</v>
      </c>
      <c r="AB159" t="str">
        <f>IFERROR(V144+MATCH(AA159,V159:Z159,0)-1,"")</f>
        <v/>
      </c>
      <c r="AC159" t="str">
        <f t="shared" si="37"/>
        <v/>
      </c>
      <c r="AE159" t="str">
        <f>IF(ISNUMBER(MATCH("N/A",J159:N159,0)),"",IFERROR((5 * SUMPRODUCT(J144:N144,J159:N159) - PRODUCT(SUM(J144:N144),SUM(J159:N159))) / ((5 * SUM((J144^2)+(K144^2)+(L144^2)+(M144^2)+(N144^2))) - SUM(J144:N144)^2),""))</f>
        <v/>
      </c>
      <c r="AF159" t="str">
        <f>IFERROR(CORREL(J144:N144,J159:N159),"")</f>
        <v/>
      </c>
      <c r="AZ159">
        <f t="shared" si="38"/>
        <v>0</v>
      </c>
      <c r="BA159" t="str">
        <f>IF(AZ159=1,IF(Q159="","",IF(Q159=N144,"Yes","No")),"")</f>
        <v/>
      </c>
      <c r="BB159" t="str">
        <f t="shared" si="39"/>
        <v/>
      </c>
      <c r="BC159" t="str">
        <f>IF(AZ159=1,IF(S159="","",IF(S159=N144,"Yes","No")),"")</f>
        <v/>
      </c>
      <c r="BD159" t="str">
        <f t="shared" si="40"/>
        <v/>
      </c>
      <c r="BE159" t="str">
        <f t="shared" si="41"/>
        <v/>
      </c>
      <c r="BF159" t="str">
        <f t="shared" si="42"/>
        <v>No</v>
      </c>
      <c r="BG159" t="str">
        <f t="shared" si="43"/>
        <v>No</v>
      </c>
      <c r="BH159" t="str">
        <f t="shared" si="44"/>
        <v/>
      </c>
    </row>
    <row r="160" spans="1:60" x14ac:dyDescent="0.3">
      <c r="A160" s="1">
        <v>2</v>
      </c>
      <c r="B160" t="s">
        <v>322</v>
      </c>
      <c r="C160" t="s">
        <v>318</v>
      </c>
      <c r="D160" t="s">
        <v>319</v>
      </c>
      <c r="E160" t="s">
        <v>270</v>
      </c>
      <c r="F160" t="s">
        <v>320</v>
      </c>
      <c r="G160" t="s">
        <v>320</v>
      </c>
      <c r="I160" t="str">
        <f t="shared" si="46"/>
        <v>N/A</v>
      </c>
      <c r="J160">
        <f t="shared" si="47"/>
        <v>841520000</v>
      </c>
      <c r="K160">
        <f t="shared" si="48"/>
        <v>907670000</v>
      </c>
      <c r="L160">
        <f t="shared" si="49"/>
        <v>1070000000.0000001</v>
      </c>
      <c r="M160">
        <f t="shared" si="50"/>
        <v>1140000000</v>
      </c>
      <c r="N160">
        <f t="shared" si="51"/>
        <v>1140000000</v>
      </c>
      <c r="P160">
        <f t="shared" si="27"/>
        <v>1140000000</v>
      </c>
      <c r="Q160">
        <f>IFERROR(J144+MATCH(P160,J160:N160,0)-1,"")</f>
        <v>2015</v>
      </c>
      <c r="R160">
        <f t="shared" si="28"/>
        <v>841520000</v>
      </c>
      <c r="S160">
        <f>IFERROR(J144+MATCH(R160,J160:N160,0)-1,"")</f>
        <v>2012</v>
      </c>
      <c r="T160">
        <f t="shared" si="29"/>
        <v>1019838000</v>
      </c>
      <c r="U160">
        <f t="shared" si="30"/>
        <v>137634487.02995917</v>
      </c>
      <c r="V160">
        <f t="shared" si="31"/>
        <v>-1.2955909804872174</v>
      </c>
      <c r="W160">
        <f t="shared" si="32"/>
        <v>-0.8149701606079599</v>
      </c>
      <c r="X160">
        <f t="shared" si="33"/>
        <v>0.36445807357193299</v>
      </c>
      <c r="Y160">
        <f t="shared" si="34"/>
        <v>0.87305153376162259</v>
      </c>
      <c r="Z160">
        <f t="shared" si="35"/>
        <v>0.87305153376162259</v>
      </c>
      <c r="AA160">
        <f t="shared" si="36"/>
        <v>-1.2955909804872174</v>
      </c>
      <c r="AB160">
        <f>IFERROR(V144+MATCH(AA160,V160:Z160,0)-1,"")</f>
        <v>2012</v>
      </c>
      <c r="AC160" t="str">
        <f t="shared" si="37"/>
        <v>Low</v>
      </c>
      <c r="AE160">
        <f>IF(ISNUMBER(MATCH("N/A",J160:N160,0)),"",IFERROR((5 * SUMPRODUCT(J144:N144,J160:N160) - PRODUCT(SUM(J144:N144),SUM(J160:N160))) / ((5 * SUM((J144^2)+(K144^2)+(L144^2)+(M144^2)+(N144^2))) - SUM(J144:N144)^2),""))</f>
        <v>82929000</v>
      </c>
      <c r="AF160">
        <f>IFERROR(CORREL(J144:N144,J160:N160),"")</f>
        <v>0.9526846422692743</v>
      </c>
      <c r="AZ160">
        <f t="shared" si="38"/>
        <v>1</v>
      </c>
      <c r="BA160" t="str">
        <f>IF(AZ160=1,IF(Q160="","",IF(Q160=N144,"Yes","No")),"")</f>
        <v>No</v>
      </c>
      <c r="BB160" t="str">
        <f t="shared" si="39"/>
        <v/>
      </c>
      <c r="BC160" t="str">
        <f>IF(AZ160=1,IF(S160="","",IF(S160=N144,"Yes","No")),"")</f>
        <v>No</v>
      </c>
      <c r="BD160" t="str">
        <f t="shared" si="40"/>
        <v/>
      </c>
      <c r="BE160" t="str">
        <f t="shared" si="41"/>
        <v>Increasing</v>
      </c>
      <c r="BF160" t="str">
        <f t="shared" si="42"/>
        <v>No</v>
      </c>
      <c r="BG160" t="str">
        <f t="shared" si="43"/>
        <v>No</v>
      </c>
      <c r="BH160" t="str">
        <f t="shared" si="44"/>
        <v>Yes</v>
      </c>
    </row>
    <row r="161" spans="1:60" x14ac:dyDescent="0.3">
      <c r="A161" s="1">
        <v>3</v>
      </c>
      <c r="B161" t="s">
        <v>323</v>
      </c>
      <c r="C161" t="s">
        <v>264</v>
      </c>
      <c r="D161" t="s">
        <v>324</v>
      </c>
      <c r="E161" t="s">
        <v>325</v>
      </c>
      <c r="F161" t="s">
        <v>326</v>
      </c>
      <c r="G161" t="s">
        <v>327</v>
      </c>
      <c r="I161" t="str">
        <f t="shared" si="46"/>
        <v>N/A</v>
      </c>
      <c r="J161" t="str">
        <f t="shared" si="47"/>
        <v>N/A</v>
      </c>
      <c r="K161">
        <f t="shared" si="48"/>
        <v>7.8600000000000003E-2</v>
      </c>
      <c r="L161">
        <f t="shared" si="49"/>
        <v>0.17780000000000001</v>
      </c>
      <c r="M161">
        <f t="shared" si="50"/>
        <v>6.6799999999999998E-2</v>
      </c>
      <c r="N161">
        <f t="shared" si="51"/>
        <v>-4.5000000000000005E-3</v>
      </c>
      <c r="P161">
        <f t="shared" si="27"/>
        <v>0.17780000000000001</v>
      </c>
      <c r="Q161">
        <f>IFERROR(J144+MATCH(P161,J161:N161,0)-1,"")</f>
        <v>2014</v>
      </c>
      <c r="R161">
        <f t="shared" si="28"/>
        <v>-4.5000000000000005E-3</v>
      </c>
      <c r="S161">
        <f>IFERROR(J144+MATCH(R161,J161:N161,0)-1,"")</f>
        <v>2016</v>
      </c>
      <c r="T161">
        <f t="shared" si="29"/>
        <v>7.967500000000001E-2</v>
      </c>
      <c r="U161">
        <f t="shared" si="30"/>
        <v>7.5013037755668407E-2</v>
      </c>
      <c r="V161" t="str">
        <f t="shared" si="31"/>
        <v/>
      </c>
      <c r="W161">
        <f t="shared" si="32"/>
        <v>-1.4330842106428005E-2</v>
      </c>
      <c r="X161">
        <f t="shared" si="33"/>
        <v>1.3081059364588274</v>
      </c>
      <c r="Y161">
        <f t="shared" si="34"/>
        <v>-0.17163682987931125</v>
      </c>
      <c r="Z161">
        <f t="shared" si="35"/>
        <v>-1.1221382644730886</v>
      </c>
      <c r="AA161">
        <f t="shared" si="36"/>
        <v>1.3081059364588274</v>
      </c>
      <c r="AB161">
        <f>IFERROR(V144+MATCH(AA161,V161:Z161,0)-1,"")</f>
        <v>2014</v>
      </c>
      <c r="AC161" t="str">
        <f t="shared" si="37"/>
        <v>High</v>
      </c>
      <c r="AE161" t="str">
        <f>IF(ISNUMBER(MATCH("N/A",J161:N161,0)),"",IFERROR((5 * SUMPRODUCT(J144:N144,J161:N161) - PRODUCT(SUM(J144:N144),SUM(J161:N161))) / ((5 * SUM((J144^2)+(K144^2)+(L144^2)+(M144^2)+(N144^2))) - SUM(J144:N144)^2),""))</f>
        <v/>
      </c>
      <c r="AF161">
        <f>IFERROR(CORREL(J144:N144,J161:N161),"")</f>
        <v>-0.62008593945305435</v>
      </c>
      <c r="AZ161">
        <f t="shared" si="38"/>
        <v>1</v>
      </c>
      <c r="BA161" t="str">
        <f>IF(AZ161=1,IF(Q161="","",IF(Q161=N144,"Yes","No")),"")</f>
        <v>No</v>
      </c>
      <c r="BB161" t="str">
        <f t="shared" si="39"/>
        <v/>
      </c>
      <c r="BC161" t="str">
        <f>IF(AZ161=1,IF(S161="","",IF(S161=N144,"Yes","No")),"")</f>
        <v>Yes</v>
      </c>
      <c r="BD161">
        <f t="shared" si="40"/>
        <v>-4.5000000000000005E-3</v>
      </c>
      <c r="BE161" t="str">
        <f t="shared" si="41"/>
        <v/>
      </c>
      <c r="BF161" t="str">
        <f t="shared" si="42"/>
        <v>No</v>
      </c>
      <c r="BG161" t="str">
        <f t="shared" si="43"/>
        <v>No</v>
      </c>
      <c r="BH161" t="str">
        <f t="shared" si="44"/>
        <v>No</v>
      </c>
    </row>
    <row r="162" spans="1:60" x14ac:dyDescent="0.3">
      <c r="A162" s="1">
        <v>4</v>
      </c>
      <c r="B162" t="s">
        <v>328</v>
      </c>
      <c r="C162" t="s">
        <v>264</v>
      </c>
      <c r="D162" t="s">
        <v>264</v>
      </c>
      <c r="E162" t="s">
        <v>264</v>
      </c>
      <c r="F162" t="s">
        <v>329</v>
      </c>
      <c r="G162" t="s">
        <v>330</v>
      </c>
      <c r="I162" t="str">
        <f t="shared" si="46"/>
        <v>N/A</v>
      </c>
      <c r="J162" t="str">
        <f t="shared" si="47"/>
        <v>N/A</v>
      </c>
      <c r="K162" t="str">
        <f t="shared" si="48"/>
        <v>N/A</v>
      </c>
      <c r="L162" t="str">
        <f t="shared" si="49"/>
        <v>N/A</v>
      </c>
      <c r="M162">
        <f t="shared" si="50"/>
        <v>136380000</v>
      </c>
      <c r="N162">
        <f t="shared" si="51"/>
        <v>134100000</v>
      </c>
      <c r="P162">
        <f t="shared" si="27"/>
        <v>136380000</v>
      </c>
      <c r="Q162">
        <f>IFERROR(J144+MATCH(P162,J162:N162,0)-1,"")</f>
        <v>2015</v>
      </c>
      <c r="R162">
        <f t="shared" si="28"/>
        <v>134100000</v>
      </c>
      <c r="S162">
        <f>IFERROR(J144+MATCH(R162,J162:N162,0)-1,"")</f>
        <v>2016</v>
      </c>
      <c r="T162">
        <f t="shared" si="29"/>
        <v>135240000</v>
      </c>
      <c r="U162">
        <f t="shared" si="30"/>
        <v>1612203.4611053283</v>
      </c>
      <c r="V162" t="str">
        <f t="shared" si="31"/>
        <v/>
      </c>
      <c r="W162" t="str">
        <f t="shared" si="32"/>
        <v/>
      </c>
      <c r="X162" t="str">
        <f t="shared" si="33"/>
        <v/>
      </c>
      <c r="Y162">
        <f t="shared" si="34"/>
        <v>0.70710678118654757</v>
      </c>
      <c r="Z162">
        <f t="shared" si="35"/>
        <v>-0.70710678118654757</v>
      </c>
      <c r="AA162">
        <f t="shared" si="36"/>
        <v>-0.70710678118654757</v>
      </c>
      <c r="AB162">
        <f>IFERROR(V144+MATCH(AA162,V162:Z162,0)-1,"")</f>
        <v>2016</v>
      </c>
      <c r="AC162" t="str">
        <f t="shared" si="37"/>
        <v>Low</v>
      </c>
      <c r="AE162" t="str">
        <f>IF(ISNUMBER(MATCH("N/A",J162:N162,0)),"",IFERROR((5 * SUMPRODUCT(J144:N144,J162:N162) - PRODUCT(SUM(J144:N144),SUM(J162:N162))) / ((5 * SUM((J144^2)+(K144^2)+(L144^2)+(M144^2)+(N144^2))) - SUM(J144:N144)^2),""))</f>
        <v/>
      </c>
      <c r="AF162">
        <f>IFERROR(CORREL(J144:N144,J162:N162),"")</f>
        <v>-1</v>
      </c>
      <c r="AZ162">
        <f t="shared" si="38"/>
        <v>1</v>
      </c>
      <c r="BA162" t="str">
        <f>IF(AZ162=1,IF(Q162="","",IF(Q162=N144,"Yes","No")),"")</f>
        <v>No</v>
      </c>
      <c r="BB162" t="str">
        <f t="shared" si="39"/>
        <v/>
      </c>
      <c r="BC162" t="str">
        <f>IF(AZ162=1,IF(S162="","",IF(S162=N144,"Yes","No")),"")</f>
        <v>Yes</v>
      </c>
      <c r="BD162">
        <f t="shared" si="40"/>
        <v>134100000</v>
      </c>
      <c r="BE162" t="str">
        <f t="shared" si="41"/>
        <v/>
      </c>
      <c r="BF162" t="str">
        <f t="shared" si="42"/>
        <v>No</v>
      </c>
      <c r="BG162" t="str">
        <f t="shared" si="43"/>
        <v>No</v>
      </c>
      <c r="BH162" t="str">
        <f t="shared" si="44"/>
        <v>Yes</v>
      </c>
    </row>
    <row r="163" spans="1:60" x14ac:dyDescent="0.3">
      <c r="A163" s="1">
        <v>5</v>
      </c>
      <c r="B163" t="s">
        <v>331</v>
      </c>
      <c r="C163" t="s">
        <v>332</v>
      </c>
      <c r="D163" t="s">
        <v>333</v>
      </c>
      <c r="E163" t="s">
        <v>334</v>
      </c>
      <c r="F163" t="s">
        <v>264</v>
      </c>
      <c r="G163" t="s">
        <v>335</v>
      </c>
      <c r="I163" t="str">
        <f t="shared" si="46"/>
        <v>N/A</v>
      </c>
      <c r="J163">
        <f t="shared" si="47"/>
        <v>30850000</v>
      </c>
      <c r="K163">
        <f t="shared" si="48"/>
        <v>94110000</v>
      </c>
      <c r="L163">
        <f t="shared" si="49"/>
        <v>114520000</v>
      </c>
      <c r="M163" t="str">
        <f t="shared" si="50"/>
        <v>N/A</v>
      </c>
      <c r="N163">
        <f t="shared" si="51"/>
        <v>20220000</v>
      </c>
      <c r="P163">
        <f t="shared" si="27"/>
        <v>114520000</v>
      </c>
      <c r="Q163">
        <f>IFERROR(J144+MATCH(P163,J163:N163,0)-1,"")</f>
        <v>2014</v>
      </c>
      <c r="R163">
        <f t="shared" si="28"/>
        <v>20220000</v>
      </c>
      <c r="S163">
        <f>IFERROR(J144+MATCH(R163,J163:N163,0)-1,"")</f>
        <v>2016</v>
      </c>
      <c r="T163">
        <f t="shared" si="29"/>
        <v>64925000</v>
      </c>
      <c r="U163">
        <f t="shared" si="30"/>
        <v>46443768.509169593</v>
      </c>
      <c r="V163">
        <f t="shared" si="31"/>
        <v>-0.73368292655391276</v>
      </c>
      <c r="W163">
        <f t="shared" si="32"/>
        <v>0.62839431288263958</v>
      </c>
      <c r="X163">
        <f t="shared" si="33"/>
        <v>1.0678504693306325</v>
      </c>
      <c r="Y163" t="str">
        <f t="shared" si="34"/>
        <v/>
      </c>
      <c r="Z163">
        <f t="shared" si="35"/>
        <v>-0.96256185565935937</v>
      </c>
      <c r="AA163">
        <f t="shared" si="36"/>
        <v>1.0678504693306325</v>
      </c>
      <c r="AB163">
        <f>IFERROR(V144+MATCH(AA163,V163:Z163,0)-1,"")</f>
        <v>2014</v>
      </c>
      <c r="AC163" t="str">
        <f t="shared" si="37"/>
        <v>High</v>
      </c>
      <c r="AE163" t="str">
        <f>IF(ISNUMBER(MATCH("N/A",J163:N163,0)),"",IFERROR((5 * SUMPRODUCT(J144:N144,J163:N163) - PRODUCT(SUM(J144:N144),SUM(J163:N163))) / ((5 * SUM((J144^2)+(K144^2)+(L144^2)+(M144^2)+(N144^2))) - SUM(J144:N144)^2),""))</f>
        <v/>
      </c>
      <c r="AF163">
        <f>IFERROR(CORREL(J144:N144,J163:N163),"")</f>
        <v>-0.21199519660067725</v>
      </c>
      <c r="AZ163">
        <f t="shared" si="38"/>
        <v>1</v>
      </c>
      <c r="BA163" t="str">
        <f>IF(AZ163=1,IF(Q163="","",IF(Q163=N144,"Yes","No")),"")</f>
        <v>No</v>
      </c>
      <c r="BB163" t="str">
        <f t="shared" si="39"/>
        <v/>
      </c>
      <c r="BC163" t="str">
        <f>IF(AZ163=1,IF(S163="","",IF(S163=N144,"Yes","No")),"")</f>
        <v>Yes</v>
      </c>
      <c r="BD163">
        <f t="shared" si="40"/>
        <v>20220000</v>
      </c>
      <c r="BE163" t="str">
        <f t="shared" si="41"/>
        <v/>
      </c>
      <c r="BF163" t="str">
        <f t="shared" si="42"/>
        <v>No</v>
      </c>
      <c r="BG163" t="str">
        <f t="shared" si="43"/>
        <v>No</v>
      </c>
      <c r="BH163" t="str">
        <f t="shared" si="44"/>
        <v>No</v>
      </c>
    </row>
    <row r="164" spans="1:60" x14ac:dyDescent="0.3">
      <c r="A164" s="1">
        <v>6</v>
      </c>
      <c r="B164" t="s">
        <v>336</v>
      </c>
      <c r="C164" t="s">
        <v>337</v>
      </c>
      <c r="D164" t="s">
        <v>338</v>
      </c>
      <c r="E164" t="s">
        <v>339</v>
      </c>
      <c r="F164" t="s">
        <v>264</v>
      </c>
      <c r="G164" t="s">
        <v>340</v>
      </c>
      <c r="I164" t="str">
        <f t="shared" si="46"/>
        <v>N/A</v>
      </c>
      <c r="J164">
        <f t="shared" si="47"/>
        <v>277710000</v>
      </c>
      <c r="K164">
        <f t="shared" si="48"/>
        <v>185850000</v>
      </c>
      <c r="L164">
        <f t="shared" si="49"/>
        <v>-114520000</v>
      </c>
      <c r="M164" t="str">
        <f t="shared" si="50"/>
        <v>N/A</v>
      </c>
      <c r="N164">
        <f t="shared" si="51"/>
        <v>236230000</v>
      </c>
      <c r="P164">
        <f t="shared" si="27"/>
        <v>277710000</v>
      </c>
      <c r="Q164">
        <f>IFERROR(J144+MATCH(P164,J164:N164,0)-1,"")</f>
        <v>2012</v>
      </c>
      <c r="R164">
        <f t="shared" si="28"/>
        <v>-114520000</v>
      </c>
      <c r="S164">
        <f>IFERROR(J144+MATCH(R164,J164:N164,0)-1,"")</f>
        <v>2014</v>
      </c>
      <c r="T164">
        <f t="shared" si="29"/>
        <v>146317500</v>
      </c>
      <c r="U164">
        <f t="shared" si="30"/>
        <v>177901908.06078127</v>
      </c>
      <c r="V164">
        <f t="shared" si="31"/>
        <v>0.73856712068039743</v>
      </c>
      <c r="W164">
        <f t="shared" si="32"/>
        <v>0.22221515458110477</v>
      </c>
      <c r="X164">
        <f t="shared" si="33"/>
        <v>-1.4661871974463774</v>
      </c>
      <c r="Y164" t="str">
        <f t="shared" si="34"/>
        <v/>
      </c>
      <c r="Z164">
        <f t="shared" si="35"/>
        <v>0.50540492218487532</v>
      </c>
      <c r="AA164">
        <f t="shared" si="36"/>
        <v>-1.4661871974463774</v>
      </c>
      <c r="AB164">
        <f>IFERROR(V144+MATCH(AA164,V164:Z164,0)-1,"")</f>
        <v>2014</v>
      </c>
      <c r="AC164" t="str">
        <f t="shared" si="37"/>
        <v>Low</v>
      </c>
      <c r="AE164" t="str">
        <f>IF(ISNUMBER(MATCH("N/A",J164:N164,0)),"",IFERROR((5 * SUMPRODUCT(J144:N144,J164:N164) - PRODUCT(SUM(J144:N144),SUM(J164:N164))) / ((5 * SUM((J144^2)+(K144^2)+(L144^2)+(M144^2)+(N144^2))) - SUM(J144:N144)^2),""))</f>
        <v/>
      </c>
      <c r="AF164">
        <f>IFERROR(CORREL(J144:N144,J164:N164),"")</f>
        <v>-0.13438915972144211</v>
      </c>
      <c r="AZ164">
        <f t="shared" si="38"/>
        <v>1</v>
      </c>
      <c r="BA164" t="str">
        <f>IF(AZ164=1,IF(Q164="","",IF(Q164=N144,"Yes","No")),"")</f>
        <v>No</v>
      </c>
      <c r="BB164" t="str">
        <f t="shared" si="39"/>
        <v/>
      </c>
      <c r="BC164" t="str">
        <f>IF(AZ164=1,IF(S164="","",IF(S164=N144,"Yes","No")),"")</f>
        <v>No</v>
      </c>
      <c r="BD164" t="str">
        <f t="shared" si="40"/>
        <v/>
      </c>
      <c r="BE164" t="str">
        <f t="shared" si="41"/>
        <v/>
      </c>
      <c r="BF164" t="str">
        <f t="shared" si="42"/>
        <v>No</v>
      </c>
      <c r="BG164" t="str">
        <f t="shared" si="43"/>
        <v>No</v>
      </c>
      <c r="BH164" t="str">
        <f t="shared" si="44"/>
        <v>No</v>
      </c>
    </row>
    <row r="165" spans="1:60" x14ac:dyDescent="0.3">
      <c r="A165" s="1">
        <v>7</v>
      </c>
      <c r="B165" t="s">
        <v>341</v>
      </c>
      <c r="C165" t="s">
        <v>342</v>
      </c>
      <c r="D165" t="s">
        <v>343</v>
      </c>
      <c r="E165" t="s">
        <v>344</v>
      </c>
      <c r="F165" t="s">
        <v>345</v>
      </c>
      <c r="G165" t="s">
        <v>346</v>
      </c>
      <c r="I165" t="str">
        <f t="shared" si="46"/>
        <v>N/A</v>
      </c>
      <c r="J165">
        <f t="shared" si="47"/>
        <v>2000000</v>
      </c>
      <c r="K165">
        <f t="shared" si="48"/>
        <v>1730000</v>
      </c>
      <c r="L165">
        <f t="shared" si="49"/>
        <v>-669000</v>
      </c>
      <c r="M165">
        <f t="shared" si="50"/>
        <v>-2990000</v>
      </c>
      <c r="N165">
        <f t="shared" si="51"/>
        <v>2880000</v>
      </c>
      <c r="P165">
        <f t="shared" si="27"/>
        <v>2880000</v>
      </c>
      <c r="Q165">
        <f>IFERROR(J144+MATCH(P165,J165:N165,0)-1,"")</f>
        <v>2016</v>
      </c>
      <c r="R165">
        <f t="shared" si="28"/>
        <v>-2990000</v>
      </c>
      <c r="S165">
        <f>IFERROR(J144+MATCH(R165,J165:N165,0)-1,"")</f>
        <v>2015</v>
      </c>
      <c r="T165">
        <f t="shared" si="29"/>
        <v>590200</v>
      </c>
      <c r="U165">
        <f t="shared" si="30"/>
        <v>2394435.2570073805</v>
      </c>
      <c r="V165">
        <f t="shared" si="31"/>
        <v>0.58878184151113777</v>
      </c>
      <c r="W165">
        <f t="shared" si="32"/>
        <v>0.47602038796594898</v>
      </c>
      <c r="X165">
        <f t="shared" si="33"/>
        <v>-0.52588600853371026</v>
      </c>
      <c r="Y165">
        <f t="shared" si="34"/>
        <v>-1.4952168740092038</v>
      </c>
      <c r="Z165">
        <f t="shared" si="35"/>
        <v>0.95630065306582734</v>
      </c>
      <c r="AA165">
        <f t="shared" si="36"/>
        <v>-1.4952168740092038</v>
      </c>
      <c r="AB165">
        <f>IFERROR(V144+MATCH(AA165,V165:Z165,0)-1,"")</f>
        <v>2015</v>
      </c>
      <c r="AC165" t="str">
        <f t="shared" si="37"/>
        <v>Low</v>
      </c>
      <c r="AE165">
        <f>IF(ISNUMBER(MATCH("N/A",J165:N165,0)),"",IFERROR((5 * SUMPRODUCT(J144:N144,J165:N165) - PRODUCT(SUM(J144:N144),SUM(J165:N165))) / ((5 * SUM((J144^2)+(K144^2)+(L144^2)+(M144^2)+(N144^2))) - SUM(J144:N144)^2),""))</f>
        <v>-296000</v>
      </c>
      <c r="AF165">
        <f>IFERROR(CORREL(J144:N144,J165:N165),"")</f>
        <v>-0.19546032507467273</v>
      </c>
      <c r="AZ165">
        <f t="shared" si="38"/>
        <v>1</v>
      </c>
      <c r="BA165" t="str">
        <f>IF(AZ165=1,IF(Q165="","",IF(Q165=N144,"Yes","No")),"")</f>
        <v>Yes</v>
      </c>
      <c r="BB165">
        <f t="shared" si="39"/>
        <v>2880000</v>
      </c>
      <c r="BC165" t="str">
        <f>IF(AZ165=1,IF(S165="","",IF(S165=N144,"Yes","No")),"")</f>
        <v>No</v>
      </c>
      <c r="BD165" t="str">
        <f t="shared" si="40"/>
        <v/>
      </c>
      <c r="BE165" t="str">
        <f t="shared" si="41"/>
        <v>Decreasing</v>
      </c>
      <c r="BF165" t="str">
        <f t="shared" si="42"/>
        <v>No</v>
      </c>
      <c r="BG165" t="str">
        <f t="shared" si="43"/>
        <v>No</v>
      </c>
      <c r="BH165" t="str">
        <f t="shared" si="44"/>
        <v>No</v>
      </c>
    </row>
    <row r="166" spans="1:60" x14ac:dyDescent="0.3">
      <c r="A166" s="1">
        <v>8</v>
      </c>
      <c r="B166" t="s">
        <v>347</v>
      </c>
      <c r="C166" t="s">
        <v>348</v>
      </c>
      <c r="D166" t="s">
        <v>349</v>
      </c>
      <c r="E166" t="s">
        <v>350</v>
      </c>
      <c r="F166" t="s">
        <v>351</v>
      </c>
      <c r="G166" t="s">
        <v>352</v>
      </c>
      <c r="I166" t="str">
        <f t="shared" si="46"/>
        <v>N/A</v>
      </c>
      <c r="J166">
        <f t="shared" si="47"/>
        <v>3540000</v>
      </c>
      <c r="K166">
        <f t="shared" si="48"/>
        <v>3000000</v>
      </c>
      <c r="L166">
        <f t="shared" si="49"/>
        <v>2920000</v>
      </c>
      <c r="M166">
        <f t="shared" si="50"/>
        <v>2190000</v>
      </c>
      <c r="N166">
        <f t="shared" si="51"/>
        <v>2700000</v>
      </c>
      <c r="P166">
        <f t="shared" si="27"/>
        <v>3540000</v>
      </c>
      <c r="Q166">
        <f>IFERROR(J144+MATCH(P166,J166:N166,0)-1,"")</f>
        <v>2012</v>
      </c>
      <c r="R166">
        <f t="shared" si="28"/>
        <v>2190000</v>
      </c>
      <c r="S166">
        <f>IFERROR(J144+MATCH(R166,J166:N166,0)-1,"")</f>
        <v>2015</v>
      </c>
      <c r="T166">
        <f t="shared" si="29"/>
        <v>2870000</v>
      </c>
      <c r="U166">
        <f t="shared" si="30"/>
        <v>489795.87585033831</v>
      </c>
      <c r="V166">
        <f t="shared" si="31"/>
        <v>1.3679167854094483</v>
      </c>
      <c r="W166">
        <f t="shared" si="32"/>
        <v>0.26541668970631088</v>
      </c>
      <c r="X166">
        <f t="shared" si="33"/>
        <v>0.10208334219473494</v>
      </c>
      <c r="Y166">
        <f t="shared" si="34"/>
        <v>-1.3883334538483953</v>
      </c>
      <c r="Z166">
        <f t="shared" si="35"/>
        <v>-0.34708336346209884</v>
      </c>
      <c r="AA166">
        <f t="shared" si="36"/>
        <v>-1.3883334538483953</v>
      </c>
      <c r="AB166">
        <f>IFERROR(V144+MATCH(AA166,V166:Z166,0)-1,"")</f>
        <v>2015</v>
      </c>
      <c r="AC166" t="str">
        <f t="shared" si="37"/>
        <v>Low</v>
      </c>
      <c r="AE166">
        <f>IF(ISNUMBER(MATCH("N/A",J166:N166,0)),"",IFERROR((5 * SUMPRODUCT(J144:N144,J166:N166) - PRODUCT(SUM(J144:N144),SUM(J166:N166))) / ((5 * SUM((J144^2)+(K144^2)+(L144^2)+(M144^2)+(N144^2))) - SUM(J144:N144)^2),""))</f>
        <v>-249000</v>
      </c>
      <c r="AF166">
        <f>IFERROR(CORREL(J144:N144,J166:N166),"")</f>
        <v>-0.80381152251935872</v>
      </c>
      <c r="AZ166">
        <f t="shared" si="38"/>
        <v>1</v>
      </c>
      <c r="BA166" t="str">
        <f>IF(AZ166=1,IF(Q166="","",IF(Q166=N144,"Yes","No")),"")</f>
        <v>No</v>
      </c>
      <c r="BB166" t="str">
        <f t="shared" si="39"/>
        <v/>
      </c>
      <c r="BC166" t="str">
        <f>IF(AZ166=1,IF(S166="","",IF(S166=N144,"Yes","No")),"")</f>
        <v>No</v>
      </c>
      <c r="BD166" t="str">
        <f t="shared" si="40"/>
        <v/>
      </c>
      <c r="BE166" t="str">
        <f t="shared" si="41"/>
        <v>Decreasing</v>
      </c>
      <c r="BF166" t="str">
        <f t="shared" si="42"/>
        <v>No</v>
      </c>
      <c r="BG166" t="str">
        <f t="shared" si="43"/>
        <v>No</v>
      </c>
      <c r="BH166" t="str">
        <f t="shared" si="44"/>
        <v>Yes</v>
      </c>
    </row>
    <row r="167" spans="1:60" x14ac:dyDescent="0.3">
      <c r="A167" s="1">
        <v>9</v>
      </c>
      <c r="B167" t="s">
        <v>353</v>
      </c>
      <c r="C167" t="s">
        <v>264</v>
      </c>
      <c r="D167" t="s">
        <v>264</v>
      </c>
      <c r="E167" t="s">
        <v>264</v>
      </c>
      <c r="F167" t="s">
        <v>264</v>
      </c>
      <c r="G167" t="s">
        <v>264</v>
      </c>
      <c r="I167" t="str">
        <f t="shared" si="46"/>
        <v>N/A</v>
      </c>
      <c r="J167" t="str">
        <f t="shared" si="47"/>
        <v>N/A</v>
      </c>
      <c r="K167" t="str">
        <f t="shared" si="48"/>
        <v>N/A</v>
      </c>
      <c r="L167" t="str">
        <f t="shared" si="49"/>
        <v>N/A</v>
      </c>
      <c r="M167" t="str">
        <f t="shared" si="50"/>
        <v>N/A</v>
      </c>
      <c r="N167" t="str">
        <f t="shared" si="51"/>
        <v>N/A</v>
      </c>
      <c r="P167">
        <f t="shared" si="27"/>
        <v>0</v>
      </c>
      <c r="Q167" t="str">
        <f>IFERROR(J144+MATCH(P167,J167:N167,0)-1,"")</f>
        <v/>
      </c>
      <c r="R167" t="str">
        <f t="shared" si="28"/>
        <v/>
      </c>
      <c r="S167" t="str">
        <f>IFERROR(J144+MATCH(R167,J167:N167,0)-1,"")</f>
        <v/>
      </c>
      <c r="T167" t="str">
        <f t="shared" si="29"/>
        <v/>
      </c>
      <c r="U167" t="str">
        <f t="shared" si="30"/>
        <v/>
      </c>
      <c r="V167" t="str">
        <f t="shared" si="31"/>
        <v/>
      </c>
      <c r="W167" t="str">
        <f t="shared" si="32"/>
        <v/>
      </c>
      <c r="X167" t="str">
        <f t="shared" si="33"/>
        <v/>
      </c>
      <c r="Y167" t="str">
        <f t="shared" si="34"/>
        <v/>
      </c>
      <c r="Z167" t="str">
        <f t="shared" si="35"/>
        <v/>
      </c>
      <c r="AA167">
        <f t="shared" si="36"/>
        <v>0</v>
      </c>
      <c r="AB167" t="str">
        <f>IFERROR(V144+MATCH(AA167,V167:Z167,0)-1,"")</f>
        <v/>
      </c>
      <c r="AC167" t="str">
        <f t="shared" si="37"/>
        <v/>
      </c>
      <c r="AE167" t="str">
        <f>IF(ISNUMBER(MATCH("N/A",J167:N167,0)),"",IFERROR((5 * SUMPRODUCT(J144:N144,J167:N167) - PRODUCT(SUM(J144:N144),SUM(J167:N167))) / ((5 * SUM((J144^2)+(K144^2)+(L144^2)+(M144^2)+(N144^2))) - SUM(J144:N144)^2),""))</f>
        <v/>
      </c>
      <c r="AF167" t="str">
        <f>IFERROR(CORREL(J144:N144,J167:N167),"")</f>
        <v/>
      </c>
      <c r="AZ167">
        <f t="shared" si="38"/>
        <v>0</v>
      </c>
      <c r="BA167" t="str">
        <f>IF(AZ167=1,IF(Q167="","",IF(Q167=N144,"Yes","No")),"")</f>
        <v/>
      </c>
      <c r="BB167" t="str">
        <f t="shared" si="39"/>
        <v/>
      </c>
      <c r="BC167" t="str">
        <f>IF(AZ167=1,IF(S167="","",IF(S167=N144,"Yes","No")),"")</f>
        <v/>
      </c>
      <c r="BD167" t="str">
        <f t="shared" si="40"/>
        <v/>
      </c>
      <c r="BE167" t="str">
        <f t="shared" si="41"/>
        <v/>
      </c>
      <c r="BF167" t="str">
        <f t="shared" si="42"/>
        <v>No</v>
      </c>
      <c r="BG167" t="str">
        <f t="shared" si="43"/>
        <v>No</v>
      </c>
      <c r="BH167" t="str">
        <f t="shared" si="44"/>
        <v/>
      </c>
    </row>
    <row r="168" spans="1:60" x14ac:dyDescent="0.3">
      <c r="A168" s="1">
        <v>10</v>
      </c>
      <c r="B168" t="s">
        <v>354</v>
      </c>
      <c r="C168" t="s">
        <v>355</v>
      </c>
      <c r="D168" t="s">
        <v>356</v>
      </c>
      <c r="E168" t="s">
        <v>357</v>
      </c>
      <c r="F168" t="s">
        <v>358</v>
      </c>
      <c r="G168" t="s">
        <v>359</v>
      </c>
      <c r="I168" t="str">
        <f t="shared" si="46"/>
        <v>N/A</v>
      </c>
      <c r="J168">
        <f t="shared" si="47"/>
        <v>6390000</v>
      </c>
      <c r="K168">
        <f t="shared" si="48"/>
        <v>5610000</v>
      </c>
      <c r="L168">
        <f t="shared" si="49"/>
        <v>19220000</v>
      </c>
      <c r="M168">
        <f t="shared" si="50"/>
        <v>23340000</v>
      </c>
      <c r="N168">
        <f t="shared" si="51"/>
        <v>23390000</v>
      </c>
      <c r="P168">
        <f t="shared" si="27"/>
        <v>23390000</v>
      </c>
      <c r="Q168">
        <f>IFERROR(J144+MATCH(P168,J168:N168,0)-1,"")</f>
        <v>2016</v>
      </c>
      <c r="R168">
        <f t="shared" si="28"/>
        <v>5610000</v>
      </c>
      <c r="S168">
        <f>IFERROR(J144+MATCH(R168,J168:N168,0)-1,"")</f>
        <v>2013</v>
      </c>
      <c r="T168">
        <f t="shared" si="29"/>
        <v>15590000</v>
      </c>
      <c r="U168">
        <f t="shared" si="30"/>
        <v>8920759.4968141578</v>
      </c>
      <c r="V168">
        <f t="shared" si="31"/>
        <v>-1.0313023238980454</v>
      </c>
      <c r="W168">
        <f t="shared" si="32"/>
        <v>-1.1187388252720103</v>
      </c>
      <c r="X168">
        <f t="shared" si="33"/>
        <v>0.40691602562498969</v>
      </c>
      <c r="Y168">
        <f t="shared" si="34"/>
        <v>0.86876010980541873</v>
      </c>
      <c r="Z168">
        <f t="shared" si="35"/>
        <v>0.87436501373964726</v>
      </c>
      <c r="AA168">
        <f t="shared" si="36"/>
        <v>-1.1187388252720103</v>
      </c>
      <c r="AB168">
        <f>IFERROR(V144+MATCH(AA168,V168:Z168,0)-1,"")</f>
        <v>2013</v>
      </c>
      <c r="AC168" t="str">
        <f t="shared" si="37"/>
        <v>Low</v>
      </c>
      <c r="AE168">
        <f>IF(ISNUMBER(MATCH("N/A",J168:N168,0)),"",IFERROR((5 * SUMPRODUCT(J144:N144,J168:N168) - PRODUCT(SUM(J144:N144),SUM(J168:N168))) / ((5 * SUM((J144^2)+(K144^2)+(L144^2)+(M144^2)+(N144^2))) - SUM(J144:N144)^2),""))</f>
        <v>5173000</v>
      </c>
      <c r="AF168">
        <f>IFERROR(CORREL(J144:N144,J168:N168),"")</f>
        <v>0.91687609905261258</v>
      </c>
      <c r="AZ168">
        <f t="shared" si="38"/>
        <v>1</v>
      </c>
      <c r="BA168" t="str">
        <f>IF(AZ168=1,IF(Q168="","",IF(Q168=N144,"Yes","No")),"")</f>
        <v>Yes</v>
      </c>
      <c r="BB168">
        <f t="shared" si="39"/>
        <v>23390000</v>
      </c>
      <c r="BC168" t="str">
        <f>IF(AZ168=1,IF(S168="","",IF(S168=N144,"Yes","No")),"")</f>
        <v>No</v>
      </c>
      <c r="BD168" t="str">
        <f t="shared" si="40"/>
        <v/>
      </c>
      <c r="BE168" t="str">
        <f t="shared" si="41"/>
        <v>Increasing</v>
      </c>
      <c r="BF168" t="str">
        <f t="shared" si="42"/>
        <v>Yes</v>
      </c>
      <c r="BG168" t="str">
        <f t="shared" si="43"/>
        <v>No</v>
      </c>
      <c r="BH168" t="str">
        <f t="shared" si="44"/>
        <v>Yes</v>
      </c>
    </row>
    <row r="169" spans="1:60" x14ac:dyDescent="0.3">
      <c r="A169" s="1">
        <v>11</v>
      </c>
      <c r="B169" t="s">
        <v>360</v>
      </c>
      <c r="C169" t="s">
        <v>264</v>
      </c>
      <c r="D169" t="s">
        <v>361</v>
      </c>
      <c r="E169" t="s">
        <v>362</v>
      </c>
      <c r="F169" t="s">
        <v>363</v>
      </c>
      <c r="G169" t="s">
        <v>364</v>
      </c>
      <c r="I169" t="str">
        <f t="shared" si="46"/>
        <v>N/A</v>
      </c>
      <c r="J169" t="str">
        <f t="shared" si="47"/>
        <v>N/A</v>
      </c>
      <c r="K169">
        <f t="shared" si="48"/>
        <v>-0.12189999999999999</v>
      </c>
      <c r="L169">
        <f t="shared" si="49"/>
        <v>2.4233000000000002</v>
      </c>
      <c r="M169">
        <f t="shared" si="50"/>
        <v>0.21460000000000001</v>
      </c>
      <c r="N169">
        <f t="shared" si="51"/>
        <v>2.2000000000000001E-3</v>
      </c>
      <c r="P169">
        <f t="shared" si="27"/>
        <v>2.4233000000000002</v>
      </c>
      <c r="Q169">
        <f>IFERROR(J144+MATCH(P169,J169:N169,0)-1,"")</f>
        <v>2014</v>
      </c>
      <c r="R169">
        <f t="shared" si="28"/>
        <v>-0.12189999999999999</v>
      </c>
      <c r="S169">
        <f>IFERROR(J144+MATCH(R169,J169:N169,0)-1,"")</f>
        <v>2013</v>
      </c>
      <c r="T169">
        <f t="shared" si="29"/>
        <v>0.62955000000000005</v>
      </c>
      <c r="U169">
        <f t="shared" si="30"/>
        <v>1.203878134751742</v>
      </c>
      <c r="V169" t="str">
        <f t="shared" si="31"/>
        <v/>
      </c>
      <c r="W169">
        <f t="shared" si="32"/>
        <v>-0.6241910857156322</v>
      </c>
      <c r="X169">
        <f t="shared" si="33"/>
        <v>1.4899763923114184</v>
      </c>
      <c r="Y169">
        <f t="shared" si="34"/>
        <v>-0.34467774438445886</v>
      </c>
      <c r="Z169">
        <f t="shared" si="35"/>
        <v>-0.52110756221132726</v>
      </c>
      <c r="AA169">
        <f t="shared" si="36"/>
        <v>1.4899763923114184</v>
      </c>
      <c r="AB169">
        <f>IFERROR(V144+MATCH(AA169,V169:Z169,0)-1,"")</f>
        <v>2014</v>
      </c>
      <c r="AC169" t="str">
        <f t="shared" si="37"/>
        <v>High</v>
      </c>
      <c r="AE169" t="str">
        <f>IF(ISNUMBER(MATCH("N/A",J169:N169,0)),"",IFERROR((5 * SUMPRODUCT(J144:N144,J169:N169) - PRODUCT(SUM(J144:N144),SUM(J169:N169))) / ((5 * SUM((J144^2)+(K144^2)+(L144^2)+(M144^2)+(N144^2))) - SUM(J144:N144)^2),""))</f>
        <v/>
      </c>
      <c r="AF169">
        <f>IFERROR(CORREL(J144:N144,J169:N169),"")</f>
        <v>-0.19692875360240053</v>
      </c>
      <c r="AZ169">
        <f t="shared" si="38"/>
        <v>1</v>
      </c>
      <c r="BA169" t="str">
        <f>IF(AZ169=1,IF(Q169="","",IF(Q169=N144,"Yes","No")),"")</f>
        <v>No</v>
      </c>
      <c r="BB169" t="str">
        <f t="shared" si="39"/>
        <v/>
      </c>
      <c r="BC169" t="str">
        <f>IF(AZ169=1,IF(S169="","",IF(S169=N144,"Yes","No")),"")</f>
        <v>No</v>
      </c>
      <c r="BD169" t="str">
        <f t="shared" si="40"/>
        <v/>
      </c>
      <c r="BE169" t="str">
        <f t="shared" si="41"/>
        <v/>
      </c>
      <c r="BF169" t="str">
        <f t="shared" si="42"/>
        <v>No</v>
      </c>
      <c r="BG169" t="str">
        <f t="shared" si="43"/>
        <v>No</v>
      </c>
      <c r="BH169" t="str">
        <f t="shared" si="44"/>
        <v>No</v>
      </c>
    </row>
    <row r="170" spans="1:60" x14ac:dyDescent="0.3">
      <c r="A170" s="1">
        <v>12</v>
      </c>
      <c r="B170" t="s">
        <v>365</v>
      </c>
      <c r="C170" t="s">
        <v>355</v>
      </c>
      <c r="D170" t="s">
        <v>356</v>
      </c>
      <c r="E170" t="s">
        <v>357</v>
      </c>
      <c r="F170" t="s">
        <v>358</v>
      </c>
      <c r="G170" t="s">
        <v>359</v>
      </c>
      <c r="I170" t="str">
        <f t="shared" si="46"/>
        <v>N/A</v>
      </c>
      <c r="J170">
        <f t="shared" si="47"/>
        <v>6390000</v>
      </c>
      <c r="K170">
        <f t="shared" si="48"/>
        <v>5610000</v>
      </c>
      <c r="L170">
        <f t="shared" si="49"/>
        <v>19220000</v>
      </c>
      <c r="M170">
        <f t="shared" si="50"/>
        <v>23340000</v>
      </c>
      <c r="N170">
        <f t="shared" si="51"/>
        <v>23390000</v>
      </c>
      <c r="P170">
        <f t="shared" si="27"/>
        <v>23390000</v>
      </c>
      <c r="Q170">
        <f>IFERROR(J144+MATCH(P170,J170:N170,0)-1,"")</f>
        <v>2016</v>
      </c>
      <c r="R170">
        <f t="shared" si="28"/>
        <v>5610000</v>
      </c>
      <c r="S170">
        <f>IFERROR(J144+MATCH(R170,J170:N170,0)-1,"")</f>
        <v>2013</v>
      </c>
      <c r="T170">
        <f t="shared" si="29"/>
        <v>15590000</v>
      </c>
      <c r="U170">
        <f t="shared" si="30"/>
        <v>8920759.4968141578</v>
      </c>
      <c r="V170">
        <f t="shared" si="31"/>
        <v>-1.0313023238980454</v>
      </c>
      <c r="W170">
        <f t="shared" si="32"/>
        <v>-1.1187388252720103</v>
      </c>
      <c r="X170">
        <f t="shared" si="33"/>
        <v>0.40691602562498969</v>
      </c>
      <c r="Y170">
        <f t="shared" si="34"/>
        <v>0.86876010980541873</v>
      </c>
      <c r="Z170">
        <f t="shared" si="35"/>
        <v>0.87436501373964726</v>
      </c>
      <c r="AA170">
        <f t="shared" si="36"/>
        <v>-1.1187388252720103</v>
      </c>
      <c r="AB170">
        <f>IFERROR(V144+MATCH(AA170,V170:Z170,0)-1,"")</f>
        <v>2013</v>
      </c>
      <c r="AC170" t="str">
        <f t="shared" si="37"/>
        <v>Low</v>
      </c>
      <c r="AE170">
        <f>IF(ISNUMBER(MATCH("N/A",J170:N170,0)),"",IFERROR((5 * SUMPRODUCT(J144:N144,J170:N170) - PRODUCT(SUM(J144:N144),SUM(J170:N170))) / ((5 * SUM((J144^2)+(K144^2)+(L144^2)+(M144^2)+(N144^2))) - SUM(J144:N144)^2),""))</f>
        <v>5173000</v>
      </c>
      <c r="AF170">
        <f>IFERROR(CORREL(J144:N144,J170:N170),"")</f>
        <v>0.91687609905261258</v>
      </c>
      <c r="AZ170">
        <f t="shared" si="38"/>
        <v>1</v>
      </c>
      <c r="BA170" t="str">
        <f>IF(AZ170=1,IF(Q170="","",IF(Q170=N144,"Yes","No")),"")</f>
        <v>Yes</v>
      </c>
      <c r="BB170">
        <f t="shared" si="39"/>
        <v>23390000</v>
      </c>
      <c r="BC170" t="str">
        <f>IF(AZ170=1,IF(S170="","",IF(S170=N144,"Yes","No")),"")</f>
        <v>No</v>
      </c>
      <c r="BD170" t="str">
        <f t="shared" si="40"/>
        <v/>
      </c>
      <c r="BE170" t="str">
        <f t="shared" si="41"/>
        <v>Increasing</v>
      </c>
      <c r="BF170" t="str">
        <f t="shared" si="42"/>
        <v>Yes</v>
      </c>
      <c r="BG170" t="str">
        <f t="shared" si="43"/>
        <v>No</v>
      </c>
      <c r="BH170" t="str">
        <f t="shared" si="44"/>
        <v>Yes</v>
      </c>
    </row>
    <row r="171" spans="1:60" x14ac:dyDescent="0.3">
      <c r="A171" s="1">
        <v>13</v>
      </c>
      <c r="B171" t="s">
        <v>366</v>
      </c>
      <c r="C171" t="s">
        <v>264</v>
      </c>
      <c r="D171" t="s">
        <v>264</v>
      </c>
      <c r="E171" t="s">
        <v>264</v>
      </c>
      <c r="F171" t="s">
        <v>264</v>
      </c>
      <c r="G171" t="s">
        <v>264</v>
      </c>
      <c r="I171" t="str">
        <f t="shared" si="46"/>
        <v>N/A</v>
      </c>
      <c r="J171" t="str">
        <f t="shared" si="47"/>
        <v>N/A</v>
      </c>
      <c r="K171" t="str">
        <f t="shared" si="48"/>
        <v>N/A</v>
      </c>
      <c r="L171" t="str">
        <f t="shared" si="49"/>
        <v>N/A</v>
      </c>
      <c r="M171" t="str">
        <f t="shared" si="50"/>
        <v>N/A</v>
      </c>
      <c r="N171" t="str">
        <f t="shared" si="51"/>
        <v>N/A</v>
      </c>
      <c r="P171">
        <f t="shared" si="27"/>
        <v>0</v>
      </c>
      <c r="Q171" t="str">
        <f>IFERROR(J144+MATCH(P171,J171:N171,0)-1,"")</f>
        <v/>
      </c>
      <c r="R171" t="str">
        <f t="shared" si="28"/>
        <v/>
      </c>
      <c r="S171" t="str">
        <f>IFERROR(J144+MATCH(R171,J171:N171,0)-1,"")</f>
        <v/>
      </c>
      <c r="T171" t="str">
        <f t="shared" si="29"/>
        <v/>
      </c>
      <c r="U171" t="str">
        <f t="shared" si="30"/>
        <v/>
      </c>
      <c r="V171" t="str">
        <f t="shared" si="31"/>
        <v/>
      </c>
      <c r="W171" t="str">
        <f t="shared" si="32"/>
        <v/>
      </c>
      <c r="X171" t="str">
        <f t="shared" si="33"/>
        <v/>
      </c>
      <c r="Y171" t="str">
        <f t="shared" si="34"/>
        <v/>
      </c>
      <c r="Z171" t="str">
        <f t="shared" si="35"/>
        <v/>
      </c>
      <c r="AA171">
        <f t="shared" si="36"/>
        <v>0</v>
      </c>
      <c r="AB171" t="str">
        <f>IFERROR(V144+MATCH(AA171,V171:Z171,0)-1,"")</f>
        <v/>
      </c>
      <c r="AC171" t="str">
        <f t="shared" si="37"/>
        <v/>
      </c>
      <c r="AE171" t="str">
        <f>IF(ISNUMBER(MATCH("N/A",J171:N171,0)),"",IFERROR((5 * SUMPRODUCT(J144:N144,J171:N171) - PRODUCT(SUM(J144:N144),SUM(J171:N171))) / ((5 * SUM((J144^2)+(K144^2)+(L144^2)+(M144^2)+(N144^2))) - SUM(J144:N144)^2),""))</f>
        <v/>
      </c>
      <c r="AF171" t="str">
        <f>IFERROR(CORREL(J144:N144,J171:N171),"")</f>
        <v/>
      </c>
      <c r="AZ171">
        <f t="shared" si="38"/>
        <v>0</v>
      </c>
      <c r="BA171" t="str">
        <f>IF(AZ171=1,IF(Q171="","",IF(Q171=N144,"Yes","No")),"")</f>
        <v/>
      </c>
      <c r="BB171" t="str">
        <f t="shared" si="39"/>
        <v/>
      </c>
      <c r="BC171" t="str">
        <f>IF(AZ171=1,IF(S171="","",IF(S171=N144,"Yes","No")),"")</f>
        <v/>
      </c>
      <c r="BD171" t="str">
        <f t="shared" si="40"/>
        <v/>
      </c>
      <c r="BE171" t="str">
        <f t="shared" si="41"/>
        <v/>
      </c>
      <c r="BF171" t="str">
        <f t="shared" si="42"/>
        <v>No</v>
      </c>
      <c r="BG171" t="str">
        <f t="shared" si="43"/>
        <v>No</v>
      </c>
      <c r="BH171" t="str">
        <f t="shared" si="44"/>
        <v/>
      </c>
    </row>
    <row r="172" spans="1:60" x14ac:dyDescent="0.3">
      <c r="A172" s="1">
        <v>14</v>
      </c>
      <c r="B172" t="s">
        <v>367</v>
      </c>
      <c r="C172" t="s">
        <v>368</v>
      </c>
      <c r="D172" t="s">
        <v>369</v>
      </c>
      <c r="E172" t="s">
        <v>370</v>
      </c>
      <c r="F172" t="s">
        <v>371</v>
      </c>
      <c r="G172" t="s">
        <v>372</v>
      </c>
      <c r="I172" t="str">
        <f t="shared" si="46"/>
        <v>N/A</v>
      </c>
      <c r="J172">
        <f t="shared" si="47"/>
        <v>276860000</v>
      </c>
      <c r="K172">
        <f t="shared" si="48"/>
        <v>184960000</v>
      </c>
      <c r="L172">
        <f t="shared" si="49"/>
        <v>121700000</v>
      </c>
      <c r="M172">
        <f t="shared" si="50"/>
        <v>213120000</v>
      </c>
      <c r="N172">
        <f t="shared" si="51"/>
        <v>218420000</v>
      </c>
      <c r="P172">
        <f t="shared" si="27"/>
        <v>276860000</v>
      </c>
      <c r="Q172">
        <f>IFERROR(J144+MATCH(P172,J172:N172,0)-1,"")</f>
        <v>2012</v>
      </c>
      <c r="R172">
        <f t="shared" si="28"/>
        <v>121700000</v>
      </c>
      <c r="S172">
        <f>IFERROR(J144+MATCH(R172,J172:N172,0)-1,"")</f>
        <v>2014</v>
      </c>
      <c r="T172">
        <f t="shared" si="29"/>
        <v>203012000</v>
      </c>
      <c r="U172">
        <f t="shared" si="30"/>
        <v>56415027.430641212</v>
      </c>
      <c r="V172">
        <f t="shared" si="31"/>
        <v>1.3090129237425534</v>
      </c>
      <c r="W172">
        <f t="shared" si="32"/>
        <v>-0.31998566378778809</v>
      </c>
      <c r="X172">
        <f t="shared" si="33"/>
        <v>-1.4413180973804909</v>
      </c>
      <c r="Y172">
        <f t="shared" si="34"/>
        <v>0.17917211885480622</v>
      </c>
      <c r="Z172">
        <f t="shared" si="35"/>
        <v>0.27311871857091946</v>
      </c>
      <c r="AA172">
        <f t="shared" si="36"/>
        <v>-1.4413180973804909</v>
      </c>
      <c r="AB172">
        <f>IFERROR(V144+MATCH(AA172,V172:Z172,0)-1,"")</f>
        <v>2014</v>
      </c>
      <c r="AC172" t="str">
        <f t="shared" si="37"/>
        <v>Low</v>
      </c>
      <c r="AE172">
        <f>IF(ISNUMBER(MATCH("N/A",J172:N172,0)),"",IFERROR((5 * SUMPRODUCT(J144:N144,J172:N172) - PRODUCT(SUM(J144:N144),SUM(J172:N172))) / ((5 * SUM((J144^2)+(K144^2)+(L144^2)+(M144^2)+(N144^2))) - SUM(J144:N144)^2),""))</f>
        <v>-8872000</v>
      </c>
      <c r="AF172">
        <f>IFERROR(CORREL(J144:N144,J172:N172),"")</f>
        <v>-0.24865473508372071</v>
      </c>
      <c r="AZ172">
        <f t="shared" si="38"/>
        <v>1</v>
      </c>
      <c r="BA172" t="str">
        <f>IF(AZ172=1,IF(Q172="","",IF(Q172=N144,"Yes","No")),"")</f>
        <v>No</v>
      </c>
      <c r="BB172" t="str">
        <f t="shared" si="39"/>
        <v/>
      </c>
      <c r="BC172" t="str">
        <f>IF(AZ172=1,IF(S172="","",IF(S172=N144,"Yes","No")),"")</f>
        <v>No</v>
      </c>
      <c r="BD172" t="str">
        <f t="shared" si="40"/>
        <v/>
      </c>
      <c r="BE172" t="str">
        <f t="shared" si="41"/>
        <v>Decreasing</v>
      </c>
      <c r="BF172" t="str">
        <f t="shared" si="42"/>
        <v>No</v>
      </c>
      <c r="BG172" t="str">
        <f t="shared" si="43"/>
        <v>No</v>
      </c>
      <c r="BH172" t="str">
        <f t="shared" si="44"/>
        <v>No</v>
      </c>
    </row>
    <row r="173" spans="1:60" x14ac:dyDescent="0.3">
      <c r="A173" s="1">
        <v>15</v>
      </c>
      <c r="B173" t="s">
        <v>373</v>
      </c>
      <c r="C173" t="s">
        <v>264</v>
      </c>
      <c r="D173" t="s">
        <v>374</v>
      </c>
      <c r="E173" t="s">
        <v>375</v>
      </c>
      <c r="F173" t="s">
        <v>376</v>
      </c>
      <c r="G173" t="s">
        <v>377</v>
      </c>
      <c r="I173" t="str">
        <f t="shared" si="46"/>
        <v>N/A</v>
      </c>
      <c r="J173" t="str">
        <f t="shared" si="47"/>
        <v>N/A</v>
      </c>
      <c r="K173">
        <f t="shared" si="48"/>
        <v>-0.33189999999999997</v>
      </c>
      <c r="L173">
        <f t="shared" si="49"/>
        <v>-0.34200000000000003</v>
      </c>
      <c r="M173">
        <f t="shared" si="50"/>
        <v>0.75109999999999999</v>
      </c>
      <c r="N173">
        <f t="shared" si="51"/>
        <v>2.4900000000000002E-2</v>
      </c>
      <c r="P173">
        <f t="shared" si="27"/>
        <v>0.75109999999999999</v>
      </c>
      <c r="Q173">
        <f>IFERROR(J144+MATCH(P173,J173:N173,0)-1,"")</f>
        <v>2015</v>
      </c>
      <c r="R173">
        <f t="shared" si="28"/>
        <v>-0.34200000000000003</v>
      </c>
      <c r="S173">
        <f>IFERROR(J144+MATCH(R173,J173:N173,0)-1,"")</f>
        <v>2014</v>
      </c>
      <c r="T173">
        <f t="shared" si="29"/>
        <v>2.5525000000000013E-2</v>
      </c>
      <c r="U173">
        <f t="shared" si="30"/>
        <v>0.51292843149247758</v>
      </c>
      <c r="V173" t="str">
        <f t="shared" si="31"/>
        <v/>
      </c>
      <c r="W173">
        <f t="shared" si="32"/>
        <v>-0.69683210766849812</v>
      </c>
      <c r="X173">
        <f t="shared" si="33"/>
        <v>-0.71652296389694292</v>
      </c>
      <c r="Y173">
        <f t="shared" si="34"/>
        <v>1.4145735651439337</v>
      </c>
      <c r="Z173">
        <f t="shared" si="35"/>
        <v>-1.2184935784928838E-3</v>
      </c>
      <c r="AA173">
        <f t="shared" si="36"/>
        <v>1.4145735651439337</v>
      </c>
      <c r="AB173">
        <f>IFERROR(V144+MATCH(AA173,V173:Z173,0)-1,"")</f>
        <v>2015</v>
      </c>
      <c r="AC173" t="str">
        <f t="shared" si="37"/>
        <v>High</v>
      </c>
      <c r="AE173" t="str">
        <f>IF(ISNUMBER(MATCH("N/A",J173:N173,0)),"",IFERROR((5 * SUMPRODUCT(J144:N144,J173:N173) - PRODUCT(SUM(J144:N144),SUM(J173:N173))) / ((5 * SUM((J144^2)+(K144^2)+(L144^2)+(M144^2)+(N144^2))) - SUM(J144:N144)^2),""))</f>
        <v/>
      </c>
      <c r="AF173">
        <f>IFERROR(CORREL(J144:N144,J173:N173),"")</f>
        <v>0.54453337314776584</v>
      </c>
      <c r="AZ173">
        <f t="shared" si="38"/>
        <v>1</v>
      </c>
      <c r="BA173" t="str">
        <f>IF(AZ173=1,IF(Q173="","",IF(Q173=N144,"Yes","No")),"")</f>
        <v>No</v>
      </c>
      <c r="BB173" t="str">
        <f t="shared" si="39"/>
        <v/>
      </c>
      <c r="BC173" t="str">
        <f>IF(AZ173=1,IF(S173="","",IF(S173=N144,"Yes","No")),"")</f>
        <v>No</v>
      </c>
      <c r="BD173" t="str">
        <f t="shared" si="40"/>
        <v/>
      </c>
      <c r="BE173" t="str">
        <f t="shared" si="41"/>
        <v/>
      </c>
      <c r="BF173" t="str">
        <f t="shared" si="42"/>
        <v>No</v>
      </c>
      <c r="BG173" t="str">
        <f t="shared" si="43"/>
        <v>No</v>
      </c>
      <c r="BH173" t="str">
        <f t="shared" si="44"/>
        <v>No</v>
      </c>
    </row>
    <row r="174" spans="1:60" x14ac:dyDescent="0.3">
      <c r="A174" s="1">
        <v>16</v>
      </c>
      <c r="B174" t="s">
        <v>378</v>
      </c>
      <c r="C174" t="s">
        <v>264</v>
      </c>
      <c r="D174" t="s">
        <v>264</v>
      </c>
      <c r="E174" t="s">
        <v>264</v>
      </c>
      <c r="F174" t="s">
        <v>264</v>
      </c>
      <c r="G174" t="s">
        <v>379</v>
      </c>
      <c r="I174" t="str">
        <f t="shared" si="46"/>
        <v>N/A</v>
      </c>
      <c r="J174" t="str">
        <f t="shared" si="47"/>
        <v>N/A</v>
      </c>
      <c r="K174" t="str">
        <f t="shared" si="48"/>
        <v>N/A</v>
      </c>
      <c r="L174" t="str">
        <f t="shared" si="49"/>
        <v>N/A</v>
      </c>
      <c r="M174" t="str">
        <f t="shared" si="50"/>
        <v>N/A</v>
      </c>
      <c r="N174">
        <f t="shared" si="51"/>
        <v>6.8099999999999994E-2</v>
      </c>
      <c r="P174">
        <f t="shared" si="27"/>
        <v>6.8099999999999994E-2</v>
      </c>
      <c r="Q174">
        <f>IFERROR(J144+MATCH(P174,J174:N174,0)-1,"")</f>
        <v>2016</v>
      </c>
      <c r="R174">
        <f t="shared" si="28"/>
        <v>6.8099999999999994E-2</v>
      </c>
      <c r="S174">
        <f>IFERROR(J144+MATCH(R174,J174:N174,0)-1,"")</f>
        <v>2016</v>
      </c>
      <c r="T174">
        <f t="shared" si="29"/>
        <v>6.8099999999999994E-2</v>
      </c>
      <c r="U174" t="str">
        <f t="shared" si="30"/>
        <v/>
      </c>
      <c r="V174" t="str">
        <f t="shared" si="31"/>
        <v/>
      </c>
      <c r="W174" t="str">
        <f t="shared" si="32"/>
        <v/>
      </c>
      <c r="X174" t="str">
        <f t="shared" si="33"/>
        <v/>
      </c>
      <c r="Y174" t="str">
        <f t="shared" si="34"/>
        <v/>
      </c>
      <c r="Z174" t="str">
        <f t="shared" si="35"/>
        <v/>
      </c>
      <c r="AA174">
        <f t="shared" si="36"/>
        <v>0</v>
      </c>
      <c r="AB174" t="str">
        <f>IFERROR(V144+MATCH(AA174,V174:Z174,0)-1,"")</f>
        <v/>
      </c>
      <c r="AC174" t="str">
        <f t="shared" si="37"/>
        <v/>
      </c>
      <c r="AE174" t="str">
        <f>IF(ISNUMBER(MATCH("N/A",J174:N174,0)),"",IFERROR((5 * SUMPRODUCT(J144:N144,J174:N174) - PRODUCT(SUM(J144:N144),SUM(J174:N174))) / ((5 * SUM((J144^2)+(K144^2)+(L144^2)+(M144^2)+(N144^2))) - SUM(J144:N144)^2),""))</f>
        <v/>
      </c>
      <c r="AF174" t="str">
        <f>IFERROR(CORREL(J144:N144,J174:N174),"")</f>
        <v/>
      </c>
      <c r="AZ174">
        <f t="shared" si="38"/>
        <v>0</v>
      </c>
      <c r="BA174" t="str">
        <f>IF(AZ174=1,IF(Q174="","",IF(Q174=N144,"Yes","No")),"")</f>
        <v/>
      </c>
      <c r="BB174" t="str">
        <f t="shared" si="39"/>
        <v/>
      </c>
      <c r="BC174" t="str">
        <f>IF(AZ174=1,IF(S174="","",IF(S174=N144,"Yes","No")),"")</f>
        <v/>
      </c>
      <c r="BD174" t="str">
        <f t="shared" si="40"/>
        <v/>
      </c>
      <c r="BE174" t="str">
        <f t="shared" si="41"/>
        <v/>
      </c>
      <c r="BF174" t="str">
        <f t="shared" si="42"/>
        <v>No</v>
      </c>
      <c r="BG174" t="str">
        <f t="shared" si="43"/>
        <v>No</v>
      </c>
      <c r="BH174" t="str">
        <f t="shared" si="44"/>
        <v/>
      </c>
    </row>
    <row r="175" spans="1:60" x14ac:dyDescent="0.3">
      <c r="A175" s="1">
        <v>17</v>
      </c>
      <c r="B175" t="s">
        <v>380</v>
      </c>
      <c r="C175" t="s">
        <v>381</v>
      </c>
      <c r="D175" t="s">
        <v>382</v>
      </c>
      <c r="E175" t="s">
        <v>383</v>
      </c>
      <c r="F175" t="s">
        <v>384</v>
      </c>
      <c r="G175" t="s">
        <v>385</v>
      </c>
      <c r="I175" t="str">
        <f t="shared" si="46"/>
        <v>N/A</v>
      </c>
      <c r="J175">
        <f t="shared" si="47"/>
        <v>103810000</v>
      </c>
      <c r="K175">
        <f t="shared" si="48"/>
        <v>64290000.000000007</v>
      </c>
      <c r="L175">
        <f t="shared" si="49"/>
        <v>43470000</v>
      </c>
      <c r="M175">
        <f t="shared" si="50"/>
        <v>77410000</v>
      </c>
      <c r="N175">
        <f t="shared" si="51"/>
        <v>79140000</v>
      </c>
      <c r="P175">
        <f t="shared" si="27"/>
        <v>103810000</v>
      </c>
      <c r="Q175">
        <f>IFERROR(J144+MATCH(P175,J175:N175,0)-1,"")</f>
        <v>2012</v>
      </c>
      <c r="R175">
        <f t="shared" si="28"/>
        <v>43470000</v>
      </c>
      <c r="S175">
        <f>IFERROR(J144+MATCH(R175,J175:N175,0)-1,"")</f>
        <v>2014</v>
      </c>
      <c r="T175">
        <f t="shared" si="29"/>
        <v>73624000</v>
      </c>
      <c r="U175">
        <f t="shared" si="30"/>
        <v>22092656.698550314</v>
      </c>
      <c r="V175">
        <f t="shared" si="31"/>
        <v>1.3663363538338402</v>
      </c>
      <c r="W175">
        <f t="shared" si="32"/>
        <v>-0.42249332560408975</v>
      </c>
      <c r="X175">
        <f t="shared" si="33"/>
        <v>-1.3648879087492751</v>
      </c>
      <c r="Y175">
        <f t="shared" si="34"/>
        <v>0.17136915906761144</v>
      </c>
      <c r="Z175">
        <f t="shared" si="35"/>
        <v>0.24967572145191355</v>
      </c>
      <c r="AA175">
        <f t="shared" si="36"/>
        <v>1.3663363538338402</v>
      </c>
      <c r="AB175">
        <f>IFERROR(V144+MATCH(AA175,V175:Z175,0)-1,"")</f>
        <v>2012</v>
      </c>
      <c r="AC175" t="str">
        <f t="shared" si="37"/>
        <v>High</v>
      </c>
      <c r="AE175">
        <f>IF(ISNUMBER(MATCH("N/A",J175:N175,0)),"",IFERROR((5 * SUMPRODUCT(J144:N144,J175:N175) - PRODUCT(SUM(J144:N144),SUM(J175:N175))) / ((5 * SUM((J144^2)+(K144^2)+(L144^2)+(M144^2)+(N144^2))) - SUM(J144:N144)^2),""))</f>
        <v>-3622000</v>
      </c>
      <c r="AF175">
        <f>IFERROR(CORREL(J144:N144,J175:N175),"")</f>
        <v>-0.25922119375261582</v>
      </c>
      <c r="AZ175">
        <f t="shared" si="38"/>
        <v>1</v>
      </c>
      <c r="BA175" t="str">
        <f>IF(AZ175=1,IF(Q175="","",IF(Q175=N144,"Yes","No")),"")</f>
        <v>No</v>
      </c>
      <c r="BB175" t="str">
        <f t="shared" si="39"/>
        <v/>
      </c>
      <c r="BC175" t="str">
        <f>IF(AZ175=1,IF(S175="","",IF(S175=N144,"Yes","No")),"")</f>
        <v>No</v>
      </c>
      <c r="BD175" t="str">
        <f t="shared" si="40"/>
        <v/>
      </c>
      <c r="BE175" t="str">
        <f t="shared" si="41"/>
        <v>Decreasing</v>
      </c>
      <c r="BF175" t="str">
        <f t="shared" si="42"/>
        <v>No</v>
      </c>
      <c r="BG175" t="str">
        <f t="shared" si="43"/>
        <v>No</v>
      </c>
      <c r="BH175" t="str">
        <f t="shared" si="44"/>
        <v>No</v>
      </c>
    </row>
    <row r="176" spans="1:60" x14ac:dyDescent="0.3">
      <c r="A176" s="1">
        <v>18</v>
      </c>
      <c r="B176" t="s">
        <v>386</v>
      </c>
      <c r="C176" t="s">
        <v>387</v>
      </c>
      <c r="D176" t="s">
        <v>264</v>
      </c>
      <c r="E176" t="s">
        <v>388</v>
      </c>
      <c r="F176" t="s">
        <v>389</v>
      </c>
      <c r="G176" t="s">
        <v>390</v>
      </c>
      <c r="I176" t="str">
        <f t="shared" si="46"/>
        <v>N/A</v>
      </c>
      <c r="J176">
        <f t="shared" si="47"/>
        <v>127050000</v>
      </c>
      <c r="K176" t="str">
        <f t="shared" si="48"/>
        <v>N/A</v>
      </c>
      <c r="L176">
        <f t="shared" si="49"/>
        <v>50630000</v>
      </c>
      <c r="M176">
        <f t="shared" si="50"/>
        <v>38440000</v>
      </c>
      <c r="N176">
        <f t="shared" si="51"/>
        <v>114300000</v>
      </c>
      <c r="P176">
        <f t="shared" si="27"/>
        <v>127050000</v>
      </c>
      <c r="Q176">
        <f>IFERROR(J144+MATCH(P176,J176:N176,0)-1,"")</f>
        <v>2012</v>
      </c>
      <c r="R176">
        <f t="shared" si="28"/>
        <v>38440000</v>
      </c>
      <c r="S176">
        <f>IFERROR(J144+MATCH(R176,J176:N176,0)-1,"")</f>
        <v>2015</v>
      </c>
      <c r="T176">
        <f t="shared" si="29"/>
        <v>82605000</v>
      </c>
      <c r="U176">
        <f t="shared" si="30"/>
        <v>44545403.429160528</v>
      </c>
      <c r="V176">
        <f t="shared" si="31"/>
        <v>0.99774604288138957</v>
      </c>
      <c r="W176" t="str">
        <f t="shared" si="32"/>
        <v/>
      </c>
      <c r="X176">
        <f t="shared" si="33"/>
        <v>-0.71780694613865303</v>
      </c>
      <c r="Y176">
        <f t="shared" si="34"/>
        <v>-0.99146032138275564</v>
      </c>
      <c r="Z176">
        <f t="shared" si="35"/>
        <v>0.71152122464001899</v>
      </c>
      <c r="AA176">
        <f t="shared" si="36"/>
        <v>0.99774604288138957</v>
      </c>
      <c r="AB176">
        <f>IFERROR(V144+MATCH(AA176,V176:Z176,0)-1,"")</f>
        <v>2012</v>
      </c>
      <c r="AC176" t="str">
        <f t="shared" si="37"/>
        <v>High</v>
      </c>
      <c r="AE176" t="str">
        <f>IF(ISNUMBER(MATCH("N/A",J176:N176,0)),"",IFERROR((5 * SUMPRODUCT(J144:N144,J176:N176) - PRODUCT(SUM(J144:N144),SUM(J176:N176))) / ((5 * SUM((J144^2)+(K144^2)+(L144^2)+(M144^2)+(N144^2))) - SUM(J144:N144)^2),""))</f>
        <v/>
      </c>
      <c r="AF176">
        <f>IFERROR(CORREL(J144:N144,J176:N176),"")</f>
        <v>-0.30524396839317519</v>
      </c>
      <c r="AZ176">
        <f t="shared" si="38"/>
        <v>1</v>
      </c>
      <c r="BA176" t="str">
        <f>IF(AZ176=1,IF(Q176="","",IF(Q176=N144,"Yes","No")),"")</f>
        <v>No</v>
      </c>
      <c r="BB176" t="str">
        <f t="shared" si="39"/>
        <v/>
      </c>
      <c r="BC176" t="str">
        <f>IF(AZ176=1,IF(S176="","",IF(S176=N144,"Yes","No")),"")</f>
        <v>No</v>
      </c>
      <c r="BD176" t="str">
        <f t="shared" si="40"/>
        <v/>
      </c>
      <c r="BE176" t="str">
        <f t="shared" si="41"/>
        <v/>
      </c>
      <c r="BF176" t="str">
        <f t="shared" si="42"/>
        <v>No</v>
      </c>
      <c r="BG176" t="str">
        <f t="shared" si="43"/>
        <v>No</v>
      </c>
      <c r="BH176" t="str">
        <f t="shared" si="44"/>
        <v>No</v>
      </c>
    </row>
    <row r="177" spans="1:60" x14ac:dyDescent="0.3">
      <c r="A177" s="1">
        <v>19</v>
      </c>
      <c r="B177" t="s">
        <v>391</v>
      </c>
      <c r="C177" t="s">
        <v>264</v>
      </c>
      <c r="D177" t="s">
        <v>264</v>
      </c>
      <c r="E177" t="s">
        <v>264</v>
      </c>
      <c r="F177" t="s">
        <v>264</v>
      </c>
      <c r="G177" t="s">
        <v>264</v>
      </c>
      <c r="I177" t="str">
        <f t="shared" si="46"/>
        <v>N/A</v>
      </c>
      <c r="J177" t="str">
        <f t="shared" si="47"/>
        <v>N/A</v>
      </c>
      <c r="K177" t="str">
        <f t="shared" si="48"/>
        <v>N/A</v>
      </c>
      <c r="L177" t="str">
        <f t="shared" si="49"/>
        <v>N/A</v>
      </c>
      <c r="M177" t="str">
        <f t="shared" si="50"/>
        <v>N/A</v>
      </c>
      <c r="N177" t="str">
        <f t="shared" si="51"/>
        <v>N/A</v>
      </c>
      <c r="P177">
        <f t="shared" si="27"/>
        <v>0</v>
      </c>
      <c r="Q177" t="str">
        <f>IFERROR(J144+MATCH(P177,J177:N177,0)-1,"")</f>
        <v/>
      </c>
      <c r="R177" t="str">
        <f t="shared" si="28"/>
        <v/>
      </c>
      <c r="S177" t="str">
        <f>IFERROR(J144+MATCH(R177,J177:N177,0)-1,"")</f>
        <v/>
      </c>
      <c r="T177" t="str">
        <f t="shared" si="29"/>
        <v/>
      </c>
      <c r="U177" t="str">
        <f t="shared" si="30"/>
        <v/>
      </c>
      <c r="V177" t="str">
        <f t="shared" si="31"/>
        <v/>
      </c>
      <c r="W177" t="str">
        <f t="shared" si="32"/>
        <v/>
      </c>
      <c r="X177" t="str">
        <f t="shared" si="33"/>
        <v/>
      </c>
      <c r="Y177" t="str">
        <f t="shared" si="34"/>
        <v/>
      </c>
      <c r="Z177" t="str">
        <f t="shared" si="35"/>
        <v/>
      </c>
      <c r="AA177">
        <f t="shared" si="36"/>
        <v>0</v>
      </c>
      <c r="AB177" t="str">
        <f>IFERROR(V144+MATCH(AA177,V177:Z177,0)-1,"")</f>
        <v/>
      </c>
      <c r="AC177" t="str">
        <f t="shared" si="37"/>
        <v/>
      </c>
      <c r="AE177" t="str">
        <f>IF(ISNUMBER(MATCH("N/A",J177:N177,0)),"",IFERROR((5 * SUMPRODUCT(J144:N144,J177:N177) - PRODUCT(SUM(J144:N144),SUM(J177:N177))) / ((5 * SUM((J144^2)+(K144^2)+(L144^2)+(M144^2)+(N144^2))) - SUM(J144:N144)^2),""))</f>
        <v/>
      </c>
      <c r="AF177" t="str">
        <f>IFERROR(CORREL(J144:N144,J177:N177),"")</f>
        <v/>
      </c>
      <c r="AZ177">
        <f t="shared" si="38"/>
        <v>0</v>
      </c>
      <c r="BA177" t="str">
        <f>IF(AZ177=1,IF(Q177="","",IF(Q177=N144,"Yes","No")),"")</f>
        <v/>
      </c>
      <c r="BB177" t="str">
        <f t="shared" si="39"/>
        <v/>
      </c>
      <c r="BC177" t="str">
        <f>IF(AZ177=1,IF(S177="","",IF(S177=N144,"Yes","No")),"")</f>
        <v/>
      </c>
      <c r="BD177" t="str">
        <f t="shared" si="40"/>
        <v/>
      </c>
      <c r="BE177" t="str">
        <f t="shared" si="41"/>
        <v/>
      </c>
      <c r="BF177" t="str">
        <f t="shared" si="42"/>
        <v>No</v>
      </c>
      <c r="BG177" t="str">
        <f t="shared" si="43"/>
        <v>No</v>
      </c>
      <c r="BH177" t="str">
        <f t="shared" si="44"/>
        <v/>
      </c>
    </row>
    <row r="178" spans="1:60" x14ac:dyDescent="0.3">
      <c r="A178" s="1">
        <v>20</v>
      </c>
      <c r="B178" t="s">
        <v>392</v>
      </c>
      <c r="C178" t="s">
        <v>393</v>
      </c>
      <c r="D178" t="s">
        <v>264</v>
      </c>
      <c r="E178" t="s">
        <v>394</v>
      </c>
      <c r="F178" t="s">
        <v>395</v>
      </c>
      <c r="G178" t="s">
        <v>396</v>
      </c>
      <c r="I178" t="str">
        <f t="shared" si="46"/>
        <v>N/A</v>
      </c>
      <c r="J178">
        <f t="shared" si="47"/>
        <v>-23240000</v>
      </c>
      <c r="K178" t="str">
        <f t="shared" si="48"/>
        <v>N/A</v>
      </c>
      <c r="L178">
        <f t="shared" si="49"/>
        <v>-7160000</v>
      </c>
      <c r="M178">
        <f t="shared" si="50"/>
        <v>38970000</v>
      </c>
      <c r="N178">
        <f t="shared" si="51"/>
        <v>-35160000</v>
      </c>
      <c r="P178">
        <f t="shared" si="27"/>
        <v>38970000</v>
      </c>
      <c r="Q178">
        <f>IFERROR(J144+MATCH(P178,J178:N178,0)-1,"")</f>
        <v>2015</v>
      </c>
      <c r="R178">
        <f t="shared" si="28"/>
        <v>-35160000</v>
      </c>
      <c r="S178">
        <f>IFERROR(J144+MATCH(R178,J178:N178,0)-1,"")</f>
        <v>2016</v>
      </c>
      <c r="T178">
        <f t="shared" si="29"/>
        <v>-6647500</v>
      </c>
      <c r="U178">
        <f t="shared" si="30"/>
        <v>32503808.366610419</v>
      </c>
      <c r="V178">
        <f t="shared" si="31"/>
        <v>-0.51047864339012861</v>
      </c>
      <c r="W178" t="str">
        <f t="shared" si="32"/>
        <v/>
      </c>
      <c r="X178">
        <f t="shared" si="33"/>
        <v>-1.5767383139215968E-2</v>
      </c>
      <c r="Y178">
        <f t="shared" si="34"/>
        <v>1.4034509275184086</v>
      </c>
      <c r="Z178">
        <f t="shared" si="35"/>
        <v>-0.8772049009890639</v>
      </c>
      <c r="AA178">
        <f t="shared" si="36"/>
        <v>1.4034509275184086</v>
      </c>
      <c r="AB178">
        <f>IFERROR(V144+MATCH(AA178,V178:Z178,0)-1,"")</f>
        <v>2015</v>
      </c>
      <c r="AC178" t="str">
        <f t="shared" si="37"/>
        <v>High</v>
      </c>
      <c r="AE178" t="str">
        <f>IF(ISNUMBER(MATCH("N/A",J178:N178,0)),"",IFERROR((5 * SUMPRODUCT(J144:N144,J178:N178) - PRODUCT(SUM(J144:N144),SUM(J178:N178))) / ((5 * SUM((J144^2)+(K144^2)+(L144^2)+(M144^2)+(N144^2))) - SUM(J144:N144)^2),""))</f>
        <v/>
      </c>
      <c r="AF178">
        <f>IFERROR(CORREL(J144:N144,J178:N178),"")</f>
        <v>0.13077029989180289</v>
      </c>
      <c r="AZ178">
        <f t="shared" si="38"/>
        <v>1</v>
      </c>
      <c r="BA178" t="str">
        <f>IF(AZ178=1,IF(Q178="","",IF(Q178=N144,"Yes","No")),"")</f>
        <v>No</v>
      </c>
      <c r="BB178" t="str">
        <f t="shared" si="39"/>
        <v/>
      </c>
      <c r="BC178" t="str">
        <f>IF(AZ178=1,IF(S178="","",IF(S178=N144,"Yes","No")),"")</f>
        <v>Yes</v>
      </c>
      <c r="BD178">
        <f t="shared" si="40"/>
        <v>-35160000</v>
      </c>
      <c r="BE178" t="str">
        <f t="shared" si="41"/>
        <v/>
      </c>
      <c r="BF178" t="str">
        <f t="shared" si="42"/>
        <v>No</v>
      </c>
      <c r="BG178" t="str">
        <f t="shared" si="43"/>
        <v>No</v>
      </c>
      <c r="BH178" t="str">
        <f t="shared" si="44"/>
        <v>No</v>
      </c>
    </row>
    <row r="179" spans="1:60" x14ac:dyDescent="0.3">
      <c r="A179" s="1">
        <v>21</v>
      </c>
      <c r="B179" t="s">
        <v>397</v>
      </c>
      <c r="C179" t="s">
        <v>264</v>
      </c>
      <c r="D179" t="s">
        <v>264</v>
      </c>
      <c r="E179" t="s">
        <v>264</v>
      </c>
      <c r="F179" t="s">
        <v>264</v>
      </c>
      <c r="G179" t="s">
        <v>264</v>
      </c>
      <c r="I179" t="str">
        <f t="shared" si="46"/>
        <v>N/A</v>
      </c>
      <c r="J179" t="str">
        <f t="shared" si="47"/>
        <v>N/A</v>
      </c>
      <c r="K179" t="str">
        <f t="shared" si="48"/>
        <v>N/A</v>
      </c>
      <c r="L179" t="str">
        <f t="shared" si="49"/>
        <v>N/A</v>
      </c>
      <c r="M179" t="str">
        <f t="shared" si="50"/>
        <v>N/A</v>
      </c>
      <c r="N179" t="str">
        <f t="shared" si="51"/>
        <v>N/A</v>
      </c>
      <c r="P179">
        <f t="shared" si="27"/>
        <v>0</v>
      </c>
      <c r="Q179" t="str">
        <f>IFERROR(J144+MATCH(P179,J179:N179,0)-1,"")</f>
        <v/>
      </c>
      <c r="R179" t="str">
        <f t="shared" si="28"/>
        <v/>
      </c>
      <c r="S179" t="str">
        <f>IFERROR(J144+MATCH(R179,J179:N179,0)-1,"")</f>
        <v/>
      </c>
      <c r="T179" t="str">
        <f t="shared" si="29"/>
        <v/>
      </c>
      <c r="U179" t="str">
        <f t="shared" si="30"/>
        <v/>
      </c>
      <c r="V179" t="str">
        <f t="shared" si="31"/>
        <v/>
      </c>
      <c r="W179" t="str">
        <f t="shared" si="32"/>
        <v/>
      </c>
      <c r="X179" t="str">
        <f t="shared" si="33"/>
        <v/>
      </c>
      <c r="Y179" t="str">
        <f t="shared" si="34"/>
        <v/>
      </c>
      <c r="Z179" t="str">
        <f t="shared" si="35"/>
        <v/>
      </c>
      <c r="AA179">
        <f t="shared" si="36"/>
        <v>0</v>
      </c>
      <c r="AB179" t="str">
        <f>IFERROR(V144+MATCH(AA179,V179:Z179,0)-1,"")</f>
        <v/>
      </c>
      <c r="AC179" t="str">
        <f t="shared" si="37"/>
        <v/>
      </c>
      <c r="AE179" t="str">
        <f>IF(ISNUMBER(MATCH("N/A",J179:N179,0)),"",IFERROR((5 * SUMPRODUCT(J144:N144,J179:N179) - PRODUCT(SUM(J144:N144),SUM(J179:N179))) / ((5 * SUM((J144^2)+(K144^2)+(L144^2)+(M144^2)+(N144^2))) - SUM(J144:N144)^2),""))</f>
        <v/>
      </c>
      <c r="AF179" t="str">
        <f>IFERROR(CORREL(J144:N144,J179:N179),"")</f>
        <v/>
      </c>
      <c r="AZ179">
        <f t="shared" si="38"/>
        <v>0</v>
      </c>
      <c r="BA179" t="str">
        <f>IF(AZ179=1,IF(Q179="","",IF(Q179=N144,"Yes","No")),"")</f>
        <v/>
      </c>
      <c r="BB179" t="str">
        <f t="shared" si="39"/>
        <v/>
      </c>
      <c r="BC179" t="str">
        <f>IF(AZ179=1,IF(S179="","",IF(S179=N144,"Yes","No")),"")</f>
        <v/>
      </c>
      <c r="BD179" t="str">
        <f t="shared" si="40"/>
        <v/>
      </c>
      <c r="BE179" t="str">
        <f t="shared" si="41"/>
        <v/>
      </c>
      <c r="BF179" t="str">
        <f t="shared" si="42"/>
        <v>No</v>
      </c>
      <c r="BG179" t="str">
        <f t="shared" si="43"/>
        <v>No</v>
      </c>
      <c r="BH179" t="str">
        <f t="shared" si="44"/>
        <v/>
      </c>
    </row>
    <row r="180" spans="1:60" x14ac:dyDescent="0.3">
      <c r="A180" s="1">
        <v>22</v>
      </c>
      <c r="B180" t="s">
        <v>398</v>
      </c>
      <c r="C180" t="s">
        <v>264</v>
      </c>
      <c r="D180" t="s">
        <v>264</v>
      </c>
      <c r="E180" t="s">
        <v>264</v>
      </c>
      <c r="F180" t="s">
        <v>264</v>
      </c>
      <c r="G180" t="s">
        <v>264</v>
      </c>
      <c r="I180" t="str">
        <f t="shared" si="46"/>
        <v>N/A</v>
      </c>
      <c r="J180" t="str">
        <f t="shared" si="47"/>
        <v>N/A</v>
      </c>
      <c r="K180" t="str">
        <f t="shared" si="48"/>
        <v>N/A</v>
      </c>
      <c r="L180" t="str">
        <f t="shared" si="49"/>
        <v>N/A</v>
      </c>
      <c r="M180" t="str">
        <f t="shared" si="50"/>
        <v>N/A</v>
      </c>
      <c r="N180" t="str">
        <f t="shared" si="51"/>
        <v>N/A</v>
      </c>
      <c r="P180">
        <f t="shared" si="27"/>
        <v>0</v>
      </c>
      <c r="Q180" t="str">
        <f>IFERROR(J144+MATCH(P180,J180:N180,0)-1,"")</f>
        <v/>
      </c>
      <c r="R180" t="str">
        <f t="shared" si="28"/>
        <v/>
      </c>
      <c r="S180" t="str">
        <f>IFERROR(J144+MATCH(R180,J180:N180,0)-1,"")</f>
        <v/>
      </c>
      <c r="T180" t="str">
        <f t="shared" si="29"/>
        <v/>
      </c>
      <c r="U180" t="str">
        <f t="shared" si="30"/>
        <v/>
      </c>
      <c r="V180" t="str">
        <f t="shared" si="31"/>
        <v/>
      </c>
      <c r="W180" t="str">
        <f t="shared" si="32"/>
        <v/>
      </c>
      <c r="X180" t="str">
        <f t="shared" si="33"/>
        <v/>
      </c>
      <c r="Y180" t="str">
        <f t="shared" si="34"/>
        <v/>
      </c>
      <c r="Z180" t="str">
        <f t="shared" si="35"/>
        <v/>
      </c>
      <c r="AA180">
        <f t="shared" si="36"/>
        <v>0</v>
      </c>
      <c r="AB180" t="str">
        <f>IFERROR(V144+MATCH(AA180,V180:Z180,0)-1,"")</f>
        <v/>
      </c>
      <c r="AC180" t="str">
        <f t="shared" si="37"/>
        <v/>
      </c>
      <c r="AE180" t="str">
        <f>IF(ISNUMBER(MATCH("N/A",J180:N180,0)),"",IFERROR((5 * SUMPRODUCT(J144:N144,J180:N180) - PRODUCT(SUM(J144:N144),SUM(J180:N180))) / ((5 * SUM((J144^2)+(K144^2)+(L144^2)+(M144^2)+(N144^2))) - SUM(J144:N144)^2),""))</f>
        <v/>
      </c>
      <c r="AF180" t="str">
        <f>IFERROR(CORREL(J144:N144,J180:N180),"")</f>
        <v/>
      </c>
      <c r="AZ180">
        <f t="shared" si="38"/>
        <v>0</v>
      </c>
      <c r="BA180" t="str">
        <f>IF(AZ180=1,IF(Q180="","",IF(Q180=N144,"Yes","No")),"")</f>
        <v/>
      </c>
      <c r="BB180" t="str">
        <f t="shared" si="39"/>
        <v/>
      </c>
      <c r="BC180" t="str">
        <f>IF(AZ180=1,IF(S180="","",IF(S180=N144,"Yes","No")),"")</f>
        <v/>
      </c>
      <c r="BD180" t="str">
        <f t="shared" si="40"/>
        <v/>
      </c>
      <c r="BE180" t="str">
        <f t="shared" si="41"/>
        <v/>
      </c>
      <c r="BF180" t="str">
        <f t="shared" si="42"/>
        <v>No</v>
      </c>
      <c r="BG180" t="str">
        <f t="shared" si="43"/>
        <v>No</v>
      </c>
      <c r="BH180" t="str">
        <f t="shared" si="44"/>
        <v/>
      </c>
    </row>
    <row r="181" spans="1:60" x14ac:dyDescent="0.3">
      <c r="A181" s="1">
        <v>23</v>
      </c>
      <c r="B181" t="s">
        <v>399</v>
      </c>
      <c r="C181" t="s">
        <v>264</v>
      </c>
      <c r="D181" t="s">
        <v>264</v>
      </c>
      <c r="E181" t="s">
        <v>264</v>
      </c>
      <c r="F181" t="s">
        <v>264</v>
      </c>
      <c r="G181" t="s">
        <v>264</v>
      </c>
      <c r="I181" t="str">
        <f t="shared" si="46"/>
        <v>N/A</v>
      </c>
      <c r="J181" t="str">
        <f t="shared" si="47"/>
        <v>N/A</v>
      </c>
      <c r="K181" t="str">
        <f t="shared" si="48"/>
        <v>N/A</v>
      </c>
      <c r="L181" t="str">
        <f t="shared" si="49"/>
        <v>N/A</v>
      </c>
      <c r="M181" t="str">
        <f t="shared" si="50"/>
        <v>N/A</v>
      </c>
      <c r="N181" t="str">
        <f t="shared" si="51"/>
        <v>N/A</v>
      </c>
      <c r="P181">
        <f t="shared" si="27"/>
        <v>0</v>
      </c>
      <c r="Q181" t="str">
        <f>IFERROR(J144+MATCH(P181,J181:N181,0)-1,"")</f>
        <v/>
      </c>
      <c r="R181" t="str">
        <f t="shared" si="28"/>
        <v/>
      </c>
      <c r="S181" t="str">
        <f>IFERROR(J144+MATCH(R181,J181:N181,0)-1,"")</f>
        <v/>
      </c>
      <c r="T181" t="str">
        <f t="shared" si="29"/>
        <v/>
      </c>
      <c r="U181" t="str">
        <f t="shared" si="30"/>
        <v/>
      </c>
      <c r="V181" t="str">
        <f t="shared" si="31"/>
        <v/>
      </c>
      <c r="W181" t="str">
        <f t="shared" si="32"/>
        <v/>
      </c>
      <c r="X181" t="str">
        <f t="shared" si="33"/>
        <v/>
      </c>
      <c r="Y181" t="str">
        <f t="shared" si="34"/>
        <v/>
      </c>
      <c r="Z181" t="str">
        <f t="shared" si="35"/>
        <v/>
      </c>
      <c r="AA181">
        <f t="shared" si="36"/>
        <v>0</v>
      </c>
      <c r="AB181" t="str">
        <f>IFERROR(V144+MATCH(AA181,V181:Z181,0)-1,"")</f>
        <v/>
      </c>
      <c r="AC181" t="str">
        <f t="shared" si="37"/>
        <v/>
      </c>
      <c r="AE181" t="str">
        <f>IF(ISNUMBER(MATCH("N/A",J181:N181,0)),"",IFERROR((5 * SUMPRODUCT(J144:N144,J181:N181) - PRODUCT(SUM(J144:N144),SUM(J181:N181))) / ((5 * SUM((J144^2)+(K144^2)+(L144^2)+(M144^2)+(N144^2))) - SUM(J144:N144)^2),""))</f>
        <v/>
      </c>
      <c r="AF181" t="str">
        <f>IFERROR(CORREL(J144:N144,J181:N181),"")</f>
        <v/>
      </c>
      <c r="AZ181">
        <f t="shared" si="38"/>
        <v>0</v>
      </c>
      <c r="BA181" t="str">
        <f>IF(AZ181=1,IF(Q181="","",IF(Q181=N144,"Yes","No")),"")</f>
        <v/>
      </c>
      <c r="BB181" t="str">
        <f t="shared" si="39"/>
        <v/>
      </c>
      <c r="BC181" t="str">
        <f>IF(AZ181=1,IF(S181="","",IF(S181=N144,"Yes","No")),"")</f>
        <v/>
      </c>
      <c r="BD181" t="str">
        <f t="shared" si="40"/>
        <v/>
      </c>
      <c r="BE181" t="str">
        <f t="shared" si="41"/>
        <v/>
      </c>
      <c r="BF181" t="str">
        <f t="shared" si="42"/>
        <v>No</v>
      </c>
      <c r="BG181" t="str">
        <f t="shared" si="43"/>
        <v>No</v>
      </c>
      <c r="BH181" t="str">
        <f t="shared" si="44"/>
        <v/>
      </c>
    </row>
    <row r="182" spans="1:60" x14ac:dyDescent="0.3">
      <c r="A182" s="1">
        <v>24</v>
      </c>
      <c r="B182" t="s">
        <v>400</v>
      </c>
      <c r="C182" t="s">
        <v>264</v>
      </c>
      <c r="D182" t="s">
        <v>264</v>
      </c>
      <c r="E182" t="s">
        <v>264</v>
      </c>
      <c r="F182" t="s">
        <v>264</v>
      </c>
      <c r="G182" t="s">
        <v>264</v>
      </c>
      <c r="I182" t="str">
        <f t="shared" si="46"/>
        <v>N/A</v>
      </c>
      <c r="J182" t="str">
        <f t="shared" si="47"/>
        <v>N/A</v>
      </c>
      <c r="K182" t="str">
        <f t="shared" si="48"/>
        <v>N/A</v>
      </c>
      <c r="L182" t="str">
        <f t="shared" si="49"/>
        <v>N/A</v>
      </c>
      <c r="M182" t="str">
        <f t="shared" si="50"/>
        <v>N/A</v>
      </c>
      <c r="N182" t="str">
        <f t="shared" si="51"/>
        <v>N/A</v>
      </c>
      <c r="P182">
        <f t="shared" si="27"/>
        <v>0</v>
      </c>
      <c r="Q182" t="str">
        <f>IFERROR(J144+MATCH(P182,J182:N182,0)-1,"")</f>
        <v/>
      </c>
      <c r="R182" t="str">
        <f t="shared" si="28"/>
        <v/>
      </c>
      <c r="S182" t="str">
        <f>IFERROR(J144+MATCH(R182,J182:N182,0)-1,"")</f>
        <v/>
      </c>
      <c r="T182" t="str">
        <f t="shared" si="29"/>
        <v/>
      </c>
      <c r="U182" t="str">
        <f t="shared" si="30"/>
        <v/>
      </c>
      <c r="V182" t="str">
        <f t="shared" si="31"/>
        <v/>
      </c>
      <c r="W182" t="str">
        <f t="shared" si="32"/>
        <v/>
      </c>
      <c r="X182" t="str">
        <f t="shared" si="33"/>
        <v/>
      </c>
      <c r="Y182" t="str">
        <f t="shared" si="34"/>
        <v/>
      </c>
      <c r="Z182" t="str">
        <f t="shared" si="35"/>
        <v/>
      </c>
      <c r="AA182">
        <f t="shared" si="36"/>
        <v>0</v>
      </c>
      <c r="AB182" t="str">
        <f>IFERROR(V144+MATCH(AA182,V182:Z182,0)-1,"")</f>
        <v/>
      </c>
      <c r="AC182" t="str">
        <f t="shared" si="37"/>
        <v/>
      </c>
      <c r="AE182" t="str">
        <f>IF(ISNUMBER(MATCH("N/A",J182:N182,0)),"",IFERROR((5 * SUMPRODUCT(J144:N144,J182:N182) - PRODUCT(SUM(J144:N144),SUM(J182:N182))) / ((5 * SUM((J144^2)+(K144^2)+(L144^2)+(M144^2)+(N144^2))) - SUM(J144:N144)^2),""))</f>
        <v/>
      </c>
      <c r="AF182" t="str">
        <f>IFERROR(CORREL(J144:N144,J182:N182),"")</f>
        <v/>
      </c>
      <c r="AZ182">
        <f t="shared" si="38"/>
        <v>0</v>
      </c>
      <c r="BA182" t="str">
        <f>IF(AZ182=1,IF(Q182="","",IF(Q182=N144,"Yes","No")),"")</f>
        <v/>
      </c>
      <c r="BB182" t="str">
        <f t="shared" si="39"/>
        <v/>
      </c>
      <c r="BC182" t="str">
        <f>IF(AZ182=1,IF(S182="","",IF(S182=N144,"Yes","No")),"")</f>
        <v/>
      </c>
      <c r="BD182" t="str">
        <f t="shared" si="40"/>
        <v/>
      </c>
      <c r="BE182" t="str">
        <f t="shared" si="41"/>
        <v/>
      </c>
      <c r="BF182" t="str">
        <f t="shared" si="42"/>
        <v>No</v>
      </c>
      <c r="BG182" t="str">
        <f t="shared" si="43"/>
        <v>No</v>
      </c>
      <c r="BH182" t="str">
        <f t="shared" si="44"/>
        <v/>
      </c>
    </row>
    <row r="183" spans="1:60" x14ac:dyDescent="0.3">
      <c r="A183" s="1">
        <v>25</v>
      </c>
      <c r="B183" t="s">
        <v>401</v>
      </c>
      <c r="C183" t="s">
        <v>402</v>
      </c>
      <c r="D183" t="s">
        <v>403</v>
      </c>
      <c r="E183" t="s">
        <v>404</v>
      </c>
      <c r="F183" t="s">
        <v>405</v>
      </c>
      <c r="G183" t="s">
        <v>406</v>
      </c>
      <c r="I183" t="str">
        <f t="shared" si="46"/>
        <v>N/A</v>
      </c>
      <c r="J183">
        <f t="shared" si="47"/>
        <v>173040000</v>
      </c>
      <c r="K183">
        <f t="shared" si="48"/>
        <v>120670000</v>
      </c>
      <c r="L183">
        <f t="shared" si="49"/>
        <v>78230000</v>
      </c>
      <c r="M183">
        <f t="shared" si="50"/>
        <v>135710000</v>
      </c>
      <c r="N183">
        <f t="shared" si="51"/>
        <v>139280000</v>
      </c>
      <c r="P183">
        <f t="shared" si="27"/>
        <v>173040000</v>
      </c>
      <c r="Q183">
        <f>IFERROR(J144+MATCH(P183,J183:N183,0)-1,"")</f>
        <v>2012</v>
      </c>
      <c r="R183">
        <f t="shared" si="28"/>
        <v>78230000</v>
      </c>
      <c r="S183">
        <f>IFERROR(J144+MATCH(R183,J183:N183,0)-1,"")</f>
        <v>2014</v>
      </c>
      <c r="T183">
        <f t="shared" si="29"/>
        <v>129386000</v>
      </c>
      <c r="U183">
        <f t="shared" si="30"/>
        <v>34410975.429359742</v>
      </c>
      <c r="V183">
        <f t="shared" si="31"/>
        <v>1.2686068748505754</v>
      </c>
      <c r="W183">
        <f t="shared" si="32"/>
        <v>-0.25329127963525944</v>
      </c>
      <c r="X183">
        <f t="shared" si="33"/>
        <v>-1.4866187128294324</v>
      </c>
      <c r="Y183">
        <f t="shared" si="34"/>
        <v>0.18377857416399504</v>
      </c>
      <c r="Z183">
        <f t="shared" si="35"/>
        <v>0.28752454345012124</v>
      </c>
      <c r="AA183">
        <f t="shared" si="36"/>
        <v>-1.4866187128294324</v>
      </c>
      <c r="AB183">
        <f>IFERROR(V144+MATCH(AA183,V183:Z183,0)-1,"")</f>
        <v>2014</v>
      </c>
      <c r="AC183" t="str">
        <f t="shared" si="37"/>
        <v>Low</v>
      </c>
      <c r="AE183">
        <f>IF(ISNUMBER(MATCH("N/A",J183:N183,0)),"",IFERROR((5 * SUMPRODUCT(J144:N144,J183:N183) - PRODUCT(SUM(J144:N144),SUM(J183:N183))) / ((5 * SUM((J144^2)+(K144^2)+(L144^2)+(M144^2)+(N144^2))) - SUM(J144:N144)^2),""))</f>
        <v>-5248000</v>
      </c>
      <c r="AF183">
        <f>IFERROR(CORREL(J144:N144,J183:N183),"")</f>
        <v>-0.24113866220723454</v>
      </c>
      <c r="AZ183">
        <f t="shared" si="38"/>
        <v>1</v>
      </c>
      <c r="BA183" t="str">
        <f>IF(AZ183=1,IF(Q183="","",IF(Q183=N144,"Yes","No")),"")</f>
        <v>No</v>
      </c>
      <c r="BB183" t="str">
        <f t="shared" si="39"/>
        <v/>
      </c>
      <c r="BC183" t="str">
        <f>IF(AZ183=1,IF(S183="","",IF(S183=N144,"Yes","No")),"")</f>
        <v>No</v>
      </c>
      <c r="BD183" t="str">
        <f t="shared" si="40"/>
        <v/>
      </c>
      <c r="BE183" t="str">
        <f t="shared" si="41"/>
        <v>Decreasing</v>
      </c>
      <c r="BF183" t="str">
        <f t="shared" si="42"/>
        <v>No</v>
      </c>
      <c r="BG183" t="str">
        <f t="shared" si="43"/>
        <v>No</v>
      </c>
      <c r="BH183" t="str">
        <f t="shared" si="44"/>
        <v>No</v>
      </c>
    </row>
    <row r="184" spans="1:60" x14ac:dyDescent="0.3">
      <c r="A184" s="1">
        <v>26</v>
      </c>
      <c r="B184" t="s">
        <v>407</v>
      </c>
      <c r="C184" t="s">
        <v>264</v>
      </c>
      <c r="D184" t="s">
        <v>264</v>
      </c>
      <c r="E184" t="s">
        <v>264</v>
      </c>
      <c r="F184" t="s">
        <v>264</v>
      </c>
      <c r="G184" t="s">
        <v>264</v>
      </c>
      <c r="I184" t="str">
        <f t="shared" si="46"/>
        <v>N/A</v>
      </c>
      <c r="J184" t="str">
        <f t="shared" si="47"/>
        <v>N/A</v>
      </c>
      <c r="K184" t="str">
        <f t="shared" si="48"/>
        <v>N/A</v>
      </c>
      <c r="L184" t="str">
        <f t="shared" si="49"/>
        <v>N/A</v>
      </c>
      <c r="M184" t="str">
        <f t="shared" si="50"/>
        <v>N/A</v>
      </c>
      <c r="N184" t="str">
        <f t="shared" si="51"/>
        <v>N/A</v>
      </c>
      <c r="P184">
        <f t="shared" si="27"/>
        <v>0</v>
      </c>
      <c r="Q184" t="str">
        <f>IFERROR(J144+MATCH(P184,J184:N184,0)-1,"")</f>
        <v/>
      </c>
      <c r="R184" t="str">
        <f t="shared" si="28"/>
        <v/>
      </c>
      <c r="S184" t="str">
        <f>IFERROR(J144+MATCH(R184,J184:N184,0)-1,"")</f>
        <v/>
      </c>
      <c r="T184" t="str">
        <f t="shared" si="29"/>
        <v/>
      </c>
      <c r="U184" t="str">
        <f t="shared" si="30"/>
        <v/>
      </c>
      <c r="V184" t="str">
        <f t="shared" si="31"/>
        <v/>
      </c>
      <c r="W184" t="str">
        <f t="shared" si="32"/>
        <v/>
      </c>
      <c r="X184" t="str">
        <f t="shared" si="33"/>
        <v/>
      </c>
      <c r="Y184" t="str">
        <f t="shared" si="34"/>
        <v/>
      </c>
      <c r="Z184" t="str">
        <f t="shared" si="35"/>
        <v/>
      </c>
      <c r="AA184">
        <f t="shared" si="36"/>
        <v>0</v>
      </c>
      <c r="AB184" t="str">
        <f>IFERROR(V144+MATCH(AA184,V184:Z184,0)-1,"")</f>
        <v/>
      </c>
      <c r="AC184" t="str">
        <f t="shared" si="37"/>
        <v/>
      </c>
      <c r="AE184" t="str">
        <f>IF(ISNUMBER(MATCH("N/A",J184:N184,0)),"",IFERROR((5 * SUMPRODUCT(J144:N144,J184:N184) - PRODUCT(SUM(J144:N144),SUM(J184:N184))) / ((5 * SUM((J144^2)+(K144^2)+(L144^2)+(M144^2)+(N144^2))) - SUM(J144:N144)^2),""))</f>
        <v/>
      </c>
      <c r="AF184" t="str">
        <f>IFERROR(CORREL(J144:N144,J184:N184),"")</f>
        <v/>
      </c>
      <c r="AZ184">
        <f t="shared" si="38"/>
        <v>0</v>
      </c>
      <c r="BA184" t="str">
        <f>IF(AZ184=1,IF(Q184="","",IF(Q184=N144,"Yes","No")),"")</f>
        <v/>
      </c>
      <c r="BB184" t="str">
        <f t="shared" si="39"/>
        <v/>
      </c>
      <c r="BC184" t="str">
        <f>IF(AZ184=1,IF(S184="","",IF(S184=N144,"Yes","No")),"")</f>
        <v/>
      </c>
      <c r="BD184" t="str">
        <f t="shared" si="40"/>
        <v/>
      </c>
      <c r="BE184" t="str">
        <f t="shared" si="41"/>
        <v/>
      </c>
      <c r="BF184" t="str">
        <f t="shared" si="42"/>
        <v>No</v>
      </c>
      <c r="BG184" t="str">
        <f t="shared" si="43"/>
        <v>No</v>
      </c>
      <c r="BH184" t="str">
        <f t="shared" si="44"/>
        <v/>
      </c>
    </row>
    <row r="185" spans="1:60" x14ac:dyDescent="0.3">
      <c r="A185" s="1">
        <v>27</v>
      </c>
      <c r="B185" t="s">
        <v>408</v>
      </c>
      <c r="C185" t="s">
        <v>402</v>
      </c>
      <c r="D185" t="s">
        <v>403</v>
      </c>
      <c r="E185" t="s">
        <v>404</v>
      </c>
      <c r="F185" t="s">
        <v>405</v>
      </c>
      <c r="G185" t="s">
        <v>406</v>
      </c>
      <c r="I185" t="str">
        <f t="shared" si="46"/>
        <v>N/A</v>
      </c>
      <c r="J185">
        <f t="shared" si="47"/>
        <v>173040000</v>
      </c>
      <c r="K185">
        <f t="shared" si="48"/>
        <v>120670000</v>
      </c>
      <c r="L185">
        <f t="shared" si="49"/>
        <v>78230000</v>
      </c>
      <c r="M185">
        <f t="shared" si="50"/>
        <v>135710000</v>
      </c>
      <c r="N185">
        <f t="shared" si="51"/>
        <v>139280000</v>
      </c>
      <c r="P185">
        <f t="shared" si="27"/>
        <v>173040000</v>
      </c>
      <c r="Q185">
        <f>IFERROR(J144+MATCH(P185,J185:N185,0)-1,"")</f>
        <v>2012</v>
      </c>
      <c r="R185">
        <f t="shared" si="28"/>
        <v>78230000</v>
      </c>
      <c r="S185">
        <f>IFERROR(J144+MATCH(R185,J185:N185,0)-1,"")</f>
        <v>2014</v>
      </c>
      <c r="T185">
        <f t="shared" si="29"/>
        <v>129386000</v>
      </c>
      <c r="U185">
        <f t="shared" si="30"/>
        <v>34410975.429359742</v>
      </c>
      <c r="V185">
        <f t="shared" si="31"/>
        <v>1.2686068748505754</v>
      </c>
      <c r="W185">
        <f t="shared" si="32"/>
        <v>-0.25329127963525944</v>
      </c>
      <c r="X185">
        <f t="shared" si="33"/>
        <v>-1.4866187128294324</v>
      </c>
      <c r="Y185">
        <f t="shared" si="34"/>
        <v>0.18377857416399504</v>
      </c>
      <c r="Z185">
        <f t="shared" si="35"/>
        <v>0.28752454345012124</v>
      </c>
      <c r="AA185">
        <f t="shared" si="36"/>
        <v>-1.4866187128294324</v>
      </c>
      <c r="AB185">
        <f>IFERROR(V144+MATCH(AA185,V185:Z185,0)-1,"")</f>
        <v>2014</v>
      </c>
      <c r="AC185" t="str">
        <f t="shared" si="37"/>
        <v>Low</v>
      </c>
      <c r="AE185">
        <f>IF(ISNUMBER(MATCH("N/A",J185:N185,0)),"",IFERROR((5 * SUMPRODUCT(J144:N144,J185:N185) - PRODUCT(SUM(J144:N144),SUM(J185:N185))) / ((5 * SUM((J144^2)+(K144^2)+(L144^2)+(M144^2)+(N144^2))) - SUM(J144:N144)^2),""))</f>
        <v>-5248000</v>
      </c>
      <c r="AF185">
        <f>IFERROR(CORREL(J144:N144,J185:N185),"")</f>
        <v>-0.24113866220723454</v>
      </c>
      <c r="AZ185">
        <f t="shared" si="38"/>
        <v>1</v>
      </c>
      <c r="BA185" t="str">
        <f>IF(AZ185=1,IF(Q185="","",IF(Q185=N144,"Yes","No")),"")</f>
        <v>No</v>
      </c>
      <c r="BB185" t="str">
        <f t="shared" si="39"/>
        <v/>
      </c>
      <c r="BC185" t="str">
        <f>IF(AZ185=1,IF(S185="","",IF(S185=N144,"Yes","No")),"")</f>
        <v>No</v>
      </c>
      <c r="BD185" t="str">
        <f t="shared" si="40"/>
        <v/>
      </c>
      <c r="BE185" t="str">
        <f t="shared" si="41"/>
        <v>Decreasing</v>
      </c>
      <c r="BF185" t="str">
        <f t="shared" si="42"/>
        <v>No</v>
      </c>
      <c r="BG185" t="str">
        <f t="shared" si="43"/>
        <v>No</v>
      </c>
      <c r="BH185" t="str">
        <f t="shared" si="44"/>
        <v>No</v>
      </c>
    </row>
    <row r="186" spans="1:60" x14ac:dyDescent="0.3">
      <c r="A186" s="1">
        <v>28</v>
      </c>
      <c r="B186" t="s">
        <v>409</v>
      </c>
      <c r="C186" t="s">
        <v>264</v>
      </c>
      <c r="D186" t="s">
        <v>410</v>
      </c>
      <c r="E186" t="s">
        <v>411</v>
      </c>
      <c r="F186" t="s">
        <v>412</v>
      </c>
      <c r="G186" t="s">
        <v>413</v>
      </c>
      <c r="I186" t="str">
        <f t="shared" si="46"/>
        <v>N/A</v>
      </c>
      <c r="J186" t="str">
        <f t="shared" si="47"/>
        <v>N/A</v>
      </c>
      <c r="K186">
        <f t="shared" si="48"/>
        <v>-0.30270000000000002</v>
      </c>
      <c r="L186">
        <f t="shared" si="49"/>
        <v>-0.35170000000000001</v>
      </c>
      <c r="M186">
        <f t="shared" si="50"/>
        <v>0.73470000000000002</v>
      </c>
      <c r="N186">
        <f t="shared" si="51"/>
        <v>2.63E-2</v>
      </c>
      <c r="P186">
        <f t="shared" si="27"/>
        <v>0.73470000000000002</v>
      </c>
      <c r="Q186">
        <f>IFERROR(J144+MATCH(P186,J186:N186,0)-1,"")</f>
        <v>2015</v>
      </c>
      <c r="R186">
        <f t="shared" si="28"/>
        <v>-0.35170000000000001</v>
      </c>
      <c r="S186">
        <f>IFERROR(J144+MATCH(R186,J186:N186,0)-1,"")</f>
        <v>2014</v>
      </c>
      <c r="T186">
        <f t="shared" si="29"/>
        <v>2.6649999999999983E-2</v>
      </c>
      <c r="U186">
        <f t="shared" si="30"/>
        <v>0.5009840549691511</v>
      </c>
      <c r="V186" t="str">
        <f t="shared" si="31"/>
        <v/>
      </c>
      <c r="W186">
        <f t="shared" si="32"/>
        <v>-0.65740615241792533</v>
      </c>
      <c r="X186">
        <f t="shared" si="33"/>
        <v>-0.75521365649710648</v>
      </c>
      <c r="Y186">
        <f t="shared" si="34"/>
        <v>1.4133184339441689</v>
      </c>
      <c r="Z186">
        <f t="shared" si="35"/>
        <v>-6.9862502913697335E-4</v>
      </c>
      <c r="AA186">
        <f t="shared" si="36"/>
        <v>1.4133184339441689</v>
      </c>
      <c r="AB186">
        <f>IFERROR(V144+MATCH(AA186,V186:Z186,0)-1,"")</f>
        <v>2015</v>
      </c>
      <c r="AC186" t="str">
        <f t="shared" si="37"/>
        <v>High</v>
      </c>
      <c r="AE186" t="str">
        <f>IF(ISNUMBER(MATCH("N/A",J186:N186,0)),"",IFERROR((5 * SUMPRODUCT(J144:N144,J186:N186) - PRODUCT(SUM(J144:N144),SUM(J186:N186))) / ((5 * SUM((J144^2)+(K144^2)+(L144^2)+(M144^2)+(N144^2))) - SUM(J144:N144)^2),""))</f>
        <v/>
      </c>
      <c r="AF186">
        <f>IFERROR(CORREL(J144:N144,J186:N186),"")</f>
        <v>0.53429802075709676</v>
      </c>
      <c r="AZ186">
        <f t="shared" si="38"/>
        <v>1</v>
      </c>
      <c r="BA186" t="str">
        <f>IF(AZ186=1,IF(Q186="","",IF(Q186=N144,"Yes","No")),"")</f>
        <v>No</v>
      </c>
      <c r="BB186" t="str">
        <f t="shared" si="39"/>
        <v/>
      </c>
      <c r="BC186" t="str">
        <f>IF(AZ186=1,IF(S186="","",IF(S186=N144,"Yes","No")),"")</f>
        <v>No</v>
      </c>
      <c r="BD186" t="str">
        <f t="shared" si="40"/>
        <v/>
      </c>
      <c r="BE186" t="str">
        <f t="shared" si="41"/>
        <v/>
      </c>
      <c r="BF186" t="str">
        <f t="shared" si="42"/>
        <v>No</v>
      </c>
      <c r="BG186" t="str">
        <f t="shared" si="43"/>
        <v>No</v>
      </c>
      <c r="BH186" t="str">
        <f t="shared" si="44"/>
        <v>No</v>
      </c>
    </row>
    <row r="187" spans="1:60" x14ac:dyDescent="0.3">
      <c r="A187" s="1">
        <v>29</v>
      </c>
      <c r="B187" t="s">
        <v>414</v>
      </c>
      <c r="C187" t="s">
        <v>264</v>
      </c>
      <c r="D187" t="s">
        <v>264</v>
      </c>
      <c r="E187" t="s">
        <v>264</v>
      </c>
      <c r="F187" t="s">
        <v>264</v>
      </c>
      <c r="G187" t="s">
        <v>415</v>
      </c>
      <c r="I187" t="str">
        <f t="shared" si="46"/>
        <v>N/A</v>
      </c>
      <c r="J187" t="str">
        <f t="shared" si="47"/>
        <v>N/A</v>
      </c>
      <c r="K187" t="str">
        <f t="shared" si="48"/>
        <v>N/A</v>
      </c>
      <c r="L187" t="str">
        <f t="shared" si="49"/>
        <v>N/A</v>
      </c>
      <c r="M187" t="str">
        <f t="shared" si="50"/>
        <v>N/A</v>
      </c>
      <c r="N187">
        <f t="shared" si="51"/>
        <v>4.3400000000000001E-2</v>
      </c>
      <c r="P187">
        <f t="shared" si="27"/>
        <v>4.3400000000000001E-2</v>
      </c>
      <c r="Q187">
        <f>IFERROR(J144+MATCH(P187,J187:N187,0)-1,"")</f>
        <v>2016</v>
      </c>
      <c r="R187">
        <f t="shared" si="28"/>
        <v>4.3400000000000001E-2</v>
      </c>
      <c r="S187">
        <f>IFERROR(J144+MATCH(R187,J187:N187,0)-1,"")</f>
        <v>2016</v>
      </c>
      <c r="T187">
        <f t="shared" si="29"/>
        <v>4.3400000000000001E-2</v>
      </c>
      <c r="U187" t="str">
        <f t="shared" si="30"/>
        <v/>
      </c>
      <c r="V187" t="str">
        <f t="shared" si="31"/>
        <v/>
      </c>
      <c r="W187" t="str">
        <f t="shared" si="32"/>
        <v/>
      </c>
      <c r="X187" t="str">
        <f t="shared" si="33"/>
        <v/>
      </c>
      <c r="Y187" t="str">
        <f t="shared" si="34"/>
        <v/>
      </c>
      <c r="Z187" t="str">
        <f t="shared" si="35"/>
        <v/>
      </c>
      <c r="AA187">
        <f t="shared" si="36"/>
        <v>0</v>
      </c>
      <c r="AB187" t="str">
        <f>IFERROR(V144+MATCH(AA187,V187:Z187,0)-1,"")</f>
        <v/>
      </c>
      <c r="AC187" t="str">
        <f t="shared" si="37"/>
        <v/>
      </c>
      <c r="AE187" t="str">
        <f>IF(ISNUMBER(MATCH("N/A",J187:N187,0)),"",IFERROR((5 * SUMPRODUCT(J144:N144,J187:N187) - PRODUCT(SUM(J144:N144),SUM(J187:N187))) / ((5 * SUM((J144^2)+(K144^2)+(L144^2)+(M144^2)+(N144^2))) - SUM(J144:N144)^2),""))</f>
        <v/>
      </c>
      <c r="AF187" t="str">
        <f>IFERROR(CORREL(J144:N144,J187:N187),"")</f>
        <v/>
      </c>
      <c r="AZ187">
        <f t="shared" si="38"/>
        <v>0</v>
      </c>
      <c r="BA187" t="str">
        <f>IF(AZ187=1,IF(Q187="","",IF(Q187=N144,"Yes","No")),"")</f>
        <v/>
      </c>
      <c r="BB187" t="str">
        <f t="shared" si="39"/>
        <v/>
      </c>
      <c r="BC187" t="str">
        <f>IF(AZ187=1,IF(S187="","",IF(S187=N144,"Yes","No")),"")</f>
        <v/>
      </c>
      <c r="BD187" t="str">
        <f t="shared" si="40"/>
        <v/>
      </c>
      <c r="BE187" t="str">
        <f t="shared" si="41"/>
        <v/>
      </c>
      <c r="BF187" t="str">
        <f t="shared" si="42"/>
        <v>No</v>
      </c>
      <c r="BG187" t="str">
        <f t="shared" si="43"/>
        <v>No</v>
      </c>
      <c r="BH187" t="str">
        <f t="shared" si="44"/>
        <v/>
      </c>
    </row>
    <row r="188" spans="1:60" x14ac:dyDescent="0.3">
      <c r="A188" s="1">
        <v>30</v>
      </c>
      <c r="B188" t="s">
        <v>416</v>
      </c>
      <c r="C188" t="s">
        <v>264</v>
      </c>
      <c r="D188" t="s">
        <v>264</v>
      </c>
      <c r="E188" t="s">
        <v>264</v>
      </c>
      <c r="F188" t="s">
        <v>264</v>
      </c>
      <c r="G188" t="s">
        <v>264</v>
      </c>
      <c r="I188" t="str">
        <f t="shared" si="46"/>
        <v>N/A</v>
      </c>
      <c r="J188" t="str">
        <f t="shared" si="47"/>
        <v>N/A</v>
      </c>
      <c r="K188" t="str">
        <f t="shared" si="48"/>
        <v>N/A</v>
      </c>
      <c r="L188" t="str">
        <f t="shared" si="49"/>
        <v>N/A</v>
      </c>
      <c r="M188" t="str">
        <f t="shared" si="50"/>
        <v>N/A</v>
      </c>
      <c r="N188" t="str">
        <f t="shared" si="51"/>
        <v>N/A</v>
      </c>
      <c r="P188">
        <f t="shared" si="27"/>
        <v>0</v>
      </c>
      <c r="Q188" t="str">
        <f>IFERROR(J144+MATCH(P188,J188:N188,0)-1,"")</f>
        <v/>
      </c>
      <c r="R188" t="str">
        <f t="shared" si="28"/>
        <v/>
      </c>
      <c r="S188" t="str">
        <f>IFERROR(J144+MATCH(R188,J188:N188,0)-1,"")</f>
        <v/>
      </c>
      <c r="T188" t="str">
        <f t="shared" si="29"/>
        <v/>
      </c>
      <c r="U188" t="str">
        <f t="shared" si="30"/>
        <v/>
      </c>
      <c r="V188" t="str">
        <f t="shared" si="31"/>
        <v/>
      </c>
      <c r="W188" t="str">
        <f t="shared" si="32"/>
        <v/>
      </c>
      <c r="X188" t="str">
        <f t="shared" si="33"/>
        <v/>
      </c>
      <c r="Y188" t="str">
        <f t="shared" si="34"/>
        <v/>
      </c>
      <c r="Z188" t="str">
        <f t="shared" si="35"/>
        <v/>
      </c>
      <c r="AA188">
        <f t="shared" si="36"/>
        <v>0</v>
      </c>
      <c r="AB188" t="str">
        <f>IFERROR(V144+MATCH(AA188,V188:Z188,0)-1,"")</f>
        <v/>
      </c>
      <c r="AC188" t="str">
        <f t="shared" si="37"/>
        <v/>
      </c>
      <c r="AE188" t="str">
        <f>IF(ISNUMBER(MATCH("N/A",J188:N188,0)),"",IFERROR((5 * SUMPRODUCT(J144:N144,J188:N188) - PRODUCT(SUM(J144:N144),SUM(J188:N188))) / ((5 * SUM((J144^2)+(K144^2)+(L144^2)+(M144^2)+(N144^2))) - SUM(J144:N144)^2),""))</f>
        <v/>
      </c>
      <c r="AF188" t="str">
        <f>IFERROR(CORREL(J144:N144,J188:N188),"")</f>
        <v/>
      </c>
      <c r="AZ188">
        <f t="shared" si="38"/>
        <v>0</v>
      </c>
      <c r="BA188" t="str">
        <f>IF(AZ188=1,IF(Q188="","",IF(Q188=N144,"Yes","No")),"")</f>
        <v/>
      </c>
      <c r="BB188" t="str">
        <f t="shared" si="39"/>
        <v/>
      </c>
      <c r="BC188" t="str">
        <f>IF(AZ188=1,IF(S188="","",IF(S188=N144,"Yes","No")),"")</f>
        <v/>
      </c>
      <c r="BD188" t="str">
        <f t="shared" si="40"/>
        <v/>
      </c>
      <c r="BE188" t="str">
        <f t="shared" si="41"/>
        <v/>
      </c>
      <c r="BF188" t="str">
        <f t="shared" si="42"/>
        <v>No</v>
      </c>
      <c r="BG188" t="str">
        <f t="shared" si="43"/>
        <v>No</v>
      </c>
      <c r="BH188" t="str">
        <f t="shared" si="44"/>
        <v/>
      </c>
    </row>
    <row r="189" spans="1:60" x14ac:dyDescent="0.3">
      <c r="A189" s="1">
        <v>31</v>
      </c>
      <c r="B189" t="s">
        <v>417</v>
      </c>
      <c r="C189" t="s">
        <v>264</v>
      </c>
      <c r="D189" t="s">
        <v>264</v>
      </c>
      <c r="E189" t="s">
        <v>264</v>
      </c>
      <c r="F189" t="s">
        <v>264</v>
      </c>
      <c r="G189" t="s">
        <v>264</v>
      </c>
      <c r="I189" t="str">
        <f t="shared" si="46"/>
        <v>N/A</v>
      </c>
      <c r="J189" t="str">
        <f t="shared" si="47"/>
        <v>N/A</v>
      </c>
      <c r="K189" t="str">
        <f t="shared" si="48"/>
        <v>N/A</v>
      </c>
      <c r="L189" t="str">
        <f t="shared" si="49"/>
        <v>N/A</v>
      </c>
      <c r="M189" t="str">
        <f t="shared" si="50"/>
        <v>N/A</v>
      </c>
      <c r="N189" t="str">
        <f t="shared" si="51"/>
        <v>N/A</v>
      </c>
      <c r="P189">
        <f t="shared" si="27"/>
        <v>0</v>
      </c>
      <c r="Q189" t="str">
        <f>IFERROR(J144+MATCH(P189,J189:N189,0)-1,"")</f>
        <v/>
      </c>
      <c r="R189" t="str">
        <f t="shared" si="28"/>
        <v/>
      </c>
      <c r="S189" t="str">
        <f>IFERROR(J144+MATCH(R189,J189:N189,0)-1,"")</f>
        <v/>
      </c>
      <c r="T189" t="str">
        <f t="shared" si="29"/>
        <v/>
      </c>
      <c r="U189" t="str">
        <f t="shared" si="30"/>
        <v/>
      </c>
      <c r="V189" t="str">
        <f t="shared" si="31"/>
        <v/>
      </c>
      <c r="W189" t="str">
        <f t="shared" si="32"/>
        <v/>
      </c>
      <c r="X189" t="str">
        <f t="shared" si="33"/>
        <v/>
      </c>
      <c r="Y189" t="str">
        <f t="shared" si="34"/>
        <v/>
      </c>
      <c r="Z189" t="str">
        <f t="shared" si="35"/>
        <v/>
      </c>
      <c r="AA189">
        <f t="shared" si="36"/>
        <v>0</v>
      </c>
      <c r="AB189" t="str">
        <f>IFERROR(V144+MATCH(AA189,V189:Z189,0)-1,"")</f>
        <v/>
      </c>
      <c r="AC189" t="str">
        <f t="shared" si="37"/>
        <v/>
      </c>
      <c r="AE189" t="str">
        <f>IF(ISNUMBER(MATCH("N/A",J189:N189,0)),"",IFERROR((5 * SUMPRODUCT(J144:N144,J189:N189) - PRODUCT(SUM(J144:N144),SUM(J189:N189))) / ((5 * SUM((J144^2)+(K144^2)+(L144^2)+(M144^2)+(N144^2))) - SUM(J144:N144)^2),""))</f>
        <v/>
      </c>
      <c r="AF189" t="str">
        <f>IFERROR(CORREL(J144:N144,J189:N189),"")</f>
        <v/>
      </c>
      <c r="AZ189">
        <f t="shared" si="38"/>
        <v>0</v>
      </c>
      <c r="BA189" t="str">
        <f>IF(AZ189=1,IF(Q189="","",IF(Q189=N144,"Yes","No")),"")</f>
        <v/>
      </c>
      <c r="BB189" t="str">
        <f t="shared" si="39"/>
        <v/>
      </c>
      <c r="BC189" t="str">
        <f>IF(AZ189=1,IF(S189="","",IF(S189=N144,"Yes","No")),"")</f>
        <v/>
      </c>
      <c r="BD189" t="str">
        <f t="shared" si="40"/>
        <v/>
      </c>
      <c r="BE189" t="str">
        <f t="shared" si="41"/>
        <v/>
      </c>
      <c r="BF189" t="str">
        <f t="shared" si="42"/>
        <v>No</v>
      </c>
      <c r="BG189" t="str">
        <f t="shared" si="43"/>
        <v>No</v>
      </c>
      <c r="BH189" t="str">
        <f t="shared" si="44"/>
        <v/>
      </c>
    </row>
    <row r="190" spans="1:60" x14ac:dyDescent="0.3">
      <c r="A190" s="1">
        <v>32</v>
      </c>
      <c r="B190" t="s">
        <v>418</v>
      </c>
      <c r="C190" t="s">
        <v>264</v>
      </c>
      <c r="D190" t="s">
        <v>264</v>
      </c>
      <c r="E190" t="s">
        <v>264</v>
      </c>
      <c r="F190" t="s">
        <v>264</v>
      </c>
      <c r="G190" t="s">
        <v>264</v>
      </c>
      <c r="I190" t="str">
        <f t="shared" si="46"/>
        <v>N/A</v>
      </c>
      <c r="J190" t="str">
        <f t="shared" si="47"/>
        <v>N/A</v>
      </c>
      <c r="K190" t="str">
        <f t="shared" si="48"/>
        <v>N/A</v>
      </c>
      <c r="L190" t="str">
        <f t="shared" si="49"/>
        <v>N/A</v>
      </c>
      <c r="M190" t="str">
        <f t="shared" si="50"/>
        <v>N/A</v>
      </c>
      <c r="N190" t="str">
        <f t="shared" si="51"/>
        <v>N/A</v>
      </c>
      <c r="P190">
        <f t="shared" si="27"/>
        <v>0</v>
      </c>
      <c r="Q190" t="str">
        <f>IFERROR(J144+MATCH(P190,J190:N190,0)-1,"")</f>
        <v/>
      </c>
      <c r="R190" t="str">
        <f t="shared" si="28"/>
        <v/>
      </c>
      <c r="S190" t="str">
        <f>IFERROR(J144+MATCH(R190,J190:N190,0)-1,"")</f>
        <v/>
      </c>
      <c r="T190" t="str">
        <f t="shared" si="29"/>
        <v/>
      </c>
      <c r="U190" t="str">
        <f t="shared" si="30"/>
        <v/>
      </c>
      <c r="V190" t="str">
        <f t="shared" si="31"/>
        <v/>
      </c>
      <c r="W190" t="str">
        <f t="shared" si="32"/>
        <v/>
      </c>
      <c r="X190" t="str">
        <f t="shared" si="33"/>
        <v/>
      </c>
      <c r="Y190" t="str">
        <f t="shared" si="34"/>
        <v/>
      </c>
      <c r="Z190" t="str">
        <f t="shared" si="35"/>
        <v/>
      </c>
      <c r="AA190">
        <f t="shared" si="36"/>
        <v>0</v>
      </c>
      <c r="AB190" t="str">
        <f>IFERROR(V144+MATCH(AA190,V190:Z190,0)-1,"")</f>
        <v/>
      </c>
      <c r="AC190" t="str">
        <f t="shared" si="37"/>
        <v/>
      </c>
      <c r="AE190" t="str">
        <f>IF(ISNUMBER(MATCH("N/A",J190:N190,0)),"",IFERROR((5 * SUMPRODUCT(J144:N144,J190:N190) - PRODUCT(SUM(J144:N144),SUM(J190:N190))) / ((5 * SUM((J144^2)+(K144^2)+(L144^2)+(M144^2)+(N144^2))) - SUM(J144:N144)^2),""))</f>
        <v/>
      </c>
      <c r="AF190" t="str">
        <f>IFERROR(CORREL(J144:N144,J190:N190),"")</f>
        <v/>
      </c>
      <c r="AZ190">
        <f t="shared" si="38"/>
        <v>0</v>
      </c>
      <c r="BA190" t="str">
        <f>IF(AZ190=1,IF(Q190="","",IF(Q190=N144,"Yes","No")),"")</f>
        <v/>
      </c>
      <c r="BB190" t="str">
        <f t="shared" si="39"/>
        <v/>
      </c>
      <c r="BC190" t="str">
        <f>IF(AZ190=1,IF(S190="","",IF(S190=N144,"Yes","No")),"")</f>
        <v/>
      </c>
      <c r="BD190" t="str">
        <f t="shared" si="40"/>
        <v/>
      </c>
      <c r="BE190" t="str">
        <f t="shared" si="41"/>
        <v/>
      </c>
      <c r="BF190" t="str">
        <f t="shared" si="42"/>
        <v>No</v>
      </c>
      <c r="BG190" t="str">
        <f t="shared" si="43"/>
        <v>No</v>
      </c>
      <c r="BH190" t="str">
        <f t="shared" si="44"/>
        <v/>
      </c>
    </row>
    <row r="191" spans="1:60" x14ac:dyDescent="0.3">
      <c r="A191" s="1">
        <v>33</v>
      </c>
      <c r="B191" t="s">
        <v>419</v>
      </c>
      <c r="C191" t="s">
        <v>264</v>
      </c>
      <c r="D191" t="s">
        <v>264</v>
      </c>
      <c r="E191" t="s">
        <v>264</v>
      </c>
      <c r="F191" t="s">
        <v>264</v>
      </c>
      <c r="G191" t="s">
        <v>264</v>
      </c>
      <c r="I191" t="str">
        <f t="shared" si="46"/>
        <v>N/A</v>
      </c>
      <c r="J191" t="str">
        <f t="shared" si="47"/>
        <v>N/A</v>
      </c>
      <c r="K191" t="str">
        <f t="shared" si="48"/>
        <v>N/A</v>
      </c>
      <c r="L191" t="str">
        <f t="shared" si="49"/>
        <v>N/A</v>
      </c>
      <c r="M191" t="str">
        <f t="shared" si="50"/>
        <v>N/A</v>
      </c>
      <c r="N191" t="str">
        <f t="shared" si="51"/>
        <v>N/A</v>
      </c>
      <c r="P191">
        <f t="shared" si="27"/>
        <v>0</v>
      </c>
      <c r="Q191" t="str">
        <f>IFERROR(J144+MATCH(P191,J191:N191,0)-1,"")</f>
        <v/>
      </c>
      <c r="R191" t="str">
        <f t="shared" si="28"/>
        <v/>
      </c>
      <c r="S191" t="str">
        <f>IFERROR(J144+MATCH(R191,J191:N191,0)-1,"")</f>
        <v/>
      </c>
      <c r="T191" t="str">
        <f t="shared" si="29"/>
        <v/>
      </c>
      <c r="U191" t="str">
        <f t="shared" si="30"/>
        <v/>
      </c>
      <c r="V191" t="str">
        <f t="shared" si="31"/>
        <v/>
      </c>
      <c r="W191" t="str">
        <f t="shared" si="32"/>
        <v/>
      </c>
      <c r="X191" t="str">
        <f t="shared" si="33"/>
        <v/>
      </c>
      <c r="Y191" t="str">
        <f t="shared" si="34"/>
        <v/>
      </c>
      <c r="Z191" t="str">
        <f t="shared" si="35"/>
        <v/>
      </c>
      <c r="AA191">
        <f t="shared" si="36"/>
        <v>0</v>
      </c>
      <c r="AB191" t="str">
        <f>IFERROR(V144+MATCH(AA191,V191:Z191,0)-1,"")</f>
        <v/>
      </c>
      <c r="AC191" t="str">
        <f t="shared" si="37"/>
        <v/>
      </c>
      <c r="AE191" t="str">
        <f>IF(ISNUMBER(MATCH("N/A",J191:N191,0)),"",IFERROR((5 * SUMPRODUCT(J144:N144,J191:N191) - PRODUCT(SUM(J144:N144),SUM(J191:N191))) / ((5 * SUM((J144^2)+(K144^2)+(L144^2)+(M144^2)+(N144^2))) - SUM(J144:N144)^2),""))</f>
        <v/>
      </c>
      <c r="AF191" t="str">
        <f>IFERROR(CORREL(J144:N144,J191:N191),"")</f>
        <v/>
      </c>
      <c r="AZ191">
        <f t="shared" si="38"/>
        <v>0</v>
      </c>
      <c r="BA191" t="str">
        <f>IF(AZ191=1,IF(Q191="","",IF(Q191=N144,"Yes","No")),"")</f>
        <v/>
      </c>
      <c r="BB191" t="str">
        <f t="shared" si="39"/>
        <v/>
      </c>
      <c r="BC191" t="str">
        <f>IF(AZ191=1,IF(S191="","",IF(S191=N144,"Yes","No")),"")</f>
        <v/>
      </c>
      <c r="BD191" t="str">
        <f t="shared" si="40"/>
        <v/>
      </c>
      <c r="BE191" t="str">
        <f t="shared" si="41"/>
        <v/>
      </c>
      <c r="BF191" t="str">
        <f t="shared" si="42"/>
        <v>No</v>
      </c>
      <c r="BG191" t="str">
        <f t="shared" si="43"/>
        <v>No</v>
      </c>
      <c r="BH191" t="str">
        <f t="shared" si="44"/>
        <v/>
      </c>
    </row>
    <row r="192" spans="1:60" x14ac:dyDescent="0.3">
      <c r="A192" s="1">
        <v>34</v>
      </c>
      <c r="B192" t="s">
        <v>420</v>
      </c>
      <c r="C192" t="s">
        <v>402</v>
      </c>
      <c r="D192" t="s">
        <v>403</v>
      </c>
      <c r="E192" t="s">
        <v>404</v>
      </c>
      <c r="F192" t="s">
        <v>405</v>
      </c>
      <c r="G192" t="s">
        <v>406</v>
      </c>
      <c r="I192" t="str">
        <f t="shared" si="46"/>
        <v>N/A</v>
      </c>
      <c r="J192">
        <f t="shared" si="47"/>
        <v>173040000</v>
      </c>
      <c r="K192">
        <f t="shared" si="48"/>
        <v>120670000</v>
      </c>
      <c r="L192">
        <f t="shared" si="49"/>
        <v>78230000</v>
      </c>
      <c r="M192">
        <f t="shared" si="50"/>
        <v>135710000</v>
      </c>
      <c r="N192">
        <f t="shared" si="51"/>
        <v>139280000</v>
      </c>
      <c r="P192">
        <f t="shared" si="27"/>
        <v>173040000</v>
      </c>
      <c r="Q192">
        <f>IFERROR(J144+MATCH(P192,J192:N192,0)-1,"")</f>
        <v>2012</v>
      </c>
      <c r="R192">
        <f t="shared" si="28"/>
        <v>78230000</v>
      </c>
      <c r="S192">
        <f>IFERROR(J144+MATCH(R192,J192:N192,0)-1,"")</f>
        <v>2014</v>
      </c>
      <c r="T192">
        <f t="shared" si="29"/>
        <v>129386000</v>
      </c>
      <c r="U192">
        <f t="shared" si="30"/>
        <v>34410975.429359742</v>
      </c>
      <c r="V192">
        <f t="shared" si="31"/>
        <v>1.2686068748505754</v>
      </c>
      <c r="W192">
        <f t="shared" si="32"/>
        <v>-0.25329127963525944</v>
      </c>
      <c r="X192">
        <f t="shared" si="33"/>
        <v>-1.4866187128294324</v>
      </c>
      <c r="Y192">
        <f t="shared" si="34"/>
        <v>0.18377857416399504</v>
      </c>
      <c r="Z192">
        <f t="shared" si="35"/>
        <v>0.28752454345012124</v>
      </c>
      <c r="AA192">
        <f t="shared" si="36"/>
        <v>-1.4866187128294324</v>
      </c>
      <c r="AB192">
        <f>IFERROR(V144+MATCH(AA192,V192:Z192,0)-1,"")</f>
        <v>2014</v>
      </c>
      <c r="AC192" t="str">
        <f t="shared" si="37"/>
        <v>Low</v>
      </c>
      <c r="AE192">
        <f>IF(ISNUMBER(MATCH("N/A",J192:N192,0)),"",IFERROR((5 * SUMPRODUCT(J144:N144,J192:N192) - PRODUCT(SUM(J144:N144),SUM(J192:N192))) / ((5 * SUM((J144^2)+(K144^2)+(L144^2)+(M144^2)+(N144^2))) - SUM(J144:N144)^2),""))</f>
        <v>-5248000</v>
      </c>
      <c r="AF192">
        <f>IFERROR(CORREL(J144:N144,J192:N192),"")</f>
        <v>-0.24113866220723454</v>
      </c>
      <c r="AZ192">
        <f t="shared" si="38"/>
        <v>1</v>
      </c>
      <c r="BA192" t="str">
        <f>IF(AZ192=1,IF(Q192="","",IF(Q192=N144,"Yes","No")),"")</f>
        <v>No</v>
      </c>
      <c r="BB192" t="str">
        <f t="shared" si="39"/>
        <v/>
      </c>
      <c r="BC192" t="str">
        <f>IF(AZ192=1,IF(S192="","",IF(S192=N144,"Yes","No")),"")</f>
        <v>No</v>
      </c>
      <c r="BD192" t="str">
        <f t="shared" si="40"/>
        <v/>
      </c>
      <c r="BE192" t="str">
        <f t="shared" si="41"/>
        <v>Decreasing</v>
      </c>
      <c r="BF192" t="str">
        <f t="shared" si="42"/>
        <v>No</v>
      </c>
      <c r="BG192" t="str">
        <f t="shared" si="43"/>
        <v>No</v>
      </c>
      <c r="BH192" t="str">
        <f t="shared" si="44"/>
        <v>No</v>
      </c>
    </row>
    <row r="193" spans="1:60" x14ac:dyDescent="0.3">
      <c r="A193" s="1">
        <v>35</v>
      </c>
      <c r="B193" t="s">
        <v>421</v>
      </c>
      <c r="C193" t="s">
        <v>264</v>
      </c>
      <c r="D193" t="s">
        <v>264</v>
      </c>
      <c r="E193" t="s">
        <v>264</v>
      </c>
      <c r="F193" t="s">
        <v>264</v>
      </c>
      <c r="G193" t="s">
        <v>264</v>
      </c>
      <c r="I193" t="str">
        <f t="shared" si="46"/>
        <v>N/A</v>
      </c>
      <c r="J193" t="str">
        <f t="shared" si="47"/>
        <v>N/A</v>
      </c>
      <c r="K193" t="str">
        <f t="shared" si="48"/>
        <v>N/A</v>
      </c>
      <c r="L193" t="str">
        <f t="shared" si="49"/>
        <v>N/A</v>
      </c>
      <c r="M193" t="str">
        <f t="shared" si="50"/>
        <v>N/A</v>
      </c>
      <c r="N193" t="str">
        <f t="shared" si="51"/>
        <v>N/A</v>
      </c>
      <c r="P193">
        <f t="shared" si="27"/>
        <v>0</v>
      </c>
      <c r="Q193" t="str">
        <f>IFERROR(J144+MATCH(P193,J193:N193,0)-1,"")</f>
        <v/>
      </c>
      <c r="R193" t="str">
        <f t="shared" si="28"/>
        <v/>
      </c>
      <c r="S193" t="str">
        <f>IFERROR(J144+MATCH(R193,J193:N193,0)-1,"")</f>
        <v/>
      </c>
      <c r="T193" t="str">
        <f t="shared" si="29"/>
        <v/>
      </c>
      <c r="U193" t="str">
        <f t="shared" si="30"/>
        <v/>
      </c>
      <c r="V193" t="str">
        <f t="shared" si="31"/>
        <v/>
      </c>
      <c r="W193" t="str">
        <f t="shared" si="32"/>
        <v/>
      </c>
      <c r="X193" t="str">
        <f t="shared" si="33"/>
        <v/>
      </c>
      <c r="Y193" t="str">
        <f t="shared" si="34"/>
        <v/>
      </c>
      <c r="Z193" t="str">
        <f t="shared" si="35"/>
        <v/>
      </c>
      <c r="AA193">
        <f t="shared" si="36"/>
        <v>0</v>
      </c>
      <c r="AB193" t="str">
        <f>IFERROR(V144+MATCH(AA193,V193:Z193,0)-1,"")</f>
        <v/>
      </c>
      <c r="AC193" t="str">
        <f t="shared" si="37"/>
        <v/>
      </c>
      <c r="AE193" t="str">
        <f>IF(ISNUMBER(MATCH("N/A",J193:N193,0)),"",IFERROR((5 * SUMPRODUCT(J144:N144,J193:N193) - PRODUCT(SUM(J144:N144),SUM(J193:N193))) / ((5 * SUM((J144^2)+(K144^2)+(L144^2)+(M144^2)+(N144^2))) - SUM(J144:N144)^2),""))</f>
        <v/>
      </c>
      <c r="AF193" t="str">
        <f>IFERROR(CORREL(J144:N144,J193:N193),"")</f>
        <v/>
      </c>
      <c r="AZ193">
        <f t="shared" si="38"/>
        <v>0</v>
      </c>
      <c r="BA193" t="str">
        <f>IF(AZ193=1,IF(Q193="","",IF(Q193=N144,"Yes","No")),"")</f>
        <v/>
      </c>
      <c r="BB193" t="str">
        <f t="shared" si="39"/>
        <v/>
      </c>
      <c r="BC193" t="str">
        <f>IF(AZ193=1,IF(S193="","",IF(S193=N144,"Yes","No")),"")</f>
        <v/>
      </c>
      <c r="BD193" t="str">
        <f t="shared" si="40"/>
        <v/>
      </c>
      <c r="BE193" t="str">
        <f t="shared" si="41"/>
        <v/>
      </c>
      <c r="BF193" t="str">
        <f t="shared" si="42"/>
        <v>No</v>
      </c>
      <c r="BG193" t="str">
        <f t="shared" si="43"/>
        <v>No</v>
      </c>
      <c r="BH193" t="str">
        <f t="shared" si="44"/>
        <v/>
      </c>
    </row>
    <row r="194" spans="1:60" x14ac:dyDescent="0.3">
      <c r="A194" s="1">
        <v>36</v>
      </c>
      <c r="B194" t="s">
        <v>422</v>
      </c>
      <c r="C194" t="s">
        <v>402</v>
      </c>
      <c r="D194" t="s">
        <v>403</v>
      </c>
      <c r="E194" t="s">
        <v>404</v>
      </c>
      <c r="F194" t="s">
        <v>405</v>
      </c>
      <c r="G194" t="s">
        <v>406</v>
      </c>
      <c r="I194" t="str">
        <f t="shared" si="46"/>
        <v>N/A</v>
      </c>
      <c r="J194">
        <f t="shared" si="47"/>
        <v>173040000</v>
      </c>
      <c r="K194">
        <f t="shared" si="48"/>
        <v>120670000</v>
      </c>
      <c r="L194">
        <f t="shared" si="49"/>
        <v>78230000</v>
      </c>
      <c r="M194">
        <f t="shared" si="50"/>
        <v>135710000</v>
      </c>
      <c r="N194">
        <f t="shared" si="51"/>
        <v>139280000</v>
      </c>
      <c r="P194">
        <f t="shared" si="27"/>
        <v>173040000</v>
      </c>
      <c r="Q194">
        <f>IFERROR(J144+MATCH(P194,J194:N194,0)-1,"")</f>
        <v>2012</v>
      </c>
      <c r="R194">
        <f t="shared" si="28"/>
        <v>78230000</v>
      </c>
      <c r="S194">
        <f>IFERROR(J144+MATCH(R194,J194:N194,0)-1,"")</f>
        <v>2014</v>
      </c>
      <c r="T194">
        <f t="shared" si="29"/>
        <v>129386000</v>
      </c>
      <c r="U194">
        <f t="shared" si="30"/>
        <v>34410975.429359742</v>
      </c>
      <c r="V194">
        <f t="shared" si="31"/>
        <v>1.2686068748505754</v>
      </c>
      <c r="W194">
        <f t="shared" si="32"/>
        <v>-0.25329127963525944</v>
      </c>
      <c r="X194">
        <f t="shared" si="33"/>
        <v>-1.4866187128294324</v>
      </c>
      <c r="Y194">
        <f t="shared" si="34"/>
        <v>0.18377857416399504</v>
      </c>
      <c r="Z194">
        <f t="shared" si="35"/>
        <v>0.28752454345012124</v>
      </c>
      <c r="AA194">
        <f t="shared" si="36"/>
        <v>-1.4866187128294324</v>
      </c>
      <c r="AB194">
        <f>IFERROR(V144+MATCH(AA194,V194:Z194,0)-1,"")</f>
        <v>2014</v>
      </c>
      <c r="AC194" t="str">
        <f t="shared" si="37"/>
        <v>Low</v>
      </c>
      <c r="AE194">
        <f>IF(ISNUMBER(MATCH("N/A",J194:N194,0)),"",IFERROR((5 * SUMPRODUCT(J144:N144,J194:N194) - PRODUCT(SUM(J144:N144),SUM(J194:N194))) / ((5 * SUM((J144^2)+(K144^2)+(L144^2)+(M144^2)+(N144^2))) - SUM(J144:N144)^2),""))</f>
        <v>-5248000</v>
      </c>
      <c r="AF194">
        <f>IFERROR(CORREL(J144:N144,J194:N194),"")</f>
        <v>-0.24113866220723454</v>
      </c>
      <c r="AZ194">
        <f t="shared" si="38"/>
        <v>1</v>
      </c>
      <c r="BA194" t="str">
        <f>IF(AZ194=1,IF(Q194="","",IF(Q194=N144,"Yes","No")),"")</f>
        <v>No</v>
      </c>
      <c r="BB194" t="str">
        <f t="shared" si="39"/>
        <v/>
      </c>
      <c r="BC194" t="str">
        <f>IF(AZ194=1,IF(S194="","",IF(S194=N144,"Yes","No")),"")</f>
        <v>No</v>
      </c>
      <c r="BD194" t="str">
        <f t="shared" si="40"/>
        <v/>
      </c>
      <c r="BE194" t="str">
        <f t="shared" si="41"/>
        <v>Decreasing</v>
      </c>
      <c r="BF194" t="str">
        <f t="shared" si="42"/>
        <v>No</v>
      </c>
      <c r="BG194" t="str">
        <f t="shared" si="43"/>
        <v>No</v>
      </c>
      <c r="BH194" t="str">
        <f t="shared" si="44"/>
        <v>No</v>
      </c>
    </row>
    <row r="195" spans="1:60" x14ac:dyDescent="0.3">
      <c r="A195" s="1">
        <v>37</v>
      </c>
      <c r="B195" t="s">
        <v>423</v>
      </c>
      <c r="C195" t="s">
        <v>424</v>
      </c>
      <c r="D195" t="s">
        <v>425</v>
      </c>
      <c r="E195" t="s">
        <v>426</v>
      </c>
      <c r="F195" t="s">
        <v>427</v>
      </c>
      <c r="G195" t="s">
        <v>428</v>
      </c>
      <c r="I195" t="str">
        <f t="shared" si="46"/>
        <v>N/A</v>
      </c>
      <c r="J195">
        <f t="shared" si="47"/>
        <v>2.2799999999999998</v>
      </c>
      <c r="K195">
        <f t="shared" si="48"/>
        <v>1.59</v>
      </c>
      <c r="L195">
        <f t="shared" si="49"/>
        <v>1.08</v>
      </c>
      <c r="M195">
        <f t="shared" si="50"/>
        <v>1.87</v>
      </c>
      <c r="N195">
        <f t="shared" si="51"/>
        <v>1.93</v>
      </c>
      <c r="P195">
        <f t="shared" si="27"/>
        <v>2.2799999999999998</v>
      </c>
      <c r="Q195">
        <f>IFERROR(J144+MATCH(P195,J195:N195,0)-1,"")</f>
        <v>2012</v>
      </c>
      <c r="R195">
        <f t="shared" si="28"/>
        <v>1.08</v>
      </c>
      <c r="S195">
        <f>IFERROR(J144+MATCH(R195,J195:N195,0)-1,"")</f>
        <v>2014</v>
      </c>
      <c r="T195">
        <f t="shared" si="29"/>
        <v>1.75</v>
      </c>
      <c r="U195">
        <f t="shared" si="30"/>
        <v>0.44782809201746132</v>
      </c>
      <c r="V195">
        <f t="shared" si="31"/>
        <v>1.1834898467676622</v>
      </c>
      <c r="W195">
        <f t="shared" si="32"/>
        <v>-0.35727995374118099</v>
      </c>
      <c r="X195">
        <f t="shared" si="33"/>
        <v>-1.4961098062911959</v>
      </c>
      <c r="Y195">
        <f t="shared" si="34"/>
        <v>0.26795996530588612</v>
      </c>
      <c r="Z195">
        <f t="shared" si="35"/>
        <v>0.40193994795882865</v>
      </c>
      <c r="AA195">
        <f t="shared" si="36"/>
        <v>-1.4961098062911959</v>
      </c>
      <c r="AB195">
        <f>IFERROR(V144+MATCH(AA195,V195:Z195,0)-1,"")</f>
        <v>2014</v>
      </c>
      <c r="AC195" t="str">
        <f t="shared" si="37"/>
        <v>Low</v>
      </c>
      <c r="AE195">
        <f>IF(ISNUMBER(MATCH("N/A",J195:N195,0)),"",IFERROR((5 * SUMPRODUCT(J144:N144,J195:N195) - PRODUCT(SUM(J144:N144),SUM(J195:N195))) / ((5 * SUM((J144^2)+(K144^2)+(L144^2)+(M144^2)+(N144^2))) - SUM(J144:N144)^2),""))</f>
        <v>-4.1999999999825378E-2</v>
      </c>
      <c r="AF195">
        <f>IFERROR(CORREL(J144:N144,J195:N195),"")</f>
        <v>-0.14828866711860178</v>
      </c>
      <c r="AZ195">
        <f t="shared" si="38"/>
        <v>1</v>
      </c>
      <c r="BA195" t="str">
        <f>IF(AZ195=1,IF(Q195="","",IF(Q195=N144,"Yes","No")),"")</f>
        <v>No</v>
      </c>
      <c r="BB195" t="str">
        <f t="shared" si="39"/>
        <v/>
      </c>
      <c r="BC195" t="str">
        <f>IF(AZ195=1,IF(S195="","",IF(S195=N144,"Yes","No")),"")</f>
        <v>No</v>
      </c>
      <c r="BD195" t="str">
        <f t="shared" si="40"/>
        <v/>
      </c>
      <c r="BE195" t="str">
        <f t="shared" si="41"/>
        <v>Decreasing</v>
      </c>
      <c r="BF195" t="str">
        <f t="shared" si="42"/>
        <v>No</v>
      </c>
      <c r="BG195" t="str">
        <f t="shared" si="43"/>
        <v>No</v>
      </c>
      <c r="BH195" t="str">
        <f t="shared" si="44"/>
        <v>No</v>
      </c>
    </row>
    <row r="196" spans="1:60" x14ac:dyDescent="0.3">
      <c r="A196" s="1">
        <v>38</v>
      </c>
      <c r="B196" t="s">
        <v>429</v>
      </c>
      <c r="C196" t="s">
        <v>264</v>
      </c>
      <c r="D196" t="s">
        <v>430</v>
      </c>
      <c r="E196" t="s">
        <v>431</v>
      </c>
      <c r="F196" t="s">
        <v>432</v>
      </c>
      <c r="G196" t="s">
        <v>433</v>
      </c>
      <c r="I196" t="str">
        <f t="shared" si="46"/>
        <v>N/A</v>
      </c>
      <c r="J196" t="str">
        <f t="shared" si="47"/>
        <v>N/A</v>
      </c>
      <c r="K196">
        <f t="shared" si="48"/>
        <v>-0.30260000000000004</v>
      </c>
      <c r="L196">
        <f t="shared" si="49"/>
        <v>-0.32079999999999997</v>
      </c>
      <c r="M196">
        <f t="shared" si="50"/>
        <v>0.73150000000000004</v>
      </c>
      <c r="N196">
        <f t="shared" si="51"/>
        <v>3.2100000000000004E-2</v>
      </c>
      <c r="P196">
        <f t="shared" si="27"/>
        <v>0.73150000000000004</v>
      </c>
      <c r="Q196">
        <f>IFERROR(J144+MATCH(P196,J196:N196,0)-1,"")</f>
        <v>2015</v>
      </c>
      <c r="R196">
        <f t="shared" si="28"/>
        <v>-0.32079999999999997</v>
      </c>
      <c r="S196">
        <f>IFERROR(J144+MATCH(R196,J196:N196,0)-1,"")</f>
        <v>2014</v>
      </c>
      <c r="T196">
        <f t="shared" si="29"/>
        <v>3.5050000000000026E-2</v>
      </c>
      <c r="U196">
        <f t="shared" si="30"/>
        <v>0.49182925560266</v>
      </c>
      <c r="V196" t="str">
        <f t="shared" si="31"/>
        <v/>
      </c>
      <c r="W196">
        <f t="shared" si="32"/>
        <v>-0.68651873826875687</v>
      </c>
      <c r="X196">
        <f t="shared" si="33"/>
        <v>-0.72352345035669208</v>
      </c>
      <c r="Y196">
        <f t="shared" si="34"/>
        <v>1.4160402051451966</v>
      </c>
      <c r="Z196">
        <f t="shared" si="35"/>
        <v>-5.9980165197478083E-3</v>
      </c>
      <c r="AA196">
        <f t="shared" si="36"/>
        <v>1.4160402051451966</v>
      </c>
      <c r="AB196">
        <f>IFERROR(V144+MATCH(AA196,V196:Z196,0)-1,"")</f>
        <v>2015</v>
      </c>
      <c r="AC196" t="str">
        <f t="shared" si="37"/>
        <v>High</v>
      </c>
      <c r="AE196" t="str">
        <f>IF(ISNUMBER(MATCH("N/A",J196:N196,0)),"",IFERROR((5 * SUMPRODUCT(J144:N144,J196:N196) - PRODUCT(SUM(J144:N144),SUM(J196:N196))) / ((5 * SUM((J144^2)+(K144^2)+(L144^2)+(M144^2)+(N144^2))) - SUM(J144:N144)^2),""))</f>
        <v/>
      </c>
      <c r="AF196">
        <f>IFERROR(CORREL(J144:N144,J196:N196),"")</f>
        <v>0.53978102240527892</v>
      </c>
      <c r="AZ196">
        <f t="shared" si="38"/>
        <v>1</v>
      </c>
      <c r="BA196" t="str">
        <f>IF(AZ196=1,IF(Q196="","",IF(Q196=N144,"Yes","No")),"")</f>
        <v>No</v>
      </c>
      <c r="BB196" t="str">
        <f t="shared" si="39"/>
        <v/>
      </c>
      <c r="BC196" t="str">
        <f>IF(AZ196=1,IF(S196="","",IF(S196=N144,"Yes","No")),"")</f>
        <v>No</v>
      </c>
      <c r="BD196" t="str">
        <f t="shared" si="40"/>
        <v/>
      </c>
      <c r="BE196" t="str">
        <f t="shared" si="41"/>
        <v/>
      </c>
      <c r="BF196" t="str">
        <f t="shared" si="42"/>
        <v>No</v>
      </c>
      <c r="BG196" t="str">
        <f t="shared" si="43"/>
        <v>No</v>
      </c>
      <c r="BH196" t="str">
        <f t="shared" si="44"/>
        <v>No</v>
      </c>
    </row>
    <row r="197" spans="1:60" x14ac:dyDescent="0.3">
      <c r="A197" s="1">
        <v>39</v>
      </c>
      <c r="B197" t="s">
        <v>434</v>
      </c>
      <c r="C197" t="s">
        <v>435</v>
      </c>
      <c r="D197" t="s">
        <v>436</v>
      </c>
      <c r="E197" t="s">
        <v>437</v>
      </c>
      <c r="F197" t="s">
        <v>438</v>
      </c>
      <c r="G197" t="s">
        <v>439</v>
      </c>
      <c r="I197" t="str">
        <f t="shared" si="46"/>
        <v>N/A</v>
      </c>
      <c r="J197">
        <f t="shared" si="47"/>
        <v>75820000</v>
      </c>
      <c r="K197">
        <f t="shared" si="48"/>
        <v>75750000</v>
      </c>
      <c r="L197">
        <f t="shared" si="49"/>
        <v>72380000</v>
      </c>
      <c r="M197">
        <f t="shared" si="50"/>
        <v>72570000</v>
      </c>
      <c r="N197">
        <f t="shared" si="51"/>
        <v>72350000</v>
      </c>
      <c r="P197">
        <f t="shared" si="27"/>
        <v>75820000</v>
      </c>
      <c r="Q197">
        <f>IFERROR(J144+MATCH(P197,J197:N197,0)-1,"")</f>
        <v>2012</v>
      </c>
      <c r="R197">
        <f t="shared" si="28"/>
        <v>72350000</v>
      </c>
      <c r="S197">
        <f>IFERROR(J144+MATCH(R197,J197:N197,0)-1,"")</f>
        <v>2016</v>
      </c>
      <c r="T197">
        <f t="shared" si="29"/>
        <v>73774000</v>
      </c>
      <c r="U197">
        <f t="shared" si="30"/>
        <v>1837887.3741336819</v>
      </c>
      <c r="V197">
        <f t="shared" si="31"/>
        <v>1.113234700229885</v>
      </c>
      <c r="W197">
        <f t="shared" si="32"/>
        <v>1.0751474915221177</v>
      </c>
      <c r="X197">
        <f t="shared" si="33"/>
        <v>-0.75847955626610941</v>
      </c>
      <c r="Y197">
        <f t="shared" si="34"/>
        <v>-0.65509998977359807</v>
      </c>
      <c r="Z197">
        <f t="shared" si="35"/>
        <v>-0.7748026457122954</v>
      </c>
      <c r="AA197">
        <f t="shared" si="36"/>
        <v>1.113234700229885</v>
      </c>
      <c r="AB197">
        <f>IFERROR(V144+MATCH(AA197,V197:Z197,0)-1,"")</f>
        <v>2012</v>
      </c>
      <c r="AC197" t="str">
        <f t="shared" si="37"/>
        <v>High</v>
      </c>
      <c r="AE197">
        <f>IF(ISNUMBER(MATCH("N/A",J197:N197,0)),"",IFERROR((5 * SUMPRODUCT(J144:N144,J197:N197) - PRODUCT(SUM(J144:N144),SUM(J197:N197))) / ((5 * SUM((J144^2)+(K144^2)+(L144^2)+(M144^2)+(N144^2))) - SUM(J144:N144)^2),""))</f>
        <v>-1012000</v>
      </c>
      <c r="AF197">
        <f>IFERROR(CORREL(J144:N144,J197:N197),"")</f>
        <v>-0.87062597989685786</v>
      </c>
      <c r="AZ197">
        <f t="shared" si="38"/>
        <v>1</v>
      </c>
      <c r="BA197" t="str">
        <f>IF(AZ197=1,IF(Q197="","",IF(Q197=N144,"Yes","No")),"")</f>
        <v>No</v>
      </c>
      <c r="BB197" t="str">
        <f t="shared" si="39"/>
        <v/>
      </c>
      <c r="BC197" t="str">
        <f>IF(AZ197=1,IF(S197="","",IF(S197=N144,"Yes","No")),"")</f>
        <v>Yes</v>
      </c>
      <c r="BD197">
        <f t="shared" si="40"/>
        <v>72350000</v>
      </c>
      <c r="BE197" t="str">
        <f t="shared" si="41"/>
        <v>Decreasing</v>
      </c>
      <c r="BF197" t="str">
        <f t="shared" si="42"/>
        <v>Yes</v>
      </c>
      <c r="BG197" t="str">
        <f t="shared" si="43"/>
        <v>No</v>
      </c>
      <c r="BH197" t="str">
        <f t="shared" si="44"/>
        <v>Yes</v>
      </c>
    </row>
    <row r="198" spans="1:60" x14ac:dyDescent="0.3">
      <c r="A198" s="1">
        <v>40</v>
      </c>
      <c r="B198" t="s">
        <v>440</v>
      </c>
      <c r="C198" t="s">
        <v>441</v>
      </c>
      <c r="D198" t="s">
        <v>442</v>
      </c>
      <c r="E198" t="s">
        <v>426</v>
      </c>
      <c r="F198" t="s">
        <v>443</v>
      </c>
      <c r="G198" t="s">
        <v>133</v>
      </c>
      <c r="I198" t="str">
        <f t="shared" si="46"/>
        <v>N/A</v>
      </c>
      <c r="J198">
        <f t="shared" si="47"/>
        <v>2.25</v>
      </c>
      <c r="K198">
        <f t="shared" si="48"/>
        <v>1.58</v>
      </c>
      <c r="L198">
        <f t="shared" si="49"/>
        <v>1.08</v>
      </c>
      <c r="M198">
        <f t="shared" si="50"/>
        <v>1.86</v>
      </c>
      <c r="N198">
        <f t="shared" si="51"/>
        <v>1.91</v>
      </c>
      <c r="P198">
        <f t="shared" si="27"/>
        <v>2.25</v>
      </c>
      <c r="Q198">
        <f>IFERROR(J144+MATCH(P198,J198:N198,0)-1,"")</f>
        <v>2012</v>
      </c>
      <c r="R198">
        <f t="shared" si="28"/>
        <v>1.08</v>
      </c>
      <c r="S198">
        <f>IFERROR(J144+MATCH(R198,J198:N198,0)-1,"")</f>
        <v>2014</v>
      </c>
      <c r="T198">
        <f t="shared" si="29"/>
        <v>1.736</v>
      </c>
      <c r="U198">
        <f t="shared" si="30"/>
        <v>0.43718417171713825</v>
      </c>
      <c r="V198">
        <f t="shared" si="31"/>
        <v>1.1757058769560447</v>
      </c>
      <c r="W198">
        <f t="shared" si="32"/>
        <v>-0.35682902102167868</v>
      </c>
      <c r="X198">
        <f t="shared" si="33"/>
        <v>-1.5005117807065469</v>
      </c>
      <c r="Y198">
        <f t="shared" si="34"/>
        <v>0.28363332440184758</v>
      </c>
      <c r="Z198">
        <f t="shared" si="35"/>
        <v>0.398001600370334</v>
      </c>
      <c r="AA198">
        <f t="shared" si="36"/>
        <v>-1.5005117807065469</v>
      </c>
      <c r="AB198">
        <f>IFERROR(V144+MATCH(AA198,V198:Z198,0)-1,"")</f>
        <v>2014</v>
      </c>
      <c r="AC198" t="str">
        <f t="shared" si="37"/>
        <v>Low</v>
      </c>
      <c r="AE198">
        <f>IF(ISNUMBER(MATCH("N/A",J198:N198,0)),"",IFERROR((5 * SUMPRODUCT(J144:N144,J198:N198) - PRODUCT(SUM(J144:N144),SUM(J198:N198))) / ((5 * SUM((J144^2)+(K144^2)+(L144^2)+(M144^2)+(N144^2))) - SUM(J144:N144)^2),""))</f>
        <v>-0.04</v>
      </c>
      <c r="AF198">
        <f>IFERROR(CORREL(J144:N144,J198:N198),"")</f>
        <v>-0.14466569765084733</v>
      </c>
      <c r="AZ198">
        <f t="shared" si="38"/>
        <v>1</v>
      </c>
      <c r="BA198" t="str">
        <f>IF(AZ198=1,IF(Q198="","",IF(Q198=N144,"Yes","No")),"")</f>
        <v>No</v>
      </c>
      <c r="BB198" t="str">
        <f t="shared" si="39"/>
        <v/>
      </c>
      <c r="BC198" t="str">
        <f>IF(AZ198=1,IF(S198="","",IF(S198=N144,"Yes","No")),"")</f>
        <v>No</v>
      </c>
      <c r="BD198" t="str">
        <f t="shared" si="40"/>
        <v/>
      </c>
      <c r="BE198" t="str">
        <f t="shared" si="41"/>
        <v>Decreasing</v>
      </c>
      <c r="BF198" t="str">
        <f t="shared" si="42"/>
        <v>No</v>
      </c>
      <c r="BG198" t="str">
        <f t="shared" si="43"/>
        <v>No</v>
      </c>
      <c r="BH198" t="str">
        <f t="shared" si="44"/>
        <v>No</v>
      </c>
    </row>
    <row r="199" spans="1:60" x14ac:dyDescent="0.3">
      <c r="A199" s="1">
        <v>41</v>
      </c>
      <c r="B199" t="s">
        <v>444</v>
      </c>
      <c r="C199" t="s">
        <v>264</v>
      </c>
      <c r="D199" t="s">
        <v>445</v>
      </c>
      <c r="E199" t="s">
        <v>446</v>
      </c>
      <c r="F199" t="s">
        <v>447</v>
      </c>
      <c r="G199" t="s">
        <v>448</v>
      </c>
      <c r="I199" t="str">
        <f t="shared" si="46"/>
        <v>N/A</v>
      </c>
      <c r="J199" t="str">
        <f t="shared" si="47"/>
        <v>N/A</v>
      </c>
      <c r="K199">
        <f t="shared" si="48"/>
        <v>-0.29780000000000001</v>
      </c>
      <c r="L199">
        <f t="shared" si="49"/>
        <v>-0.3165</v>
      </c>
      <c r="M199">
        <f t="shared" si="50"/>
        <v>0.72219999999999995</v>
      </c>
      <c r="N199">
        <f t="shared" si="51"/>
        <v>2.69E-2</v>
      </c>
      <c r="P199">
        <f t="shared" si="27"/>
        <v>0.72219999999999995</v>
      </c>
      <c r="Q199">
        <f>IFERROR(J144+MATCH(P199,J199:N199,0)-1,"")</f>
        <v>2015</v>
      </c>
      <c r="R199">
        <f t="shared" si="28"/>
        <v>-0.3165</v>
      </c>
      <c r="S199">
        <f>IFERROR(J144+MATCH(R199,J199:N199,0)-1,"")</f>
        <v>2014</v>
      </c>
      <c r="T199">
        <f t="shared" si="29"/>
        <v>3.3699999999999973E-2</v>
      </c>
      <c r="U199">
        <f t="shared" si="30"/>
        <v>0.4853214673457858</v>
      </c>
      <c r="V199" t="str">
        <f t="shared" si="31"/>
        <v/>
      </c>
      <c r="W199">
        <f t="shared" si="32"/>
        <v>-0.683052414336764</v>
      </c>
      <c r="X199">
        <f t="shared" si="33"/>
        <v>-0.72158357617114555</v>
      </c>
      <c r="Y199">
        <f t="shared" si="34"/>
        <v>1.4186473220840485</v>
      </c>
      <c r="Z199">
        <f t="shared" si="35"/>
        <v>-1.4011331576138694E-2</v>
      </c>
      <c r="AA199">
        <f t="shared" si="36"/>
        <v>1.4186473220840485</v>
      </c>
      <c r="AB199">
        <f>IFERROR(V144+MATCH(AA199,V199:Z199,0)-1,"")</f>
        <v>2015</v>
      </c>
      <c r="AC199" t="str">
        <f t="shared" si="37"/>
        <v>High</v>
      </c>
      <c r="AE199" t="str">
        <f>IF(ISNUMBER(MATCH("N/A",J199:N199,0)),"",IFERROR((5 * SUMPRODUCT(J144:N144,J199:N199) - PRODUCT(SUM(J144:N144),SUM(J199:N199))) / ((5 * SUM((J144^2)+(K144^2)+(L144^2)+(M144^2)+(N144^2))) - SUM(J144:N144)^2),""))</f>
        <v/>
      </c>
      <c r="AF199">
        <f>IFERROR(CORREL(J144:N144,J199:N199),"")</f>
        <v>0.53542111801207826</v>
      </c>
      <c r="AZ199">
        <f t="shared" si="38"/>
        <v>1</v>
      </c>
      <c r="BA199" t="str">
        <f>IF(AZ199=1,IF(Q199="","",IF(Q199=N144,"Yes","No")),"")</f>
        <v>No</v>
      </c>
      <c r="BB199" t="str">
        <f t="shared" si="39"/>
        <v/>
      </c>
      <c r="BC199" t="str">
        <f>IF(AZ199=1,IF(S199="","",IF(S199=N144,"Yes","No")),"")</f>
        <v>No</v>
      </c>
      <c r="BD199" t="str">
        <f t="shared" si="40"/>
        <v/>
      </c>
      <c r="BE199" t="str">
        <f t="shared" si="41"/>
        <v/>
      </c>
      <c r="BF199" t="str">
        <f t="shared" si="42"/>
        <v>No</v>
      </c>
      <c r="BG199" t="str">
        <f t="shared" si="43"/>
        <v>No</v>
      </c>
      <c r="BH199" t="str">
        <f t="shared" si="44"/>
        <v>No</v>
      </c>
    </row>
    <row r="200" spans="1:60" x14ac:dyDescent="0.3">
      <c r="A200" s="1">
        <v>42</v>
      </c>
      <c r="B200" t="s">
        <v>449</v>
      </c>
      <c r="C200" t="s">
        <v>450</v>
      </c>
      <c r="D200" t="s">
        <v>451</v>
      </c>
      <c r="E200" t="s">
        <v>452</v>
      </c>
      <c r="F200" t="s">
        <v>453</v>
      </c>
      <c r="G200" t="s">
        <v>454</v>
      </c>
      <c r="I200" t="str">
        <f t="shared" si="46"/>
        <v>N/A</v>
      </c>
      <c r="J200">
        <f t="shared" si="47"/>
        <v>76830000</v>
      </c>
      <c r="K200">
        <f t="shared" si="48"/>
        <v>76390000</v>
      </c>
      <c r="L200">
        <f t="shared" si="49"/>
        <v>72720000</v>
      </c>
      <c r="M200">
        <f t="shared" si="50"/>
        <v>73040000</v>
      </c>
      <c r="N200">
        <f t="shared" si="51"/>
        <v>73010000</v>
      </c>
      <c r="P200">
        <f t="shared" si="27"/>
        <v>76830000</v>
      </c>
      <c r="Q200">
        <f>IFERROR(J144+MATCH(P200,J200:N200,0)-1,"")</f>
        <v>2012</v>
      </c>
      <c r="R200">
        <f t="shared" si="28"/>
        <v>72720000</v>
      </c>
      <c r="S200">
        <f>IFERROR(J144+MATCH(R200,J200:N200,0)-1,"")</f>
        <v>2014</v>
      </c>
      <c r="T200">
        <f t="shared" si="29"/>
        <v>74398000</v>
      </c>
      <c r="U200">
        <f t="shared" si="30"/>
        <v>2029105.7143480722</v>
      </c>
      <c r="V200">
        <f t="shared" si="31"/>
        <v>1.1985575629712191</v>
      </c>
      <c r="W200">
        <f t="shared" si="32"/>
        <v>0.98171326703892614</v>
      </c>
      <c r="X200">
        <f t="shared" si="33"/>
        <v>-0.82696529221451709</v>
      </c>
      <c r="Y200">
        <f t="shared" si="34"/>
        <v>-0.66926034971830406</v>
      </c>
      <c r="Z200">
        <f t="shared" si="35"/>
        <v>-0.68404518807732406</v>
      </c>
      <c r="AA200">
        <f t="shared" si="36"/>
        <v>1.1985575629712191</v>
      </c>
      <c r="AB200">
        <f>IFERROR(V144+MATCH(AA200,V200:Z200,0)-1,"")</f>
        <v>2012</v>
      </c>
      <c r="AC200" t="str">
        <f t="shared" si="37"/>
        <v>High</v>
      </c>
      <c r="AE200">
        <f>IF(ISNUMBER(MATCH("N/A",J200:N200,0)),"",IFERROR((5 * SUMPRODUCT(J144:N144,J200:N200) - PRODUCT(SUM(J144:N144),SUM(J200:N200))) / ((5 * SUM((J144^2)+(K144^2)+(L144^2)+(M144^2)+(N144^2))) - SUM(J144:N144)^2),""))</f>
        <v>-1099000</v>
      </c>
      <c r="AF200">
        <f>IFERROR(CORREL(J144:N144,J200:N200),"")</f>
        <v>-0.85637311155117313</v>
      </c>
      <c r="AZ200">
        <f t="shared" si="38"/>
        <v>1</v>
      </c>
      <c r="BA200" t="str">
        <f>IF(AZ200=1,IF(Q200="","",IF(Q200=N144,"Yes","No")),"")</f>
        <v>No</v>
      </c>
      <c r="BB200" t="str">
        <f t="shared" si="39"/>
        <v/>
      </c>
      <c r="BC200" t="str">
        <f>IF(AZ200=1,IF(S200="","",IF(S200=N144,"Yes","No")),"")</f>
        <v>No</v>
      </c>
      <c r="BD200" t="str">
        <f t="shared" si="40"/>
        <v/>
      </c>
      <c r="BE200" t="str">
        <f t="shared" si="41"/>
        <v>Decreasing</v>
      </c>
      <c r="BF200" t="str">
        <f t="shared" si="42"/>
        <v>No</v>
      </c>
      <c r="BG200" t="str">
        <f t="shared" si="43"/>
        <v>No</v>
      </c>
      <c r="BH200" t="str">
        <f t="shared" si="44"/>
        <v>Yes</v>
      </c>
    </row>
    <row r="201" spans="1:60" x14ac:dyDescent="0.3">
      <c r="A201" s="1">
        <v>43</v>
      </c>
      <c r="B201" t="s">
        <v>156</v>
      </c>
      <c r="C201" t="s">
        <v>455</v>
      </c>
      <c r="D201" t="s">
        <v>456</v>
      </c>
      <c r="E201" t="s">
        <v>457</v>
      </c>
      <c r="F201" t="s">
        <v>458</v>
      </c>
      <c r="G201" t="s">
        <v>459</v>
      </c>
      <c r="I201" t="str">
        <f t="shared" si="46"/>
        <v>N/A</v>
      </c>
      <c r="J201">
        <f t="shared" si="47"/>
        <v>365340000</v>
      </c>
      <c r="K201">
        <f t="shared" si="48"/>
        <v>336980000</v>
      </c>
      <c r="L201">
        <f t="shared" si="49"/>
        <v>338790000</v>
      </c>
      <c r="M201">
        <f t="shared" si="50"/>
        <v>317470000</v>
      </c>
      <c r="N201">
        <f t="shared" si="51"/>
        <v>338830000</v>
      </c>
      <c r="P201">
        <f t="shared" si="27"/>
        <v>365340000</v>
      </c>
      <c r="Q201">
        <f>IFERROR(J144+MATCH(P201,J201:N201,0)-1,"")</f>
        <v>2012</v>
      </c>
      <c r="R201">
        <f t="shared" si="28"/>
        <v>317470000</v>
      </c>
      <c r="S201">
        <f>IFERROR(J144+MATCH(R201,J201:N201,0)-1,"")</f>
        <v>2015</v>
      </c>
      <c r="T201">
        <f t="shared" si="29"/>
        <v>339482000</v>
      </c>
      <c r="U201">
        <f t="shared" si="30"/>
        <v>17031795.853637982</v>
      </c>
      <c r="V201">
        <f t="shared" si="31"/>
        <v>1.5182192307968949</v>
      </c>
      <c r="W201">
        <f t="shared" si="32"/>
        <v>-0.14690171380051942</v>
      </c>
      <c r="X201">
        <f t="shared" si="33"/>
        <v>-4.0629890467609682E-2</v>
      </c>
      <c r="Y201">
        <f t="shared" si="34"/>
        <v>-1.2924062846430988</v>
      </c>
      <c r="Z201">
        <f t="shared" si="35"/>
        <v>-3.8281341885666925E-2</v>
      </c>
      <c r="AA201">
        <f t="shared" si="36"/>
        <v>1.5182192307968949</v>
      </c>
      <c r="AB201">
        <f>IFERROR(V144+MATCH(AA201,V201:Z201,0)-1,"")</f>
        <v>2012</v>
      </c>
      <c r="AC201" t="str">
        <f t="shared" si="37"/>
        <v>High</v>
      </c>
      <c r="AE201">
        <f>IF(ISNUMBER(MATCH("N/A",J201:N201,0)),"",IFERROR((5 * SUMPRODUCT(J144:N144,J201:N201) - PRODUCT(SUM(J144:N144),SUM(J201:N201))) / ((5 * SUM((J144^2)+(K144^2)+(L144^2)+(M144^2)+(N144^2))) - SUM(J144:N144)^2),""))</f>
        <v>-7253000</v>
      </c>
      <c r="AF201">
        <f>IFERROR(CORREL(J144:N144,J201:N201),"")</f>
        <v>-0.67332887460314805</v>
      </c>
      <c r="AZ201">
        <f t="shared" si="38"/>
        <v>1</v>
      </c>
      <c r="BA201" t="str">
        <f>IF(AZ201=1,IF(Q201="","",IF(Q201=N144,"Yes","No")),"")</f>
        <v>No</v>
      </c>
      <c r="BB201" t="str">
        <f t="shared" si="39"/>
        <v/>
      </c>
      <c r="BC201" t="str">
        <f>IF(AZ201=1,IF(S201="","",IF(S201=N144,"Yes","No")),"")</f>
        <v>No</v>
      </c>
      <c r="BD201" t="str">
        <f t="shared" si="40"/>
        <v/>
      </c>
      <c r="BE201" t="str">
        <f t="shared" si="41"/>
        <v>Decreasing</v>
      </c>
      <c r="BF201" t="str">
        <f t="shared" si="42"/>
        <v>No</v>
      </c>
      <c r="BG201" t="str">
        <f t="shared" si="43"/>
        <v>No</v>
      </c>
      <c r="BH201" t="str">
        <f t="shared" si="44"/>
        <v>No</v>
      </c>
    </row>
    <row r="202" spans="1:60" x14ac:dyDescent="0.3">
      <c r="A202" s="1">
        <v>44</v>
      </c>
      <c r="B202" t="s">
        <v>460</v>
      </c>
      <c r="C202" t="s">
        <v>264</v>
      </c>
      <c r="D202" t="s">
        <v>461</v>
      </c>
      <c r="E202" t="s">
        <v>265</v>
      </c>
      <c r="F202" t="s">
        <v>462</v>
      </c>
      <c r="G202" t="s">
        <v>463</v>
      </c>
      <c r="I202" t="str">
        <f t="shared" si="46"/>
        <v>N/A</v>
      </c>
      <c r="J202" t="str">
        <f t="shared" si="47"/>
        <v>N/A</v>
      </c>
      <c r="K202">
        <f t="shared" si="48"/>
        <v>-7.7600000000000002E-2</v>
      </c>
      <c r="L202">
        <f t="shared" si="49"/>
        <v>5.4000000000000003E-3</v>
      </c>
      <c r="M202">
        <f t="shared" si="50"/>
        <v>-6.2899999999999998E-2</v>
      </c>
      <c r="N202">
        <f t="shared" si="51"/>
        <v>6.7300000000000013E-2</v>
      </c>
      <c r="P202">
        <f t="shared" si="27"/>
        <v>6.7300000000000013E-2</v>
      </c>
      <c r="Q202">
        <f>IFERROR(J144+MATCH(P202,J202:N202,0)-1,"")</f>
        <v>2016</v>
      </c>
      <c r="R202">
        <f t="shared" si="28"/>
        <v>-7.7600000000000002E-2</v>
      </c>
      <c r="S202">
        <f>IFERROR(J144+MATCH(R202,J202:N202,0)-1,"")</f>
        <v>2013</v>
      </c>
      <c r="T202">
        <f t="shared" si="29"/>
        <v>-1.6949999999999996E-2</v>
      </c>
      <c r="U202">
        <f t="shared" si="30"/>
        <v>6.6801721534702985E-2</v>
      </c>
      <c r="V202" t="str">
        <f t="shared" si="31"/>
        <v/>
      </c>
      <c r="W202">
        <f t="shared" si="32"/>
        <v>-0.90791073353540441</v>
      </c>
      <c r="X202">
        <f t="shared" si="33"/>
        <v>0.33457221590298897</v>
      </c>
      <c r="Y202">
        <f t="shared" si="34"/>
        <v>-0.68785652441800216</v>
      </c>
      <c r="Z202">
        <f t="shared" si="35"/>
        <v>1.2611950420504174</v>
      </c>
      <c r="AA202">
        <f t="shared" si="36"/>
        <v>1.2611950420504174</v>
      </c>
      <c r="AB202">
        <f>IFERROR(V144+MATCH(AA202,V202:Z202,0)-1,"")</f>
        <v>2016</v>
      </c>
      <c r="AC202" t="str">
        <f t="shared" si="37"/>
        <v>High</v>
      </c>
      <c r="AE202" t="str">
        <f>IF(ISNUMBER(MATCH("N/A",J202:N202,0)),"",IFERROR((5 * SUMPRODUCT(J144:N144,J202:N202) - PRODUCT(SUM(J144:N144),SUM(J202:N202))) / ((5 * SUM((J144^2)+(K144^2)+(L144^2)+(M144^2)+(N144^2))) - SUM(J144:N144)^2),""))</f>
        <v/>
      </c>
      <c r="AF202">
        <f>IFERROR(CORREL(J144:N144,J202:N202),"")</f>
        <v>0.70809607170238686</v>
      </c>
      <c r="AZ202">
        <f t="shared" si="38"/>
        <v>1</v>
      </c>
      <c r="BA202" t="str">
        <f>IF(AZ202=1,IF(Q202="","",IF(Q202=N144,"Yes","No")),"")</f>
        <v>Yes</v>
      </c>
      <c r="BB202">
        <f t="shared" si="39"/>
        <v>6.7300000000000013E-2</v>
      </c>
      <c r="BC202" t="str">
        <f>IF(AZ202=1,IF(S202="","",IF(S202=N144,"Yes","No")),"")</f>
        <v>No</v>
      </c>
      <c r="BD202" t="str">
        <f t="shared" si="40"/>
        <v/>
      </c>
      <c r="BE202" t="str">
        <f t="shared" si="41"/>
        <v/>
      </c>
      <c r="BF202" t="str">
        <f t="shared" si="42"/>
        <v>No</v>
      </c>
      <c r="BG202" t="str">
        <f t="shared" si="43"/>
        <v>No</v>
      </c>
      <c r="BH202" t="str">
        <f t="shared" si="44"/>
        <v>No</v>
      </c>
    </row>
    <row r="203" spans="1:60" x14ac:dyDescent="0.3">
      <c r="A203" s="1">
        <v>45</v>
      </c>
      <c r="B203" t="s">
        <v>464</v>
      </c>
      <c r="C203" t="s">
        <v>264</v>
      </c>
      <c r="D203" t="s">
        <v>264</v>
      </c>
      <c r="E203" t="s">
        <v>264</v>
      </c>
      <c r="F203" t="s">
        <v>264</v>
      </c>
      <c r="G203" t="s">
        <v>465</v>
      </c>
      <c r="I203" t="str">
        <f t="shared" si="46"/>
        <v>N/A</v>
      </c>
      <c r="J203" t="str">
        <f t="shared" si="47"/>
        <v>N/A</v>
      </c>
      <c r="K203" t="str">
        <f t="shared" si="48"/>
        <v>N/A</v>
      </c>
      <c r="L203" t="str">
        <f t="shared" si="49"/>
        <v>N/A</v>
      </c>
      <c r="M203" t="str">
        <f t="shared" si="50"/>
        <v>N/A</v>
      </c>
      <c r="N203">
        <f t="shared" si="51"/>
        <v>0.10560000000000001</v>
      </c>
      <c r="P203">
        <f t="shared" si="27"/>
        <v>0.10560000000000001</v>
      </c>
      <c r="Q203">
        <f>IFERROR(J144+MATCH(P203,J203:N203,0)-1,"")</f>
        <v>2016</v>
      </c>
      <c r="R203">
        <f t="shared" si="28"/>
        <v>0.10560000000000001</v>
      </c>
      <c r="S203">
        <f>IFERROR(J144+MATCH(R203,J203:N203,0)-1,"")</f>
        <v>2016</v>
      </c>
      <c r="T203">
        <f t="shared" si="29"/>
        <v>0.10560000000000001</v>
      </c>
      <c r="U203" t="str">
        <f t="shared" si="30"/>
        <v/>
      </c>
      <c r="V203" t="str">
        <f t="shared" si="31"/>
        <v/>
      </c>
      <c r="W203" t="str">
        <f t="shared" si="32"/>
        <v/>
      </c>
      <c r="X203" t="str">
        <f t="shared" si="33"/>
        <v/>
      </c>
      <c r="Y203" t="str">
        <f t="shared" si="34"/>
        <v/>
      </c>
      <c r="Z203" t="str">
        <f t="shared" si="35"/>
        <v/>
      </c>
      <c r="AA203">
        <f t="shared" si="36"/>
        <v>0</v>
      </c>
      <c r="AB203" t="str">
        <f>IFERROR(V144+MATCH(AA203,V203:Z203,0)-1,"")</f>
        <v/>
      </c>
      <c r="AC203" t="str">
        <f t="shared" si="37"/>
        <v/>
      </c>
      <c r="AE203" t="str">
        <f>IF(ISNUMBER(MATCH("N/A",J203:N203,0)),"",IFERROR((5 * SUMPRODUCT(J144:N144,J203:N203) - PRODUCT(SUM(J144:N144),SUM(J203:N203))) / ((5 * SUM((J144^2)+(K144^2)+(L144^2)+(M144^2)+(N144^2))) - SUM(J144:N144)^2),""))</f>
        <v/>
      </c>
      <c r="AF203" t="str">
        <f>IFERROR(CORREL(J144:N144,J203:N203),"")</f>
        <v/>
      </c>
      <c r="AZ203">
        <f t="shared" si="38"/>
        <v>0</v>
      </c>
      <c r="BA203" t="str">
        <f>IF(AZ203=1,IF(Q203="","",IF(Q203=N144,"Yes","No")),"")</f>
        <v/>
      </c>
      <c r="BB203" t="str">
        <f t="shared" si="39"/>
        <v/>
      </c>
      <c r="BC203" t="str">
        <f>IF(AZ203=1,IF(S203="","",IF(S203=N144,"Yes","No")),"")</f>
        <v/>
      </c>
      <c r="BD203" t="str">
        <f t="shared" si="40"/>
        <v/>
      </c>
      <c r="BE203" t="str">
        <f t="shared" si="41"/>
        <v/>
      </c>
      <c r="BF203" t="str">
        <f t="shared" si="42"/>
        <v>No</v>
      </c>
      <c r="BG203" t="str">
        <f t="shared" si="43"/>
        <v>No</v>
      </c>
      <c r="BH203" t="str">
        <f t="shared" si="44"/>
        <v/>
      </c>
    </row>
    <row r="204" spans="1:60" x14ac:dyDescent="0.3">
      <c r="I204" t="str">
        <f t="shared" si="46"/>
        <v>N/A</v>
      </c>
      <c r="J204" t="str">
        <f t="shared" si="47"/>
        <v>N/A</v>
      </c>
      <c r="K204" t="str">
        <f t="shared" si="48"/>
        <v>N/A</v>
      </c>
      <c r="L204" t="str">
        <f t="shared" si="49"/>
        <v>N/A</v>
      </c>
      <c r="M204" t="str">
        <f t="shared" si="50"/>
        <v>N/A</v>
      </c>
      <c r="N204" t="str">
        <f t="shared" si="51"/>
        <v>N/A</v>
      </c>
      <c r="P204">
        <f t="shared" si="27"/>
        <v>0</v>
      </c>
      <c r="Q204" t="str">
        <f>IFERROR(J144+MATCH(P204,J204:N204,0)-1,"")</f>
        <v/>
      </c>
      <c r="R204" t="str">
        <f t="shared" si="28"/>
        <v/>
      </c>
      <c r="S204" t="str">
        <f>IFERROR(J144+MATCH(R204,J204:N204,0)-1,"")</f>
        <v/>
      </c>
      <c r="T204" t="str">
        <f t="shared" si="29"/>
        <v/>
      </c>
      <c r="U204" t="str">
        <f t="shared" si="30"/>
        <v/>
      </c>
      <c r="V204" t="str">
        <f t="shared" si="31"/>
        <v/>
      </c>
      <c r="W204" t="str">
        <f t="shared" si="32"/>
        <v/>
      </c>
      <c r="X204" t="str">
        <f t="shared" si="33"/>
        <v/>
      </c>
      <c r="Y204" t="str">
        <f t="shared" si="34"/>
        <v/>
      </c>
      <c r="Z204" t="str">
        <f t="shared" si="35"/>
        <v/>
      </c>
      <c r="AA204">
        <f t="shared" si="36"/>
        <v>0</v>
      </c>
      <c r="AB204" t="str">
        <f>IFERROR(V144+MATCH(AA204,V204:Z204,0)-1,"")</f>
        <v/>
      </c>
      <c r="AC204" t="str">
        <f t="shared" si="37"/>
        <v/>
      </c>
      <c r="AE204" t="str">
        <f>IF(ISNUMBER(MATCH("N/A",J204:N204,0)),"",IFERROR((5 * SUMPRODUCT(J144:N144,J204:N204) - PRODUCT(SUM(J144:N144),SUM(J204:N204))) / ((5 * SUM((J144^2)+(K144^2)+(L144^2)+(M144^2)+(N144^2))) - SUM(J144:N144)^2),""))</f>
        <v/>
      </c>
      <c r="AF204" t="str">
        <f>IFERROR(CORREL(J144:N144,J204:N204),"")</f>
        <v/>
      </c>
      <c r="AZ204">
        <f t="shared" si="38"/>
        <v>0</v>
      </c>
      <c r="BA204" t="str">
        <f>IF(AZ204=1,IF(Q204="","",IF(Q204=N144,"Yes","No")),"")</f>
        <v/>
      </c>
      <c r="BB204" t="str">
        <f t="shared" si="39"/>
        <v/>
      </c>
      <c r="BC204" t="str">
        <f>IF(AZ204=1,IF(S204="","",IF(S204=N144,"Yes","No")),"")</f>
        <v/>
      </c>
      <c r="BD204" t="str">
        <f t="shared" si="40"/>
        <v/>
      </c>
      <c r="BE204" t="str">
        <f t="shared" si="41"/>
        <v/>
      </c>
      <c r="BF204" t="str">
        <f t="shared" si="42"/>
        <v>No</v>
      </c>
      <c r="BG204" t="str">
        <f t="shared" si="43"/>
        <v>No</v>
      </c>
      <c r="BH204" t="str">
        <f t="shared" si="44"/>
        <v/>
      </c>
    </row>
    <row r="205" spans="1:60" x14ac:dyDescent="0.3">
      <c r="B205" s="1" t="s">
        <v>251</v>
      </c>
      <c r="C205" s="1" t="s">
        <v>252</v>
      </c>
      <c r="D205" s="1" t="s">
        <v>253</v>
      </c>
      <c r="E205" s="1" t="s">
        <v>254</v>
      </c>
      <c r="F205" s="1" t="s">
        <v>255</v>
      </c>
      <c r="G205" s="1" t="s">
        <v>256</v>
      </c>
      <c r="H205" s="1" t="s">
        <v>257</v>
      </c>
      <c r="P205">
        <f t="shared" si="27"/>
        <v>0</v>
      </c>
      <c r="Q205" t="str">
        <f>IFERROR(J144+MATCH(P205,J205:N205,0)-1,"")</f>
        <v/>
      </c>
      <c r="R205" t="str">
        <f t="shared" si="28"/>
        <v/>
      </c>
      <c r="S205" t="str">
        <f>IFERROR(J144+MATCH(R205,J205:N205,0)-1,"")</f>
        <v/>
      </c>
      <c r="T205" t="str">
        <f t="shared" si="29"/>
        <v/>
      </c>
      <c r="U205" t="str">
        <f t="shared" si="30"/>
        <v/>
      </c>
      <c r="V205" t="str">
        <f t="shared" si="31"/>
        <v/>
      </c>
      <c r="W205" t="str">
        <f t="shared" si="32"/>
        <v/>
      </c>
      <c r="X205" t="str">
        <f t="shared" si="33"/>
        <v/>
      </c>
      <c r="Y205" t="str">
        <f t="shared" si="34"/>
        <v/>
      </c>
      <c r="Z205" t="str">
        <f t="shared" si="35"/>
        <v/>
      </c>
      <c r="AA205">
        <f t="shared" si="36"/>
        <v>0</v>
      </c>
      <c r="AB205" t="str">
        <f>IFERROR(V144+MATCH(AA205,V205:Z205,0)-1,"")</f>
        <v/>
      </c>
      <c r="AC205" t="str">
        <f t="shared" si="37"/>
        <v/>
      </c>
      <c r="AE205">
        <f>IF(ISNUMBER(MATCH("N/A",J205:N205,0)),"",IFERROR((5 * SUMPRODUCT(J144:N144,J205:N205) - PRODUCT(SUM(J144:N144),SUM(J205:N205))) / ((5 * SUM((J144^2)+(K144^2)+(L144^2)+(M144^2)+(N144^2))) - SUM(J144:N144)^2),""))</f>
        <v>0</v>
      </c>
      <c r="AF205" t="str">
        <f>IFERROR(CORREL(J144:N144,J205:N205),"")</f>
        <v/>
      </c>
      <c r="AZ205">
        <f t="shared" si="38"/>
        <v>0</v>
      </c>
      <c r="BA205" t="str">
        <f>IF(AZ205=1,IF(Q205="","",IF(Q205=N144,"Yes","No")),"")</f>
        <v/>
      </c>
      <c r="BB205" t="str">
        <f t="shared" si="39"/>
        <v/>
      </c>
      <c r="BC205" t="str">
        <f>IF(AZ205=1,IF(S205="","",IF(S205=N144,"Yes","No")),"")</f>
        <v/>
      </c>
      <c r="BD205" t="str">
        <f t="shared" si="40"/>
        <v/>
      </c>
      <c r="BE205" t="str">
        <f t="shared" si="41"/>
        <v/>
      </c>
      <c r="BF205" t="str">
        <f t="shared" si="42"/>
        <v>No</v>
      </c>
      <c r="BG205" t="str">
        <f t="shared" si="43"/>
        <v>No</v>
      </c>
      <c r="BH205" t="str">
        <f t="shared" si="44"/>
        <v/>
      </c>
    </row>
    <row r="206" spans="1:60" x14ac:dyDescent="0.3">
      <c r="A206" s="1">
        <v>0</v>
      </c>
      <c r="B206" t="s">
        <v>466</v>
      </c>
      <c r="C206" t="s">
        <v>467</v>
      </c>
      <c r="D206" t="s">
        <v>468</v>
      </c>
      <c r="E206" t="s">
        <v>469</v>
      </c>
      <c r="F206" t="s">
        <v>470</v>
      </c>
      <c r="G206" t="s">
        <v>471</v>
      </c>
      <c r="I206" t="str">
        <f t="shared" ref="I206:I226" si="52">IF(AND(K206&gt; J206, L206&gt; K206, M206&gt; L206, N206&gt; M206), "pos_trend", IF(AND(K206&lt; J206, L206&lt; K206, M206&lt; L206, N206&lt; M206), "neg_trend", "N/A"))</f>
        <v>N/A</v>
      </c>
      <c r="J206">
        <f t="shared" ref="J206:J226" si="53">IFERROR(IF(TRIM(C206)="-", "N/A", IF(RIGHT(C206,1)=")",IF(RIGHT(C206,2)="T)",-1000000000000*VALUE(MID(C206,2,LEN(C206)-3)),IF(RIGHT(C206,2)="M)",-1000000*VALUE(MID(C206,2,LEN(C206)-3)),IF(RIGHT(C206,2)="B)",-1000000000*VALUE(MID(C206,2,LEN(C206)-3)),IF(RIGHT(C206,2)="k)",-1000*VALUE(MID(C206,2,LEN(C206)-3)),VALUE(SUBSTITUTE(C206,",","")))))),IF(RIGHT(C206,1)="T",1000000000000*VALUE(LEFT(C206,LEN(C206)-1)),IF(RIGHT(C206,1)="M",1000000*VALUE(LEFT(C206,LEN(C206)-1)),IF(RIGHT(C206,1)="B",1000000000*VALUE(LEFT(C206,LEN(C206)-1)),IF(RIGHT(C206,1)="%",0.01*VALUE(LEFT(C206,LEN(C206)-1)),IF(RIGHT(C206,1)="k",1000*VALUE(LEFT(C206,LEN(C206)-1)),VALUE(SUBSTITUTE(C206,",",""))))))))),"N/A")</f>
        <v>215400000</v>
      </c>
      <c r="K206">
        <f t="shared" ref="K206:K226" si="54">IFERROR(IF(TRIM(D206)="-", "N/A", IF(RIGHT(D206,1)=")",IF(RIGHT(D206,2)="T)",-1000000000000*VALUE(MID(D206,2,LEN(D206)-3)),IF(RIGHT(D206,2)="M)",-1000000*VALUE(MID(D206,2,LEN(D206)-3)),IF(RIGHT(D206,2)="B)",-1000000000*VALUE(MID(D206,2,LEN(D206)-3)),IF(RIGHT(D206,2)="k)",-1000*VALUE(MID(D206,2,LEN(D206)-3)),VALUE(SUBSTITUTE(D206,",","")))))),IF(RIGHT(D206,1)="T",1000000000000*VALUE(LEFT(D206,LEN(D206)-1)),IF(RIGHT(D206,1)="M",1000000*VALUE(LEFT(D206,LEN(D206)-1)),IF(RIGHT(D206,1)="B",1000000000*VALUE(LEFT(D206,LEN(D206)-1)),IF(RIGHT(D206,1)="%",0.01*VALUE(LEFT(D206,LEN(D206)-1)),IF(RIGHT(D206,1)="k",1000*VALUE(LEFT(D206,LEN(D206)-1)),VALUE(SUBSTITUTE(D206,",",""))))))))),"N/A")</f>
        <v>343480000</v>
      </c>
      <c r="L206">
        <f t="shared" ref="L206:L226" si="55">IFERROR(IF(TRIM(E206)="-", "N/A", IF(RIGHT(E206,1)=")",IF(RIGHT(E206,2)="T)",-1000000000000*VALUE(MID(E206,2,LEN(E206)-3)),IF(RIGHT(E206,2)="M)",-1000000*VALUE(MID(E206,2,LEN(E206)-3)),IF(RIGHT(E206,2)="B)",-1000000000*VALUE(MID(E206,2,LEN(E206)-3)),IF(RIGHT(E206,2)="k)",-1000*VALUE(MID(E206,2,LEN(E206)-3)),VALUE(SUBSTITUTE(E206,",","")))))),IF(RIGHT(E206,1)="T",1000000000000*VALUE(LEFT(E206,LEN(E206)-1)),IF(RIGHT(E206,1)="M",1000000*VALUE(LEFT(E206,LEN(E206)-1)),IF(RIGHT(E206,1)="B",1000000000*VALUE(LEFT(E206,LEN(E206)-1)),IF(RIGHT(E206,1)="%",0.01*VALUE(LEFT(E206,LEN(E206)-1)),IF(RIGHT(E206,1)="k",1000*VALUE(LEFT(E206,LEN(E206)-1)),VALUE(SUBSTITUTE(E206,",",""))))))))),"N/A")</f>
        <v>24860000</v>
      </c>
      <c r="M206">
        <f t="shared" ref="M206:M226" si="56">IFERROR(IF(TRIM(F206)="-", "N/A", IF(RIGHT(F206,1)=")",IF(RIGHT(F206,2)="T)",-1000000000000*VALUE(MID(F206,2,LEN(F206)-3)),IF(RIGHT(F206,2)="M)",-1000000*VALUE(MID(F206,2,LEN(F206)-3)),IF(RIGHT(F206,2)="B)",-1000000000*VALUE(MID(F206,2,LEN(F206)-3)),IF(RIGHT(F206,2)="k)",-1000*VALUE(MID(F206,2,LEN(F206)-3)),VALUE(SUBSTITUTE(F206,",","")))))),IF(RIGHT(F206,1)="T",1000000000000*VALUE(LEFT(F206,LEN(F206)-1)),IF(RIGHT(F206,1)="M",1000000*VALUE(LEFT(F206,LEN(F206)-1)),IF(RIGHT(F206,1)="B",1000000000*VALUE(LEFT(F206,LEN(F206)-1)),IF(RIGHT(F206,1)="%",0.01*VALUE(LEFT(F206,LEN(F206)-1)),IF(RIGHT(F206,1)="k",1000*VALUE(LEFT(F206,LEN(F206)-1)),VALUE(SUBSTITUTE(F206,",",""))))))))),"N/A")</f>
        <v>37170000</v>
      </c>
      <c r="N206">
        <f t="shared" ref="N206:N226" si="57">IFERROR(IF(TRIM(G206)="-", "N/A", IF(RIGHT(G206,1)=")",IF(RIGHT(G206,2)="T)",-1000000000000*VALUE(MID(G206,2,LEN(G206)-3)),IF(RIGHT(G206,2)="M)",-1000000*VALUE(MID(G206,2,LEN(G206)-3)),IF(RIGHT(G206,2)="B)",-1000000000*VALUE(MID(G206,2,LEN(G206)-3)),IF(RIGHT(G206,2)="k)",-1000*VALUE(MID(G206,2,LEN(G206)-3)),VALUE(SUBSTITUTE(G206,",","")))))),IF(RIGHT(G206,1)="T",1000000000000*VALUE(LEFT(G206,LEN(G206)-1)),IF(RIGHT(G206,1)="M",1000000*VALUE(LEFT(G206,LEN(G206)-1)),IF(RIGHT(G206,1)="B",1000000000*VALUE(LEFT(G206,LEN(G206)-1)),IF(RIGHT(G206,1)="%",0.01*VALUE(LEFT(G206,LEN(G206)-1)),IF(RIGHT(G206,1)="k",1000*VALUE(LEFT(G206,LEN(G206)-1)),VALUE(SUBSTITUTE(G206,",",""))))))))),"N/A")</f>
        <v>329080000</v>
      </c>
      <c r="P206">
        <f t="shared" si="27"/>
        <v>343480000</v>
      </c>
      <c r="Q206">
        <f>IFERROR(J144+MATCH(P206,J206:N206,0)-1,"")</f>
        <v>2013</v>
      </c>
      <c r="R206">
        <f t="shared" si="28"/>
        <v>24860000</v>
      </c>
      <c r="S206">
        <f>IFERROR(J144+MATCH(R206,J206:N206,0)-1,"")</f>
        <v>2014</v>
      </c>
      <c r="T206">
        <f t="shared" si="29"/>
        <v>189998000</v>
      </c>
      <c r="U206">
        <f t="shared" si="30"/>
        <v>153437890.75713992</v>
      </c>
      <c r="V206">
        <f t="shared" si="31"/>
        <v>0.16555232788103202</v>
      </c>
      <c r="W206">
        <f t="shared" si="32"/>
        <v>1.0002874729484512</v>
      </c>
      <c r="X206">
        <f t="shared" si="33"/>
        <v>-1.0762530636019945</v>
      </c>
      <c r="Y206">
        <f t="shared" si="34"/>
        <v>-0.99602516201095825</v>
      </c>
      <c r="Z206">
        <f t="shared" si="35"/>
        <v>0.90643842478346959</v>
      </c>
      <c r="AA206">
        <f t="shared" si="36"/>
        <v>-1.0762530636019945</v>
      </c>
      <c r="AB206">
        <f>IFERROR(V144+MATCH(AA206,V206:Z206,0)-1,"")</f>
        <v>2014</v>
      </c>
      <c r="AC206" t="str">
        <f t="shared" si="37"/>
        <v>Low</v>
      </c>
      <c r="AE206">
        <f>IF(ISNUMBER(MATCH("N/A",J206:N206,0)),"",IFERROR((5 * SUMPRODUCT(J144:N144,J206:N206) - PRODUCT(SUM(J144:N144),SUM(J206:N206))) / ((5 * SUM((J144^2)+(K144^2)+(L144^2)+(M144^2)+(N144^2))) - SUM(J144:N144)^2),""))</f>
        <v>-7895000</v>
      </c>
      <c r="AF206">
        <f>IFERROR(CORREL(J144:N144,J206:N206),"")</f>
        <v>-8.1355987115808298E-2</v>
      </c>
      <c r="AZ206">
        <f t="shared" si="38"/>
        <v>1</v>
      </c>
      <c r="BA206" t="str">
        <f>IF(AZ206=1,IF(Q206="","",IF(Q206=N144,"Yes","No")),"")</f>
        <v>No</v>
      </c>
      <c r="BB206" t="str">
        <f t="shared" si="39"/>
        <v/>
      </c>
      <c r="BC206" t="str">
        <f>IF(AZ206=1,IF(S206="","",IF(S206=N144,"Yes","No")),"")</f>
        <v>No</v>
      </c>
      <c r="BD206" t="str">
        <f t="shared" si="40"/>
        <v/>
      </c>
      <c r="BE206" t="str">
        <f t="shared" si="41"/>
        <v>Decreasing</v>
      </c>
      <c r="BF206" t="str">
        <f t="shared" si="42"/>
        <v>No</v>
      </c>
      <c r="BG206" t="str">
        <f t="shared" si="43"/>
        <v>No</v>
      </c>
      <c r="BH206" t="str">
        <f t="shared" si="44"/>
        <v>No</v>
      </c>
    </row>
    <row r="207" spans="1:60" x14ac:dyDescent="0.3">
      <c r="A207" s="1">
        <v>1</v>
      </c>
      <c r="B207" t="s">
        <v>472</v>
      </c>
      <c r="C207" t="s">
        <v>473</v>
      </c>
      <c r="D207" t="s">
        <v>474</v>
      </c>
      <c r="E207" t="s">
        <v>475</v>
      </c>
      <c r="F207" t="s">
        <v>476</v>
      </c>
      <c r="G207" t="s">
        <v>477</v>
      </c>
      <c r="I207" t="str">
        <f t="shared" si="52"/>
        <v>N/A</v>
      </c>
      <c r="J207">
        <f t="shared" si="53"/>
        <v>129530000</v>
      </c>
      <c r="K207">
        <f t="shared" si="54"/>
        <v>231090000</v>
      </c>
      <c r="L207">
        <f t="shared" si="55"/>
        <v>3550000</v>
      </c>
      <c r="M207">
        <f t="shared" si="56"/>
        <v>14940000</v>
      </c>
      <c r="N207">
        <f t="shared" si="57"/>
        <v>308560000</v>
      </c>
      <c r="P207">
        <f t="shared" si="27"/>
        <v>308560000</v>
      </c>
      <c r="Q207">
        <f>IFERROR(J144+MATCH(P207,J207:N207,0)-1,"")</f>
        <v>2016</v>
      </c>
      <c r="R207">
        <f t="shared" si="28"/>
        <v>3550000</v>
      </c>
      <c r="S207">
        <f>IFERROR(J144+MATCH(R207,J207:N207,0)-1,"")</f>
        <v>2014</v>
      </c>
      <c r="T207">
        <f t="shared" si="29"/>
        <v>137534000</v>
      </c>
      <c r="U207">
        <f t="shared" si="30"/>
        <v>133273856.13840398</v>
      </c>
      <c r="V207">
        <f t="shared" si="31"/>
        <v>-6.0056790070573941E-2</v>
      </c>
      <c r="W207">
        <f t="shared" si="32"/>
        <v>0.70198313991037176</v>
      </c>
      <c r="X207">
        <f t="shared" si="33"/>
        <v>-1.0053284558740354</v>
      </c>
      <c r="Y207">
        <f t="shared" si="34"/>
        <v>-0.91986533257270631</v>
      </c>
      <c r="Z207">
        <f t="shared" si="35"/>
        <v>1.2832674386069438</v>
      </c>
      <c r="AA207">
        <f t="shared" si="36"/>
        <v>1.2832674386069438</v>
      </c>
      <c r="AB207">
        <f>IFERROR(V144+MATCH(AA207,V207:Z207,0)-1,"")</f>
        <v>2016</v>
      </c>
      <c r="AC207" t="str">
        <f t="shared" si="37"/>
        <v>High</v>
      </c>
      <c r="AE207">
        <f>IF(ISNUMBER(MATCH("N/A",J207:N207,0)),"",IFERROR((5 * SUMPRODUCT(J144:N144,J207:N207) - PRODUCT(SUM(J144:N144),SUM(J207:N207))) / ((5 * SUM((J144^2)+(K144^2)+(L144^2)+(M144^2)+(N144^2))) - SUM(J144:N144)^2),""))</f>
        <v>14191000</v>
      </c>
      <c r="AF207">
        <f>IFERROR(CORREL(J144:N144,J207:N207),"")</f>
        <v>0.16835966023541096</v>
      </c>
      <c r="AZ207">
        <f t="shared" si="38"/>
        <v>1</v>
      </c>
      <c r="BA207" t="str">
        <f>IF(AZ207=1,IF(Q207="","",IF(Q207=N144,"Yes","No")),"")</f>
        <v>Yes</v>
      </c>
      <c r="BB207">
        <f t="shared" si="39"/>
        <v>308560000</v>
      </c>
      <c r="BC207" t="str">
        <f>IF(AZ207=1,IF(S207="","",IF(S207=N144,"Yes","No")),"")</f>
        <v>No</v>
      </c>
      <c r="BD207" t="str">
        <f t="shared" si="40"/>
        <v/>
      </c>
      <c r="BE207" t="str">
        <f t="shared" si="41"/>
        <v>Increasing</v>
      </c>
      <c r="BF207" t="str">
        <f t="shared" si="42"/>
        <v>Yes</v>
      </c>
      <c r="BG207" t="str">
        <f t="shared" si="43"/>
        <v>No</v>
      </c>
      <c r="BH207" t="str">
        <f t="shared" si="44"/>
        <v>No</v>
      </c>
    </row>
    <row r="208" spans="1:60" x14ac:dyDescent="0.3">
      <c r="A208" s="1">
        <v>2</v>
      </c>
      <c r="B208" t="s">
        <v>478</v>
      </c>
      <c r="C208" t="s">
        <v>479</v>
      </c>
      <c r="D208" t="s">
        <v>480</v>
      </c>
      <c r="E208" t="s">
        <v>481</v>
      </c>
      <c r="F208" t="s">
        <v>482</v>
      </c>
      <c r="G208" t="s">
        <v>483</v>
      </c>
      <c r="I208" t="str">
        <f t="shared" si="52"/>
        <v>N/A</v>
      </c>
      <c r="J208">
        <f t="shared" si="53"/>
        <v>85860000</v>
      </c>
      <c r="K208">
        <f t="shared" si="54"/>
        <v>112390000</v>
      </c>
      <c r="L208">
        <f t="shared" si="55"/>
        <v>21310000</v>
      </c>
      <c r="M208">
        <f t="shared" si="56"/>
        <v>22230000</v>
      </c>
      <c r="N208">
        <f t="shared" si="57"/>
        <v>20520000</v>
      </c>
      <c r="P208">
        <f t="shared" si="27"/>
        <v>112390000</v>
      </c>
      <c r="Q208">
        <f>IFERROR(J144+MATCH(P208,J208:N208,0)-1,"")</f>
        <v>2013</v>
      </c>
      <c r="R208">
        <f t="shared" si="28"/>
        <v>20520000</v>
      </c>
      <c r="S208">
        <f>IFERROR(J144+MATCH(R208,J208:N208,0)-1,"")</f>
        <v>2016</v>
      </c>
      <c r="T208">
        <f t="shared" si="29"/>
        <v>52462000</v>
      </c>
      <c r="U208">
        <f t="shared" si="30"/>
        <v>43621966.599409521</v>
      </c>
      <c r="V208">
        <f t="shared" si="31"/>
        <v>0.765623437079338</v>
      </c>
      <c r="W208">
        <f t="shared" si="32"/>
        <v>1.3738032617908429</v>
      </c>
      <c r="X208">
        <f t="shared" si="33"/>
        <v>-0.71413561626131916</v>
      </c>
      <c r="Y208">
        <f t="shared" si="34"/>
        <v>-0.69304532456382262</v>
      </c>
      <c r="Z208">
        <f t="shared" si="35"/>
        <v>-0.73224575804503911</v>
      </c>
      <c r="AA208">
        <f t="shared" si="36"/>
        <v>1.3738032617908429</v>
      </c>
      <c r="AB208">
        <f>IFERROR(V144+MATCH(AA208,V208:Z208,0)-1,"")</f>
        <v>2013</v>
      </c>
      <c r="AC208" t="str">
        <f t="shared" si="37"/>
        <v>High</v>
      </c>
      <c r="AE208">
        <f>IF(ISNUMBER(MATCH("N/A",J208:N208,0)),"",IFERROR((5 * SUMPRODUCT(J144:N144,J208:N208) - PRODUCT(SUM(J144:N144),SUM(J208:N208))) / ((5 * SUM((J144^2)+(K144^2)+(L144^2)+(M144^2)+(N144^2))) - SUM(J144:N144)^2),""))</f>
        <v>-22084000</v>
      </c>
      <c r="AF208">
        <f>IFERROR(CORREL(J144:N144,J208:N208),"")</f>
        <v>-0.80046528493861846</v>
      </c>
      <c r="AZ208">
        <f t="shared" si="38"/>
        <v>1</v>
      </c>
      <c r="BA208" t="str">
        <f>IF(AZ208=1,IF(Q208="","",IF(Q208=N144,"Yes","No")),"")</f>
        <v>No</v>
      </c>
      <c r="BB208" t="str">
        <f t="shared" si="39"/>
        <v/>
      </c>
      <c r="BC208" t="str">
        <f>IF(AZ208=1,IF(S208="","",IF(S208=N144,"Yes","No")),"")</f>
        <v>Yes</v>
      </c>
      <c r="BD208">
        <f t="shared" si="40"/>
        <v>20520000</v>
      </c>
      <c r="BE208" t="str">
        <f t="shared" si="41"/>
        <v>Decreasing</v>
      </c>
      <c r="BF208" t="str">
        <f t="shared" si="42"/>
        <v>Yes</v>
      </c>
      <c r="BG208" t="str">
        <f t="shared" si="43"/>
        <v>No</v>
      </c>
      <c r="BH208" t="str">
        <f t="shared" si="44"/>
        <v>Yes</v>
      </c>
    </row>
    <row r="209" spans="1:60" x14ac:dyDescent="0.3">
      <c r="A209" s="1">
        <v>3</v>
      </c>
      <c r="B209" t="s">
        <v>484</v>
      </c>
      <c r="C209" t="s">
        <v>264</v>
      </c>
      <c r="D209" t="s">
        <v>485</v>
      </c>
      <c r="E209" t="s">
        <v>486</v>
      </c>
      <c r="F209" t="s">
        <v>487</v>
      </c>
      <c r="G209" t="s">
        <v>488</v>
      </c>
      <c r="I209" t="str">
        <f t="shared" si="52"/>
        <v>N/A</v>
      </c>
      <c r="J209" t="str">
        <f t="shared" si="53"/>
        <v>N/A</v>
      </c>
      <c r="K209">
        <f t="shared" si="54"/>
        <v>0.59470000000000001</v>
      </c>
      <c r="L209">
        <f t="shared" si="55"/>
        <v>-0.92760000000000009</v>
      </c>
      <c r="M209">
        <f t="shared" si="56"/>
        <v>0.49509999999999998</v>
      </c>
      <c r="N209">
        <f t="shared" si="57"/>
        <v>7.8539000000000003</v>
      </c>
      <c r="P209">
        <f t="shared" ref="P209:P272" si="58">MAX(J209:N209)</f>
        <v>7.8539000000000003</v>
      </c>
      <c r="Q209">
        <f>IFERROR(J144+MATCH(P209,J209:N209,0)-1,"")</f>
        <v>2016</v>
      </c>
      <c r="R209">
        <f t="shared" ref="R209:R272" si="59">IF(Q209="","",MIN(J209:N209))</f>
        <v>-0.92760000000000009</v>
      </c>
      <c r="S209">
        <f>IFERROR(J144+MATCH(R209,J209:N209,0)-1,"")</f>
        <v>2014</v>
      </c>
      <c r="T209">
        <f t="shared" ref="T209:T272" si="60">IFERROR(AVERAGE(J209:N209),"")</f>
        <v>2.0040249999999999</v>
      </c>
      <c r="U209">
        <f t="shared" ref="U209:U272" si="61">IFERROR(STDEV(J209:N209),"")</f>
        <v>3.9614186965235914</v>
      </c>
      <c r="V209" t="str">
        <f t="shared" ref="V209:V272" si="62">IFERROR(IF(C209="-","",IF(ISBLANK(B209),"",IF(OR(ISNUMBER(FIND("Growth",B209)),ISNUMBER(FIND("Margin",B209))),"",(J209-T209)/U209))),"")</f>
        <v/>
      </c>
      <c r="W209">
        <f t="shared" ref="W209:W272" si="63">IFERROR(IF(OR(D209="-",ISBLANK(D209)),"",(K209-T209)/U209),"")</f>
        <v>-0.3557626971460443</v>
      </c>
      <c r="X209">
        <f t="shared" ref="X209:X272" si="64">IFERROR(IF(OR(E209="-",ISBLANK(E209)),"",(L209-T209)/U209),"")</f>
        <v>-0.74004421763665018</v>
      </c>
      <c r="Y209">
        <f t="shared" ref="Y209:Y272" si="65">IFERROR(IF(OR(F209="-",ISBLANK(F209)),"",(M209-T209)/U209),"")</f>
        <v>-0.38090520482578177</v>
      </c>
      <c r="Z209">
        <f t="shared" ref="Z209:Z272" si="66">IFERROR(IF(OR(G209="-",ISBLANK(G209)),"",(N209-T209)/U209),"")</f>
        <v>1.4767121196084765</v>
      </c>
      <c r="AA209">
        <f t="shared" ref="AA209:AA272" si="67">IF(MAX(MAX(V209:Z209),ABS(MIN(V209:Z209)))=ABS(MIN(V209:Z209)),MIN(V209:Z209),MAX(V209:Z209))</f>
        <v>1.4767121196084765</v>
      </c>
      <c r="AB209">
        <f>IFERROR(V144+MATCH(AA209,V209:Z209,0)-1,"")</f>
        <v>2016</v>
      </c>
      <c r="AC209" t="str">
        <f t="shared" ref="AC209:AC272" si="68">IF(AB209&lt;&gt;"",IF(S209=AB209,"Low",IF(AB209=Q209,"High","")),"")</f>
        <v>High</v>
      </c>
      <c r="AE209" t="str">
        <f>IF(ISNUMBER(MATCH("N/A",J209:N209,0)),"",IFERROR((5 * SUMPRODUCT(J144:N144,J209:N209) - PRODUCT(SUM(J144:N144),SUM(J209:N209))) / ((5 * SUM((J144^2)+(K144^2)+(L144^2)+(M144^2)+(N144^2))) - SUM(J144:N144)^2),""))</f>
        <v/>
      </c>
      <c r="AF209">
        <f>IFERROR(CORREL(J144:N144,J209:N209),"")</f>
        <v>0.75607909194980361</v>
      </c>
      <c r="AZ209">
        <f t="shared" ref="AZ209:AZ272" si="69">IF(Q209=S209,0,1)</f>
        <v>1</v>
      </c>
      <c r="BA209" t="str">
        <f>IF(AZ209=1,IF(Q209="","",IF(Q209=N144,"Yes","No")),"")</f>
        <v>Yes</v>
      </c>
      <c r="BB209">
        <f t="shared" ref="BB209:BB272" si="70">IF(BA209="Yes",P209,"")</f>
        <v>7.8539000000000003</v>
      </c>
      <c r="BC209" t="str">
        <f>IF(AZ209=1,IF(S209="","",IF(S209=N144,"Yes","No")),"")</f>
        <v>No</v>
      </c>
      <c r="BD209" t="str">
        <f t="shared" ref="BD209:BD272" si="71">IF(BC209="Yes",R209,"")</f>
        <v/>
      </c>
      <c r="BE209" t="str">
        <f t="shared" ref="BE209:BE272" si="72">IFERROR(IF(SIGN(AE209)=1,"Increasing",IF(SIGN(AE209)=-1,"Decreasing","")),"")</f>
        <v/>
      </c>
      <c r="BF209" t="str">
        <f t="shared" ref="BF209:BF272" si="73">IF(OR(AND(BE209="Increasing",BA209="Yes"),AND(BE209="Decreasing",BC209="Yes")),"Yes","No")</f>
        <v>No</v>
      </c>
      <c r="BG209" t="str">
        <f t="shared" ref="BG209:BG272" si="74">IF(I209="pos_trend","Yes","No")</f>
        <v>No</v>
      </c>
      <c r="BH209" t="str">
        <f t="shared" ref="BH209:BH272" si="75">IF(AF209&lt;&gt;"",IF(ABS(AF209)&gt;0.8,"Yes","No"),"")</f>
        <v>No</v>
      </c>
    </row>
    <row r="210" spans="1:60" x14ac:dyDescent="0.3">
      <c r="A210" s="1">
        <v>4</v>
      </c>
      <c r="B210" t="s">
        <v>489</v>
      </c>
      <c r="C210" t="s">
        <v>490</v>
      </c>
      <c r="D210" t="s">
        <v>491</v>
      </c>
      <c r="E210" t="s">
        <v>492</v>
      </c>
      <c r="F210" t="s">
        <v>493</v>
      </c>
      <c r="G210" t="s">
        <v>494</v>
      </c>
      <c r="I210" t="str">
        <f t="shared" si="52"/>
        <v>N/A</v>
      </c>
      <c r="J210">
        <f t="shared" si="53"/>
        <v>0.11560000000000001</v>
      </c>
      <c r="K210">
        <f t="shared" si="54"/>
        <v>0.188</v>
      </c>
      <c r="L210">
        <f t="shared" si="55"/>
        <v>9.9000000000000008E-3</v>
      </c>
      <c r="M210">
        <f t="shared" si="56"/>
        <v>1.38E-2</v>
      </c>
      <c r="N210">
        <f t="shared" si="57"/>
        <v>0.1258</v>
      </c>
      <c r="P210">
        <f t="shared" si="58"/>
        <v>0.188</v>
      </c>
      <c r="Q210">
        <f>IFERROR(J144+MATCH(P210,J210:N210,0)-1,"")</f>
        <v>2013</v>
      </c>
      <c r="R210">
        <f t="shared" si="59"/>
        <v>9.9000000000000008E-3</v>
      </c>
      <c r="S210">
        <f>IFERROR(J144+MATCH(R210,J210:N210,0)-1,"")</f>
        <v>2014</v>
      </c>
      <c r="T210">
        <f t="shared" si="60"/>
        <v>9.0619999999999992E-2</v>
      </c>
      <c r="U210">
        <f t="shared" si="61"/>
        <v>7.7073873653787525E-2</v>
      </c>
      <c r="V210">
        <f t="shared" si="62"/>
        <v>0.32410463904031978</v>
      </c>
      <c r="W210">
        <f t="shared" si="63"/>
        <v>1.2634631605182673</v>
      </c>
      <c r="X210">
        <f t="shared" si="64"/>
        <v>-1.047306904056629</v>
      </c>
      <c r="Y210">
        <f t="shared" si="65"/>
        <v>-0.99670609972287216</v>
      </c>
      <c r="Z210">
        <f t="shared" si="66"/>
        <v>0.45644520422091445</v>
      </c>
      <c r="AA210">
        <f t="shared" si="67"/>
        <v>1.2634631605182673</v>
      </c>
      <c r="AB210">
        <f>IFERROR(V144+MATCH(AA210,V210:Z210,0)-1,"")</f>
        <v>2013</v>
      </c>
      <c r="AC210" t="str">
        <f t="shared" si="68"/>
        <v>High</v>
      </c>
      <c r="AE210">
        <f>IF(ISNUMBER(MATCH("N/A",J210:N210,0)),"",IFERROR((5 * SUMPRODUCT(J144:N144,J210:N210) - PRODUCT(SUM(J144:N144),SUM(J210:N210))) / ((5 * SUM((J144^2)+(K144^2)+(L144^2)+(M144^2)+(N144^2))) - SUM(J144:N144)^2),""))</f>
        <v>-1.5379999999986467E-2</v>
      </c>
      <c r="AF210">
        <f>IFERROR(CORREL(J144:N144,J210:N210),"")</f>
        <v>-0.31551437671252713</v>
      </c>
      <c r="AZ210">
        <f t="shared" si="69"/>
        <v>1</v>
      </c>
      <c r="BA210" t="str">
        <f>IF(AZ210=1,IF(Q210="","",IF(Q210=N144,"Yes","No")),"")</f>
        <v>No</v>
      </c>
      <c r="BB210" t="str">
        <f t="shared" si="70"/>
        <v/>
      </c>
      <c r="BC210" t="str">
        <f>IF(AZ210=1,IF(S210="","",IF(S210=N144,"Yes","No")),"")</f>
        <v>No</v>
      </c>
      <c r="BD210" t="str">
        <f t="shared" si="71"/>
        <v/>
      </c>
      <c r="BE210" t="str">
        <f t="shared" si="72"/>
        <v>Decreasing</v>
      </c>
      <c r="BF210" t="str">
        <f t="shared" si="73"/>
        <v>No</v>
      </c>
      <c r="BG210" t="str">
        <f t="shared" si="74"/>
        <v>No</v>
      </c>
      <c r="BH210" t="str">
        <f t="shared" si="75"/>
        <v>No</v>
      </c>
    </row>
    <row r="211" spans="1:60" x14ac:dyDescent="0.3">
      <c r="A211" s="1">
        <v>5</v>
      </c>
      <c r="B211" t="s">
        <v>495</v>
      </c>
      <c r="C211" t="s">
        <v>496</v>
      </c>
      <c r="D211" t="s">
        <v>497</v>
      </c>
      <c r="E211" t="s">
        <v>498</v>
      </c>
      <c r="F211" t="s">
        <v>499</v>
      </c>
      <c r="G211" t="s">
        <v>500</v>
      </c>
      <c r="I211" t="str">
        <f t="shared" si="52"/>
        <v>N/A</v>
      </c>
      <c r="J211">
        <f t="shared" si="53"/>
        <v>74160000</v>
      </c>
      <c r="K211">
        <f t="shared" si="54"/>
        <v>68680000</v>
      </c>
      <c r="L211">
        <f t="shared" si="55"/>
        <v>107380000</v>
      </c>
      <c r="M211">
        <f t="shared" si="56"/>
        <v>199230000</v>
      </c>
      <c r="N211">
        <f t="shared" si="57"/>
        <v>180580000</v>
      </c>
      <c r="P211">
        <f t="shared" si="58"/>
        <v>199230000</v>
      </c>
      <c r="Q211">
        <f>IFERROR(J144+MATCH(P211,J211:N211,0)-1,"")</f>
        <v>2015</v>
      </c>
      <c r="R211">
        <f t="shared" si="59"/>
        <v>68680000</v>
      </c>
      <c r="S211">
        <f>IFERROR(J144+MATCH(R211,J211:N211,0)-1,"")</f>
        <v>2013</v>
      </c>
      <c r="T211">
        <f t="shared" si="60"/>
        <v>126006000</v>
      </c>
      <c r="U211">
        <f t="shared" si="61"/>
        <v>60541889.465063773</v>
      </c>
      <c r="V211">
        <f t="shared" si="62"/>
        <v>-0.85636574045014213</v>
      </c>
      <c r="W211">
        <f t="shared" si="63"/>
        <v>-0.94688158077855289</v>
      </c>
      <c r="X211">
        <f t="shared" si="64"/>
        <v>-0.30765475218193011</v>
      </c>
      <c r="Y211">
        <f t="shared" si="65"/>
        <v>1.20947662266561</v>
      </c>
      <c r="Z211">
        <f t="shared" si="66"/>
        <v>0.90142545074501523</v>
      </c>
      <c r="AA211">
        <f t="shared" si="67"/>
        <v>1.20947662266561</v>
      </c>
      <c r="AB211">
        <f>IFERROR(V144+MATCH(AA211,V211:Z211,0)-1,"")</f>
        <v>2015</v>
      </c>
      <c r="AC211" t="str">
        <f t="shared" si="68"/>
        <v>High</v>
      </c>
      <c r="AE211">
        <f>IF(ISNUMBER(MATCH("N/A",J211:N211,0)),"",IFERROR((5 * SUMPRODUCT(J144:N144,J211:N211) - PRODUCT(SUM(J144:N144),SUM(J211:N211))) / ((5 * SUM((J144^2)+(K144^2)+(L144^2)+(M144^2)+(N144^2))) - SUM(J144:N144)^2),""))</f>
        <v>34339000</v>
      </c>
      <c r="AF211">
        <f>IFERROR(CORREL(J144:N144,J211:N211),"")</f>
        <v>0.89681255021933581</v>
      </c>
      <c r="AZ211">
        <f t="shared" si="69"/>
        <v>1</v>
      </c>
      <c r="BA211" t="str">
        <f>IF(AZ211=1,IF(Q211="","",IF(Q211=N144,"Yes","No")),"")</f>
        <v>No</v>
      </c>
      <c r="BB211" t="str">
        <f t="shared" si="70"/>
        <v/>
      </c>
      <c r="BC211" t="str">
        <f>IF(AZ211=1,IF(S211="","",IF(S211=N144,"Yes","No")),"")</f>
        <v>No</v>
      </c>
      <c r="BD211" t="str">
        <f t="shared" si="71"/>
        <v/>
      </c>
      <c r="BE211" t="str">
        <f t="shared" si="72"/>
        <v>Increasing</v>
      </c>
      <c r="BF211" t="str">
        <f t="shared" si="73"/>
        <v>No</v>
      </c>
      <c r="BG211" t="str">
        <f t="shared" si="74"/>
        <v>No</v>
      </c>
      <c r="BH211" t="str">
        <f t="shared" si="75"/>
        <v>Yes</v>
      </c>
    </row>
    <row r="212" spans="1:60" x14ac:dyDescent="0.3">
      <c r="A212" s="1">
        <v>6</v>
      </c>
      <c r="B212" t="s">
        <v>501</v>
      </c>
      <c r="C212" t="s">
        <v>496</v>
      </c>
      <c r="D212" t="s">
        <v>497</v>
      </c>
      <c r="E212" t="s">
        <v>498</v>
      </c>
      <c r="F212" t="s">
        <v>502</v>
      </c>
      <c r="G212" t="s">
        <v>503</v>
      </c>
      <c r="I212" t="str">
        <f t="shared" si="52"/>
        <v>N/A</v>
      </c>
      <c r="J212">
        <f t="shared" si="53"/>
        <v>74160000</v>
      </c>
      <c r="K212">
        <f t="shared" si="54"/>
        <v>68680000</v>
      </c>
      <c r="L212">
        <f t="shared" si="55"/>
        <v>107380000</v>
      </c>
      <c r="M212">
        <f t="shared" si="56"/>
        <v>113440000</v>
      </c>
      <c r="N212">
        <f t="shared" si="57"/>
        <v>95780000</v>
      </c>
      <c r="P212">
        <f t="shared" si="58"/>
        <v>113440000</v>
      </c>
      <c r="Q212">
        <f>IFERROR(J144+MATCH(P212,J212:N212,0)-1,"")</f>
        <v>2015</v>
      </c>
      <c r="R212">
        <f t="shared" si="59"/>
        <v>68680000</v>
      </c>
      <c r="S212">
        <f>IFERROR(J144+MATCH(R212,J212:N212,0)-1,"")</f>
        <v>2013</v>
      </c>
      <c r="T212">
        <f t="shared" si="60"/>
        <v>91888000</v>
      </c>
      <c r="U212">
        <f t="shared" si="61"/>
        <v>19827579.781708103</v>
      </c>
      <c r="V212">
        <f t="shared" si="62"/>
        <v>-0.89410811582535832</v>
      </c>
      <c r="W212">
        <f t="shared" si="63"/>
        <v>-1.1704908140836481</v>
      </c>
      <c r="X212">
        <f t="shared" si="64"/>
        <v>0.78133590536814368</v>
      </c>
      <c r="Y212">
        <f t="shared" si="65"/>
        <v>1.0869707870187342</v>
      </c>
      <c r="Z212">
        <f t="shared" si="66"/>
        <v>0.19629223752212852</v>
      </c>
      <c r="AA212">
        <f t="shared" si="67"/>
        <v>-1.1704908140836481</v>
      </c>
      <c r="AB212">
        <f>IFERROR(V144+MATCH(AA212,V212:Z212,0)-1,"")</f>
        <v>2013</v>
      </c>
      <c r="AC212" t="str">
        <f t="shared" si="68"/>
        <v>Low</v>
      </c>
      <c r="AE212">
        <f>IF(ISNUMBER(MATCH("N/A",J212:N212,0)),"",IFERROR((5 * SUMPRODUCT(J144:N144,J212:N212) - PRODUCT(SUM(J144:N144),SUM(J212:N212))) / ((5 * SUM((J144^2)+(K144^2)+(L144^2)+(M144^2)+(N144^2))) - SUM(J144:N144)^2),""))</f>
        <v>8800000</v>
      </c>
      <c r="AF212">
        <f>IFERROR(CORREL(J144:N144,J212:N212),"")</f>
        <v>0.70175088729574664</v>
      </c>
      <c r="AZ212">
        <f t="shared" si="69"/>
        <v>1</v>
      </c>
      <c r="BA212" t="str">
        <f>IF(AZ212=1,IF(Q212="","",IF(Q212=N144,"Yes","No")),"")</f>
        <v>No</v>
      </c>
      <c r="BB212" t="str">
        <f t="shared" si="70"/>
        <v/>
      </c>
      <c r="BC212" t="str">
        <f>IF(AZ212=1,IF(S212="","",IF(S212=N144,"Yes","No")),"")</f>
        <v>No</v>
      </c>
      <c r="BD212" t="str">
        <f t="shared" si="71"/>
        <v/>
      </c>
      <c r="BE212" t="str">
        <f t="shared" si="72"/>
        <v>Increasing</v>
      </c>
      <c r="BF212" t="str">
        <f t="shared" si="73"/>
        <v>No</v>
      </c>
      <c r="BG212" t="str">
        <f t="shared" si="74"/>
        <v>No</v>
      </c>
      <c r="BH212" t="str">
        <f t="shared" si="75"/>
        <v>No</v>
      </c>
    </row>
    <row r="213" spans="1:60" x14ac:dyDescent="0.3">
      <c r="A213" s="1">
        <v>7</v>
      </c>
      <c r="B213" t="s">
        <v>504</v>
      </c>
      <c r="C213" t="s">
        <v>505</v>
      </c>
      <c r="D213" t="s">
        <v>506</v>
      </c>
      <c r="E213" t="s">
        <v>507</v>
      </c>
      <c r="F213" t="s">
        <v>508</v>
      </c>
      <c r="G213" t="s">
        <v>509</v>
      </c>
      <c r="I213" t="str">
        <f t="shared" si="52"/>
        <v>N/A</v>
      </c>
      <c r="J213">
        <f t="shared" si="53"/>
        <v>80160000</v>
      </c>
      <c r="K213">
        <f t="shared" si="54"/>
        <v>75860000</v>
      </c>
      <c r="L213">
        <f t="shared" si="55"/>
        <v>134780000</v>
      </c>
      <c r="M213">
        <f t="shared" si="56"/>
        <v>151270000</v>
      </c>
      <c r="N213">
        <f t="shared" si="57"/>
        <v>145300000</v>
      </c>
      <c r="P213">
        <f t="shared" si="58"/>
        <v>151270000</v>
      </c>
      <c r="Q213">
        <f>IFERROR(J144+MATCH(P213,J213:N213,0)-1,"")</f>
        <v>2015</v>
      </c>
      <c r="R213">
        <f t="shared" si="59"/>
        <v>75860000</v>
      </c>
      <c r="S213">
        <f>IFERROR(J144+MATCH(R213,J213:N213,0)-1,"")</f>
        <v>2013</v>
      </c>
      <c r="T213">
        <f t="shared" si="60"/>
        <v>117474000</v>
      </c>
      <c r="U213">
        <f t="shared" si="61"/>
        <v>36537696.698067874</v>
      </c>
      <c r="V213">
        <f t="shared" si="62"/>
        <v>-1.0212466403765725</v>
      </c>
      <c r="W213">
        <f t="shared" si="63"/>
        <v>-1.1389333143761238</v>
      </c>
      <c r="X213">
        <f t="shared" si="64"/>
        <v>0.47364780935726436</v>
      </c>
      <c r="Y213">
        <f t="shared" si="65"/>
        <v>0.92496251964856735</v>
      </c>
      <c r="Z213">
        <f t="shared" si="66"/>
        <v>0.7615696257468646</v>
      </c>
      <c r="AA213">
        <f t="shared" si="67"/>
        <v>-1.1389333143761238</v>
      </c>
      <c r="AB213">
        <f>IFERROR(V144+MATCH(AA213,V213:Z213,0)-1,"")</f>
        <v>2013</v>
      </c>
      <c r="AC213" t="str">
        <f t="shared" si="68"/>
        <v>Low</v>
      </c>
      <c r="AE213">
        <f>IF(ISNUMBER(MATCH("N/A",J213:N213,0)),"",IFERROR((5 * SUMPRODUCT(J144:N144,J213:N213) - PRODUCT(SUM(J144:N144),SUM(J213:N213))) / ((5 * SUM((J144^2)+(K144^2)+(L144^2)+(M144^2)+(N144^2))) - SUM(J144:N144)^2),""))</f>
        <v>20569000</v>
      </c>
      <c r="AF213">
        <f>IFERROR(CORREL(J144:N144,J213:N213),"")</f>
        <v>0.8901065894972382</v>
      </c>
      <c r="AZ213">
        <f t="shared" si="69"/>
        <v>1</v>
      </c>
      <c r="BA213" t="str">
        <f>IF(AZ213=1,IF(Q213="","",IF(Q213=N144,"Yes","No")),"")</f>
        <v>No</v>
      </c>
      <c r="BB213" t="str">
        <f t="shared" si="70"/>
        <v/>
      </c>
      <c r="BC213" t="str">
        <f>IF(AZ213=1,IF(S213="","",IF(S213=N144,"Yes","No")),"")</f>
        <v>No</v>
      </c>
      <c r="BD213" t="str">
        <f t="shared" si="71"/>
        <v/>
      </c>
      <c r="BE213" t="str">
        <f t="shared" si="72"/>
        <v>Increasing</v>
      </c>
      <c r="BF213" t="str">
        <f t="shared" si="73"/>
        <v>No</v>
      </c>
      <c r="BG213" t="str">
        <f t="shared" si="74"/>
        <v>No</v>
      </c>
      <c r="BH213" t="str">
        <f t="shared" si="75"/>
        <v>Yes</v>
      </c>
    </row>
    <row r="214" spans="1:60" x14ac:dyDescent="0.3">
      <c r="A214" s="1">
        <v>8</v>
      </c>
      <c r="B214" t="s">
        <v>510</v>
      </c>
      <c r="C214" t="s">
        <v>511</v>
      </c>
      <c r="D214" t="s">
        <v>512</v>
      </c>
      <c r="E214" t="s">
        <v>513</v>
      </c>
      <c r="F214" t="s">
        <v>514</v>
      </c>
      <c r="G214" t="s">
        <v>515</v>
      </c>
      <c r="I214" t="str">
        <f t="shared" si="52"/>
        <v>neg_trend</v>
      </c>
      <c r="J214">
        <f t="shared" si="53"/>
        <v>-6000000</v>
      </c>
      <c r="K214">
        <f t="shared" si="54"/>
        <v>-7170000</v>
      </c>
      <c r="L214">
        <f t="shared" si="55"/>
        <v>-27400000</v>
      </c>
      <c r="M214">
        <f t="shared" si="56"/>
        <v>-37830000</v>
      </c>
      <c r="N214">
        <f t="shared" si="57"/>
        <v>-49520000</v>
      </c>
      <c r="P214">
        <f t="shared" si="58"/>
        <v>-6000000</v>
      </c>
      <c r="Q214">
        <f>IFERROR(J144+MATCH(P214,J214:N214,0)-1,"")</f>
        <v>2012</v>
      </c>
      <c r="R214">
        <f t="shared" si="59"/>
        <v>-49520000</v>
      </c>
      <c r="S214">
        <f>IFERROR(J144+MATCH(R214,J214:N214,0)-1,"")</f>
        <v>2016</v>
      </c>
      <c r="T214">
        <f t="shared" si="60"/>
        <v>-25584000</v>
      </c>
      <c r="U214">
        <f t="shared" si="61"/>
        <v>19031571.926669642</v>
      </c>
      <c r="V214">
        <f t="shared" si="62"/>
        <v>1.0290269282778592</v>
      </c>
      <c r="W214">
        <f t="shared" si="63"/>
        <v>0.96755013568772974</v>
      </c>
      <c r="X214">
        <f t="shared" si="64"/>
        <v>-9.5420389182628282E-2</v>
      </c>
      <c r="Y214">
        <f t="shared" si="65"/>
        <v>-0.6434570957766883</v>
      </c>
      <c r="Z214">
        <f t="shared" si="66"/>
        <v>-1.2576995790062724</v>
      </c>
      <c r="AA214">
        <f t="shared" si="67"/>
        <v>-1.2576995790062724</v>
      </c>
      <c r="AB214">
        <f>IFERROR(V144+MATCH(AA214,V214:Z214,0)-1,"")</f>
        <v>2016</v>
      </c>
      <c r="AC214" t="str">
        <f t="shared" si="68"/>
        <v>Low</v>
      </c>
      <c r="AE214">
        <f>IF(ISNUMBER(MATCH("N/A",J214:N214,0)),"",IFERROR((5 * SUMPRODUCT(J144:N144,J214:N214) - PRODUCT(SUM(J144:N144),SUM(J214:N214))) / ((5 * SUM((J144^2)+(K144^2)+(L144^2)+(M144^2)+(N144^2))) - SUM(J144:N144)^2),""))</f>
        <v>-11770000</v>
      </c>
      <c r="AF214">
        <f>IFERROR(CORREL(J144:N144,J214:N214),"")</f>
        <v>-0.97784902381142935</v>
      </c>
      <c r="AZ214">
        <f t="shared" si="69"/>
        <v>1</v>
      </c>
      <c r="BA214" t="str">
        <f>IF(AZ214=1,IF(Q214="","",IF(Q214=N144,"Yes","No")),"")</f>
        <v>No</v>
      </c>
      <c r="BB214" t="str">
        <f t="shared" si="70"/>
        <v/>
      </c>
      <c r="BC214" t="str">
        <f>IF(AZ214=1,IF(S214="","",IF(S214=N144,"Yes","No")),"")</f>
        <v>Yes</v>
      </c>
      <c r="BD214">
        <f t="shared" si="71"/>
        <v>-49520000</v>
      </c>
      <c r="BE214" t="str">
        <f t="shared" si="72"/>
        <v>Decreasing</v>
      </c>
      <c r="BF214" t="str">
        <f t="shared" si="73"/>
        <v>Yes</v>
      </c>
      <c r="BG214" t="str">
        <f t="shared" si="74"/>
        <v>No</v>
      </c>
      <c r="BH214" t="str">
        <f t="shared" si="75"/>
        <v>Yes</v>
      </c>
    </row>
    <row r="215" spans="1:60" x14ac:dyDescent="0.3">
      <c r="A215" s="1">
        <v>9</v>
      </c>
      <c r="B215" t="s">
        <v>516</v>
      </c>
      <c r="C215" t="s">
        <v>264</v>
      </c>
      <c r="D215" t="s">
        <v>264</v>
      </c>
      <c r="E215" t="s">
        <v>264</v>
      </c>
      <c r="F215" t="s">
        <v>517</v>
      </c>
      <c r="G215" t="s">
        <v>518</v>
      </c>
      <c r="I215" t="str">
        <f t="shared" si="52"/>
        <v>N/A</v>
      </c>
      <c r="J215" t="str">
        <f t="shared" si="53"/>
        <v>N/A</v>
      </c>
      <c r="K215" t="str">
        <f t="shared" si="54"/>
        <v>N/A</v>
      </c>
      <c r="L215" t="str">
        <f t="shared" si="55"/>
        <v>N/A</v>
      </c>
      <c r="M215">
        <f t="shared" si="56"/>
        <v>85800000</v>
      </c>
      <c r="N215">
        <f t="shared" si="57"/>
        <v>84800000</v>
      </c>
      <c r="P215">
        <f t="shared" si="58"/>
        <v>85800000</v>
      </c>
      <c r="Q215">
        <f>IFERROR(J144+MATCH(P215,J215:N215,0)-1,"")</f>
        <v>2015</v>
      </c>
      <c r="R215">
        <f t="shared" si="59"/>
        <v>84800000</v>
      </c>
      <c r="S215">
        <f>IFERROR(J144+MATCH(R215,J215:N215,0)-1,"")</f>
        <v>2016</v>
      </c>
      <c r="T215">
        <f t="shared" si="60"/>
        <v>85300000</v>
      </c>
      <c r="U215">
        <f t="shared" si="61"/>
        <v>707106.78118654748</v>
      </c>
      <c r="V215" t="str">
        <f t="shared" si="62"/>
        <v/>
      </c>
      <c r="W215" t="str">
        <f t="shared" si="63"/>
        <v/>
      </c>
      <c r="X215" t="str">
        <f t="shared" si="64"/>
        <v/>
      </c>
      <c r="Y215">
        <f t="shared" si="65"/>
        <v>0.70710678118654757</v>
      </c>
      <c r="Z215">
        <f t="shared" si="66"/>
        <v>-0.70710678118654757</v>
      </c>
      <c r="AA215">
        <f t="shared" si="67"/>
        <v>-0.70710678118654757</v>
      </c>
      <c r="AB215">
        <f>IFERROR(V144+MATCH(AA215,V215:Z215,0)-1,"")</f>
        <v>2016</v>
      </c>
      <c r="AC215" t="str">
        <f t="shared" si="68"/>
        <v>Low</v>
      </c>
      <c r="AE215" t="str">
        <f>IF(ISNUMBER(MATCH("N/A",J215:N215,0)),"",IFERROR((5 * SUMPRODUCT(J144:N144,J215:N215) - PRODUCT(SUM(J144:N144),SUM(J215:N215))) / ((5 * SUM((J144^2)+(K144^2)+(L144^2)+(M144^2)+(N144^2))) - SUM(J144:N144)^2),""))</f>
        <v/>
      </c>
      <c r="AF215">
        <f>IFERROR(CORREL(J144:N144,J215:N215),"")</f>
        <v>-1</v>
      </c>
      <c r="AZ215">
        <f t="shared" si="69"/>
        <v>1</v>
      </c>
      <c r="BA215" t="str">
        <f>IF(AZ215=1,IF(Q215="","",IF(Q215=N144,"Yes","No")),"")</f>
        <v>No</v>
      </c>
      <c r="BB215" t="str">
        <f t="shared" si="70"/>
        <v/>
      </c>
      <c r="BC215" t="str">
        <f>IF(AZ215=1,IF(S215="","",IF(S215=N144,"Yes","No")),"")</f>
        <v>Yes</v>
      </c>
      <c r="BD215">
        <f t="shared" si="71"/>
        <v>84800000</v>
      </c>
      <c r="BE215" t="str">
        <f t="shared" si="72"/>
        <v/>
      </c>
      <c r="BF215" t="str">
        <f t="shared" si="73"/>
        <v>No</v>
      </c>
      <c r="BG215" t="str">
        <f t="shared" si="74"/>
        <v>No</v>
      </c>
      <c r="BH215" t="str">
        <f t="shared" si="75"/>
        <v>Yes</v>
      </c>
    </row>
    <row r="216" spans="1:60" x14ac:dyDescent="0.3">
      <c r="A216" s="1">
        <v>10</v>
      </c>
      <c r="B216" t="s">
        <v>519</v>
      </c>
      <c r="C216" t="s">
        <v>264</v>
      </c>
      <c r="D216" t="s">
        <v>520</v>
      </c>
      <c r="E216" t="s">
        <v>521</v>
      </c>
      <c r="F216" t="s">
        <v>522</v>
      </c>
      <c r="G216" t="s">
        <v>523</v>
      </c>
      <c r="I216" t="str">
        <f t="shared" si="52"/>
        <v>N/A</v>
      </c>
      <c r="J216" t="str">
        <f t="shared" si="53"/>
        <v>N/A</v>
      </c>
      <c r="K216">
        <f t="shared" si="54"/>
        <v>-7.3800000000000004E-2</v>
      </c>
      <c r="L216">
        <f t="shared" si="55"/>
        <v>0.56340000000000001</v>
      </c>
      <c r="M216">
        <f t="shared" si="56"/>
        <v>0.85540000000000005</v>
      </c>
      <c r="N216">
        <f t="shared" si="57"/>
        <v>-9.3600000000000003E-2</v>
      </c>
      <c r="P216">
        <f t="shared" si="58"/>
        <v>0.85540000000000005</v>
      </c>
      <c r="Q216">
        <f>IFERROR(J144+MATCH(P216,J216:N216,0)-1,"")</f>
        <v>2015</v>
      </c>
      <c r="R216">
        <f t="shared" si="59"/>
        <v>-9.3600000000000003E-2</v>
      </c>
      <c r="S216">
        <f>IFERROR(J144+MATCH(R216,J216:N216,0)-1,"")</f>
        <v>2016</v>
      </c>
      <c r="T216">
        <f t="shared" si="60"/>
        <v>0.31285000000000007</v>
      </c>
      <c r="U216">
        <f t="shared" si="61"/>
        <v>0.47322849660602645</v>
      </c>
      <c r="V216" t="str">
        <f t="shared" si="62"/>
        <v/>
      </c>
      <c r="W216">
        <f t="shared" si="63"/>
        <v>-0.81704716172638903</v>
      </c>
      <c r="X216">
        <f t="shared" si="64"/>
        <v>0.52944825131397055</v>
      </c>
      <c r="Y216">
        <f t="shared" si="65"/>
        <v>1.146486325086389</v>
      </c>
      <c r="Z216">
        <f t="shared" si="66"/>
        <v>-0.85888741467397089</v>
      </c>
      <c r="AA216">
        <f t="shared" si="67"/>
        <v>1.146486325086389</v>
      </c>
      <c r="AB216">
        <f>IFERROR(V144+MATCH(AA216,V216:Z216,0)-1,"")</f>
        <v>2015</v>
      </c>
      <c r="AC216" t="str">
        <f t="shared" si="68"/>
        <v>High</v>
      </c>
      <c r="AE216" t="str">
        <f>IF(ISNUMBER(MATCH("N/A",J216:N216,0)),"",IFERROR((5 * SUMPRODUCT(J144:N144,J216:N216) - PRODUCT(SUM(J144:N144),SUM(J216:N216))) / ((5 * SUM((J144^2)+(K144^2)+(L144^2)+(M144^2)+(N144^2))) - SUM(J144:N144)^2),""))</f>
        <v/>
      </c>
      <c r="AF216">
        <f>IFERROR(CORREL(J144:N144,J216:N216),"")</f>
        <v>6.3454612503173635E-2</v>
      </c>
      <c r="AZ216">
        <f t="shared" si="69"/>
        <v>1</v>
      </c>
      <c r="BA216" t="str">
        <f>IF(AZ216=1,IF(Q216="","",IF(Q216=N144,"Yes","No")),"")</f>
        <v>No</v>
      </c>
      <c r="BB216" t="str">
        <f t="shared" si="70"/>
        <v/>
      </c>
      <c r="BC216" t="str">
        <f>IF(AZ216=1,IF(S216="","",IF(S216=N144,"Yes","No")),"")</f>
        <v>Yes</v>
      </c>
      <c r="BD216">
        <f t="shared" si="71"/>
        <v>-9.3600000000000003E-2</v>
      </c>
      <c r="BE216" t="str">
        <f t="shared" si="72"/>
        <v/>
      </c>
      <c r="BF216" t="str">
        <f t="shared" si="73"/>
        <v>No</v>
      </c>
      <c r="BG216" t="str">
        <f t="shared" si="74"/>
        <v>No</v>
      </c>
      <c r="BH216" t="str">
        <f t="shared" si="75"/>
        <v>No</v>
      </c>
    </row>
    <row r="217" spans="1:60" x14ac:dyDescent="0.3">
      <c r="A217" s="1">
        <v>11</v>
      </c>
      <c r="B217" t="s">
        <v>524</v>
      </c>
      <c r="C217" t="s">
        <v>525</v>
      </c>
      <c r="D217" t="s">
        <v>526</v>
      </c>
      <c r="E217" t="s">
        <v>527</v>
      </c>
      <c r="F217" t="s">
        <v>528</v>
      </c>
      <c r="G217" t="s">
        <v>529</v>
      </c>
      <c r="I217" t="str">
        <f t="shared" si="52"/>
        <v>N/A</v>
      </c>
      <c r="J217">
        <f t="shared" si="53"/>
        <v>29.97</v>
      </c>
      <c r="K217">
        <f t="shared" si="54"/>
        <v>32.53</v>
      </c>
      <c r="L217">
        <f t="shared" si="55"/>
        <v>25.1</v>
      </c>
      <c r="M217">
        <f t="shared" si="56"/>
        <v>15.96</v>
      </c>
      <c r="N217">
        <f t="shared" si="57"/>
        <v>17.760000000000002</v>
      </c>
      <c r="P217">
        <f t="shared" si="58"/>
        <v>32.53</v>
      </c>
      <c r="Q217">
        <f>IFERROR(J144+MATCH(P217,J217:N217,0)-1,"")</f>
        <v>2013</v>
      </c>
      <c r="R217">
        <f t="shared" si="59"/>
        <v>15.96</v>
      </c>
      <c r="S217">
        <f>IFERROR(J144+MATCH(R217,J217:N217,0)-1,"")</f>
        <v>2015</v>
      </c>
      <c r="T217">
        <f t="shared" si="60"/>
        <v>24.264000000000003</v>
      </c>
      <c r="U217">
        <f t="shared" si="61"/>
        <v>7.2945616729177116</v>
      </c>
      <c r="V217">
        <f t="shared" si="62"/>
        <v>0.78222657588659261</v>
      </c>
      <c r="W217">
        <f t="shared" si="63"/>
        <v>1.1331729541322428</v>
      </c>
      <c r="X217">
        <f t="shared" si="64"/>
        <v>0.11460592664584485</v>
      </c>
      <c r="Y217">
        <f t="shared" si="65"/>
        <v>-1.1383823144343272</v>
      </c>
      <c r="Z217">
        <f t="shared" si="66"/>
        <v>-0.89162314223035444</v>
      </c>
      <c r="AA217">
        <f t="shared" si="67"/>
        <v>-1.1383823144343272</v>
      </c>
      <c r="AB217">
        <f>IFERROR(V144+MATCH(AA217,V217:Z217,0)-1,"")</f>
        <v>2015</v>
      </c>
      <c r="AC217" t="str">
        <f t="shared" si="68"/>
        <v>Low</v>
      </c>
      <c r="AE217">
        <f>IF(ISNUMBER(MATCH("N/A",J217:N217,0)),"",IFERROR((5 * SUMPRODUCT(J144:N144,J217:N217) - PRODUCT(SUM(J144:N144),SUM(J217:N217))) / ((5 * SUM((J144^2)+(K144^2)+(L144^2)+(M144^2)+(N144^2))) - SUM(J144:N144)^2),""))</f>
        <v>-4.0990000000037252</v>
      </c>
      <c r="AF217">
        <f>IFERROR(CORREL(J144:N144,J217:N217),"")</f>
        <v>-0.88848218098932863</v>
      </c>
      <c r="AZ217">
        <f t="shared" si="69"/>
        <v>1</v>
      </c>
      <c r="BA217" t="str">
        <f>IF(AZ217=1,IF(Q217="","",IF(Q217=N144,"Yes","No")),"")</f>
        <v>No</v>
      </c>
      <c r="BB217" t="str">
        <f t="shared" si="70"/>
        <v/>
      </c>
      <c r="BC217" t="str">
        <f>IF(AZ217=1,IF(S217="","",IF(S217=N144,"Yes","No")),"")</f>
        <v>No</v>
      </c>
      <c r="BD217" t="str">
        <f t="shared" si="71"/>
        <v/>
      </c>
      <c r="BE217" t="str">
        <f t="shared" si="72"/>
        <v>Decreasing</v>
      </c>
      <c r="BF217" t="str">
        <f t="shared" si="73"/>
        <v>No</v>
      </c>
      <c r="BG217" t="str">
        <f t="shared" si="74"/>
        <v>No</v>
      </c>
      <c r="BH217" t="str">
        <f t="shared" si="75"/>
        <v>Yes</v>
      </c>
    </row>
    <row r="218" spans="1:60" x14ac:dyDescent="0.3">
      <c r="A218" s="1">
        <v>12</v>
      </c>
      <c r="B218" t="s">
        <v>530</v>
      </c>
      <c r="C218" t="s">
        <v>531</v>
      </c>
      <c r="D218" t="s">
        <v>532</v>
      </c>
      <c r="E218" t="s">
        <v>533</v>
      </c>
      <c r="F218" t="s">
        <v>320</v>
      </c>
      <c r="G218" t="s">
        <v>534</v>
      </c>
      <c r="I218" t="str">
        <f t="shared" si="52"/>
        <v>N/A</v>
      </c>
      <c r="J218">
        <f t="shared" si="53"/>
        <v>964070000</v>
      </c>
      <c r="K218">
        <f t="shared" si="54"/>
        <v>869730000</v>
      </c>
      <c r="L218">
        <f t="shared" si="55"/>
        <v>1090000000</v>
      </c>
      <c r="M218">
        <f t="shared" si="56"/>
        <v>1140000000</v>
      </c>
      <c r="N218">
        <f t="shared" si="57"/>
        <v>999380000</v>
      </c>
      <c r="P218">
        <f t="shared" si="58"/>
        <v>1140000000</v>
      </c>
      <c r="Q218">
        <f>IFERROR(J144+MATCH(P218,J218:N218,0)-1,"")</f>
        <v>2015</v>
      </c>
      <c r="R218">
        <f t="shared" si="59"/>
        <v>869730000</v>
      </c>
      <c r="S218">
        <f>IFERROR(J144+MATCH(R218,J218:N218,0)-1,"")</f>
        <v>2013</v>
      </c>
      <c r="T218">
        <f t="shared" si="60"/>
        <v>1012636000</v>
      </c>
      <c r="U218">
        <f t="shared" si="61"/>
        <v>106258269.93697949</v>
      </c>
      <c r="V218">
        <f t="shared" si="62"/>
        <v>-0.45705618987401087</v>
      </c>
      <c r="W218">
        <f t="shared" si="63"/>
        <v>-1.3448929677168266</v>
      </c>
      <c r="X218">
        <f t="shared" si="64"/>
        <v>0.72807509519855407</v>
      </c>
      <c r="Y218">
        <f t="shared" si="65"/>
        <v>1.1986267052488062</v>
      </c>
      <c r="Z218">
        <f t="shared" si="66"/>
        <v>-0.12475264285652285</v>
      </c>
      <c r="AA218">
        <f t="shared" si="67"/>
        <v>-1.3448929677168266</v>
      </c>
      <c r="AB218">
        <f>IFERROR(V144+MATCH(AA218,V218:Z218,0)-1,"")</f>
        <v>2013</v>
      </c>
      <c r="AC218" t="str">
        <f t="shared" si="68"/>
        <v>Low</v>
      </c>
      <c r="AE218">
        <f>IF(ISNUMBER(MATCH("N/A",J218:N218,0)),"",IFERROR((5 * SUMPRODUCT(J144:N144,J218:N218) - PRODUCT(SUM(J144:N144),SUM(J218:N218))) / ((5 * SUM((J144^2)+(K144^2)+(L144^2)+(M144^2)+(N144^2))) - SUM(J144:N144)^2),""))</f>
        <v>34089000</v>
      </c>
      <c r="AF218">
        <f>IFERROR(CORREL(J144:N144,J218:N218),"")</f>
        <v>0.50724938031371158</v>
      </c>
      <c r="AZ218">
        <f t="shared" si="69"/>
        <v>1</v>
      </c>
      <c r="BA218" t="str">
        <f>IF(AZ218=1,IF(Q218="","",IF(Q218=N144,"Yes","No")),"")</f>
        <v>No</v>
      </c>
      <c r="BB218" t="str">
        <f t="shared" si="70"/>
        <v/>
      </c>
      <c r="BC218" t="str">
        <f>IF(AZ218=1,IF(S218="","",IF(S218=N144,"Yes","No")),"")</f>
        <v>No</v>
      </c>
      <c r="BD218" t="str">
        <f t="shared" si="71"/>
        <v/>
      </c>
      <c r="BE218" t="str">
        <f t="shared" si="72"/>
        <v>Increasing</v>
      </c>
      <c r="BF218" t="str">
        <f t="shared" si="73"/>
        <v>No</v>
      </c>
      <c r="BG218" t="str">
        <f t="shared" si="74"/>
        <v>No</v>
      </c>
      <c r="BH218" t="str">
        <f t="shared" si="75"/>
        <v>No</v>
      </c>
    </row>
    <row r="219" spans="1:60" x14ac:dyDescent="0.3">
      <c r="A219" s="1">
        <v>13</v>
      </c>
      <c r="B219" t="s">
        <v>535</v>
      </c>
      <c r="C219" t="s">
        <v>264</v>
      </c>
      <c r="D219" t="s">
        <v>264</v>
      </c>
      <c r="E219" t="s">
        <v>264</v>
      </c>
      <c r="F219" t="s">
        <v>264</v>
      </c>
      <c r="G219" t="s">
        <v>264</v>
      </c>
      <c r="I219" t="str">
        <f t="shared" si="52"/>
        <v>N/A</v>
      </c>
      <c r="J219" t="str">
        <f t="shared" si="53"/>
        <v>N/A</v>
      </c>
      <c r="K219" t="str">
        <f t="shared" si="54"/>
        <v>N/A</v>
      </c>
      <c r="L219" t="str">
        <f t="shared" si="55"/>
        <v>N/A</v>
      </c>
      <c r="M219" t="str">
        <f t="shared" si="56"/>
        <v>N/A</v>
      </c>
      <c r="N219" t="str">
        <f t="shared" si="57"/>
        <v>N/A</v>
      </c>
      <c r="P219">
        <f t="shared" si="58"/>
        <v>0</v>
      </c>
      <c r="Q219" t="str">
        <f>IFERROR(J144+MATCH(P219,J219:N219,0)-1,"")</f>
        <v/>
      </c>
      <c r="R219" t="str">
        <f t="shared" si="59"/>
        <v/>
      </c>
      <c r="S219" t="str">
        <f>IFERROR(J144+MATCH(R219,J219:N219,0)-1,"")</f>
        <v/>
      </c>
      <c r="T219" t="str">
        <f t="shared" si="60"/>
        <v/>
      </c>
      <c r="U219" t="str">
        <f t="shared" si="61"/>
        <v/>
      </c>
      <c r="V219" t="str">
        <f t="shared" si="62"/>
        <v/>
      </c>
      <c r="W219" t="str">
        <f t="shared" si="63"/>
        <v/>
      </c>
      <c r="X219" t="str">
        <f t="shared" si="64"/>
        <v/>
      </c>
      <c r="Y219" t="str">
        <f t="shared" si="65"/>
        <v/>
      </c>
      <c r="Z219" t="str">
        <f t="shared" si="66"/>
        <v/>
      </c>
      <c r="AA219">
        <f t="shared" si="67"/>
        <v>0</v>
      </c>
      <c r="AB219" t="str">
        <f>IFERROR(V144+MATCH(AA219,V219:Z219,0)-1,"")</f>
        <v/>
      </c>
      <c r="AC219" t="str">
        <f t="shared" si="68"/>
        <v/>
      </c>
      <c r="AE219" t="str">
        <f>IF(ISNUMBER(MATCH("N/A",J219:N219,0)),"",IFERROR((5 * SUMPRODUCT(J144:N144,J219:N219) - PRODUCT(SUM(J144:N144),SUM(J219:N219))) / ((5 * SUM((J144^2)+(K144^2)+(L144^2)+(M144^2)+(N144^2))) - SUM(J144:N144)^2),""))</f>
        <v/>
      </c>
      <c r="AF219" t="str">
        <f>IFERROR(CORREL(J144:N144,J219:N219),"")</f>
        <v/>
      </c>
      <c r="AZ219">
        <f t="shared" si="69"/>
        <v>0</v>
      </c>
      <c r="BA219" t="str">
        <f>IF(AZ219=1,IF(Q219="","",IF(Q219=N144,"Yes","No")),"")</f>
        <v/>
      </c>
      <c r="BB219" t="str">
        <f t="shared" si="70"/>
        <v/>
      </c>
      <c r="BC219" t="str">
        <f>IF(AZ219=1,IF(S219="","",IF(S219=N144,"Yes","No")),"")</f>
        <v/>
      </c>
      <c r="BD219" t="str">
        <f t="shared" si="71"/>
        <v/>
      </c>
      <c r="BE219" t="str">
        <f t="shared" si="72"/>
        <v/>
      </c>
      <c r="BF219" t="str">
        <f t="shared" si="73"/>
        <v>No</v>
      </c>
      <c r="BG219" t="str">
        <f t="shared" si="74"/>
        <v>No</v>
      </c>
      <c r="BH219" t="str">
        <f t="shared" si="75"/>
        <v/>
      </c>
    </row>
    <row r="220" spans="1:60" x14ac:dyDescent="0.3">
      <c r="A220" s="1">
        <v>14</v>
      </c>
      <c r="B220" t="s">
        <v>536</v>
      </c>
      <c r="C220" t="s">
        <v>264</v>
      </c>
      <c r="D220" t="s">
        <v>264</v>
      </c>
      <c r="E220" t="s">
        <v>264</v>
      </c>
      <c r="F220" t="s">
        <v>264</v>
      </c>
      <c r="G220" t="s">
        <v>264</v>
      </c>
      <c r="I220" t="str">
        <f t="shared" si="52"/>
        <v>N/A</v>
      </c>
      <c r="J220" t="str">
        <f t="shared" si="53"/>
        <v>N/A</v>
      </c>
      <c r="K220" t="str">
        <f t="shared" si="54"/>
        <v>N/A</v>
      </c>
      <c r="L220" t="str">
        <f t="shared" si="55"/>
        <v>N/A</v>
      </c>
      <c r="M220" t="str">
        <f t="shared" si="56"/>
        <v>N/A</v>
      </c>
      <c r="N220" t="str">
        <f t="shared" si="57"/>
        <v>N/A</v>
      </c>
      <c r="P220">
        <f t="shared" si="58"/>
        <v>0</v>
      </c>
      <c r="Q220" t="str">
        <f>IFERROR(J144+MATCH(P220,J220:N220,0)-1,"")</f>
        <v/>
      </c>
      <c r="R220" t="str">
        <f t="shared" si="59"/>
        <v/>
      </c>
      <c r="S220" t="str">
        <f>IFERROR(J144+MATCH(R220,J220:N220,0)-1,"")</f>
        <v/>
      </c>
      <c r="T220" t="str">
        <f t="shared" si="60"/>
        <v/>
      </c>
      <c r="U220" t="str">
        <f t="shared" si="61"/>
        <v/>
      </c>
      <c r="V220" t="str">
        <f t="shared" si="62"/>
        <v/>
      </c>
      <c r="W220" t="str">
        <f t="shared" si="63"/>
        <v/>
      </c>
      <c r="X220" t="str">
        <f t="shared" si="64"/>
        <v/>
      </c>
      <c r="Y220" t="str">
        <f t="shared" si="65"/>
        <v/>
      </c>
      <c r="Z220" t="str">
        <f t="shared" si="66"/>
        <v/>
      </c>
      <c r="AA220">
        <f t="shared" si="67"/>
        <v>0</v>
      </c>
      <c r="AB220" t="str">
        <f>IFERROR(V144+MATCH(AA220,V220:Z220,0)-1,"")</f>
        <v/>
      </c>
      <c r="AC220" t="str">
        <f t="shared" si="68"/>
        <v/>
      </c>
      <c r="AE220" t="str">
        <f>IF(ISNUMBER(MATCH("N/A",J220:N220,0)),"",IFERROR((5 * SUMPRODUCT(J144:N144,J220:N220) - PRODUCT(SUM(J144:N144),SUM(J220:N220))) / ((5 * SUM((J144^2)+(K144^2)+(L144^2)+(M144^2)+(N144^2))) - SUM(J144:N144)^2),""))</f>
        <v/>
      </c>
      <c r="AF220" t="str">
        <f>IFERROR(CORREL(J144:N144,J220:N220),"")</f>
        <v/>
      </c>
      <c r="AZ220">
        <f t="shared" si="69"/>
        <v>0</v>
      </c>
      <c r="BA220" t="str">
        <f>IF(AZ220=1,IF(Q220="","",IF(Q220=N144,"Yes","No")),"")</f>
        <v/>
      </c>
      <c r="BB220" t="str">
        <f t="shared" si="70"/>
        <v/>
      </c>
      <c r="BC220" t="str">
        <f>IF(AZ220=1,IF(S220="","",IF(S220=N144,"Yes","No")),"")</f>
        <v/>
      </c>
      <c r="BD220" t="str">
        <f t="shared" si="71"/>
        <v/>
      </c>
      <c r="BE220" t="str">
        <f t="shared" si="72"/>
        <v/>
      </c>
      <c r="BF220" t="str">
        <f t="shared" si="73"/>
        <v>No</v>
      </c>
      <c r="BG220" t="str">
        <f t="shared" si="74"/>
        <v>No</v>
      </c>
      <c r="BH220" t="str">
        <f t="shared" si="75"/>
        <v/>
      </c>
    </row>
    <row r="221" spans="1:60" x14ac:dyDescent="0.3">
      <c r="A221" s="1">
        <v>15</v>
      </c>
      <c r="B221" t="s">
        <v>537</v>
      </c>
      <c r="C221" t="s">
        <v>264</v>
      </c>
      <c r="D221" t="s">
        <v>264</v>
      </c>
      <c r="E221" t="s">
        <v>264</v>
      </c>
      <c r="F221" t="s">
        <v>264</v>
      </c>
      <c r="G221" t="s">
        <v>264</v>
      </c>
      <c r="I221" t="str">
        <f t="shared" si="52"/>
        <v>N/A</v>
      </c>
      <c r="J221" t="str">
        <f t="shared" si="53"/>
        <v>N/A</v>
      </c>
      <c r="K221" t="str">
        <f t="shared" si="54"/>
        <v>N/A</v>
      </c>
      <c r="L221" t="str">
        <f t="shared" si="55"/>
        <v>N/A</v>
      </c>
      <c r="M221" t="str">
        <f t="shared" si="56"/>
        <v>N/A</v>
      </c>
      <c r="N221" t="str">
        <f t="shared" si="57"/>
        <v>N/A</v>
      </c>
      <c r="P221">
        <f t="shared" si="58"/>
        <v>0</v>
      </c>
      <c r="Q221" t="str">
        <f>IFERROR(J144+MATCH(P221,J221:N221,0)-1,"")</f>
        <v/>
      </c>
      <c r="R221" t="str">
        <f t="shared" si="59"/>
        <v/>
      </c>
      <c r="S221" t="str">
        <f>IFERROR(J144+MATCH(R221,J221:N221,0)-1,"")</f>
        <v/>
      </c>
      <c r="T221" t="str">
        <f t="shared" si="60"/>
        <v/>
      </c>
      <c r="U221" t="str">
        <f t="shared" si="61"/>
        <v/>
      </c>
      <c r="V221" t="str">
        <f t="shared" si="62"/>
        <v/>
      </c>
      <c r="W221" t="str">
        <f t="shared" si="63"/>
        <v/>
      </c>
      <c r="X221" t="str">
        <f t="shared" si="64"/>
        <v/>
      </c>
      <c r="Y221" t="str">
        <f t="shared" si="65"/>
        <v/>
      </c>
      <c r="Z221" t="str">
        <f t="shared" si="66"/>
        <v/>
      </c>
      <c r="AA221">
        <f t="shared" si="67"/>
        <v>0</v>
      </c>
      <c r="AB221" t="str">
        <f>IFERROR(V144+MATCH(AA221,V221:Z221,0)-1,"")</f>
        <v/>
      </c>
      <c r="AC221" t="str">
        <f t="shared" si="68"/>
        <v/>
      </c>
      <c r="AE221" t="str">
        <f>IF(ISNUMBER(MATCH("N/A",J221:N221,0)),"",IFERROR((5 * SUMPRODUCT(J144:N144,J221:N221) - PRODUCT(SUM(J144:N144),SUM(J221:N221))) / ((5 * SUM((J144^2)+(K144^2)+(L144^2)+(M144^2)+(N144^2))) - SUM(J144:N144)^2),""))</f>
        <v/>
      </c>
      <c r="AF221" t="str">
        <f>IFERROR(CORREL(J144:N144,J221:N221),"")</f>
        <v/>
      </c>
      <c r="AZ221">
        <f t="shared" si="69"/>
        <v>0</v>
      </c>
      <c r="BA221" t="str">
        <f>IF(AZ221=1,IF(Q221="","",IF(Q221=N144,"Yes","No")),"")</f>
        <v/>
      </c>
      <c r="BB221" t="str">
        <f t="shared" si="70"/>
        <v/>
      </c>
      <c r="BC221" t="str">
        <f>IF(AZ221=1,IF(S221="","",IF(S221=N144,"Yes","No")),"")</f>
        <v/>
      </c>
      <c r="BD221" t="str">
        <f t="shared" si="71"/>
        <v/>
      </c>
      <c r="BE221" t="str">
        <f t="shared" si="72"/>
        <v/>
      </c>
      <c r="BF221" t="str">
        <f t="shared" si="73"/>
        <v>No</v>
      </c>
      <c r="BG221" t="str">
        <f t="shared" si="74"/>
        <v>No</v>
      </c>
      <c r="BH221" t="str">
        <f t="shared" si="75"/>
        <v/>
      </c>
    </row>
    <row r="222" spans="1:60" x14ac:dyDescent="0.3">
      <c r="A222" s="1">
        <v>16</v>
      </c>
      <c r="B222" t="s">
        <v>538</v>
      </c>
      <c r="C222" t="s">
        <v>531</v>
      </c>
      <c r="D222" t="s">
        <v>532</v>
      </c>
      <c r="E222" t="s">
        <v>533</v>
      </c>
      <c r="F222" t="s">
        <v>320</v>
      </c>
      <c r="G222" t="s">
        <v>534</v>
      </c>
      <c r="I222" t="str">
        <f t="shared" si="52"/>
        <v>N/A</v>
      </c>
      <c r="J222">
        <f t="shared" si="53"/>
        <v>964070000</v>
      </c>
      <c r="K222">
        <f t="shared" si="54"/>
        <v>869730000</v>
      </c>
      <c r="L222">
        <f t="shared" si="55"/>
        <v>1090000000</v>
      </c>
      <c r="M222">
        <f t="shared" si="56"/>
        <v>1140000000</v>
      </c>
      <c r="N222">
        <f t="shared" si="57"/>
        <v>999380000</v>
      </c>
      <c r="P222">
        <f t="shared" si="58"/>
        <v>1140000000</v>
      </c>
      <c r="Q222">
        <f>IFERROR(J144+MATCH(P222,J222:N222,0)-1,"")</f>
        <v>2015</v>
      </c>
      <c r="R222">
        <f t="shared" si="59"/>
        <v>869730000</v>
      </c>
      <c r="S222">
        <f>IFERROR(J144+MATCH(R222,J222:N222,0)-1,"")</f>
        <v>2013</v>
      </c>
      <c r="T222">
        <f t="shared" si="60"/>
        <v>1012636000</v>
      </c>
      <c r="U222">
        <f t="shared" si="61"/>
        <v>106258269.93697949</v>
      </c>
      <c r="V222">
        <f t="shared" si="62"/>
        <v>-0.45705618987401087</v>
      </c>
      <c r="W222">
        <f t="shared" si="63"/>
        <v>-1.3448929677168266</v>
      </c>
      <c r="X222">
        <f t="shared" si="64"/>
        <v>0.72807509519855407</v>
      </c>
      <c r="Y222">
        <f t="shared" si="65"/>
        <v>1.1986267052488062</v>
      </c>
      <c r="Z222">
        <f t="shared" si="66"/>
        <v>-0.12475264285652285</v>
      </c>
      <c r="AA222">
        <f t="shared" si="67"/>
        <v>-1.3448929677168266</v>
      </c>
      <c r="AB222">
        <f>IFERROR(V144+MATCH(AA222,V222:Z222,0)-1,"")</f>
        <v>2013</v>
      </c>
      <c r="AC222" t="str">
        <f t="shared" si="68"/>
        <v>Low</v>
      </c>
      <c r="AE222">
        <f>IF(ISNUMBER(MATCH("N/A",J222:N222,0)),"",IFERROR((5 * SUMPRODUCT(J144:N144,J222:N222) - PRODUCT(SUM(J144:N144),SUM(J222:N222))) / ((5 * SUM((J144^2)+(K144^2)+(L144^2)+(M144^2)+(N144^2))) - SUM(J144:N144)^2),""))</f>
        <v>34089000</v>
      </c>
      <c r="AF222">
        <f>IFERROR(CORREL(J144:N144,J222:N222),"")</f>
        <v>0.50724938031371158</v>
      </c>
      <c r="AZ222">
        <f t="shared" si="69"/>
        <v>1</v>
      </c>
      <c r="BA222" t="str">
        <f>IF(AZ222=1,IF(Q222="","",IF(Q222=N144,"Yes","No")),"")</f>
        <v>No</v>
      </c>
      <c r="BB222" t="str">
        <f t="shared" si="70"/>
        <v/>
      </c>
      <c r="BC222" t="str">
        <f>IF(AZ222=1,IF(S222="","",IF(S222=N144,"Yes","No")),"")</f>
        <v>No</v>
      </c>
      <c r="BD222" t="str">
        <f t="shared" si="71"/>
        <v/>
      </c>
      <c r="BE222" t="str">
        <f t="shared" si="72"/>
        <v>Increasing</v>
      </c>
      <c r="BF222" t="str">
        <f t="shared" si="73"/>
        <v>No</v>
      </c>
      <c r="BG222" t="str">
        <f t="shared" si="74"/>
        <v>No</v>
      </c>
      <c r="BH222" t="str">
        <f t="shared" si="75"/>
        <v>No</v>
      </c>
    </row>
    <row r="223" spans="1:60" x14ac:dyDescent="0.3">
      <c r="A223" s="1">
        <v>17</v>
      </c>
      <c r="B223" t="s">
        <v>539</v>
      </c>
      <c r="C223" t="s">
        <v>264</v>
      </c>
      <c r="D223" t="s">
        <v>264</v>
      </c>
      <c r="E223" t="s">
        <v>264</v>
      </c>
      <c r="F223" t="s">
        <v>264</v>
      </c>
      <c r="G223" t="s">
        <v>264</v>
      </c>
      <c r="I223" t="str">
        <f t="shared" si="52"/>
        <v>N/A</v>
      </c>
      <c r="J223" t="str">
        <f t="shared" si="53"/>
        <v>N/A</v>
      </c>
      <c r="K223" t="str">
        <f t="shared" si="54"/>
        <v>N/A</v>
      </c>
      <c r="L223" t="str">
        <f t="shared" si="55"/>
        <v>N/A</v>
      </c>
      <c r="M223" t="str">
        <f t="shared" si="56"/>
        <v>N/A</v>
      </c>
      <c r="N223" t="str">
        <f t="shared" si="57"/>
        <v>N/A</v>
      </c>
      <c r="P223">
        <f t="shared" si="58"/>
        <v>0</v>
      </c>
      <c r="Q223" t="str">
        <f>IFERROR(J144+MATCH(P223,J223:N223,0)-1,"")</f>
        <v/>
      </c>
      <c r="R223" t="str">
        <f t="shared" si="59"/>
        <v/>
      </c>
      <c r="S223" t="str">
        <f>IFERROR(J144+MATCH(R223,J223:N223,0)-1,"")</f>
        <v/>
      </c>
      <c r="T223" t="str">
        <f t="shared" si="60"/>
        <v/>
      </c>
      <c r="U223" t="str">
        <f t="shared" si="61"/>
        <v/>
      </c>
      <c r="V223" t="str">
        <f t="shared" si="62"/>
        <v/>
      </c>
      <c r="W223" t="str">
        <f t="shared" si="63"/>
        <v/>
      </c>
      <c r="X223" t="str">
        <f t="shared" si="64"/>
        <v/>
      </c>
      <c r="Y223" t="str">
        <f t="shared" si="65"/>
        <v/>
      </c>
      <c r="Z223" t="str">
        <f t="shared" si="66"/>
        <v/>
      </c>
      <c r="AA223">
        <f t="shared" si="67"/>
        <v>0</v>
      </c>
      <c r="AB223" t="str">
        <f>IFERROR(V144+MATCH(AA223,V223:Z223,0)-1,"")</f>
        <v/>
      </c>
      <c r="AC223" t="str">
        <f t="shared" si="68"/>
        <v/>
      </c>
      <c r="AE223" t="str">
        <f>IF(ISNUMBER(MATCH("N/A",J223:N223,0)),"",IFERROR((5 * SUMPRODUCT(J144:N144,J223:N223) - PRODUCT(SUM(J144:N144),SUM(J223:N223))) / ((5 * SUM((J144^2)+(K144^2)+(L144^2)+(M144^2)+(N144^2))) - SUM(J144:N144)^2),""))</f>
        <v/>
      </c>
      <c r="AF223" t="str">
        <f>IFERROR(CORREL(J144:N144,J223:N223),"")</f>
        <v/>
      </c>
      <c r="AZ223">
        <f t="shared" si="69"/>
        <v>0</v>
      </c>
      <c r="BA223" t="str">
        <f>IF(AZ223=1,IF(Q223="","",IF(Q223=N144,"Yes","No")),"")</f>
        <v/>
      </c>
      <c r="BB223" t="str">
        <f t="shared" si="70"/>
        <v/>
      </c>
      <c r="BC223" t="str">
        <f>IF(AZ223=1,IF(S223="","",IF(S223=N144,"Yes","No")),"")</f>
        <v/>
      </c>
      <c r="BD223" t="str">
        <f t="shared" si="71"/>
        <v/>
      </c>
      <c r="BE223" t="str">
        <f t="shared" si="72"/>
        <v/>
      </c>
      <c r="BF223" t="str">
        <f t="shared" si="73"/>
        <v>No</v>
      </c>
      <c r="BG223" t="str">
        <f t="shared" si="74"/>
        <v>No</v>
      </c>
      <c r="BH223" t="str">
        <f t="shared" si="75"/>
        <v/>
      </c>
    </row>
    <row r="224" spans="1:60" x14ac:dyDescent="0.3">
      <c r="A224" s="1">
        <v>18</v>
      </c>
      <c r="B224" t="s">
        <v>540</v>
      </c>
      <c r="C224" t="s">
        <v>264</v>
      </c>
      <c r="D224" t="s">
        <v>264</v>
      </c>
      <c r="E224" t="s">
        <v>264</v>
      </c>
      <c r="F224" t="s">
        <v>264</v>
      </c>
      <c r="G224" t="s">
        <v>264</v>
      </c>
      <c r="I224" t="str">
        <f t="shared" si="52"/>
        <v>N/A</v>
      </c>
      <c r="J224" t="str">
        <f t="shared" si="53"/>
        <v>N/A</v>
      </c>
      <c r="K224" t="str">
        <f t="shared" si="54"/>
        <v>N/A</v>
      </c>
      <c r="L224" t="str">
        <f t="shared" si="55"/>
        <v>N/A</v>
      </c>
      <c r="M224" t="str">
        <f t="shared" si="56"/>
        <v>N/A</v>
      </c>
      <c r="N224" t="str">
        <f t="shared" si="57"/>
        <v>N/A</v>
      </c>
      <c r="P224">
        <f t="shared" si="58"/>
        <v>0</v>
      </c>
      <c r="Q224" t="str">
        <f>IFERROR(J144+MATCH(P224,J224:N224,0)-1,"")</f>
        <v/>
      </c>
      <c r="R224" t="str">
        <f t="shared" si="59"/>
        <v/>
      </c>
      <c r="S224" t="str">
        <f>IFERROR(J144+MATCH(R224,J224:N224,0)-1,"")</f>
        <v/>
      </c>
      <c r="T224" t="str">
        <f t="shared" si="60"/>
        <v/>
      </c>
      <c r="U224" t="str">
        <f t="shared" si="61"/>
        <v/>
      </c>
      <c r="V224" t="str">
        <f t="shared" si="62"/>
        <v/>
      </c>
      <c r="W224" t="str">
        <f t="shared" si="63"/>
        <v/>
      </c>
      <c r="X224" t="str">
        <f t="shared" si="64"/>
        <v/>
      </c>
      <c r="Y224" t="str">
        <f t="shared" si="65"/>
        <v/>
      </c>
      <c r="Z224" t="str">
        <f t="shared" si="66"/>
        <v/>
      </c>
      <c r="AA224">
        <f t="shared" si="67"/>
        <v>0</v>
      </c>
      <c r="AB224" t="str">
        <f>IFERROR(V144+MATCH(AA224,V224:Z224,0)-1,"")</f>
        <v/>
      </c>
      <c r="AC224" t="str">
        <f t="shared" si="68"/>
        <v/>
      </c>
      <c r="AE224" t="str">
        <f>IF(ISNUMBER(MATCH("N/A",J224:N224,0)),"",IFERROR((5 * SUMPRODUCT(J144:N144,J224:N224) - PRODUCT(SUM(J144:N144),SUM(J224:N224))) / ((5 * SUM((J144^2)+(K144^2)+(L144^2)+(M144^2)+(N144^2))) - SUM(J144:N144)^2),""))</f>
        <v/>
      </c>
      <c r="AF224" t="str">
        <f>IFERROR(CORREL(J144:N144,J224:N224),"")</f>
        <v/>
      </c>
      <c r="AZ224">
        <f t="shared" si="69"/>
        <v>0</v>
      </c>
      <c r="BA224" t="str">
        <f>IF(AZ224=1,IF(Q224="","",IF(Q224=N144,"Yes","No")),"")</f>
        <v/>
      </c>
      <c r="BB224" t="str">
        <f t="shared" si="70"/>
        <v/>
      </c>
      <c r="BC224" t="str">
        <f>IF(AZ224=1,IF(S224="","",IF(S224=N144,"Yes","No")),"")</f>
        <v/>
      </c>
      <c r="BD224" t="str">
        <f t="shared" si="71"/>
        <v/>
      </c>
      <c r="BE224" t="str">
        <f t="shared" si="72"/>
        <v/>
      </c>
      <c r="BF224" t="str">
        <f t="shared" si="73"/>
        <v>No</v>
      </c>
      <c r="BG224" t="str">
        <f t="shared" si="74"/>
        <v>No</v>
      </c>
      <c r="BH224" t="str">
        <f t="shared" si="75"/>
        <v/>
      </c>
    </row>
    <row r="225" spans="1:60" x14ac:dyDescent="0.3">
      <c r="A225" s="1">
        <v>19</v>
      </c>
      <c r="B225" t="s">
        <v>541</v>
      </c>
      <c r="C225" t="s">
        <v>542</v>
      </c>
      <c r="D225" t="s">
        <v>543</v>
      </c>
      <c r="E225" t="s">
        <v>544</v>
      </c>
      <c r="F225" t="s">
        <v>545</v>
      </c>
      <c r="G225" t="s">
        <v>307</v>
      </c>
      <c r="I225" t="str">
        <f t="shared" si="52"/>
        <v>N/A</v>
      </c>
      <c r="J225">
        <f t="shared" si="53"/>
        <v>1250000000</v>
      </c>
      <c r="K225">
        <f t="shared" si="54"/>
        <v>1280000000</v>
      </c>
      <c r="L225">
        <f t="shared" si="55"/>
        <v>1220000000</v>
      </c>
      <c r="M225">
        <f t="shared" si="56"/>
        <v>1380000000</v>
      </c>
      <c r="N225">
        <f t="shared" si="57"/>
        <v>1510000000</v>
      </c>
      <c r="P225">
        <f t="shared" si="58"/>
        <v>1510000000</v>
      </c>
      <c r="Q225">
        <f>IFERROR(J144+MATCH(P225,J225:N225,0)-1,"")</f>
        <v>2016</v>
      </c>
      <c r="R225">
        <f t="shared" si="59"/>
        <v>1220000000</v>
      </c>
      <c r="S225">
        <f>IFERROR(J144+MATCH(R225,J225:N225,0)-1,"")</f>
        <v>2014</v>
      </c>
      <c r="T225">
        <f t="shared" si="60"/>
        <v>1328000000</v>
      </c>
      <c r="U225">
        <f t="shared" si="61"/>
        <v>118194754.53673907</v>
      </c>
      <c r="V225">
        <f t="shared" si="62"/>
        <v>-0.65992776334041858</v>
      </c>
      <c r="W225">
        <f t="shared" si="63"/>
        <v>-0.40610939282487296</v>
      </c>
      <c r="X225">
        <f t="shared" si="64"/>
        <v>-0.91374613385596415</v>
      </c>
      <c r="Y225">
        <f t="shared" si="65"/>
        <v>0.43995184222694572</v>
      </c>
      <c r="Z225">
        <f t="shared" si="66"/>
        <v>1.53983144779431</v>
      </c>
      <c r="AA225">
        <f t="shared" si="67"/>
        <v>1.53983144779431</v>
      </c>
      <c r="AB225">
        <f>IFERROR(V144+MATCH(AA225,V225:Z225,0)-1,"")</f>
        <v>2016</v>
      </c>
      <c r="AC225" t="str">
        <f t="shared" si="68"/>
        <v>High</v>
      </c>
      <c r="AE225">
        <f>IF(ISNUMBER(MATCH("N/A",J225:N225,0)),"",IFERROR((5 * SUMPRODUCT(J144:N144,J225:N225) - PRODUCT(SUM(J144:N144),SUM(J225:N225))) / ((5 * SUM((J144^2)+(K144^2)+(L144^2)+(M144^2)+(N144^2))) - SUM(J144:N144)^2),""))</f>
        <v>62000000</v>
      </c>
      <c r="AF225">
        <f>IFERROR(CORREL(J144:N144,J225:N225),"")</f>
        <v>0.82939896824903858</v>
      </c>
      <c r="AZ225">
        <f t="shared" si="69"/>
        <v>1</v>
      </c>
      <c r="BA225" t="str">
        <f>IF(AZ225=1,IF(Q225="","",IF(Q225=N144,"Yes","No")),"")</f>
        <v>Yes</v>
      </c>
      <c r="BB225">
        <f t="shared" si="70"/>
        <v>1510000000</v>
      </c>
      <c r="BC225" t="str">
        <f>IF(AZ225=1,IF(S225="","",IF(S225=N144,"Yes","No")),"")</f>
        <v>No</v>
      </c>
      <c r="BD225" t="str">
        <f t="shared" si="71"/>
        <v/>
      </c>
      <c r="BE225" t="str">
        <f t="shared" si="72"/>
        <v>Increasing</v>
      </c>
      <c r="BF225" t="str">
        <f t="shared" si="73"/>
        <v>Yes</v>
      </c>
      <c r="BG225" t="str">
        <f t="shared" si="74"/>
        <v>No</v>
      </c>
      <c r="BH225" t="str">
        <f t="shared" si="75"/>
        <v>Yes</v>
      </c>
    </row>
    <row r="226" spans="1:60" x14ac:dyDescent="0.3">
      <c r="I226" t="str">
        <f t="shared" si="52"/>
        <v>N/A</v>
      </c>
      <c r="J226" t="str">
        <f t="shared" si="53"/>
        <v>N/A</v>
      </c>
      <c r="K226" t="str">
        <f t="shared" si="54"/>
        <v>N/A</v>
      </c>
      <c r="L226" t="str">
        <f t="shared" si="55"/>
        <v>N/A</v>
      </c>
      <c r="M226" t="str">
        <f t="shared" si="56"/>
        <v>N/A</v>
      </c>
      <c r="N226" t="str">
        <f t="shared" si="57"/>
        <v>N/A</v>
      </c>
      <c r="P226">
        <f t="shared" si="58"/>
        <v>0</v>
      </c>
      <c r="Q226" t="str">
        <f>IFERROR(J144+MATCH(P226,J226:N226,0)-1,"")</f>
        <v/>
      </c>
      <c r="R226" t="str">
        <f t="shared" si="59"/>
        <v/>
      </c>
      <c r="S226" t="str">
        <f>IFERROR(J144+MATCH(R226,J226:N226,0)-1,"")</f>
        <v/>
      </c>
      <c r="T226" t="str">
        <f t="shared" si="60"/>
        <v/>
      </c>
      <c r="U226" t="str">
        <f t="shared" si="61"/>
        <v/>
      </c>
      <c r="V226" t="str">
        <f t="shared" si="62"/>
        <v/>
      </c>
      <c r="W226" t="str">
        <f t="shared" si="63"/>
        <v/>
      </c>
      <c r="X226" t="str">
        <f t="shared" si="64"/>
        <v/>
      </c>
      <c r="Y226" t="str">
        <f t="shared" si="65"/>
        <v/>
      </c>
      <c r="Z226" t="str">
        <f t="shared" si="66"/>
        <v/>
      </c>
      <c r="AA226">
        <f t="shared" si="67"/>
        <v>0</v>
      </c>
      <c r="AB226" t="str">
        <f>IFERROR(V144+MATCH(AA226,V226:Z226,0)-1,"")</f>
        <v/>
      </c>
      <c r="AC226" t="str">
        <f t="shared" si="68"/>
        <v/>
      </c>
      <c r="AE226" t="str">
        <f>IF(ISNUMBER(MATCH("N/A",J226:N226,0)),"",IFERROR((5 * SUMPRODUCT(J144:N144,J226:N226) - PRODUCT(SUM(J144:N144),SUM(J226:N226))) / ((5 * SUM((J144^2)+(K144^2)+(L144^2)+(M144^2)+(N144^2))) - SUM(J144:N144)^2),""))</f>
        <v/>
      </c>
      <c r="AF226" t="str">
        <f>IFERROR(CORREL(J144:N144,J226:N226),"")</f>
        <v/>
      </c>
      <c r="AZ226">
        <f t="shared" si="69"/>
        <v>0</v>
      </c>
      <c r="BA226" t="str">
        <f>IF(AZ226=1,IF(Q226="","",IF(Q226=N144,"Yes","No")),"")</f>
        <v/>
      </c>
      <c r="BB226" t="str">
        <f t="shared" si="70"/>
        <v/>
      </c>
      <c r="BC226" t="str">
        <f>IF(AZ226=1,IF(S226="","",IF(S226=N144,"Yes","No")),"")</f>
        <v/>
      </c>
      <c r="BD226" t="str">
        <f t="shared" si="71"/>
        <v/>
      </c>
      <c r="BE226" t="str">
        <f t="shared" si="72"/>
        <v/>
      </c>
      <c r="BF226" t="str">
        <f t="shared" si="73"/>
        <v>No</v>
      </c>
      <c r="BG226" t="str">
        <f t="shared" si="74"/>
        <v>No</v>
      </c>
      <c r="BH226" t="str">
        <f t="shared" si="75"/>
        <v/>
      </c>
    </row>
    <row r="227" spans="1:60" x14ac:dyDescent="0.3">
      <c r="B227" s="1" t="s">
        <v>316</v>
      </c>
      <c r="C227" s="1" t="s">
        <v>252</v>
      </c>
      <c r="D227" s="1" t="s">
        <v>253</v>
      </c>
      <c r="E227" s="1" t="s">
        <v>254</v>
      </c>
      <c r="F227" s="1" t="s">
        <v>255</v>
      </c>
      <c r="G227" s="1" t="s">
        <v>256</v>
      </c>
      <c r="H227" s="1" t="s">
        <v>257</v>
      </c>
      <c r="P227">
        <f t="shared" si="58"/>
        <v>0</v>
      </c>
      <c r="Q227" t="str">
        <f>IFERROR(J144+MATCH(P227,J227:N227,0)-1,"")</f>
        <v/>
      </c>
      <c r="R227" t="str">
        <f t="shared" si="59"/>
        <v/>
      </c>
      <c r="S227" t="str">
        <f>IFERROR(J144+MATCH(R227,J227:N227,0)-1,"")</f>
        <v/>
      </c>
      <c r="T227" t="str">
        <f t="shared" si="60"/>
        <v/>
      </c>
      <c r="U227" t="str">
        <f t="shared" si="61"/>
        <v/>
      </c>
      <c r="V227" t="str">
        <f t="shared" si="62"/>
        <v/>
      </c>
      <c r="W227" t="str">
        <f t="shared" si="63"/>
        <v/>
      </c>
      <c r="X227" t="str">
        <f t="shared" si="64"/>
        <v/>
      </c>
      <c r="Y227" t="str">
        <f t="shared" si="65"/>
        <v/>
      </c>
      <c r="Z227" t="str">
        <f t="shared" si="66"/>
        <v/>
      </c>
      <c r="AA227">
        <f t="shared" si="67"/>
        <v>0</v>
      </c>
      <c r="AB227" t="str">
        <f>IFERROR(V144+MATCH(AA227,V227:Z227,0)-1,"")</f>
        <v/>
      </c>
      <c r="AC227" t="str">
        <f t="shared" si="68"/>
        <v/>
      </c>
      <c r="AE227">
        <f>IF(ISNUMBER(MATCH("N/A",J227:N227,0)),"",IFERROR((5 * SUMPRODUCT(J144:N144,J227:N227) - PRODUCT(SUM(J144:N144),SUM(J227:N227))) / ((5 * SUM((J144^2)+(K144^2)+(L144^2)+(M144^2)+(N144^2))) - SUM(J144:N144)^2),""))</f>
        <v>0</v>
      </c>
      <c r="AF227" t="str">
        <f>IFERROR(CORREL(J144:N144,J227:N227),"")</f>
        <v/>
      </c>
      <c r="AZ227">
        <f t="shared" si="69"/>
        <v>0</v>
      </c>
      <c r="BA227" t="str">
        <f>IF(AZ227=1,IF(Q227="","",IF(Q227=N144,"Yes","No")),"")</f>
        <v/>
      </c>
      <c r="BB227" t="str">
        <f t="shared" si="70"/>
        <v/>
      </c>
      <c r="BC227" t="str">
        <f>IF(AZ227=1,IF(S227="","",IF(S227=N144,"Yes","No")),"")</f>
        <v/>
      </c>
      <c r="BD227" t="str">
        <f t="shared" si="71"/>
        <v/>
      </c>
      <c r="BE227" t="str">
        <f t="shared" si="72"/>
        <v/>
      </c>
      <c r="BF227" t="str">
        <f t="shared" si="73"/>
        <v>No</v>
      </c>
      <c r="BG227" t="str">
        <f t="shared" si="74"/>
        <v>No</v>
      </c>
      <c r="BH227" t="str">
        <f t="shared" si="75"/>
        <v/>
      </c>
    </row>
    <row r="228" spans="1:60" x14ac:dyDescent="0.3">
      <c r="A228" s="1">
        <v>0</v>
      </c>
      <c r="B228" t="s">
        <v>546</v>
      </c>
      <c r="C228" t="s">
        <v>547</v>
      </c>
      <c r="D228" t="s">
        <v>548</v>
      </c>
      <c r="E228" t="s">
        <v>549</v>
      </c>
      <c r="F228" t="s">
        <v>550</v>
      </c>
      <c r="G228" t="s">
        <v>551</v>
      </c>
      <c r="I228" t="str">
        <f t="shared" ref="I228:I245" si="76">IF(AND(K228&gt; J228, L228&gt; K228, M228&gt; L228, N228&gt; M228), "pos_trend", IF(AND(K228&lt; J228, L228&lt; K228, M228&lt; L228, N228&lt; M228), "neg_trend", "N/A"))</f>
        <v>N/A</v>
      </c>
      <c r="J228">
        <f t="shared" ref="J228:J245" si="77">IFERROR(IF(TRIM(C228)="-", "N/A", IF(RIGHT(C228,1)=")",IF(RIGHT(C228,2)="T)",-1000000000000*VALUE(MID(C228,2,LEN(C228)-3)),IF(RIGHT(C228,2)="M)",-1000000*VALUE(MID(C228,2,LEN(C228)-3)),IF(RIGHT(C228,2)="B)",-1000000000*VALUE(MID(C228,2,LEN(C228)-3)),IF(RIGHT(C228,2)="k)",-1000*VALUE(MID(C228,2,LEN(C228)-3)),VALUE(SUBSTITUTE(C228,",","")))))),IF(RIGHT(C228,1)="T",1000000000000*VALUE(LEFT(C228,LEN(C228)-1)),IF(RIGHT(C228,1)="M",1000000*VALUE(LEFT(C228,LEN(C228)-1)),IF(RIGHT(C228,1)="B",1000000000*VALUE(LEFT(C228,LEN(C228)-1)),IF(RIGHT(C228,1)="%",0.01*VALUE(LEFT(C228,LEN(C228)-1)),IF(RIGHT(C228,1)="k",1000*VALUE(LEFT(C228,LEN(C228)-1)),VALUE(SUBSTITUTE(C228,",",""))))))))),"N/A")</f>
        <v>230600000</v>
      </c>
      <c r="K228">
        <f t="shared" ref="K228:K245" si="78">IFERROR(IF(TRIM(D228)="-", "N/A", IF(RIGHT(D228,1)=")",IF(RIGHT(D228,2)="T)",-1000000000000*VALUE(MID(D228,2,LEN(D228)-3)),IF(RIGHT(D228,2)="M)",-1000000*VALUE(MID(D228,2,LEN(D228)-3)),IF(RIGHT(D228,2)="B)",-1000000000*VALUE(MID(D228,2,LEN(D228)-3)),IF(RIGHT(D228,2)="k)",-1000*VALUE(MID(D228,2,LEN(D228)-3)),VALUE(SUBSTITUTE(D228,",","")))))),IF(RIGHT(D228,1)="T",1000000000000*VALUE(LEFT(D228,LEN(D228)-1)),IF(RIGHT(D228,1)="M",1000000*VALUE(LEFT(D228,LEN(D228)-1)),IF(RIGHT(D228,1)="B",1000000000*VALUE(LEFT(D228,LEN(D228)-1)),IF(RIGHT(D228,1)="%",0.01*VALUE(LEFT(D228,LEN(D228)-1)),IF(RIGHT(D228,1)="k",1000*VALUE(LEFT(D228,LEN(D228)-1)),VALUE(SUBSTITUTE(D228,",",""))))))))),"N/A")</f>
        <v>231290000</v>
      </c>
      <c r="L228">
        <f t="shared" ref="L228:L245" si="79">IFERROR(IF(TRIM(E228)="-", "N/A", IF(RIGHT(E228,1)=")",IF(RIGHT(E228,2)="T)",-1000000000000*VALUE(MID(E228,2,LEN(E228)-3)),IF(RIGHT(E228,2)="M)",-1000000*VALUE(MID(E228,2,LEN(E228)-3)),IF(RIGHT(E228,2)="B)",-1000000000*VALUE(MID(E228,2,LEN(E228)-3)),IF(RIGHT(E228,2)="k)",-1000*VALUE(MID(E228,2,LEN(E228)-3)),VALUE(SUBSTITUTE(E228,",","")))))),IF(RIGHT(E228,1)="T",1000000000000*VALUE(LEFT(E228,LEN(E228)-1)),IF(RIGHT(E228,1)="M",1000000*VALUE(LEFT(E228,LEN(E228)-1)),IF(RIGHT(E228,1)="B",1000000000*VALUE(LEFT(E228,LEN(E228)-1)),IF(RIGHT(E228,1)="%",0.01*VALUE(LEFT(E228,LEN(E228)-1)),IF(RIGHT(E228,1)="k",1000*VALUE(LEFT(E228,LEN(E228)-1)),VALUE(SUBSTITUTE(E228,",",""))))))))),"N/A")</f>
        <v>219420000</v>
      </c>
      <c r="M228">
        <f t="shared" ref="M228:M245" si="80">IFERROR(IF(TRIM(F228)="-", "N/A", IF(RIGHT(F228,1)=")",IF(RIGHT(F228,2)="T)",-1000000000000*VALUE(MID(F228,2,LEN(F228)-3)),IF(RIGHT(F228,2)="M)",-1000000*VALUE(MID(F228,2,LEN(F228)-3)),IF(RIGHT(F228,2)="B)",-1000000000*VALUE(MID(F228,2,LEN(F228)-3)),IF(RIGHT(F228,2)="k)",-1000*VALUE(MID(F228,2,LEN(F228)-3)),VALUE(SUBSTITUTE(F228,",","")))))),IF(RIGHT(F228,1)="T",1000000000000*VALUE(LEFT(F228,LEN(F228)-1)),IF(RIGHT(F228,1)="M",1000000*VALUE(LEFT(F228,LEN(F228)-1)),IF(RIGHT(F228,1)="B",1000000000*VALUE(LEFT(F228,LEN(F228)-1)),IF(RIGHT(F228,1)="%",0.01*VALUE(LEFT(F228,LEN(F228)-1)),IF(RIGHT(F228,1)="k",1000*VALUE(LEFT(F228,LEN(F228)-1)),VALUE(SUBSTITUTE(F228,",",""))))))))),"N/A")</f>
        <v>225840000</v>
      </c>
      <c r="N228">
        <f t="shared" ref="N228:N245" si="81">IFERROR(IF(TRIM(G228)="-", "N/A", IF(RIGHT(G228,1)=")",IF(RIGHT(G228,2)="T)",-1000000000000*VALUE(MID(G228,2,LEN(G228)-3)),IF(RIGHT(G228,2)="M)",-1000000*VALUE(MID(G228,2,LEN(G228)-3)),IF(RIGHT(G228,2)="B)",-1000000000*VALUE(MID(G228,2,LEN(G228)-3)),IF(RIGHT(G228,2)="k)",-1000*VALUE(MID(G228,2,LEN(G228)-3)),VALUE(SUBSTITUTE(G228,",","")))))),IF(RIGHT(G228,1)="T",1000000000000*VALUE(LEFT(G228,LEN(G228)-1)),IF(RIGHT(G228,1)="M",1000000*VALUE(LEFT(G228,LEN(G228)-1)),IF(RIGHT(G228,1)="B",1000000000*VALUE(LEFT(G228,LEN(G228)-1)),IF(RIGHT(G228,1)="%",0.01*VALUE(LEFT(G228,LEN(G228)-1)),IF(RIGHT(G228,1)="k",1000*VALUE(LEFT(G228,LEN(G228)-1)),VALUE(SUBSTITUTE(G228,",",""))))))))),"N/A")</f>
        <v>211270000</v>
      </c>
      <c r="P228">
        <f t="shared" si="58"/>
        <v>231290000</v>
      </c>
      <c r="Q228">
        <f>IFERROR(J144+MATCH(P228,J228:N228,0)-1,"")</f>
        <v>2013</v>
      </c>
      <c r="R228">
        <f t="shared" si="59"/>
        <v>211270000</v>
      </c>
      <c r="S228">
        <f>IFERROR(J144+MATCH(R228,J228:N228,0)-1,"")</f>
        <v>2016</v>
      </c>
      <c r="T228">
        <f t="shared" si="60"/>
        <v>223684000</v>
      </c>
      <c r="U228">
        <f t="shared" si="61"/>
        <v>8405648.6959663015</v>
      </c>
      <c r="V228">
        <f t="shared" si="62"/>
        <v>0.82278004353415901</v>
      </c>
      <c r="W228">
        <f t="shared" si="63"/>
        <v>0.90486769969936565</v>
      </c>
      <c r="X228">
        <f t="shared" si="64"/>
        <v>-0.50727792157745144</v>
      </c>
      <c r="Y228">
        <f t="shared" si="65"/>
        <v>0.25649418361186332</v>
      </c>
      <c r="Z228">
        <f t="shared" si="66"/>
        <v>-1.4768640052679365</v>
      </c>
      <c r="AA228">
        <f t="shared" si="67"/>
        <v>-1.4768640052679365</v>
      </c>
      <c r="AB228">
        <f>IFERROR(V144+MATCH(AA228,V228:Z228,0)-1,"")</f>
        <v>2016</v>
      </c>
      <c r="AC228" t="str">
        <f t="shared" si="68"/>
        <v>Low</v>
      </c>
      <c r="AE228">
        <f>IF(ISNUMBER(MATCH("N/A",J228:N228,0)),"",IFERROR((5 * SUMPRODUCT(J144:N144,J228:N228) - PRODUCT(SUM(J144:N144),SUM(J228:N228))) / ((5 * SUM((J144^2)+(K144^2)+(L144^2)+(M144^2)+(N144^2))) - SUM(J144:N144)^2),""))</f>
        <v>-4411000</v>
      </c>
      <c r="AF228">
        <f>IFERROR(CORREL(J144:N144,J228:N228),"")</f>
        <v>-0.82972815445501935</v>
      </c>
      <c r="AZ228">
        <f t="shared" si="69"/>
        <v>1</v>
      </c>
      <c r="BA228" t="str">
        <f>IF(AZ228=1,IF(Q228="","",IF(Q228=N144,"Yes","No")),"")</f>
        <v>No</v>
      </c>
      <c r="BB228" t="str">
        <f t="shared" si="70"/>
        <v/>
      </c>
      <c r="BC228" t="str">
        <f>IF(AZ228=1,IF(S228="","",IF(S228=N144,"Yes","No")),"")</f>
        <v>Yes</v>
      </c>
      <c r="BD228">
        <f t="shared" si="71"/>
        <v>211270000</v>
      </c>
      <c r="BE228" t="str">
        <f t="shared" si="72"/>
        <v>Decreasing</v>
      </c>
      <c r="BF228" t="str">
        <f t="shared" si="73"/>
        <v>Yes</v>
      </c>
      <c r="BG228" t="str">
        <f t="shared" si="74"/>
        <v>No</v>
      </c>
      <c r="BH228" t="str">
        <f t="shared" si="75"/>
        <v>Yes</v>
      </c>
    </row>
    <row r="229" spans="1:60" x14ac:dyDescent="0.3">
      <c r="A229" s="1">
        <v>1</v>
      </c>
      <c r="B229" t="s">
        <v>552</v>
      </c>
      <c r="C229" t="s">
        <v>553</v>
      </c>
      <c r="D229" t="s">
        <v>554</v>
      </c>
      <c r="E229" t="s">
        <v>555</v>
      </c>
      <c r="F229" t="s">
        <v>556</v>
      </c>
      <c r="G229" t="s">
        <v>557</v>
      </c>
      <c r="I229" t="str">
        <f t="shared" si="76"/>
        <v>N/A</v>
      </c>
      <c r="J229">
        <f t="shared" si="77"/>
        <v>404510000</v>
      </c>
      <c r="K229">
        <f t="shared" si="78"/>
        <v>429200000</v>
      </c>
      <c r="L229">
        <f t="shared" si="79"/>
        <v>435480000</v>
      </c>
      <c r="M229">
        <f t="shared" si="80"/>
        <v>448590000</v>
      </c>
      <c r="N229">
        <f t="shared" si="81"/>
        <v>442330000</v>
      </c>
      <c r="P229">
        <f t="shared" si="58"/>
        <v>448590000</v>
      </c>
      <c r="Q229">
        <f>IFERROR(J144+MATCH(P229,J229:N229,0)-1,"")</f>
        <v>2015</v>
      </c>
      <c r="R229">
        <f t="shared" si="59"/>
        <v>404510000</v>
      </c>
      <c r="S229">
        <f>IFERROR(J144+MATCH(R229,J229:N229,0)-1,"")</f>
        <v>2012</v>
      </c>
      <c r="T229">
        <f t="shared" si="60"/>
        <v>432022000</v>
      </c>
      <c r="U229">
        <f t="shared" si="61"/>
        <v>17011651.007471319</v>
      </c>
      <c r="V229">
        <f t="shared" si="62"/>
        <v>-1.6172445571518632</v>
      </c>
      <c r="W229">
        <f t="shared" si="63"/>
        <v>-0.16588630925714443</v>
      </c>
      <c r="X229">
        <f t="shared" si="64"/>
        <v>0.20327245124422588</v>
      </c>
      <c r="Y229">
        <f t="shared" si="65"/>
        <v>0.97392075541189549</v>
      </c>
      <c r="Z229">
        <f t="shared" si="66"/>
        <v>0.60593765975288616</v>
      </c>
      <c r="AA229">
        <f t="shared" si="67"/>
        <v>-1.6172445571518632</v>
      </c>
      <c r="AB229">
        <f>IFERROR(V144+MATCH(AA229,V229:Z229,0)-1,"")</f>
        <v>2012</v>
      </c>
      <c r="AC229" t="str">
        <f t="shared" si="68"/>
        <v>Low</v>
      </c>
      <c r="AE229">
        <f>IF(ISNUMBER(MATCH("N/A",J229:N229,0)),"",IFERROR((5 * SUMPRODUCT(J144:N144,J229:N229) - PRODUCT(SUM(J144:N144),SUM(J229:N229))) / ((5 * SUM((J144^2)+(K144^2)+(L144^2)+(M144^2)+(N144^2))) - SUM(J144:N144)^2),""))</f>
        <v>9503000</v>
      </c>
      <c r="AF229">
        <f>IFERROR(CORREL(J144:N144,J229:N229),"")</f>
        <v>0.8832512667754</v>
      </c>
      <c r="AZ229">
        <f t="shared" si="69"/>
        <v>1</v>
      </c>
      <c r="BA229" t="str">
        <f>IF(AZ229=1,IF(Q229="","",IF(Q229=N144,"Yes","No")),"")</f>
        <v>No</v>
      </c>
      <c r="BB229" t="str">
        <f t="shared" si="70"/>
        <v/>
      </c>
      <c r="BC229" t="str">
        <f>IF(AZ229=1,IF(S229="","",IF(S229=N144,"Yes","No")),"")</f>
        <v>No</v>
      </c>
      <c r="BD229" t="str">
        <f t="shared" si="71"/>
        <v/>
      </c>
      <c r="BE229" t="str">
        <f t="shared" si="72"/>
        <v>Increasing</v>
      </c>
      <c r="BF229" t="str">
        <f t="shared" si="73"/>
        <v>No</v>
      </c>
      <c r="BG229" t="str">
        <f t="shared" si="74"/>
        <v>No</v>
      </c>
      <c r="BH229" t="str">
        <f t="shared" si="75"/>
        <v>Yes</v>
      </c>
    </row>
    <row r="230" spans="1:60" x14ac:dyDescent="0.3">
      <c r="A230" s="1">
        <v>2</v>
      </c>
      <c r="B230" t="s">
        <v>558</v>
      </c>
      <c r="C230" t="s">
        <v>559</v>
      </c>
      <c r="D230" t="s">
        <v>560</v>
      </c>
      <c r="E230" t="s">
        <v>561</v>
      </c>
      <c r="F230" t="s">
        <v>562</v>
      </c>
      <c r="G230" t="s">
        <v>563</v>
      </c>
      <c r="I230" t="str">
        <f t="shared" si="76"/>
        <v>N/A</v>
      </c>
      <c r="J230">
        <f t="shared" si="77"/>
        <v>81770000</v>
      </c>
      <c r="K230">
        <f t="shared" si="78"/>
        <v>84520000</v>
      </c>
      <c r="L230">
        <f t="shared" si="79"/>
        <v>83050000</v>
      </c>
      <c r="M230">
        <f t="shared" si="80"/>
        <v>76980000</v>
      </c>
      <c r="N230">
        <f t="shared" si="81"/>
        <v>69940000</v>
      </c>
      <c r="P230">
        <f t="shared" si="58"/>
        <v>84520000</v>
      </c>
      <c r="Q230">
        <f>IFERROR(J144+MATCH(P230,J230:N230,0)-1,"")</f>
        <v>2013</v>
      </c>
      <c r="R230">
        <f t="shared" si="59"/>
        <v>69940000</v>
      </c>
      <c r="S230">
        <f>IFERROR(J144+MATCH(R230,J230:N230,0)-1,"")</f>
        <v>2016</v>
      </c>
      <c r="T230">
        <f t="shared" si="60"/>
        <v>79252000</v>
      </c>
      <c r="U230">
        <f t="shared" si="61"/>
        <v>5924362.4129521316</v>
      </c>
      <c r="V230">
        <f t="shared" si="62"/>
        <v>0.42502463969709636</v>
      </c>
      <c r="W230">
        <f t="shared" si="63"/>
        <v>0.88920961156644307</v>
      </c>
      <c r="X230">
        <f t="shared" si="64"/>
        <v>0.64108164478537411</v>
      </c>
      <c r="Y230">
        <f t="shared" si="65"/>
        <v>-0.38350118403169298</v>
      </c>
      <c r="Z230">
        <f t="shared" si="66"/>
        <v>-1.5718147120172206</v>
      </c>
      <c r="AA230">
        <f t="shared" si="67"/>
        <v>-1.5718147120172206</v>
      </c>
      <c r="AB230">
        <f>IFERROR(V144+MATCH(AA230,V230:Z230,0)-1,"")</f>
        <v>2016</v>
      </c>
      <c r="AC230" t="str">
        <f t="shared" si="68"/>
        <v>Low</v>
      </c>
      <c r="AE230">
        <f>IF(ISNUMBER(MATCH("N/A",J230:N230,0)),"",IFERROR((5 * SUMPRODUCT(J144:N144,J230:N230) - PRODUCT(SUM(J144:N144),SUM(J230:N230))) / ((5 * SUM((J144^2)+(K144^2)+(L144^2)+(M144^2)+(N144^2))) - SUM(J144:N144)^2),""))</f>
        <v>-3120000</v>
      </c>
      <c r="AF230">
        <f>IFERROR(CORREL(J144:N144,J230:N230),"")</f>
        <v>-0.8326892931258848</v>
      </c>
      <c r="AZ230">
        <f t="shared" si="69"/>
        <v>1</v>
      </c>
      <c r="BA230" t="str">
        <f>IF(AZ230=1,IF(Q230="","",IF(Q230=N144,"Yes","No")),"")</f>
        <v>No</v>
      </c>
      <c r="BB230" t="str">
        <f t="shared" si="70"/>
        <v/>
      </c>
      <c r="BC230" t="str">
        <f>IF(AZ230=1,IF(S230="","",IF(S230=N144,"Yes","No")),"")</f>
        <v>Yes</v>
      </c>
      <c r="BD230">
        <f t="shared" si="71"/>
        <v>69940000</v>
      </c>
      <c r="BE230" t="str">
        <f t="shared" si="72"/>
        <v>Decreasing</v>
      </c>
      <c r="BF230" t="str">
        <f t="shared" si="73"/>
        <v>Yes</v>
      </c>
      <c r="BG230" t="str">
        <f t="shared" si="74"/>
        <v>No</v>
      </c>
      <c r="BH230" t="str">
        <f t="shared" si="75"/>
        <v>Yes</v>
      </c>
    </row>
    <row r="231" spans="1:60" x14ac:dyDescent="0.3">
      <c r="A231" s="1">
        <v>3</v>
      </c>
      <c r="B231" t="s">
        <v>564</v>
      </c>
      <c r="C231" t="s">
        <v>565</v>
      </c>
      <c r="D231" t="s">
        <v>566</v>
      </c>
      <c r="E231" t="s">
        <v>469</v>
      </c>
      <c r="F231" t="s">
        <v>567</v>
      </c>
      <c r="G231" t="s">
        <v>568</v>
      </c>
      <c r="I231" t="str">
        <f t="shared" si="76"/>
        <v>N/A</v>
      </c>
      <c r="J231">
        <f t="shared" si="77"/>
        <v>25290000</v>
      </c>
      <c r="K231">
        <f t="shared" si="78"/>
        <v>26020000</v>
      </c>
      <c r="L231">
        <f t="shared" si="79"/>
        <v>24860000</v>
      </c>
      <c r="M231">
        <f t="shared" si="80"/>
        <v>24300000</v>
      </c>
      <c r="N231">
        <f t="shared" si="81"/>
        <v>22840000</v>
      </c>
      <c r="P231">
        <f t="shared" si="58"/>
        <v>26020000</v>
      </c>
      <c r="Q231">
        <f>IFERROR(J144+MATCH(P231,J231:N231,0)-1,"")</f>
        <v>2013</v>
      </c>
      <c r="R231">
        <f t="shared" si="59"/>
        <v>22840000</v>
      </c>
      <c r="S231">
        <f>IFERROR(J144+MATCH(R231,J231:N231,0)-1,"")</f>
        <v>2016</v>
      </c>
      <c r="T231">
        <f t="shared" si="60"/>
        <v>24662000</v>
      </c>
      <c r="U231">
        <f t="shared" si="61"/>
        <v>1196712.1625520482</v>
      </c>
      <c r="V231">
        <f t="shared" si="62"/>
        <v>0.52477113515814755</v>
      </c>
      <c r="W231">
        <f t="shared" si="63"/>
        <v>1.1347757986381599</v>
      </c>
      <c r="X231">
        <f t="shared" si="64"/>
        <v>0.16545331968361979</v>
      </c>
      <c r="Y231">
        <f t="shared" si="65"/>
        <v>-0.3024954632599513</v>
      </c>
      <c r="Z231">
        <f t="shared" si="66"/>
        <v>-1.522504790219976</v>
      </c>
      <c r="AA231">
        <f t="shared" si="67"/>
        <v>-1.522504790219976</v>
      </c>
      <c r="AB231">
        <f>IFERROR(V144+MATCH(AA231,V231:Z231,0)-1,"")</f>
        <v>2016</v>
      </c>
      <c r="AC231" t="str">
        <f t="shared" si="68"/>
        <v>Low</v>
      </c>
      <c r="AE231">
        <f>IF(ISNUMBER(MATCH("N/A",J231:N231,0)),"",IFERROR((5 * SUMPRODUCT(J144:N144,J231:N231) - PRODUCT(SUM(J144:N144),SUM(J231:N231))) / ((5 * SUM((J144^2)+(K144^2)+(L144^2)+(M144^2)+(N144^2))) - SUM(J144:N144)^2),""))</f>
        <v>-662000</v>
      </c>
      <c r="AF231">
        <f>IFERROR(CORREL(J144:N144,J231:N231),"")</f>
        <v>-0.87465803245749929</v>
      </c>
      <c r="AZ231">
        <f t="shared" si="69"/>
        <v>1</v>
      </c>
      <c r="BA231" t="str">
        <f>IF(AZ231=1,IF(Q231="","",IF(Q231=N144,"Yes","No")),"")</f>
        <v>No</v>
      </c>
      <c r="BB231" t="str">
        <f t="shared" si="70"/>
        <v/>
      </c>
      <c r="BC231" t="str">
        <f>IF(AZ231=1,IF(S231="","",IF(S231=N144,"Yes","No")),"")</f>
        <v>Yes</v>
      </c>
      <c r="BD231">
        <f t="shared" si="71"/>
        <v>22840000</v>
      </c>
      <c r="BE231" t="str">
        <f t="shared" si="72"/>
        <v>Decreasing</v>
      </c>
      <c r="BF231" t="str">
        <f t="shared" si="73"/>
        <v>Yes</v>
      </c>
      <c r="BG231" t="str">
        <f t="shared" si="74"/>
        <v>No</v>
      </c>
      <c r="BH231" t="str">
        <f t="shared" si="75"/>
        <v>Yes</v>
      </c>
    </row>
    <row r="232" spans="1:60" x14ac:dyDescent="0.3">
      <c r="A232" s="1">
        <v>4</v>
      </c>
      <c r="B232" t="s">
        <v>569</v>
      </c>
      <c r="C232" t="s">
        <v>264</v>
      </c>
      <c r="D232" t="s">
        <v>264</v>
      </c>
      <c r="E232" t="s">
        <v>264</v>
      </c>
      <c r="F232" t="s">
        <v>264</v>
      </c>
      <c r="G232" t="s">
        <v>264</v>
      </c>
      <c r="I232" t="str">
        <f t="shared" si="76"/>
        <v>N/A</v>
      </c>
      <c r="J232" t="str">
        <f t="shared" si="77"/>
        <v>N/A</v>
      </c>
      <c r="K232" t="str">
        <f t="shared" si="78"/>
        <v>N/A</v>
      </c>
      <c r="L232" t="str">
        <f t="shared" si="79"/>
        <v>N/A</v>
      </c>
      <c r="M232" t="str">
        <f t="shared" si="80"/>
        <v>N/A</v>
      </c>
      <c r="N232" t="str">
        <f t="shared" si="81"/>
        <v>N/A</v>
      </c>
      <c r="P232">
        <f t="shared" si="58"/>
        <v>0</v>
      </c>
      <c r="Q232" t="str">
        <f>IFERROR(J144+MATCH(P232,J232:N232,0)-1,"")</f>
        <v/>
      </c>
      <c r="R232" t="str">
        <f t="shared" si="59"/>
        <v/>
      </c>
      <c r="S232" t="str">
        <f>IFERROR(J144+MATCH(R232,J232:N232,0)-1,"")</f>
        <v/>
      </c>
      <c r="T232" t="str">
        <f t="shared" si="60"/>
        <v/>
      </c>
      <c r="U232" t="str">
        <f t="shared" si="61"/>
        <v/>
      </c>
      <c r="V232" t="str">
        <f t="shared" si="62"/>
        <v/>
      </c>
      <c r="W232" t="str">
        <f t="shared" si="63"/>
        <v/>
      </c>
      <c r="X232" t="str">
        <f t="shared" si="64"/>
        <v/>
      </c>
      <c r="Y232" t="str">
        <f t="shared" si="65"/>
        <v/>
      </c>
      <c r="Z232" t="str">
        <f t="shared" si="66"/>
        <v/>
      </c>
      <c r="AA232">
        <f t="shared" si="67"/>
        <v>0</v>
      </c>
      <c r="AB232" t="str">
        <f>IFERROR(V144+MATCH(AA232,V232:Z232,0)-1,"")</f>
        <v/>
      </c>
      <c r="AC232" t="str">
        <f t="shared" si="68"/>
        <v/>
      </c>
      <c r="AE232" t="str">
        <f>IF(ISNUMBER(MATCH("N/A",J232:N232,0)),"",IFERROR((5 * SUMPRODUCT(J144:N144,J232:N232) - PRODUCT(SUM(J144:N144),SUM(J232:N232))) / ((5 * SUM((J144^2)+(K144^2)+(L144^2)+(M144^2)+(N144^2))) - SUM(J144:N144)^2),""))</f>
        <v/>
      </c>
      <c r="AF232" t="str">
        <f>IFERROR(CORREL(J144:N144,J232:N232),"")</f>
        <v/>
      </c>
      <c r="AZ232">
        <f t="shared" si="69"/>
        <v>0</v>
      </c>
      <c r="BA232" t="str">
        <f>IF(AZ232=1,IF(Q232="","",IF(Q232=N144,"Yes","No")),"")</f>
        <v/>
      </c>
      <c r="BB232" t="str">
        <f t="shared" si="70"/>
        <v/>
      </c>
      <c r="BC232" t="str">
        <f>IF(AZ232=1,IF(S232="","",IF(S232=N144,"Yes","No")),"")</f>
        <v/>
      </c>
      <c r="BD232" t="str">
        <f t="shared" si="71"/>
        <v/>
      </c>
      <c r="BE232" t="str">
        <f t="shared" si="72"/>
        <v/>
      </c>
      <c r="BF232" t="str">
        <f t="shared" si="73"/>
        <v>No</v>
      </c>
      <c r="BG232" t="str">
        <f t="shared" si="74"/>
        <v>No</v>
      </c>
      <c r="BH232" t="str">
        <f t="shared" si="75"/>
        <v/>
      </c>
    </row>
    <row r="233" spans="1:60" x14ac:dyDescent="0.3">
      <c r="A233" s="1">
        <v>5</v>
      </c>
      <c r="B233" t="s">
        <v>570</v>
      </c>
      <c r="C233" t="s">
        <v>571</v>
      </c>
      <c r="D233" t="s">
        <v>572</v>
      </c>
      <c r="E233" t="s">
        <v>573</v>
      </c>
      <c r="F233" t="s">
        <v>574</v>
      </c>
      <c r="G233" t="s">
        <v>575</v>
      </c>
      <c r="I233" t="str">
        <f t="shared" si="76"/>
        <v>pos_trend</v>
      </c>
      <c r="J233">
        <f t="shared" si="77"/>
        <v>273320000</v>
      </c>
      <c r="K233">
        <f t="shared" si="78"/>
        <v>293190000</v>
      </c>
      <c r="L233">
        <f t="shared" si="79"/>
        <v>304350000</v>
      </c>
      <c r="M233">
        <f t="shared" si="80"/>
        <v>321820000</v>
      </c>
      <c r="N233">
        <f t="shared" si="81"/>
        <v>323350000</v>
      </c>
      <c r="P233">
        <f t="shared" si="58"/>
        <v>323350000</v>
      </c>
      <c r="Q233">
        <f>IFERROR(J144+MATCH(P233,J233:N233,0)-1,"")</f>
        <v>2016</v>
      </c>
      <c r="R233">
        <f t="shared" si="59"/>
        <v>273320000</v>
      </c>
      <c r="S233">
        <f>IFERROR(J144+MATCH(R233,J233:N233,0)-1,"")</f>
        <v>2012</v>
      </c>
      <c r="T233">
        <f t="shared" si="60"/>
        <v>303206000</v>
      </c>
      <c r="U233">
        <f t="shared" si="61"/>
        <v>20898945.667186178</v>
      </c>
      <c r="V233">
        <f t="shared" si="62"/>
        <v>-1.4300242928964864</v>
      </c>
      <c r="W233">
        <f t="shared" si="63"/>
        <v>-0.47925862670317898</v>
      </c>
      <c r="X233">
        <f t="shared" si="64"/>
        <v>5.4739603529196955E-2</v>
      </c>
      <c r="Y233">
        <f t="shared" si="65"/>
        <v>0.89066694064027285</v>
      </c>
      <c r="Z233">
        <f t="shared" si="66"/>
        <v>0.96387637543019544</v>
      </c>
      <c r="AA233">
        <f t="shared" si="67"/>
        <v>-1.4300242928964864</v>
      </c>
      <c r="AB233">
        <f>IFERROR(V144+MATCH(AA233,V233:Z233,0)-1,"")</f>
        <v>2012</v>
      </c>
      <c r="AC233" t="str">
        <f t="shared" si="68"/>
        <v>Low</v>
      </c>
      <c r="AE233">
        <f>IF(ISNUMBER(MATCH("N/A",J233:N233,0)),"",IFERROR((5 * SUMPRODUCT(J144:N144,J233:N233) - PRODUCT(SUM(J144:N144),SUM(J233:N233))) / ((5 * SUM((J144^2)+(K144^2)+(L144^2)+(M144^2)+(N144^2))) - SUM(J144:N144)^2),""))</f>
        <v>12869000</v>
      </c>
      <c r="AF233">
        <f>IFERROR(CORREL(J144:N144,J233:N233),"")</f>
        <v>0.97362211129634635</v>
      </c>
      <c r="AZ233">
        <f t="shared" si="69"/>
        <v>1</v>
      </c>
      <c r="BA233" t="str">
        <f>IF(AZ233=1,IF(Q233="","",IF(Q233=N144,"Yes","No")),"")</f>
        <v>Yes</v>
      </c>
      <c r="BB233">
        <f t="shared" si="70"/>
        <v>323350000</v>
      </c>
      <c r="BC233" t="str">
        <f>IF(AZ233=1,IF(S233="","",IF(S233=N144,"Yes","No")),"")</f>
        <v>No</v>
      </c>
      <c r="BD233" t="str">
        <f t="shared" si="71"/>
        <v/>
      </c>
      <c r="BE233" t="str">
        <f t="shared" si="72"/>
        <v>Increasing</v>
      </c>
      <c r="BF233" t="str">
        <f t="shared" si="73"/>
        <v>Yes</v>
      </c>
      <c r="BG233" t="str">
        <f t="shared" si="74"/>
        <v>Yes</v>
      </c>
      <c r="BH233" t="str">
        <f t="shared" si="75"/>
        <v>Yes</v>
      </c>
    </row>
    <row r="234" spans="1:60" x14ac:dyDescent="0.3">
      <c r="A234" s="1">
        <v>6</v>
      </c>
      <c r="B234" t="s">
        <v>576</v>
      </c>
      <c r="C234" t="s">
        <v>577</v>
      </c>
      <c r="D234" t="s">
        <v>578</v>
      </c>
      <c r="E234" t="s">
        <v>579</v>
      </c>
      <c r="F234" t="s">
        <v>580</v>
      </c>
      <c r="G234" t="s">
        <v>581</v>
      </c>
      <c r="I234" t="str">
        <f t="shared" si="76"/>
        <v>pos_trend</v>
      </c>
      <c r="J234">
        <f t="shared" si="77"/>
        <v>173920000</v>
      </c>
      <c r="K234">
        <f t="shared" si="78"/>
        <v>197900000</v>
      </c>
      <c r="L234">
        <f t="shared" si="79"/>
        <v>216070000</v>
      </c>
      <c r="M234">
        <f t="shared" si="80"/>
        <v>222750000</v>
      </c>
      <c r="N234">
        <f t="shared" si="81"/>
        <v>231060000</v>
      </c>
      <c r="P234">
        <f t="shared" si="58"/>
        <v>231060000</v>
      </c>
      <c r="Q234">
        <f>IFERROR(J144+MATCH(P234,J234:N234,0)-1,"")</f>
        <v>2016</v>
      </c>
      <c r="R234">
        <f t="shared" si="59"/>
        <v>173920000</v>
      </c>
      <c r="S234">
        <f>IFERROR(J144+MATCH(R234,J234:N234,0)-1,"")</f>
        <v>2012</v>
      </c>
      <c r="T234">
        <f t="shared" si="60"/>
        <v>208340000</v>
      </c>
      <c r="U234">
        <f t="shared" si="61"/>
        <v>22788864.605328631</v>
      </c>
      <c r="V234">
        <f t="shared" si="62"/>
        <v>-1.5103867874115899</v>
      </c>
      <c r="W234">
        <f t="shared" si="63"/>
        <v>-0.45811847938922134</v>
      </c>
      <c r="X234">
        <f t="shared" si="64"/>
        <v>0.33920075150178935</v>
      </c>
      <c r="Y234">
        <f t="shared" si="65"/>
        <v>0.632326368582249</v>
      </c>
      <c r="Z234">
        <f t="shared" si="66"/>
        <v>0.99697814671677287</v>
      </c>
      <c r="AA234">
        <f t="shared" si="67"/>
        <v>-1.5103867874115899</v>
      </c>
      <c r="AB234">
        <f>IFERROR(V144+MATCH(AA234,V234:Z234,0)-1,"")</f>
        <v>2012</v>
      </c>
      <c r="AC234" t="str">
        <f t="shared" si="68"/>
        <v>Low</v>
      </c>
      <c r="AE234">
        <f>IF(ISNUMBER(MATCH("N/A",J234:N234,0)),"",IFERROR((5 * SUMPRODUCT(J144:N144,J234:N234) - PRODUCT(SUM(J144:N144),SUM(J234:N234))) / ((5 * SUM((J144^2)+(K144^2)+(L144^2)+(M144^2)+(N144^2))) - SUM(J144:N144)^2),""))</f>
        <v>13913000</v>
      </c>
      <c r="AF234">
        <f>IFERROR(CORREL(J144:N144,J234:N234),"")</f>
        <v>0.96531288082766242</v>
      </c>
      <c r="AZ234">
        <f t="shared" si="69"/>
        <v>1</v>
      </c>
      <c r="BA234" t="str">
        <f>IF(AZ234=1,IF(Q234="","",IF(Q234=N144,"Yes","No")),"")</f>
        <v>Yes</v>
      </c>
      <c r="BB234">
        <f t="shared" si="70"/>
        <v>231060000</v>
      </c>
      <c r="BC234" t="str">
        <f>IF(AZ234=1,IF(S234="","",IF(S234=N144,"Yes","No")),"")</f>
        <v>No</v>
      </c>
      <c r="BD234" t="str">
        <f t="shared" si="71"/>
        <v/>
      </c>
      <c r="BE234" t="str">
        <f t="shared" si="72"/>
        <v>Increasing</v>
      </c>
      <c r="BF234" t="str">
        <f t="shared" si="73"/>
        <v>Yes</v>
      </c>
      <c r="BG234" t="str">
        <f t="shared" si="74"/>
        <v>Yes</v>
      </c>
      <c r="BH234" t="str">
        <f t="shared" si="75"/>
        <v>Yes</v>
      </c>
    </row>
    <row r="235" spans="1:60" x14ac:dyDescent="0.3">
      <c r="A235" s="1">
        <v>7</v>
      </c>
      <c r="B235" t="s">
        <v>582</v>
      </c>
      <c r="C235" t="s">
        <v>264</v>
      </c>
      <c r="D235" t="s">
        <v>264</v>
      </c>
      <c r="E235" t="s">
        <v>264</v>
      </c>
      <c r="F235" t="s">
        <v>264</v>
      </c>
      <c r="G235" t="s">
        <v>264</v>
      </c>
      <c r="I235" t="str">
        <f t="shared" si="76"/>
        <v>N/A</v>
      </c>
      <c r="J235" t="str">
        <f t="shared" si="77"/>
        <v>N/A</v>
      </c>
      <c r="K235" t="str">
        <f t="shared" si="78"/>
        <v>N/A</v>
      </c>
      <c r="L235" t="str">
        <f t="shared" si="79"/>
        <v>N/A</v>
      </c>
      <c r="M235" t="str">
        <f t="shared" si="80"/>
        <v>N/A</v>
      </c>
      <c r="N235" t="str">
        <f t="shared" si="81"/>
        <v>N/A</v>
      </c>
      <c r="P235">
        <f t="shared" si="58"/>
        <v>0</v>
      </c>
      <c r="Q235" t="str">
        <f>IFERROR(J144+MATCH(P235,J235:N235,0)-1,"")</f>
        <v/>
      </c>
      <c r="R235" t="str">
        <f t="shared" si="59"/>
        <v/>
      </c>
      <c r="S235" t="str">
        <f>IFERROR(J144+MATCH(R235,J235:N235,0)-1,"")</f>
        <v/>
      </c>
      <c r="T235" t="str">
        <f t="shared" si="60"/>
        <v/>
      </c>
      <c r="U235" t="str">
        <f t="shared" si="61"/>
        <v/>
      </c>
      <c r="V235" t="str">
        <f t="shared" si="62"/>
        <v/>
      </c>
      <c r="W235" t="str">
        <f t="shared" si="63"/>
        <v/>
      </c>
      <c r="X235" t="str">
        <f t="shared" si="64"/>
        <v/>
      </c>
      <c r="Y235" t="str">
        <f t="shared" si="65"/>
        <v/>
      </c>
      <c r="Z235" t="str">
        <f t="shared" si="66"/>
        <v/>
      </c>
      <c r="AA235">
        <f t="shared" si="67"/>
        <v>0</v>
      </c>
      <c r="AB235" t="str">
        <f>IFERROR(V144+MATCH(AA235,V235:Z235,0)-1,"")</f>
        <v/>
      </c>
      <c r="AC235" t="str">
        <f t="shared" si="68"/>
        <v/>
      </c>
      <c r="AE235" t="str">
        <f>IF(ISNUMBER(MATCH("N/A",J235:N235,0)),"",IFERROR((5 * SUMPRODUCT(J144:N144,J235:N235) - PRODUCT(SUM(J144:N144),SUM(J235:N235))) / ((5 * SUM((J144^2)+(K144^2)+(L144^2)+(M144^2)+(N144^2))) - SUM(J144:N144)^2),""))</f>
        <v/>
      </c>
      <c r="AF235" t="str">
        <f>IFERROR(CORREL(J144:N144,J235:N235),"")</f>
        <v/>
      </c>
      <c r="AZ235">
        <f t="shared" si="69"/>
        <v>0</v>
      </c>
      <c r="BA235" t="str">
        <f>IF(AZ235=1,IF(Q235="","",IF(Q235=N144,"Yes","No")),"")</f>
        <v/>
      </c>
      <c r="BB235" t="str">
        <f t="shared" si="70"/>
        <v/>
      </c>
      <c r="BC235" t="str">
        <f>IF(AZ235=1,IF(S235="","",IF(S235=N144,"Yes","No")),"")</f>
        <v/>
      </c>
      <c r="BD235" t="str">
        <f t="shared" si="71"/>
        <v/>
      </c>
      <c r="BE235" t="str">
        <f t="shared" si="72"/>
        <v/>
      </c>
      <c r="BF235" t="str">
        <f t="shared" si="73"/>
        <v>No</v>
      </c>
      <c r="BG235" t="str">
        <f t="shared" si="74"/>
        <v>No</v>
      </c>
      <c r="BH235" t="str">
        <f t="shared" si="75"/>
        <v/>
      </c>
    </row>
    <row r="236" spans="1:60" x14ac:dyDescent="0.3">
      <c r="A236" s="1">
        <v>8</v>
      </c>
      <c r="B236" t="s">
        <v>583</v>
      </c>
      <c r="C236" t="s">
        <v>264</v>
      </c>
      <c r="D236" t="s">
        <v>264</v>
      </c>
      <c r="E236" t="s">
        <v>264</v>
      </c>
      <c r="F236" t="s">
        <v>264</v>
      </c>
      <c r="G236" t="s">
        <v>264</v>
      </c>
      <c r="I236" t="str">
        <f t="shared" si="76"/>
        <v>N/A</v>
      </c>
      <c r="J236" t="str">
        <f t="shared" si="77"/>
        <v>N/A</v>
      </c>
      <c r="K236" t="str">
        <f t="shared" si="78"/>
        <v>N/A</v>
      </c>
      <c r="L236" t="str">
        <f t="shared" si="79"/>
        <v>N/A</v>
      </c>
      <c r="M236" t="str">
        <f t="shared" si="80"/>
        <v>N/A</v>
      </c>
      <c r="N236" t="str">
        <f t="shared" si="81"/>
        <v>N/A</v>
      </c>
      <c r="P236">
        <f t="shared" si="58"/>
        <v>0</v>
      </c>
      <c r="Q236" t="str">
        <f>IFERROR(J144+MATCH(P236,J236:N236,0)-1,"")</f>
        <v/>
      </c>
      <c r="R236" t="str">
        <f t="shared" si="59"/>
        <v/>
      </c>
      <c r="S236" t="str">
        <f>IFERROR(J144+MATCH(R236,J236:N236,0)-1,"")</f>
        <v/>
      </c>
      <c r="T236" t="str">
        <f t="shared" si="60"/>
        <v/>
      </c>
      <c r="U236" t="str">
        <f t="shared" si="61"/>
        <v/>
      </c>
      <c r="V236" t="str">
        <f t="shared" si="62"/>
        <v/>
      </c>
      <c r="W236" t="str">
        <f t="shared" si="63"/>
        <v/>
      </c>
      <c r="X236" t="str">
        <f t="shared" si="64"/>
        <v/>
      </c>
      <c r="Y236" t="str">
        <f t="shared" si="65"/>
        <v/>
      </c>
      <c r="Z236" t="str">
        <f t="shared" si="66"/>
        <v/>
      </c>
      <c r="AA236">
        <f t="shared" si="67"/>
        <v>0</v>
      </c>
      <c r="AB236" t="str">
        <f>IFERROR(V144+MATCH(AA236,V236:Z236,0)-1,"")</f>
        <v/>
      </c>
      <c r="AC236" t="str">
        <f t="shared" si="68"/>
        <v/>
      </c>
      <c r="AE236" t="str">
        <f>IF(ISNUMBER(MATCH("N/A",J236:N236,0)),"",IFERROR((5 * SUMPRODUCT(J144:N144,J236:N236) - PRODUCT(SUM(J144:N144),SUM(J236:N236))) / ((5 * SUM((J144^2)+(K144^2)+(L144^2)+(M144^2)+(N144^2))) - SUM(J144:N144)^2),""))</f>
        <v/>
      </c>
      <c r="AF236" t="str">
        <f>IFERROR(CORREL(J144:N144,J236:N236),"")</f>
        <v/>
      </c>
      <c r="AZ236">
        <f t="shared" si="69"/>
        <v>0</v>
      </c>
      <c r="BA236" t="str">
        <f>IF(AZ236=1,IF(Q236="","",IF(Q236=N144,"Yes","No")),"")</f>
        <v/>
      </c>
      <c r="BB236" t="str">
        <f t="shared" si="70"/>
        <v/>
      </c>
      <c r="BC236" t="str">
        <f>IF(AZ236=1,IF(S236="","",IF(S236=N144,"Yes","No")),"")</f>
        <v/>
      </c>
      <c r="BD236" t="str">
        <f t="shared" si="71"/>
        <v/>
      </c>
      <c r="BE236" t="str">
        <f t="shared" si="72"/>
        <v/>
      </c>
      <c r="BF236" t="str">
        <f t="shared" si="73"/>
        <v>No</v>
      </c>
      <c r="BG236" t="str">
        <f t="shared" si="74"/>
        <v>No</v>
      </c>
      <c r="BH236" t="str">
        <f t="shared" si="75"/>
        <v/>
      </c>
    </row>
    <row r="237" spans="1:60" x14ac:dyDescent="0.3">
      <c r="A237" s="1">
        <v>9</v>
      </c>
      <c r="B237" t="s">
        <v>584</v>
      </c>
      <c r="C237" t="s">
        <v>264</v>
      </c>
      <c r="D237" t="s">
        <v>264</v>
      </c>
      <c r="E237" t="s">
        <v>264</v>
      </c>
      <c r="F237" t="s">
        <v>585</v>
      </c>
      <c r="G237" t="s">
        <v>586</v>
      </c>
      <c r="I237" t="str">
        <f t="shared" si="76"/>
        <v>N/A</v>
      </c>
      <c r="J237" t="str">
        <f t="shared" si="77"/>
        <v>N/A</v>
      </c>
      <c r="K237" t="str">
        <f t="shared" si="78"/>
        <v>N/A</v>
      </c>
      <c r="L237" t="str">
        <f t="shared" si="79"/>
        <v>N/A</v>
      </c>
      <c r="M237">
        <f t="shared" si="80"/>
        <v>179170000</v>
      </c>
      <c r="N237">
        <f t="shared" si="81"/>
        <v>11880000</v>
      </c>
      <c r="P237">
        <f t="shared" si="58"/>
        <v>179170000</v>
      </c>
      <c r="Q237">
        <f>IFERROR(J144+MATCH(P237,J237:N237,0)-1,"")</f>
        <v>2015</v>
      </c>
      <c r="R237">
        <f t="shared" si="59"/>
        <v>11880000</v>
      </c>
      <c r="S237">
        <f>IFERROR(J144+MATCH(R237,J237:N237,0)-1,"")</f>
        <v>2016</v>
      </c>
      <c r="T237">
        <f t="shared" si="60"/>
        <v>95525000</v>
      </c>
      <c r="U237">
        <f t="shared" si="61"/>
        <v>118291893.42469753</v>
      </c>
      <c r="V237" t="str">
        <f t="shared" si="62"/>
        <v/>
      </c>
      <c r="W237" t="str">
        <f t="shared" si="63"/>
        <v/>
      </c>
      <c r="X237" t="str">
        <f t="shared" si="64"/>
        <v/>
      </c>
      <c r="Y237">
        <f t="shared" si="65"/>
        <v>0.70710678118654757</v>
      </c>
      <c r="Z237">
        <f t="shared" si="66"/>
        <v>-0.70710678118654757</v>
      </c>
      <c r="AA237">
        <f t="shared" si="67"/>
        <v>-0.70710678118654757</v>
      </c>
      <c r="AB237">
        <f>IFERROR(V144+MATCH(AA237,V237:Z237,0)-1,"")</f>
        <v>2016</v>
      </c>
      <c r="AC237" t="str">
        <f t="shared" si="68"/>
        <v>Low</v>
      </c>
      <c r="AE237" t="str">
        <f>IF(ISNUMBER(MATCH("N/A",J237:N237,0)),"",IFERROR((5 * SUMPRODUCT(J144:N144,J237:N237) - PRODUCT(SUM(J144:N144),SUM(J237:N237))) / ((5 * SUM((J144^2)+(K144^2)+(L144^2)+(M144^2)+(N144^2))) - SUM(J144:N144)^2),""))</f>
        <v/>
      </c>
      <c r="AF237">
        <f>IFERROR(CORREL(J144:N144,J237:N237),"")</f>
        <v>-1</v>
      </c>
      <c r="AZ237">
        <f t="shared" si="69"/>
        <v>1</v>
      </c>
      <c r="BA237" t="str">
        <f>IF(AZ237=1,IF(Q237="","",IF(Q237=N144,"Yes","No")),"")</f>
        <v>No</v>
      </c>
      <c r="BB237" t="str">
        <f t="shared" si="70"/>
        <v/>
      </c>
      <c r="BC237" t="str">
        <f>IF(AZ237=1,IF(S237="","",IF(S237=N144,"Yes","No")),"")</f>
        <v>Yes</v>
      </c>
      <c r="BD237">
        <f t="shared" si="71"/>
        <v>11880000</v>
      </c>
      <c r="BE237" t="str">
        <f t="shared" si="72"/>
        <v/>
      </c>
      <c r="BF237" t="str">
        <f t="shared" si="73"/>
        <v>No</v>
      </c>
      <c r="BG237" t="str">
        <f t="shared" si="74"/>
        <v>No</v>
      </c>
      <c r="BH237" t="str">
        <f t="shared" si="75"/>
        <v>Yes</v>
      </c>
    </row>
    <row r="238" spans="1:60" x14ac:dyDescent="0.3">
      <c r="A238" s="1">
        <v>10</v>
      </c>
      <c r="B238" t="s">
        <v>587</v>
      </c>
      <c r="C238" t="s">
        <v>588</v>
      </c>
      <c r="D238" t="s">
        <v>589</v>
      </c>
      <c r="E238" t="s">
        <v>590</v>
      </c>
      <c r="F238" t="s">
        <v>591</v>
      </c>
      <c r="G238" t="s">
        <v>592</v>
      </c>
      <c r="I238" t="str">
        <f t="shared" si="76"/>
        <v>N/A</v>
      </c>
      <c r="J238">
        <f t="shared" si="77"/>
        <v>240220000</v>
      </c>
      <c r="K238">
        <f t="shared" si="78"/>
        <v>242720000</v>
      </c>
      <c r="L238">
        <f t="shared" si="79"/>
        <v>828140000</v>
      </c>
      <c r="M238">
        <f t="shared" si="80"/>
        <v>815390000</v>
      </c>
      <c r="N238">
        <f t="shared" si="81"/>
        <v>774400000</v>
      </c>
      <c r="P238">
        <f t="shared" si="58"/>
        <v>828140000</v>
      </c>
      <c r="Q238">
        <f>IFERROR(J144+MATCH(P238,J238:N238,0)-1,"")</f>
        <v>2014</v>
      </c>
      <c r="R238">
        <f t="shared" si="59"/>
        <v>240220000</v>
      </c>
      <c r="S238">
        <f>IFERROR(J144+MATCH(R238,J238:N238,0)-1,"")</f>
        <v>2012</v>
      </c>
      <c r="T238">
        <f t="shared" si="60"/>
        <v>580174000</v>
      </c>
      <c r="U238">
        <f t="shared" si="61"/>
        <v>309831150.43520075</v>
      </c>
      <c r="V238">
        <f t="shared" si="62"/>
        <v>-1.0972234377417749</v>
      </c>
      <c r="W238">
        <f t="shared" si="63"/>
        <v>-1.089154526670411</v>
      </c>
      <c r="X238">
        <f t="shared" si="64"/>
        <v>0.80032624108872663</v>
      </c>
      <c r="Y238">
        <f t="shared" si="65"/>
        <v>0.75917479462477078</v>
      </c>
      <c r="Z238">
        <f t="shared" si="66"/>
        <v>0.62687692869868861</v>
      </c>
      <c r="AA238">
        <f t="shared" si="67"/>
        <v>-1.0972234377417749</v>
      </c>
      <c r="AB238">
        <f>IFERROR(V144+MATCH(AA238,V238:Z238,0)-1,"")</f>
        <v>2012</v>
      </c>
      <c r="AC238" t="str">
        <f t="shared" si="68"/>
        <v>Low</v>
      </c>
      <c r="AE238">
        <f>IF(ISNUMBER(MATCH("N/A",J238:N238,0)),"",IFERROR((5 * SUMPRODUCT(J144:N144,J238:N238) - PRODUCT(SUM(J144:N144),SUM(J238:N238))) / ((5 * SUM((J144^2)+(K144^2)+(L144^2)+(M144^2)+(N144^2))) - SUM(J144:N144)^2),""))</f>
        <v>164103000</v>
      </c>
      <c r="AF238">
        <f>IFERROR(CORREL(J144:N144,J238:N238),"")</f>
        <v>0.83745493333657617</v>
      </c>
      <c r="AZ238">
        <f t="shared" si="69"/>
        <v>1</v>
      </c>
      <c r="BA238" t="str">
        <f>IF(AZ238=1,IF(Q238="","",IF(Q238=N144,"Yes","No")),"")</f>
        <v>No</v>
      </c>
      <c r="BB238" t="str">
        <f t="shared" si="70"/>
        <v/>
      </c>
      <c r="BC238" t="str">
        <f>IF(AZ238=1,IF(S238="","",IF(S238=N144,"Yes","No")),"")</f>
        <v>No</v>
      </c>
      <c r="BD238" t="str">
        <f t="shared" si="71"/>
        <v/>
      </c>
      <c r="BE238" t="str">
        <f t="shared" si="72"/>
        <v>Increasing</v>
      </c>
      <c r="BF238" t="str">
        <f t="shared" si="73"/>
        <v>No</v>
      </c>
      <c r="BG238" t="str">
        <f t="shared" si="74"/>
        <v>No</v>
      </c>
      <c r="BH238" t="str">
        <f t="shared" si="75"/>
        <v>Yes</v>
      </c>
    </row>
    <row r="239" spans="1:60" x14ac:dyDescent="0.3">
      <c r="A239" s="1">
        <v>11</v>
      </c>
      <c r="B239" t="s">
        <v>593</v>
      </c>
      <c r="C239" t="s">
        <v>594</v>
      </c>
      <c r="D239" t="s">
        <v>595</v>
      </c>
      <c r="E239" t="s">
        <v>596</v>
      </c>
      <c r="F239" t="s">
        <v>597</v>
      </c>
      <c r="G239" t="s">
        <v>598</v>
      </c>
      <c r="I239" t="str">
        <f t="shared" si="76"/>
        <v>N/A</v>
      </c>
      <c r="J239">
        <f t="shared" si="77"/>
        <v>234200000</v>
      </c>
      <c r="K239">
        <f t="shared" si="78"/>
        <v>239180000</v>
      </c>
      <c r="L239">
        <f t="shared" si="79"/>
        <v>530669999.99999994</v>
      </c>
      <c r="M239">
        <f t="shared" si="80"/>
        <v>539480000</v>
      </c>
      <c r="N239">
        <f t="shared" si="81"/>
        <v>526720000</v>
      </c>
      <c r="P239">
        <f t="shared" si="58"/>
        <v>539480000</v>
      </c>
      <c r="Q239">
        <f>IFERROR(J144+MATCH(P239,J239:N239,0)-1,"")</f>
        <v>2015</v>
      </c>
      <c r="R239">
        <f t="shared" si="59"/>
        <v>234200000</v>
      </c>
      <c r="S239">
        <f>IFERROR(J144+MATCH(R239,J239:N239,0)-1,"")</f>
        <v>2012</v>
      </c>
      <c r="T239">
        <f t="shared" si="60"/>
        <v>414050000</v>
      </c>
      <c r="U239">
        <f t="shared" si="61"/>
        <v>161982234.82839099</v>
      </c>
      <c r="V239">
        <f t="shared" si="62"/>
        <v>-1.1103069431690376</v>
      </c>
      <c r="W239">
        <f t="shared" si="63"/>
        <v>-1.0795628309812042</v>
      </c>
      <c r="X239">
        <f t="shared" si="64"/>
        <v>0.71995549464761244</v>
      </c>
      <c r="Y239">
        <f t="shared" si="65"/>
        <v>0.77434417504416109</v>
      </c>
      <c r="Z239">
        <f t="shared" si="66"/>
        <v>0.6955701044584679</v>
      </c>
      <c r="AA239">
        <f t="shared" si="67"/>
        <v>-1.1103069431690376</v>
      </c>
      <c r="AB239">
        <f>IFERROR(V144+MATCH(AA239,V239:Z239,0)-1,"")</f>
        <v>2012</v>
      </c>
      <c r="AC239" t="str">
        <f t="shared" si="68"/>
        <v>Low</v>
      </c>
      <c r="AE239">
        <f>IF(ISNUMBER(MATCH("N/A",J239:N239,0)),"",IFERROR((5 * SUMPRODUCT(J144:N144,J239:N239) - PRODUCT(SUM(J144:N144),SUM(J239:N239))) / ((5 * SUM((J144^2)+(K144^2)+(L144^2)+(M144^2)+(N144^2))) - SUM(J144:N144)^2),""))</f>
        <v>88534000</v>
      </c>
      <c r="AF239">
        <f>IFERROR(CORREL(J144:N144,J239:N239),"")</f>
        <v>0.86419689993151183</v>
      </c>
      <c r="AZ239">
        <f t="shared" si="69"/>
        <v>1</v>
      </c>
      <c r="BA239" t="str">
        <f>IF(AZ239=1,IF(Q239="","",IF(Q239=N144,"Yes","No")),"")</f>
        <v>No</v>
      </c>
      <c r="BB239" t="str">
        <f t="shared" si="70"/>
        <v/>
      </c>
      <c r="BC239" t="str">
        <f>IF(AZ239=1,IF(S239="","",IF(S239=N144,"Yes","No")),"")</f>
        <v>No</v>
      </c>
      <c r="BD239" t="str">
        <f t="shared" si="71"/>
        <v/>
      </c>
      <c r="BE239" t="str">
        <f t="shared" si="72"/>
        <v>Increasing</v>
      </c>
      <c r="BF239" t="str">
        <f t="shared" si="73"/>
        <v>No</v>
      </c>
      <c r="BG239" t="str">
        <f t="shared" si="74"/>
        <v>No</v>
      </c>
      <c r="BH239" t="str">
        <f t="shared" si="75"/>
        <v>Yes</v>
      </c>
    </row>
    <row r="240" spans="1:60" x14ac:dyDescent="0.3">
      <c r="A240" s="1">
        <v>12</v>
      </c>
      <c r="B240" t="s">
        <v>599</v>
      </c>
      <c r="C240" t="s">
        <v>600</v>
      </c>
      <c r="D240" t="s">
        <v>348</v>
      </c>
      <c r="E240" t="s">
        <v>601</v>
      </c>
      <c r="F240" t="s">
        <v>602</v>
      </c>
      <c r="G240" t="s">
        <v>603</v>
      </c>
      <c r="I240" t="str">
        <f t="shared" si="76"/>
        <v>N/A</v>
      </c>
      <c r="J240">
        <f t="shared" si="77"/>
        <v>6030000</v>
      </c>
      <c r="K240">
        <f t="shared" si="78"/>
        <v>3540000</v>
      </c>
      <c r="L240">
        <f t="shared" si="79"/>
        <v>297470000</v>
      </c>
      <c r="M240">
        <f t="shared" si="80"/>
        <v>275910000</v>
      </c>
      <c r="N240">
        <f t="shared" si="81"/>
        <v>247670000</v>
      </c>
      <c r="P240">
        <f t="shared" si="58"/>
        <v>297470000</v>
      </c>
      <c r="Q240">
        <f>IFERROR(J144+MATCH(P240,J240:N240,0)-1,"")</f>
        <v>2014</v>
      </c>
      <c r="R240">
        <f t="shared" si="59"/>
        <v>3540000</v>
      </c>
      <c r="S240">
        <f>IFERROR(J144+MATCH(R240,J240:N240,0)-1,"")</f>
        <v>2013</v>
      </c>
      <c r="T240">
        <f t="shared" si="60"/>
        <v>166124000</v>
      </c>
      <c r="U240">
        <f t="shared" si="61"/>
        <v>148339250.97559312</v>
      </c>
      <c r="V240">
        <f t="shared" si="62"/>
        <v>-1.0792423377298901</v>
      </c>
      <c r="W240">
        <f t="shared" si="63"/>
        <v>-1.096028184925584</v>
      </c>
      <c r="X240">
        <f t="shared" si="64"/>
        <v>0.88544332761671363</v>
      </c>
      <c r="Y240">
        <f t="shared" si="65"/>
        <v>0.74010081133592587</v>
      </c>
      <c r="Z240">
        <f t="shared" si="66"/>
        <v>0.54972638370283466</v>
      </c>
      <c r="AA240">
        <f t="shared" si="67"/>
        <v>-1.096028184925584</v>
      </c>
      <c r="AB240">
        <f>IFERROR(V144+MATCH(AA240,V240:Z240,0)-1,"")</f>
        <v>2013</v>
      </c>
      <c r="AC240" t="str">
        <f t="shared" si="68"/>
        <v>Low</v>
      </c>
      <c r="AE240">
        <f>IF(ISNUMBER(MATCH("N/A",J240:N240,0)),"",IFERROR((5 * SUMPRODUCT(J144:N144,J240:N240) - PRODUCT(SUM(J144:N144),SUM(J240:N240))) / ((5 * SUM((J144^2)+(K144^2)+(L144^2)+(M144^2)+(N144^2))) - SUM(J144:N144)^2),""))</f>
        <v>75565000</v>
      </c>
      <c r="AF240">
        <f>IFERROR(CORREL(J144:N144,J240:N240),"")</f>
        <v>0.80544262499323349</v>
      </c>
      <c r="AZ240">
        <f t="shared" si="69"/>
        <v>1</v>
      </c>
      <c r="BA240" t="str">
        <f>IF(AZ240=1,IF(Q240="","",IF(Q240=N144,"Yes","No")),"")</f>
        <v>No</v>
      </c>
      <c r="BB240" t="str">
        <f t="shared" si="70"/>
        <v/>
      </c>
      <c r="BC240" t="str">
        <f>IF(AZ240=1,IF(S240="","",IF(S240=N144,"Yes","No")),"")</f>
        <v>No</v>
      </c>
      <c r="BD240" t="str">
        <f t="shared" si="71"/>
        <v/>
      </c>
      <c r="BE240" t="str">
        <f t="shared" si="72"/>
        <v>Increasing</v>
      </c>
      <c r="BF240" t="str">
        <f t="shared" si="73"/>
        <v>No</v>
      </c>
      <c r="BG240" t="str">
        <f t="shared" si="74"/>
        <v>No</v>
      </c>
      <c r="BH240" t="str">
        <f t="shared" si="75"/>
        <v>Yes</v>
      </c>
    </row>
    <row r="241" spans="1:60" x14ac:dyDescent="0.3">
      <c r="A241" s="1">
        <v>13</v>
      </c>
      <c r="B241" t="s">
        <v>604</v>
      </c>
      <c r="C241" t="s">
        <v>605</v>
      </c>
      <c r="D241" t="s">
        <v>606</v>
      </c>
      <c r="E241" t="s">
        <v>607</v>
      </c>
      <c r="F241" t="s">
        <v>608</v>
      </c>
      <c r="G241" t="s">
        <v>609</v>
      </c>
      <c r="I241" t="str">
        <f t="shared" si="76"/>
        <v>N/A</v>
      </c>
      <c r="J241">
        <f t="shared" si="77"/>
        <v>88490000</v>
      </c>
      <c r="K241">
        <f t="shared" si="78"/>
        <v>71280000</v>
      </c>
      <c r="L241">
        <f t="shared" si="79"/>
        <v>190010000</v>
      </c>
      <c r="M241">
        <f t="shared" si="80"/>
        <v>102750000</v>
      </c>
      <c r="N241">
        <f t="shared" si="81"/>
        <v>103230000</v>
      </c>
      <c r="P241">
        <f t="shared" si="58"/>
        <v>190010000</v>
      </c>
      <c r="Q241">
        <f>IFERROR(J144+MATCH(P241,J241:N241,0)-1,"")</f>
        <v>2014</v>
      </c>
      <c r="R241">
        <f t="shared" si="59"/>
        <v>71280000</v>
      </c>
      <c r="S241">
        <f>IFERROR(J144+MATCH(R241,J241:N241,0)-1,"")</f>
        <v>2013</v>
      </c>
      <c r="T241">
        <f t="shared" si="60"/>
        <v>111152000</v>
      </c>
      <c r="U241">
        <f t="shared" si="61"/>
        <v>45976294.10902971</v>
      </c>
      <c r="V241">
        <f t="shared" si="62"/>
        <v>-0.49290619087868587</v>
      </c>
      <c r="W241">
        <f t="shared" si="63"/>
        <v>-0.86722953149390891</v>
      </c>
      <c r="X241">
        <f t="shared" si="64"/>
        <v>1.7151882623030363</v>
      </c>
      <c r="Y241">
        <f t="shared" si="65"/>
        <v>-0.18274635141482301</v>
      </c>
      <c r="Z241">
        <f t="shared" si="66"/>
        <v>-0.17230618851561863</v>
      </c>
      <c r="AA241">
        <f t="shared" si="67"/>
        <v>1.7151882623030363</v>
      </c>
      <c r="AB241">
        <f>IFERROR(V144+MATCH(AA241,V241:Z241,0)-1,"")</f>
        <v>2014</v>
      </c>
      <c r="AC241" t="str">
        <f t="shared" si="68"/>
        <v>High</v>
      </c>
      <c r="AE241">
        <f>IF(ISNUMBER(MATCH("N/A",J241:N241,0)),"",IFERROR((5 * SUMPRODUCT(J144:N144,J241:N241) - PRODUCT(SUM(J144:N144),SUM(J241:N241))) / ((5 * SUM((J144^2)+(K144^2)+(L144^2)+(M144^2)+(N144^2))) - SUM(J144:N144)^2),""))</f>
        <v>6095000</v>
      </c>
      <c r="AF241">
        <f>IFERROR(CORREL(J144:N144,J241:N241),"")</f>
        <v>0.20960891598852086</v>
      </c>
      <c r="AZ241">
        <f t="shared" si="69"/>
        <v>1</v>
      </c>
      <c r="BA241" t="str">
        <f>IF(AZ241=1,IF(Q241="","",IF(Q241=N144,"Yes","No")),"")</f>
        <v>No</v>
      </c>
      <c r="BB241" t="str">
        <f t="shared" si="70"/>
        <v/>
      </c>
      <c r="BC241" t="str">
        <f>IF(AZ241=1,IF(S241="","",IF(S241=N144,"Yes","No")),"")</f>
        <v>No</v>
      </c>
      <c r="BD241" t="str">
        <f t="shared" si="71"/>
        <v/>
      </c>
      <c r="BE241" t="str">
        <f t="shared" si="72"/>
        <v>Increasing</v>
      </c>
      <c r="BF241" t="str">
        <f t="shared" si="73"/>
        <v>No</v>
      </c>
      <c r="BG241" t="str">
        <f t="shared" si="74"/>
        <v>No</v>
      </c>
      <c r="BH241" t="str">
        <f t="shared" si="75"/>
        <v>No</v>
      </c>
    </row>
    <row r="242" spans="1:60" x14ac:dyDescent="0.3">
      <c r="A242" s="1">
        <v>14</v>
      </c>
      <c r="B242" t="s">
        <v>610</v>
      </c>
      <c r="C242" t="s">
        <v>605</v>
      </c>
      <c r="D242" t="s">
        <v>606</v>
      </c>
      <c r="E242" t="s">
        <v>607</v>
      </c>
      <c r="F242" t="s">
        <v>611</v>
      </c>
      <c r="G242" t="s">
        <v>612</v>
      </c>
      <c r="I242" t="str">
        <f t="shared" si="76"/>
        <v>N/A</v>
      </c>
      <c r="J242">
        <f t="shared" si="77"/>
        <v>88490000</v>
      </c>
      <c r="K242">
        <f t="shared" si="78"/>
        <v>71280000</v>
      </c>
      <c r="L242">
        <f t="shared" si="79"/>
        <v>190010000</v>
      </c>
      <c r="M242">
        <f t="shared" si="80"/>
        <v>26630000</v>
      </c>
      <c r="N242">
        <f t="shared" si="81"/>
        <v>27750000</v>
      </c>
      <c r="P242">
        <f t="shared" si="58"/>
        <v>190010000</v>
      </c>
      <c r="Q242">
        <f>IFERROR(J144+MATCH(P242,J242:N242,0)-1,"")</f>
        <v>2014</v>
      </c>
      <c r="R242">
        <f t="shared" si="59"/>
        <v>26630000</v>
      </c>
      <c r="S242">
        <f>IFERROR(J144+MATCH(R242,J242:N242,0)-1,"")</f>
        <v>2015</v>
      </c>
      <c r="T242">
        <f t="shared" si="60"/>
        <v>80832000</v>
      </c>
      <c r="U242">
        <f t="shared" si="61"/>
        <v>66755668.07395459</v>
      </c>
      <c r="V242">
        <f t="shared" si="62"/>
        <v>0.11471685058287728</v>
      </c>
      <c r="W242">
        <f t="shared" si="63"/>
        <v>-0.14308897320026689</v>
      </c>
      <c r="X242">
        <f t="shared" si="64"/>
        <v>1.635486590877171</v>
      </c>
      <c r="Y242">
        <f t="shared" si="65"/>
        <v>-0.8119460349037757</v>
      </c>
      <c r="Z242">
        <f t="shared" si="66"/>
        <v>-0.79516843335600573</v>
      </c>
      <c r="AA242">
        <f t="shared" si="67"/>
        <v>1.635486590877171</v>
      </c>
      <c r="AB242">
        <f>IFERROR(V144+MATCH(AA242,V242:Z242,0)-1,"")</f>
        <v>2014</v>
      </c>
      <c r="AC242" t="str">
        <f t="shared" si="68"/>
        <v>High</v>
      </c>
      <c r="AE242">
        <f>IF(ISNUMBER(MATCH("N/A",J242:N242,0)),"",IFERROR((5 * SUMPRODUCT(J144:N144,J242:N242) - PRODUCT(SUM(J144:N144),SUM(J242:N242))) / ((5 * SUM((J144^2)+(K144^2)+(L144^2)+(M144^2)+(N144^2))) - SUM(J144:N144)^2),""))</f>
        <v>-16613000</v>
      </c>
      <c r="AF242">
        <f>IFERROR(CORREL(J144:N144,J242:N242),"")</f>
        <v>-0.39348657787513269</v>
      </c>
      <c r="AZ242">
        <f t="shared" si="69"/>
        <v>1</v>
      </c>
      <c r="BA242" t="str">
        <f>IF(AZ242=1,IF(Q242="","",IF(Q242=N144,"Yes","No")),"")</f>
        <v>No</v>
      </c>
      <c r="BB242" t="str">
        <f t="shared" si="70"/>
        <v/>
      </c>
      <c r="BC242" t="str">
        <f>IF(AZ242=1,IF(S242="","",IF(S242=N144,"Yes","No")),"")</f>
        <v>No</v>
      </c>
      <c r="BD242" t="str">
        <f t="shared" si="71"/>
        <v/>
      </c>
      <c r="BE242" t="str">
        <f t="shared" si="72"/>
        <v>Decreasing</v>
      </c>
      <c r="BF242" t="str">
        <f t="shared" si="73"/>
        <v>No</v>
      </c>
      <c r="BG242" t="str">
        <f t="shared" si="74"/>
        <v>No</v>
      </c>
      <c r="BH242" t="str">
        <f t="shared" si="75"/>
        <v>No</v>
      </c>
    </row>
    <row r="243" spans="1:60" x14ac:dyDescent="0.3">
      <c r="A243" s="1">
        <v>15</v>
      </c>
      <c r="B243" t="s">
        <v>613</v>
      </c>
      <c r="C243" t="s">
        <v>614</v>
      </c>
      <c r="D243" t="s">
        <v>615</v>
      </c>
      <c r="E243" t="s">
        <v>616</v>
      </c>
      <c r="F243" t="s">
        <v>261</v>
      </c>
      <c r="G243" t="s">
        <v>617</v>
      </c>
      <c r="I243" t="str">
        <f t="shared" si="76"/>
        <v>N/A</v>
      </c>
      <c r="J243">
        <f t="shared" si="77"/>
        <v>1860000000</v>
      </c>
      <c r="K243">
        <f t="shared" si="78"/>
        <v>1830000000</v>
      </c>
      <c r="L243">
        <f t="shared" si="79"/>
        <v>2520000000</v>
      </c>
      <c r="M243">
        <f t="shared" si="80"/>
        <v>2700000000</v>
      </c>
      <c r="N243">
        <f t="shared" si="81"/>
        <v>2620000000</v>
      </c>
      <c r="P243">
        <f t="shared" si="58"/>
        <v>2700000000</v>
      </c>
      <c r="Q243">
        <f>IFERROR(J144+MATCH(P243,J243:N243,0)-1,"")</f>
        <v>2015</v>
      </c>
      <c r="R243">
        <f t="shared" si="59"/>
        <v>1830000000</v>
      </c>
      <c r="S243">
        <f>IFERROR(J144+MATCH(R243,J243:N243,0)-1,"")</f>
        <v>2013</v>
      </c>
      <c r="T243">
        <f t="shared" si="60"/>
        <v>2306000000</v>
      </c>
      <c r="U243">
        <f t="shared" si="61"/>
        <v>425769890.90352547</v>
      </c>
      <c r="V243">
        <f t="shared" si="62"/>
        <v>-1.0475141843720894</v>
      </c>
      <c r="W243">
        <f t="shared" si="63"/>
        <v>-1.1179747797334407</v>
      </c>
      <c r="X243">
        <f t="shared" si="64"/>
        <v>0.50261891357763933</v>
      </c>
      <c r="Y243">
        <f t="shared" si="65"/>
        <v>0.92538248574574722</v>
      </c>
      <c r="Z243">
        <f t="shared" si="66"/>
        <v>0.73748756478214372</v>
      </c>
      <c r="AA243">
        <f t="shared" si="67"/>
        <v>-1.1179747797334407</v>
      </c>
      <c r="AB243">
        <f>IFERROR(V144+MATCH(AA243,V243:Z243,0)-1,"")</f>
        <v>2013</v>
      </c>
      <c r="AC243" t="str">
        <f t="shared" si="68"/>
        <v>Low</v>
      </c>
      <c r="AE243">
        <f>IF(ISNUMBER(MATCH("N/A",J243:N243,0)),"",IFERROR((5 * SUMPRODUCT(J144:N144,J243:N243) - PRODUCT(SUM(J144:N144),SUM(J243:N243))) / ((5 * SUM((J144^2)+(K144^2)+(L144^2)+(M144^2)+(N144^2))) - SUM(J144:N144)^2),""))</f>
        <v>239000000</v>
      </c>
      <c r="AF243">
        <f>IFERROR(CORREL(J144:N144,J243:N243),"")</f>
        <v>0.88755026708957041</v>
      </c>
      <c r="AZ243">
        <f t="shared" si="69"/>
        <v>1</v>
      </c>
      <c r="BA243" t="str">
        <f>IF(AZ243=1,IF(Q243="","",IF(Q243=N144,"Yes","No")),"")</f>
        <v>No</v>
      </c>
      <c r="BB243" t="str">
        <f t="shared" si="70"/>
        <v/>
      </c>
      <c r="BC243" t="str">
        <f>IF(AZ243=1,IF(S243="","",IF(S243=N144,"Yes","No")),"")</f>
        <v>No</v>
      </c>
      <c r="BD243" t="str">
        <f t="shared" si="71"/>
        <v/>
      </c>
      <c r="BE243" t="str">
        <f t="shared" si="72"/>
        <v>Increasing</v>
      </c>
      <c r="BF243" t="str">
        <f t="shared" si="73"/>
        <v>No</v>
      </c>
      <c r="BG243" t="str">
        <f t="shared" si="74"/>
        <v>No</v>
      </c>
      <c r="BH243" t="str">
        <f t="shared" si="75"/>
        <v>Yes</v>
      </c>
    </row>
    <row r="244" spans="1:60" x14ac:dyDescent="0.3">
      <c r="A244" s="1">
        <v>16</v>
      </c>
      <c r="B244" t="s">
        <v>618</v>
      </c>
      <c r="C244" t="s">
        <v>264</v>
      </c>
      <c r="D244" t="s">
        <v>619</v>
      </c>
      <c r="E244" t="s">
        <v>620</v>
      </c>
      <c r="F244" t="s">
        <v>621</v>
      </c>
      <c r="G244" t="s">
        <v>622</v>
      </c>
      <c r="I244" t="str">
        <f t="shared" si="76"/>
        <v>N/A</v>
      </c>
      <c r="J244" t="str">
        <f t="shared" si="77"/>
        <v>N/A</v>
      </c>
      <c r="K244">
        <f t="shared" si="78"/>
        <v>-1.9300000000000001E-2</v>
      </c>
      <c r="L244">
        <f t="shared" si="79"/>
        <v>0.37930000000000003</v>
      </c>
      <c r="M244">
        <f t="shared" si="80"/>
        <v>7.0800000000000002E-2</v>
      </c>
      <c r="N244">
        <f t="shared" si="81"/>
        <v>-3.0699999999999998E-2</v>
      </c>
      <c r="P244">
        <f t="shared" si="58"/>
        <v>0.37930000000000003</v>
      </c>
      <c r="Q244">
        <f>IFERROR(J144+MATCH(P244,J244:N244,0)-1,"")</f>
        <v>2014</v>
      </c>
      <c r="R244">
        <f t="shared" si="59"/>
        <v>-3.0699999999999998E-2</v>
      </c>
      <c r="S244">
        <f>IFERROR(J144+MATCH(R244,J244:N244,0)-1,"")</f>
        <v>2016</v>
      </c>
      <c r="T244">
        <f t="shared" si="60"/>
        <v>0.10002500000000002</v>
      </c>
      <c r="U244">
        <f t="shared" si="61"/>
        <v>0.19163864215409862</v>
      </c>
      <c r="V244" t="str">
        <f t="shared" si="62"/>
        <v/>
      </c>
      <c r="W244">
        <f t="shared" si="63"/>
        <v>-0.62265625898168042</v>
      </c>
      <c r="X244">
        <f t="shared" si="64"/>
        <v>1.4573000354251731</v>
      </c>
      <c r="Y244">
        <f t="shared" si="65"/>
        <v>-0.15250055871560544</v>
      </c>
      <c r="Z244">
        <f t="shared" si="66"/>
        <v>-0.68214321772788744</v>
      </c>
      <c r="AA244">
        <f t="shared" si="67"/>
        <v>1.4573000354251731</v>
      </c>
      <c r="AB244">
        <f>IFERROR(V144+MATCH(AA244,V244:Z244,0)-1,"")</f>
        <v>2014</v>
      </c>
      <c r="AC244" t="str">
        <f t="shared" si="68"/>
        <v>High</v>
      </c>
      <c r="AE244" t="str">
        <f>IF(ISNUMBER(MATCH("N/A",J244:N244,0)),"",IFERROR((5 * SUMPRODUCT(J144:N144,J244:N244) - PRODUCT(SUM(J144:N144),SUM(J244:N244))) / ((5 * SUM((J144^2)+(K144^2)+(L144^2)+(M144^2)+(N144^2))) - SUM(J144:N144)^2),""))</f>
        <v/>
      </c>
      <c r="AF244">
        <f>IFERROR(CORREL(J144:N144,J244:N244),"")</f>
        <v>-0.23086356311479342</v>
      </c>
      <c r="AZ244">
        <f t="shared" si="69"/>
        <v>1</v>
      </c>
      <c r="BA244" t="str">
        <f>IF(AZ244=1,IF(Q244="","",IF(Q244=N144,"Yes","No")),"")</f>
        <v>No</v>
      </c>
      <c r="BB244" t="str">
        <f t="shared" si="70"/>
        <v/>
      </c>
      <c r="BC244" t="str">
        <f>IF(AZ244=1,IF(S244="","",IF(S244=N144,"Yes","No")),"")</f>
        <v>Yes</v>
      </c>
      <c r="BD244">
        <f t="shared" si="71"/>
        <v>-3.0699999999999998E-2</v>
      </c>
      <c r="BE244" t="str">
        <f t="shared" si="72"/>
        <v/>
      </c>
      <c r="BF244" t="str">
        <f t="shared" si="73"/>
        <v>No</v>
      </c>
      <c r="BG244" t="str">
        <f t="shared" si="74"/>
        <v>No</v>
      </c>
      <c r="BH244" t="str">
        <f t="shared" si="75"/>
        <v>No</v>
      </c>
    </row>
    <row r="245" spans="1:60" x14ac:dyDescent="0.3">
      <c r="I245" t="str">
        <f t="shared" si="76"/>
        <v>N/A</v>
      </c>
      <c r="J245" t="str">
        <f t="shared" si="77"/>
        <v>N/A</v>
      </c>
      <c r="K245" t="str">
        <f t="shared" si="78"/>
        <v>N/A</v>
      </c>
      <c r="L245" t="str">
        <f t="shared" si="79"/>
        <v>N/A</v>
      </c>
      <c r="M245" t="str">
        <f t="shared" si="80"/>
        <v>N/A</v>
      </c>
      <c r="N245" t="str">
        <f t="shared" si="81"/>
        <v>N/A</v>
      </c>
      <c r="P245">
        <f t="shared" si="58"/>
        <v>0</v>
      </c>
      <c r="Q245" t="str">
        <f>IFERROR(J144+MATCH(P245,J245:N245,0)-1,"")</f>
        <v/>
      </c>
      <c r="R245" t="str">
        <f t="shared" si="59"/>
        <v/>
      </c>
      <c r="S245" t="str">
        <f>IFERROR(J144+MATCH(R245,J245:N245,0)-1,"")</f>
        <v/>
      </c>
      <c r="T245" t="str">
        <f t="shared" si="60"/>
        <v/>
      </c>
      <c r="U245" t="str">
        <f t="shared" si="61"/>
        <v/>
      </c>
      <c r="V245" t="str">
        <f t="shared" si="62"/>
        <v/>
      </c>
      <c r="W245" t="str">
        <f t="shared" si="63"/>
        <v/>
      </c>
      <c r="X245" t="str">
        <f t="shared" si="64"/>
        <v/>
      </c>
      <c r="Y245" t="str">
        <f t="shared" si="65"/>
        <v/>
      </c>
      <c r="Z245" t="str">
        <f t="shared" si="66"/>
        <v/>
      </c>
      <c r="AA245">
        <f t="shared" si="67"/>
        <v>0</v>
      </c>
      <c r="AB245" t="str">
        <f>IFERROR(V144+MATCH(AA245,V245:Z245,0)-1,"")</f>
        <v/>
      </c>
      <c r="AC245" t="str">
        <f t="shared" si="68"/>
        <v/>
      </c>
      <c r="AE245" t="str">
        <f>IF(ISNUMBER(MATCH("N/A",J245:N245,0)),"",IFERROR((5 * SUMPRODUCT(J144:N144,J245:N245) - PRODUCT(SUM(J144:N144),SUM(J245:N245))) / ((5 * SUM((J144^2)+(K144^2)+(L144^2)+(M144^2)+(N144^2))) - SUM(J144:N144)^2),""))</f>
        <v/>
      </c>
      <c r="AF245" t="str">
        <f>IFERROR(CORREL(J144:N144,J245:N245),"")</f>
        <v/>
      </c>
      <c r="AZ245">
        <f t="shared" si="69"/>
        <v>0</v>
      </c>
      <c r="BA245" t="str">
        <f>IF(AZ245=1,IF(Q245="","",IF(Q245=N144,"Yes","No")),"")</f>
        <v/>
      </c>
      <c r="BB245" t="str">
        <f t="shared" si="70"/>
        <v/>
      </c>
      <c r="BC245" t="str">
        <f>IF(AZ245=1,IF(S245="","",IF(S245=N144,"Yes","No")),"")</f>
        <v/>
      </c>
      <c r="BD245" t="str">
        <f t="shared" si="71"/>
        <v/>
      </c>
      <c r="BE245" t="str">
        <f t="shared" si="72"/>
        <v/>
      </c>
      <c r="BF245" t="str">
        <f t="shared" si="73"/>
        <v>No</v>
      </c>
      <c r="BG245" t="str">
        <f t="shared" si="74"/>
        <v>No</v>
      </c>
      <c r="BH245" t="str">
        <f t="shared" si="75"/>
        <v/>
      </c>
    </row>
    <row r="246" spans="1:60" x14ac:dyDescent="0.3">
      <c r="B246" s="1" t="s">
        <v>316</v>
      </c>
      <c r="C246" s="1" t="s">
        <v>252</v>
      </c>
      <c r="D246" s="1" t="s">
        <v>253</v>
      </c>
      <c r="E246" s="1" t="s">
        <v>254</v>
      </c>
      <c r="F246" s="1" t="s">
        <v>255</v>
      </c>
      <c r="G246" s="1" t="s">
        <v>256</v>
      </c>
      <c r="H246" s="1" t="s">
        <v>257</v>
      </c>
      <c r="P246">
        <f t="shared" si="58"/>
        <v>0</v>
      </c>
      <c r="Q246" t="str">
        <f>IFERROR(J144+MATCH(P246,J246:N246,0)-1,"")</f>
        <v/>
      </c>
      <c r="R246" t="str">
        <f t="shared" si="59"/>
        <v/>
      </c>
      <c r="S246" t="str">
        <f>IFERROR(J144+MATCH(R246,J246:N246,0)-1,"")</f>
        <v/>
      </c>
      <c r="T246" t="str">
        <f t="shared" si="60"/>
        <v/>
      </c>
      <c r="U246" t="str">
        <f t="shared" si="61"/>
        <v/>
      </c>
      <c r="V246" t="str">
        <f t="shared" si="62"/>
        <v/>
      </c>
      <c r="W246" t="str">
        <f t="shared" si="63"/>
        <v/>
      </c>
      <c r="X246" t="str">
        <f t="shared" si="64"/>
        <v/>
      </c>
      <c r="Y246" t="str">
        <f t="shared" si="65"/>
        <v/>
      </c>
      <c r="Z246" t="str">
        <f t="shared" si="66"/>
        <v/>
      </c>
      <c r="AA246">
        <f t="shared" si="67"/>
        <v>0</v>
      </c>
      <c r="AB246" t="str">
        <f>IFERROR(V144+MATCH(AA246,V246:Z246,0)-1,"")</f>
        <v/>
      </c>
      <c r="AC246" t="str">
        <f t="shared" si="68"/>
        <v/>
      </c>
      <c r="AE246">
        <f>IF(ISNUMBER(MATCH("N/A",J246:N246,0)),"",IFERROR((5 * SUMPRODUCT(J144:N144,J246:N246) - PRODUCT(SUM(J144:N144),SUM(J246:N246))) / ((5 * SUM((J144^2)+(K144^2)+(L144^2)+(M144^2)+(N144^2))) - SUM(J144:N144)^2),""))</f>
        <v>0</v>
      </c>
      <c r="AF246" t="str">
        <f>IFERROR(CORREL(J144:N144,J246:N246),"")</f>
        <v/>
      </c>
      <c r="AZ246">
        <f t="shared" si="69"/>
        <v>0</v>
      </c>
      <c r="BA246" t="str">
        <f>IF(AZ246=1,IF(Q246="","",IF(Q246=N144,"Yes","No")),"")</f>
        <v/>
      </c>
      <c r="BB246" t="str">
        <f t="shared" si="70"/>
        <v/>
      </c>
      <c r="BC246" t="str">
        <f>IF(AZ246=1,IF(S246="","",IF(S246=N144,"Yes","No")),"")</f>
        <v/>
      </c>
      <c r="BD246" t="str">
        <f t="shared" si="71"/>
        <v/>
      </c>
      <c r="BE246" t="str">
        <f t="shared" si="72"/>
        <v/>
      </c>
      <c r="BF246" t="str">
        <f t="shared" si="73"/>
        <v>No</v>
      </c>
      <c r="BG246" t="str">
        <f t="shared" si="74"/>
        <v>No</v>
      </c>
      <c r="BH246" t="str">
        <f t="shared" si="75"/>
        <v/>
      </c>
    </row>
    <row r="247" spans="1:60" x14ac:dyDescent="0.3">
      <c r="A247" s="1">
        <v>0</v>
      </c>
      <c r="B247" t="s">
        <v>623</v>
      </c>
      <c r="C247" t="s">
        <v>624</v>
      </c>
      <c r="D247" t="s">
        <v>625</v>
      </c>
      <c r="E247" t="s">
        <v>264</v>
      </c>
      <c r="F247" t="s">
        <v>626</v>
      </c>
      <c r="G247" t="s">
        <v>627</v>
      </c>
      <c r="I247" t="str">
        <f t="shared" ref="I247:I270" si="82">IF(AND(K247&gt; J247, L247&gt; K247, M247&gt; L247, N247&gt; M247), "pos_trend", IF(AND(K247&lt; J247, L247&lt; K247, M247&lt; L247, N247&lt; M247), "neg_trend", "N/A"))</f>
        <v>N/A</v>
      </c>
      <c r="J247">
        <f t="shared" ref="J247:J270" si="83">IFERROR(IF(TRIM(C247)="-", "N/A", IF(RIGHT(C247,1)=")",IF(RIGHT(C247,2)="T)",-1000000000000*VALUE(MID(C247,2,LEN(C247)-3)),IF(RIGHT(C247,2)="M)",-1000000*VALUE(MID(C247,2,LEN(C247)-3)),IF(RIGHT(C247,2)="B)",-1000000000*VALUE(MID(C247,2,LEN(C247)-3)),IF(RIGHT(C247,2)="k)",-1000*VALUE(MID(C247,2,LEN(C247)-3)),VALUE(SUBSTITUTE(C247,",","")))))),IF(RIGHT(C247,1)="T",1000000000000*VALUE(LEFT(C247,LEN(C247)-1)),IF(RIGHT(C247,1)="M",1000000*VALUE(LEFT(C247,LEN(C247)-1)),IF(RIGHT(C247,1)="B",1000000000*VALUE(LEFT(C247,LEN(C247)-1)),IF(RIGHT(C247,1)="%",0.01*VALUE(LEFT(C247,LEN(C247)-1)),IF(RIGHT(C247,1)="k",1000*VALUE(LEFT(C247,LEN(C247)-1)),VALUE(SUBSTITUTE(C247,",",""))))))))),"N/A")</f>
        <v>1760000</v>
      </c>
      <c r="K247">
        <f t="shared" ref="K247:K270" si="84">IFERROR(IF(TRIM(D247)="-", "N/A", IF(RIGHT(D247,1)=")",IF(RIGHT(D247,2)="T)",-1000000000000*VALUE(MID(D247,2,LEN(D247)-3)),IF(RIGHT(D247,2)="M)",-1000000*VALUE(MID(D247,2,LEN(D247)-3)),IF(RIGHT(D247,2)="B)",-1000000000*VALUE(MID(D247,2,LEN(D247)-3)),IF(RIGHT(D247,2)="k)",-1000*VALUE(MID(D247,2,LEN(D247)-3)),VALUE(SUBSTITUTE(D247,",","")))))),IF(RIGHT(D247,1)="T",1000000000000*VALUE(LEFT(D247,LEN(D247)-1)),IF(RIGHT(D247,1)="M",1000000*VALUE(LEFT(D247,LEN(D247)-1)),IF(RIGHT(D247,1)="B",1000000000*VALUE(LEFT(D247,LEN(D247)-1)),IF(RIGHT(D247,1)="%",0.01*VALUE(LEFT(D247,LEN(D247)-1)),IF(RIGHT(D247,1)="k",1000*VALUE(LEFT(D247,LEN(D247)-1)),VALUE(SUBSTITUTE(D247,",",""))))))))),"N/A")</f>
        <v>27530000</v>
      </c>
      <c r="L247" t="str">
        <f t="shared" ref="L247:L270" si="85">IFERROR(IF(TRIM(E247)="-", "N/A", IF(RIGHT(E247,1)=")",IF(RIGHT(E247,2)="T)",-1000000000000*VALUE(MID(E247,2,LEN(E247)-3)),IF(RIGHT(E247,2)="M)",-1000000*VALUE(MID(E247,2,LEN(E247)-3)),IF(RIGHT(E247,2)="B)",-1000000000*VALUE(MID(E247,2,LEN(E247)-3)),IF(RIGHT(E247,2)="k)",-1000*VALUE(MID(E247,2,LEN(E247)-3)),VALUE(SUBSTITUTE(E247,",","")))))),IF(RIGHT(E247,1)="T",1000000000000*VALUE(LEFT(E247,LEN(E247)-1)),IF(RIGHT(E247,1)="M",1000000*VALUE(LEFT(E247,LEN(E247)-1)),IF(RIGHT(E247,1)="B",1000000000*VALUE(LEFT(E247,LEN(E247)-1)),IF(RIGHT(E247,1)="%",0.01*VALUE(LEFT(E247,LEN(E247)-1)),IF(RIGHT(E247,1)="k",1000*VALUE(LEFT(E247,LEN(E247)-1)),VALUE(SUBSTITUTE(E247,",",""))))))))),"N/A")</f>
        <v>N/A</v>
      </c>
      <c r="M247">
        <f t="shared" ref="M247:M270" si="86">IFERROR(IF(TRIM(F247)="-", "N/A", IF(RIGHT(F247,1)=")",IF(RIGHT(F247,2)="T)",-1000000000000*VALUE(MID(F247,2,LEN(F247)-3)),IF(RIGHT(F247,2)="M)",-1000000*VALUE(MID(F247,2,LEN(F247)-3)),IF(RIGHT(F247,2)="B)",-1000000000*VALUE(MID(F247,2,LEN(F247)-3)),IF(RIGHT(F247,2)="k)",-1000*VALUE(MID(F247,2,LEN(F247)-3)),VALUE(SUBSTITUTE(F247,",","")))))),IF(RIGHT(F247,1)="T",1000000000000*VALUE(LEFT(F247,LEN(F247)-1)),IF(RIGHT(F247,1)="M",1000000*VALUE(LEFT(F247,LEN(F247)-1)),IF(RIGHT(F247,1)="B",1000000000*VALUE(LEFT(F247,LEN(F247)-1)),IF(RIGHT(F247,1)="%",0.01*VALUE(LEFT(F247,LEN(F247)-1)),IF(RIGHT(F247,1)="k",1000*VALUE(LEFT(F247,LEN(F247)-1)),VALUE(SUBSTITUTE(F247,",",""))))))))),"N/A")</f>
        <v>156240000</v>
      </c>
      <c r="N247">
        <f t="shared" ref="N247:N270" si="87">IFERROR(IF(TRIM(G247)="-", "N/A", IF(RIGHT(G247,1)=")",IF(RIGHT(G247,2)="T)",-1000000000000*VALUE(MID(G247,2,LEN(G247)-3)),IF(RIGHT(G247,2)="M)",-1000000*VALUE(MID(G247,2,LEN(G247)-3)),IF(RIGHT(G247,2)="B)",-1000000000*VALUE(MID(G247,2,LEN(G247)-3)),IF(RIGHT(G247,2)="k)",-1000*VALUE(MID(G247,2,LEN(G247)-3)),VALUE(SUBSTITUTE(G247,",","")))))),IF(RIGHT(G247,1)="T",1000000000000*VALUE(LEFT(G247,LEN(G247)-1)),IF(RIGHT(G247,1)="M",1000000*VALUE(LEFT(G247,LEN(G247)-1)),IF(RIGHT(G247,1)="B",1000000000*VALUE(LEFT(G247,LEN(G247)-1)),IF(RIGHT(G247,1)="%",0.01*VALUE(LEFT(G247,LEN(G247)-1)),IF(RIGHT(G247,1)="k",1000*VALUE(LEFT(G247,LEN(G247)-1)),VALUE(SUBSTITUTE(G247,",",""))))))))),"N/A")</f>
        <v>146520000</v>
      </c>
      <c r="P247">
        <f t="shared" si="58"/>
        <v>156240000</v>
      </c>
      <c r="Q247">
        <f>IFERROR(J144+MATCH(P247,J247:N247,0)-1,"")</f>
        <v>2015</v>
      </c>
      <c r="R247">
        <f t="shared" si="59"/>
        <v>1760000</v>
      </c>
      <c r="S247">
        <f>IFERROR(J144+MATCH(R247,J247:N247,0)-1,"")</f>
        <v>2012</v>
      </c>
      <c r="T247">
        <f t="shared" si="60"/>
        <v>83012500</v>
      </c>
      <c r="U247">
        <f t="shared" si="61"/>
        <v>79740717.066836894</v>
      </c>
      <c r="V247">
        <f t="shared" si="62"/>
        <v>-1.0189587326120477</v>
      </c>
      <c r="W247">
        <f t="shared" si="63"/>
        <v>-0.69578631897046783</v>
      </c>
      <c r="X247" t="str">
        <f t="shared" si="64"/>
        <v/>
      </c>
      <c r="Y247">
        <f t="shared" si="65"/>
        <v>0.91832005898093871</v>
      </c>
      <c r="Z247">
        <f t="shared" si="66"/>
        <v>0.79642499260157673</v>
      </c>
      <c r="AA247">
        <f t="shared" si="67"/>
        <v>-1.0189587326120477</v>
      </c>
      <c r="AB247">
        <f>IFERROR(V144+MATCH(AA247,V247:Z247,0)-1,"")</f>
        <v>2012</v>
      </c>
      <c r="AC247" t="str">
        <f t="shared" si="68"/>
        <v>Low</v>
      </c>
      <c r="AE247" t="str">
        <f>IF(ISNUMBER(MATCH("N/A",J247:N247,0)),"",IFERROR((5 * SUMPRODUCT(J144:N144,J247:N247) - PRODUCT(SUM(J144:N144),SUM(J247:N247))) / ((5 * SUM((J144^2)+(K144^2)+(L144^2)+(M144^2)+(N144^2))) - SUM(J144:N144)^2),""))</f>
        <v/>
      </c>
      <c r="AF247">
        <f>IFERROR(CORREL(J144:N144,J247:N247),"")</f>
        <v>0.95757856902382277</v>
      </c>
      <c r="AZ247">
        <f t="shared" si="69"/>
        <v>1</v>
      </c>
      <c r="BA247" t="str">
        <f>IF(AZ247=1,IF(Q247="","",IF(Q247=N144,"Yes","No")),"")</f>
        <v>No</v>
      </c>
      <c r="BB247" t="str">
        <f t="shared" si="70"/>
        <v/>
      </c>
      <c r="BC247" t="str">
        <f>IF(AZ247=1,IF(S247="","",IF(S247=N144,"Yes","No")),"")</f>
        <v>No</v>
      </c>
      <c r="BD247" t="str">
        <f t="shared" si="71"/>
        <v/>
      </c>
      <c r="BE247" t="str">
        <f t="shared" si="72"/>
        <v/>
      </c>
      <c r="BF247" t="str">
        <f t="shared" si="73"/>
        <v>No</v>
      </c>
      <c r="BG247" t="str">
        <f t="shared" si="74"/>
        <v>No</v>
      </c>
      <c r="BH247" t="str">
        <f t="shared" si="75"/>
        <v>Yes</v>
      </c>
    </row>
    <row r="248" spans="1:60" x14ac:dyDescent="0.3">
      <c r="A248" s="1">
        <v>1</v>
      </c>
      <c r="B248" t="s">
        <v>628</v>
      </c>
      <c r="C248" t="s">
        <v>264</v>
      </c>
      <c r="D248" t="s">
        <v>264</v>
      </c>
      <c r="E248" t="s">
        <v>264</v>
      </c>
      <c r="F248" t="s">
        <v>264</v>
      </c>
      <c r="G248" t="s">
        <v>264</v>
      </c>
      <c r="I248" t="str">
        <f t="shared" si="82"/>
        <v>N/A</v>
      </c>
      <c r="J248" t="str">
        <f t="shared" si="83"/>
        <v>N/A</v>
      </c>
      <c r="K248" t="str">
        <f t="shared" si="84"/>
        <v>N/A</v>
      </c>
      <c r="L248" t="str">
        <f t="shared" si="85"/>
        <v>N/A</v>
      </c>
      <c r="M248" t="str">
        <f t="shared" si="86"/>
        <v>N/A</v>
      </c>
      <c r="N248" t="str">
        <f t="shared" si="87"/>
        <v>N/A</v>
      </c>
      <c r="P248">
        <f t="shared" si="58"/>
        <v>0</v>
      </c>
      <c r="Q248" t="str">
        <f>IFERROR(J144+MATCH(P248,J248:N248,0)-1,"")</f>
        <v/>
      </c>
      <c r="R248" t="str">
        <f t="shared" si="59"/>
        <v/>
      </c>
      <c r="S248" t="str">
        <f>IFERROR(J144+MATCH(R248,J248:N248,0)-1,"")</f>
        <v/>
      </c>
      <c r="T248" t="str">
        <f t="shared" si="60"/>
        <v/>
      </c>
      <c r="U248" t="str">
        <f t="shared" si="61"/>
        <v/>
      </c>
      <c r="V248" t="str">
        <f t="shared" si="62"/>
        <v/>
      </c>
      <c r="W248" t="str">
        <f t="shared" si="63"/>
        <v/>
      </c>
      <c r="X248" t="str">
        <f t="shared" si="64"/>
        <v/>
      </c>
      <c r="Y248" t="str">
        <f t="shared" si="65"/>
        <v/>
      </c>
      <c r="Z248" t="str">
        <f t="shared" si="66"/>
        <v/>
      </c>
      <c r="AA248">
        <f t="shared" si="67"/>
        <v>0</v>
      </c>
      <c r="AB248" t="str">
        <f>IFERROR(V144+MATCH(AA248,V248:Z248,0)-1,"")</f>
        <v/>
      </c>
      <c r="AC248" t="str">
        <f t="shared" si="68"/>
        <v/>
      </c>
      <c r="AE248" t="str">
        <f>IF(ISNUMBER(MATCH("N/A",J248:N248,0)),"",IFERROR((5 * SUMPRODUCT(J144:N144,J248:N248) - PRODUCT(SUM(J144:N144),SUM(J248:N248))) / ((5 * SUM((J144^2)+(K144^2)+(L144^2)+(M144^2)+(N144^2))) - SUM(J144:N144)^2),""))</f>
        <v/>
      </c>
      <c r="AF248" t="str">
        <f>IFERROR(CORREL(J144:N144,J248:N248),"")</f>
        <v/>
      </c>
      <c r="AZ248">
        <f t="shared" si="69"/>
        <v>0</v>
      </c>
      <c r="BA248" t="str">
        <f>IF(AZ248=1,IF(Q248="","",IF(Q248=N144,"Yes","No")),"")</f>
        <v/>
      </c>
      <c r="BB248" t="str">
        <f t="shared" si="70"/>
        <v/>
      </c>
      <c r="BC248" t="str">
        <f>IF(AZ248=1,IF(S248="","",IF(S248=N144,"Yes","No")),"")</f>
        <v/>
      </c>
      <c r="BD248" t="str">
        <f t="shared" si="71"/>
        <v/>
      </c>
      <c r="BE248" t="str">
        <f t="shared" si="72"/>
        <v/>
      </c>
      <c r="BF248" t="str">
        <f t="shared" si="73"/>
        <v>No</v>
      </c>
      <c r="BG248" t="str">
        <f t="shared" si="74"/>
        <v>No</v>
      </c>
      <c r="BH248" t="str">
        <f t="shared" si="75"/>
        <v/>
      </c>
    </row>
    <row r="249" spans="1:60" x14ac:dyDescent="0.3">
      <c r="A249" s="1">
        <v>2</v>
      </c>
      <c r="B249" t="s">
        <v>629</v>
      </c>
      <c r="C249" t="s">
        <v>624</v>
      </c>
      <c r="D249" t="s">
        <v>625</v>
      </c>
      <c r="E249" t="s">
        <v>264</v>
      </c>
      <c r="F249" t="s">
        <v>626</v>
      </c>
      <c r="G249" t="s">
        <v>627</v>
      </c>
      <c r="I249" t="str">
        <f t="shared" si="82"/>
        <v>N/A</v>
      </c>
      <c r="J249">
        <f t="shared" si="83"/>
        <v>1760000</v>
      </c>
      <c r="K249">
        <f t="shared" si="84"/>
        <v>27530000</v>
      </c>
      <c r="L249" t="str">
        <f t="shared" si="85"/>
        <v>N/A</v>
      </c>
      <c r="M249">
        <f t="shared" si="86"/>
        <v>156240000</v>
      </c>
      <c r="N249">
        <f t="shared" si="87"/>
        <v>146520000</v>
      </c>
      <c r="P249">
        <f t="shared" si="58"/>
        <v>156240000</v>
      </c>
      <c r="Q249">
        <f>IFERROR(J144+MATCH(P249,J249:N249,0)-1,"")</f>
        <v>2015</v>
      </c>
      <c r="R249">
        <f t="shared" si="59"/>
        <v>1760000</v>
      </c>
      <c r="S249">
        <f>IFERROR(J144+MATCH(R249,J249:N249,0)-1,"")</f>
        <v>2012</v>
      </c>
      <c r="T249">
        <f t="shared" si="60"/>
        <v>83012500</v>
      </c>
      <c r="U249">
        <f t="shared" si="61"/>
        <v>79740717.066836894</v>
      </c>
      <c r="V249">
        <f t="shared" si="62"/>
        <v>-1.0189587326120477</v>
      </c>
      <c r="W249">
        <f t="shared" si="63"/>
        <v>-0.69578631897046783</v>
      </c>
      <c r="X249" t="str">
        <f t="shared" si="64"/>
        <v/>
      </c>
      <c r="Y249">
        <f t="shared" si="65"/>
        <v>0.91832005898093871</v>
      </c>
      <c r="Z249">
        <f t="shared" si="66"/>
        <v>0.79642499260157673</v>
      </c>
      <c r="AA249">
        <f t="shared" si="67"/>
        <v>-1.0189587326120477</v>
      </c>
      <c r="AB249">
        <f>IFERROR(V144+MATCH(AA249,V249:Z249,0)-1,"")</f>
        <v>2012</v>
      </c>
      <c r="AC249" t="str">
        <f t="shared" si="68"/>
        <v>Low</v>
      </c>
      <c r="AE249" t="str">
        <f>IF(ISNUMBER(MATCH("N/A",J249:N249,0)),"",IFERROR((5 * SUMPRODUCT(J144:N144,J249:N249) - PRODUCT(SUM(J144:N144),SUM(J249:N249))) / ((5 * SUM((J144^2)+(K144^2)+(L144^2)+(M144^2)+(N144^2))) - SUM(J144:N144)^2),""))</f>
        <v/>
      </c>
      <c r="AF249">
        <f>IFERROR(CORREL(J144:N144,J249:N249),"")</f>
        <v>0.95757856902382277</v>
      </c>
      <c r="AZ249">
        <f t="shared" si="69"/>
        <v>1</v>
      </c>
      <c r="BA249" t="str">
        <f>IF(AZ249=1,IF(Q249="","",IF(Q249=N144,"Yes","No")),"")</f>
        <v>No</v>
      </c>
      <c r="BB249" t="str">
        <f t="shared" si="70"/>
        <v/>
      </c>
      <c r="BC249" t="str">
        <f>IF(AZ249=1,IF(S249="","",IF(S249=N144,"Yes","No")),"")</f>
        <v>No</v>
      </c>
      <c r="BD249" t="str">
        <f t="shared" si="71"/>
        <v/>
      </c>
      <c r="BE249" t="str">
        <f t="shared" si="72"/>
        <v/>
      </c>
      <c r="BF249" t="str">
        <f t="shared" si="73"/>
        <v>No</v>
      </c>
      <c r="BG249" t="str">
        <f t="shared" si="74"/>
        <v>No</v>
      </c>
      <c r="BH249" t="str">
        <f t="shared" si="75"/>
        <v>Yes</v>
      </c>
    </row>
    <row r="250" spans="1:60" x14ac:dyDescent="0.3">
      <c r="A250" s="1">
        <v>3</v>
      </c>
      <c r="B250" t="s">
        <v>630</v>
      </c>
      <c r="C250" t="s">
        <v>631</v>
      </c>
      <c r="D250" t="s">
        <v>632</v>
      </c>
      <c r="E250" t="s">
        <v>633</v>
      </c>
      <c r="F250" t="s">
        <v>634</v>
      </c>
      <c r="G250" t="s">
        <v>635</v>
      </c>
      <c r="I250" t="str">
        <f t="shared" si="82"/>
        <v>N/A</v>
      </c>
      <c r="J250">
        <f t="shared" si="83"/>
        <v>221730000</v>
      </c>
      <c r="K250">
        <f t="shared" si="84"/>
        <v>240510000</v>
      </c>
      <c r="L250">
        <f t="shared" si="85"/>
        <v>257720000.00000003</v>
      </c>
      <c r="M250">
        <f t="shared" si="86"/>
        <v>98660000</v>
      </c>
      <c r="N250">
        <f t="shared" si="87"/>
        <v>71940000</v>
      </c>
      <c r="P250">
        <f t="shared" si="58"/>
        <v>257720000.00000003</v>
      </c>
      <c r="Q250">
        <f>IFERROR(J144+MATCH(P250,J250:N250,0)-1,"")</f>
        <v>2014</v>
      </c>
      <c r="R250">
        <f t="shared" si="59"/>
        <v>71940000</v>
      </c>
      <c r="S250">
        <f>IFERROR(J144+MATCH(R250,J250:N250,0)-1,"")</f>
        <v>2016</v>
      </c>
      <c r="T250">
        <f t="shared" si="60"/>
        <v>178112000</v>
      </c>
      <c r="U250">
        <f t="shared" si="61"/>
        <v>86195399.935263366</v>
      </c>
      <c r="V250">
        <f t="shared" si="62"/>
        <v>0.50603628537902356</v>
      </c>
      <c r="W250">
        <f t="shared" si="63"/>
        <v>0.72391334162685839</v>
      </c>
      <c r="X250">
        <f t="shared" si="64"/>
        <v>0.92357596878475223</v>
      </c>
      <c r="Y250">
        <f t="shared" si="65"/>
        <v>-0.92176612742294872</v>
      </c>
      <c r="Z250">
        <f t="shared" si="66"/>
        <v>-1.2317594683676851</v>
      </c>
      <c r="AA250">
        <f t="shared" si="67"/>
        <v>-1.2317594683676851</v>
      </c>
      <c r="AB250">
        <f>IFERROR(V144+MATCH(AA250,V250:Z250,0)-1,"")</f>
        <v>2016</v>
      </c>
      <c r="AC250" t="str">
        <f t="shared" si="68"/>
        <v>Low</v>
      </c>
      <c r="AE250">
        <f>IF(ISNUMBER(MATCH("N/A",J250:N250,0)),"",IFERROR((5 * SUMPRODUCT(J144:N144,J250:N250) - PRODUCT(SUM(J144:N144),SUM(J250:N250))) / ((5 * SUM((J144^2)+(K144^2)+(L144^2)+(M144^2)+(N144^2))) - SUM(J144:N144)^2),""))</f>
        <v>-44143000</v>
      </c>
      <c r="AF250">
        <f>IFERROR(CORREL(J144:N144,J250:N250),"")</f>
        <v>-0.80974404003956668</v>
      </c>
      <c r="AZ250">
        <f t="shared" si="69"/>
        <v>1</v>
      </c>
      <c r="BA250" t="str">
        <f>IF(AZ250=1,IF(Q250="","",IF(Q250=N144,"Yes","No")),"")</f>
        <v>No</v>
      </c>
      <c r="BB250" t="str">
        <f t="shared" si="70"/>
        <v/>
      </c>
      <c r="BC250" t="str">
        <f>IF(AZ250=1,IF(S250="","",IF(S250=N144,"Yes","No")),"")</f>
        <v>Yes</v>
      </c>
      <c r="BD250">
        <f t="shared" si="71"/>
        <v>71940000</v>
      </c>
      <c r="BE250" t="str">
        <f t="shared" si="72"/>
        <v>Decreasing</v>
      </c>
      <c r="BF250" t="str">
        <f t="shared" si="73"/>
        <v>Yes</v>
      </c>
      <c r="BG250" t="str">
        <f t="shared" si="74"/>
        <v>No</v>
      </c>
      <c r="BH250" t="str">
        <f t="shared" si="75"/>
        <v>Yes</v>
      </c>
    </row>
    <row r="251" spans="1:60" x14ac:dyDescent="0.3">
      <c r="A251" s="1">
        <v>4</v>
      </c>
      <c r="B251" t="s">
        <v>636</v>
      </c>
      <c r="C251" t="s">
        <v>264</v>
      </c>
      <c r="D251" t="s">
        <v>637</v>
      </c>
      <c r="E251" t="s">
        <v>638</v>
      </c>
      <c r="F251" t="s">
        <v>639</v>
      </c>
      <c r="G251" t="s">
        <v>640</v>
      </c>
      <c r="I251" t="str">
        <f t="shared" si="82"/>
        <v>N/A</v>
      </c>
      <c r="J251" t="str">
        <f t="shared" si="83"/>
        <v>N/A</v>
      </c>
      <c r="K251">
        <f t="shared" si="84"/>
        <v>8.4700000000000011E-2</v>
      </c>
      <c r="L251">
        <f t="shared" si="85"/>
        <v>7.1599999999999997E-2</v>
      </c>
      <c r="M251">
        <f t="shared" si="86"/>
        <v>-0.61719999999999997</v>
      </c>
      <c r="N251">
        <f t="shared" si="87"/>
        <v>-0.27079999999999999</v>
      </c>
      <c r="P251">
        <f t="shared" si="58"/>
        <v>8.4700000000000011E-2</v>
      </c>
      <c r="Q251">
        <f>IFERROR(J144+MATCH(P251,J251:N251,0)-1,"")</f>
        <v>2013</v>
      </c>
      <c r="R251">
        <f t="shared" si="59"/>
        <v>-0.61719999999999997</v>
      </c>
      <c r="S251">
        <f>IFERROR(J144+MATCH(R251,J251:N251,0)-1,"")</f>
        <v>2015</v>
      </c>
      <c r="T251">
        <f t="shared" si="60"/>
        <v>-0.182925</v>
      </c>
      <c r="U251">
        <f t="shared" si="61"/>
        <v>0.33302798055618893</v>
      </c>
      <c r="V251" t="str">
        <f t="shared" si="62"/>
        <v/>
      </c>
      <c r="W251">
        <f t="shared" si="63"/>
        <v>0.80361115469348965</v>
      </c>
      <c r="X251">
        <f t="shared" si="64"/>
        <v>0.7642751205917252</v>
      </c>
      <c r="Y251">
        <f t="shared" si="65"/>
        <v>-1.3040195579804397</v>
      </c>
      <c r="Z251">
        <f t="shared" si="66"/>
        <v>-0.2638667173047749</v>
      </c>
      <c r="AA251">
        <f t="shared" si="67"/>
        <v>-1.3040195579804397</v>
      </c>
      <c r="AB251">
        <f>IFERROR(V144+MATCH(AA251,V251:Z251,0)-1,"")</f>
        <v>2015</v>
      </c>
      <c r="AC251" t="str">
        <f t="shared" si="68"/>
        <v>Low</v>
      </c>
      <c r="AE251" t="str">
        <f>IF(ISNUMBER(MATCH("N/A",J251:N251,0)),"",IFERROR((5 * SUMPRODUCT(J144:N144,J251:N251) - PRODUCT(SUM(J144:N144),SUM(J251:N251))) / ((5 * SUM((J144^2)+(K144^2)+(L144^2)+(M144^2)+(N144^2))) - SUM(J144:N144)^2),""))</f>
        <v/>
      </c>
      <c r="AF251">
        <f>IFERROR(CORREL(J144:N144,J251:N251),"")</f>
        <v>-0.6804480969080684</v>
      </c>
      <c r="AZ251">
        <f t="shared" si="69"/>
        <v>1</v>
      </c>
      <c r="BA251" t="str">
        <f>IF(AZ251=1,IF(Q251="","",IF(Q251=N144,"Yes","No")),"")</f>
        <v>No</v>
      </c>
      <c r="BB251" t="str">
        <f t="shared" si="70"/>
        <v/>
      </c>
      <c r="BC251" t="str">
        <f>IF(AZ251=1,IF(S251="","",IF(S251=N144,"Yes","No")),"")</f>
        <v>No</v>
      </c>
      <c r="BD251" t="str">
        <f t="shared" si="71"/>
        <v/>
      </c>
      <c r="BE251" t="str">
        <f t="shared" si="72"/>
        <v/>
      </c>
      <c r="BF251" t="str">
        <f t="shared" si="73"/>
        <v>No</v>
      </c>
      <c r="BG251" t="str">
        <f t="shared" si="74"/>
        <v>No</v>
      </c>
      <c r="BH251" t="str">
        <f t="shared" si="75"/>
        <v>No</v>
      </c>
    </row>
    <row r="252" spans="1:60" x14ac:dyDescent="0.3">
      <c r="A252" s="1">
        <v>5</v>
      </c>
      <c r="B252" t="s">
        <v>641</v>
      </c>
      <c r="C252" t="s">
        <v>264</v>
      </c>
      <c r="D252" t="s">
        <v>264</v>
      </c>
      <c r="E252" t="s">
        <v>264</v>
      </c>
      <c r="F252" t="s">
        <v>642</v>
      </c>
      <c r="G252" t="s">
        <v>643</v>
      </c>
      <c r="I252" t="str">
        <f t="shared" si="82"/>
        <v>N/A</v>
      </c>
      <c r="J252" t="str">
        <f t="shared" si="83"/>
        <v>N/A</v>
      </c>
      <c r="K252" t="str">
        <f t="shared" si="84"/>
        <v>N/A</v>
      </c>
      <c r="L252" t="str">
        <f t="shared" si="85"/>
        <v>N/A</v>
      </c>
      <c r="M252">
        <f t="shared" si="86"/>
        <v>32950000.000000004</v>
      </c>
      <c r="N252">
        <f t="shared" si="87"/>
        <v>32990000.000000004</v>
      </c>
      <c r="P252">
        <f t="shared" si="58"/>
        <v>32990000.000000004</v>
      </c>
      <c r="Q252">
        <f>IFERROR(J144+MATCH(P252,J252:N252,0)-1,"")</f>
        <v>2016</v>
      </c>
      <c r="R252">
        <f t="shared" si="59"/>
        <v>32950000.000000004</v>
      </c>
      <c r="S252">
        <f>IFERROR(J144+MATCH(R252,J252:N252,0)-1,"")</f>
        <v>2015</v>
      </c>
      <c r="T252">
        <f t="shared" si="60"/>
        <v>32970000.000000004</v>
      </c>
      <c r="U252">
        <f t="shared" si="61"/>
        <v>28284.2712474619</v>
      </c>
      <c r="V252" t="str">
        <f t="shared" si="62"/>
        <v/>
      </c>
      <c r="W252" t="str">
        <f t="shared" si="63"/>
        <v/>
      </c>
      <c r="X252" t="str">
        <f t="shared" si="64"/>
        <v/>
      </c>
      <c r="Y252">
        <f t="shared" si="65"/>
        <v>-0.70710678118654757</v>
      </c>
      <c r="Z252">
        <f t="shared" si="66"/>
        <v>0.70710678118654757</v>
      </c>
      <c r="AA252">
        <f t="shared" si="67"/>
        <v>-0.70710678118654757</v>
      </c>
      <c r="AB252">
        <f>IFERROR(V144+MATCH(AA252,V252:Z252,0)-1,"")</f>
        <v>2015</v>
      </c>
      <c r="AC252" t="str">
        <f t="shared" si="68"/>
        <v>Low</v>
      </c>
      <c r="AE252" t="str">
        <f>IF(ISNUMBER(MATCH("N/A",J252:N252,0)),"",IFERROR((5 * SUMPRODUCT(J144:N144,J252:N252) - PRODUCT(SUM(J144:N144),SUM(J252:N252))) / ((5 * SUM((J144^2)+(K144^2)+(L144^2)+(M144^2)+(N144^2))) - SUM(J144:N144)^2),""))</f>
        <v/>
      </c>
      <c r="AF252">
        <f>IFERROR(CORREL(J144:N144,J252:N252),"")</f>
        <v>1</v>
      </c>
      <c r="AZ252">
        <f t="shared" si="69"/>
        <v>1</v>
      </c>
      <c r="BA252" t="str">
        <f>IF(AZ252=1,IF(Q252="","",IF(Q252=N144,"Yes","No")),"")</f>
        <v>Yes</v>
      </c>
      <c r="BB252">
        <f t="shared" si="70"/>
        <v>32990000.000000004</v>
      </c>
      <c r="BC252" t="str">
        <f>IF(AZ252=1,IF(S252="","",IF(S252=N144,"Yes","No")),"")</f>
        <v>No</v>
      </c>
      <c r="BD252" t="str">
        <f t="shared" si="71"/>
        <v/>
      </c>
      <c r="BE252" t="str">
        <f t="shared" si="72"/>
        <v/>
      </c>
      <c r="BF252" t="str">
        <f t="shared" si="73"/>
        <v>No</v>
      </c>
      <c r="BG252" t="str">
        <f t="shared" si="74"/>
        <v>No</v>
      </c>
      <c r="BH252" t="str">
        <f t="shared" si="75"/>
        <v>Yes</v>
      </c>
    </row>
    <row r="253" spans="1:60" x14ac:dyDescent="0.3">
      <c r="A253" s="1">
        <v>6</v>
      </c>
      <c r="B253" t="s">
        <v>644</v>
      </c>
      <c r="C253" t="s">
        <v>645</v>
      </c>
      <c r="D253" t="s">
        <v>646</v>
      </c>
      <c r="E253" t="s">
        <v>647</v>
      </c>
      <c r="F253" t="s">
        <v>648</v>
      </c>
      <c r="G253" t="s">
        <v>649</v>
      </c>
      <c r="I253" t="str">
        <f t="shared" si="82"/>
        <v>N/A</v>
      </c>
      <c r="J253">
        <f t="shared" si="83"/>
        <v>49820000</v>
      </c>
      <c r="K253">
        <f t="shared" si="84"/>
        <v>77040000</v>
      </c>
      <c r="L253">
        <f t="shared" si="85"/>
        <v>100970000</v>
      </c>
      <c r="M253">
        <f t="shared" si="86"/>
        <v>216800000</v>
      </c>
      <c r="N253">
        <f t="shared" si="87"/>
        <v>192840000</v>
      </c>
      <c r="P253">
        <f t="shared" si="58"/>
        <v>216800000</v>
      </c>
      <c r="Q253">
        <f>IFERROR(J144+MATCH(P253,J253:N253,0)-1,"")</f>
        <v>2015</v>
      </c>
      <c r="R253">
        <f t="shared" si="59"/>
        <v>49820000</v>
      </c>
      <c r="S253">
        <f>IFERROR(J144+MATCH(R253,J253:N253,0)-1,"")</f>
        <v>2012</v>
      </c>
      <c r="T253">
        <f t="shared" si="60"/>
        <v>127494000</v>
      </c>
      <c r="U253">
        <f t="shared" si="61"/>
        <v>73362184.264101624</v>
      </c>
      <c r="V253">
        <f t="shared" si="62"/>
        <v>-1.0587743641925378</v>
      </c>
      <c r="W253">
        <f t="shared" si="63"/>
        <v>-0.68773851959433407</v>
      </c>
      <c r="X253">
        <f t="shared" si="64"/>
        <v>-0.36154866796924162</v>
      </c>
      <c r="Y253">
        <f t="shared" si="65"/>
        <v>1.2173301667041583</v>
      </c>
      <c r="Z253">
        <f t="shared" si="66"/>
        <v>0.89073138505195526</v>
      </c>
      <c r="AA253">
        <f t="shared" si="67"/>
        <v>1.2173301667041583</v>
      </c>
      <c r="AB253">
        <f>IFERROR(V144+MATCH(AA253,V253:Z253,0)-1,"")</f>
        <v>2015</v>
      </c>
      <c r="AC253" t="str">
        <f t="shared" si="68"/>
        <v>High</v>
      </c>
      <c r="AE253">
        <f>IF(ISNUMBER(MATCH("N/A",J253:N253,0)),"",IFERROR((5 * SUMPRODUCT(J144:N144,J253:N253) - PRODUCT(SUM(J144:N144),SUM(J253:N253))) / ((5 * SUM((J144^2)+(K144^2)+(L144^2)+(M144^2)+(N144^2))) - SUM(J144:N144)^2),""))</f>
        <v>42580000</v>
      </c>
      <c r="AF253">
        <f>IFERROR(CORREL(J144:N144,J253:N253),"")</f>
        <v>0.91770565530896997</v>
      </c>
      <c r="AZ253">
        <f t="shared" si="69"/>
        <v>1</v>
      </c>
      <c r="BA253" t="str">
        <f>IF(AZ253=1,IF(Q253="","",IF(Q253=N144,"Yes","No")),"")</f>
        <v>No</v>
      </c>
      <c r="BB253" t="str">
        <f t="shared" si="70"/>
        <v/>
      </c>
      <c r="BC253" t="str">
        <f>IF(AZ253=1,IF(S253="","",IF(S253=N144,"Yes","No")),"")</f>
        <v>No</v>
      </c>
      <c r="BD253" t="str">
        <f t="shared" si="71"/>
        <v/>
      </c>
      <c r="BE253" t="str">
        <f t="shared" si="72"/>
        <v>Increasing</v>
      </c>
      <c r="BF253" t="str">
        <f t="shared" si="73"/>
        <v>No</v>
      </c>
      <c r="BG253" t="str">
        <f t="shared" si="74"/>
        <v>No</v>
      </c>
      <c r="BH253" t="str">
        <f t="shared" si="75"/>
        <v>Yes</v>
      </c>
    </row>
    <row r="254" spans="1:60" x14ac:dyDescent="0.3">
      <c r="A254" s="1">
        <v>7</v>
      </c>
      <c r="B254" t="s">
        <v>650</v>
      </c>
      <c r="C254" t="s">
        <v>264</v>
      </c>
      <c r="D254" t="s">
        <v>264</v>
      </c>
      <c r="E254" t="s">
        <v>264</v>
      </c>
      <c r="F254" t="s">
        <v>264</v>
      </c>
      <c r="G254" t="s">
        <v>264</v>
      </c>
      <c r="I254" t="str">
        <f t="shared" si="82"/>
        <v>N/A</v>
      </c>
      <c r="J254" t="str">
        <f t="shared" si="83"/>
        <v>N/A</v>
      </c>
      <c r="K254" t="str">
        <f t="shared" si="84"/>
        <v>N/A</v>
      </c>
      <c r="L254" t="str">
        <f t="shared" si="85"/>
        <v>N/A</v>
      </c>
      <c r="M254" t="str">
        <f t="shared" si="86"/>
        <v>N/A</v>
      </c>
      <c r="N254" t="str">
        <f t="shared" si="87"/>
        <v>N/A</v>
      </c>
      <c r="P254">
        <f t="shared" si="58"/>
        <v>0</v>
      </c>
      <c r="Q254" t="str">
        <f>IFERROR(J144+MATCH(P254,J254:N254,0)-1,"")</f>
        <v/>
      </c>
      <c r="R254" t="str">
        <f t="shared" si="59"/>
        <v/>
      </c>
      <c r="S254" t="str">
        <f>IFERROR(J144+MATCH(R254,J254:N254,0)-1,"")</f>
        <v/>
      </c>
      <c r="T254" t="str">
        <f t="shared" si="60"/>
        <v/>
      </c>
      <c r="U254" t="str">
        <f t="shared" si="61"/>
        <v/>
      </c>
      <c r="V254" t="str">
        <f t="shared" si="62"/>
        <v/>
      </c>
      <c r="W254" t="str">
        <f t="shared" si="63"/>
        <v/>
      </c>
      <c r="X254" t="str">
        <f t="shared" si="64"/>
        <v/>
      </c>
      <c r="Y254" t="str">
        <f t="shared" si="65"/>
        <v/>
      </c>
      <c r="Z254" t="str">
        <f t="shared" si="66"/>
        <v/>
      </c>
      <c r="AA254">
        <f t="shared" si="67"/>
        <v>0</v>
      </c>
      <c r="AB254" t="str">
        <f>IFERROR(V144+MATCH(AA254,V254:Z254,0)-1,"")</f>
        <v/>
      </c>
      <c r="AC254" t="str">
        <f t="shared" si="68"/>
        <v/>
      </c>
      <c r="AE254" t="str">
        <f>IF(ISNUMBER(MATCH("N/A",J254:N254,0)),"",IFERROR((5 * SUMPRODUCT(J144:N144,J254:N254) - PRODUCT(SUM(J144:N144),SUM(J254:N254))) / ((5 * SUM((J144^2)+(K144^2)+(L144^2)+(M144^2)+(N144^2))) - SUM(J144:N144)^2),""))</f>
        <v/>
      </c>
      <c r="AF254" t="str">
        <f>IFERROR(CORREL(J144:N144,J254:N254),"")</f>
        <v/>
      </c>
      <c r="AZ254">
        <f t="shared" si="69"/>
        <v>0</v>
      </c>
      <c r="BA254" t="str">
        <f>IF(AZ254=1,IF(Q254="","",IF(Q254=N144,"Yes","No")),"")</f>
        <v/>
      </c>
      <c r="BB254" t="str">
        <f t="shared" si="70"/>
        <v/>
      </c>
      <c r="BC254" t="str">
        <f>IF(AZ254=1,IF(S254="","",IF(S254=N144,"Yes","No")),"")</f>
        <v/>
      </c>
      <c r="BD254" t="str">
        <f t="shared" si="71"/>
        <v/>
      </c>
      <c r="BE254" t="str">
        <f t="shared" si="72"/>
        <v/>
      </c>
      <c r="BF254" t="str">
        <f t="shared" si="73"/>
        <v>No</v>
      </c>
      <c r="BG254" t="str">
        <f t="shared" si="74"/>
        <v>No</v>
      </c>
      <c r="BH254" t="str">
        <f t="shared" si="75"/>
        <v/>
      </c>
    </row>
    <row r="255" spans="1:60" x14ac:dyDescent="0.3">
      <c r="A255" s="1">
        <v>8</v>
      </c>
      <c r="B255" t="s">
        <v>651</v>
      </c>
      <c r="C255" t="s">
        <v>264</v>
      </c>
      <c r="D255" t="s">
        <v>264</v>
      </c>
      <c r="E255" t="s">
        <v>264</v>
      </c>
      <c r="F255" t="s">
        <v>652</v>
      </c>
      <c r="G255" t="s">
        <v>653</v>
      </c>
      <c r="I255" t="str">
        <f t="shared" si="82"/>
        <v>N/A</v>
      </c>
      <c r="J255" t="str">
        <f t="shared" si="83"/>
        <v>N/A</v>
      </c>
      <c r="K255" t="str">
        <f t="shared" si="84"/>
        <v>N/A</v>
      </c>
      <c r="L255" t="str">
        <f t="shared" si="85"/>
        <v>N/A</v>
      </c>
      <c r="M255">
        <f t="shared" si="86"/>
        <v>59540000</v>
      </c>
      <c r="N255">
        <f t="shared" si="87"/>
        <v>53610000</v>
      </c>
      <c r="P255">
        <f t="shared" si="58"/>
        <v>59540000</v>
      </c>
      <c r="Q255">
        <f>IFERROR(J144+MATCH(P255,J255:N255,0)-1,"")</f>
        <v>2015</v>
      </c>
      <c r="R255">
        <f t="shared" si="59"/>
        <v>53610000</v>
      </c>
      <c r="S255">
        <f>IFERROR(J144+MATCH(R255,J255:N255,0)-1,"")</f>
        <v>2016</v>
      </c>
      <c r="T255">
        <f t="shared" si="60"/>
        <v>56575000</v>
      </c>
      <c r="U255">
        <f t="shared" si="61"/>
        <v>4193143.2124362267</v>
      </c>
      <c r="V255" t="str">
        <f t="shared" si="62"/>
        <v/>
      </c>
      <c r="W255" t="str">
        <f t="shared" si="63"/>
        <v/>
      </c>
      <c r="X255" t="str">
        <f t="shared" si="64"/>
        <v/>
      </c>
      <c r="Y255">
        <f t="shared" si="65"/>
        <v>0.70710678118654757</v>
      </c>
      <c r="Z255">
        <f t="shared" si="66"/>
        <v>-0.70710678118654757</v>
      </c>
      <c r="AA255">
        <f t="shared" si="67"/>
        <v>-0.70710678118654757</v>
      </c>
      <c r="AB255">
        <f>IFERROR(V144+MATCH(AA255,V255:Z255,0)-1,"")</f>
        <v>2016</v>
      </c>
      <c r="AC255" t="str">
        <f t="shared" si="68"/>
        <v>Low</v>
      </c>
      <c r="AE255" t="str">
        <f>IF(ISNUMBER(MATCH("N/A",J255:N255,0)),"",IFERROR((5 * SUMPRODUCT(J144:N144,J255:N255) - PRODUCT(SUM(J144:N144),SUM(J255:N255))) / ((5 * SUM((J144^2)+(K144^2)+(L144^2)+(M144^2)+(N144^2))) - SUM(J144:N144)^2),""))</f>
        <v/>
      </c>
      <c r="AF255">
        <f>IFERROR(CORREL(J144:N144,J255:N255),"")</f>
        <v>-1</v>
      </c>
      <c r="AZ255">
        <f t="shared" si="69"/>
        <v>1</v>
      </c>
      <c r="BA255" t="str">
        <f>IF(AZ255=1,IF(Q255="","",IF(Q255=N144,"Yes","No")),"")</f>
        <v>No</v>
      </c>
      <c r="BB255" t="str">
        <f t="shared" si="70"/>
        <v/>
      </c>
      <c r="BC255" t="str">
        <f>IF(AZ255=1,IF(S255="","",IF(S255=N144,"Yes","No")),"")</f>
        <v>Yes</v>
      </c>
      <c r="BD255">
        <f t="shared" si="71"/>
        <v>53610000</v>
      </c>
      <c r="BE255" t="str">
        <f t="shared" si="72"/>
        <v/>
      </c>
      <c r="BF255" t="str">
        <f t="shared" si="73"/>
        <v>No</v>
      </c>
      <c r="BG255" t="str">
        <f t="shared" si="74"/>
        <v>No</v>
      </c>
      <c r="BH255" t="str">
        <f t="shared" si="75"/>
        <v>Yes</v>
      </c>
    </row>
    <row r="256" spans="1:60" x14ac:dyDescent="0.3">
      <c r="A256" s="1">
        <v>9</v>
      </c>
      <c r="B256" t="s">
        <v>654</v>
      </c>
      <c r="C256" t="s">
        <v>645</v>
      </c>
      <c r="D256" t="s">
        <v>646</v>
      </c>
      <c r="E256" t="s">
        <v>647</v>
      </c>
      <c r="F256" t="s">
        <v>655</v>
      </c>
      <c r="G256" t="s">
        <v>656</v>
      </c>
      <c r="I256" t="str">
        <f t="shared" si="82"/>
        <v>N/A</v>
      </c>
      <c r="J256">
        <f t="shared" si="83"/>
        <v>49820000</v>
      </c>
      <c r="K256">
        <f t="shared" si="84"/>
        <v>77040000</v>
      </c>
      <c r="L256">
        <f t="shared" si="85"/>
        <v>100970000</v>
      </c>
      <c r="M256">
        <f t="shared" si="86"/>
        <v>157260000</v>
      </c>
      <c r="N256">
        <f t="shared" si="87"/>
        <v>139230000</v>
      </c>
      <c r="P256">
        <f t="shared" si="58"/>
        <v>157260000</v>
      </c>
      <c r="Q256">
        <f>IFERROR(J144+MATCH(P256,J256:N256,0)-1,"")</f>
        <v>2015</v>
      </c>
      <c r="R256">
        <f t="shared" si="59"/>
        <v>49820000</v>
      </c>
      <c r="S256">
        <f>IFERROR(J144+MATCH(R256,J256:N256,0)-1,"")</f>
        <v>2012</v>
      </c>
      <c r="T256">
        <f t="shared" si="60"/>
        <v>104864000</v>
      </c>
      <c r="U256">
        <f t="shared" si="61"/>
        <v>44004383.07714358</v>
      </c>
      <c r="V256">
        <f t="shared" si="62"/>
        <v>-1.2508753935602959</v>
      </c>
      <c r="W256">
        <f t="shared" si="63"/>
        <v>-0.63230064948807629</v>
      </c>
      <c r="X256">
        <f t="shared" si="64"/>
        <v>-8.8491184916136043E-2</v>
      </c>
      <c r="Y256">
        <f t="shared" si="65"/>
        <v>1.1906995698166061</v>
      </c>
      <c r="Z256">
        <f t="shared" si="66"/>
        <v>0.78096765814790226</v>
      </c>
      <c r="AA256">
        <f t="shared" si="67"/>
        <v>-1.2508753935602959</v>
      </c>
      <c r="AB256">
        <f>IFERROR(V144+MATCH(AA256,V256:Z256,0)-1,"")</f>
        <v>2012</v>
      </c>
      <c r="AC256" t="str">
        <f t="shared" si="68"/>
        <v>Low</v>
      </c>
      <c r="AE256">
        <f>IF(ISNUMBER(MATCH("N/A",J256:N256,0)),"",IFERROR((5 * SUMPRODUCT(J144:N144,J256:N256) - PRODUCT(SUM(J144:N144),SUM(J256:N256))) / ((5 * SUM((J144^2)+(K144^2)+(L144^2)+(M144^2)+(N144^2))) - SUM(J144:N144)^2),""))</f>
        <v>25904000</v>
      </c>
      <c r="AF256">
        <f>IFERROR(CORREL(J144:N144,J256:N256),"")</f>
        <v>0.93076683253798065</v>
      </c>
      <c r="AZ256">
        <f t="shared" si="69"/>
        <v>1</v>
      </c>
      <c r="BA256" t="str">
        <f>IF(AZ256=1,IF(Q256="","",IF(Q256=N144,"Yes","No")),"")</f>
        <v>No</v>
      </c>
      <c r="BB256" t="str">
        <f t="shared" si="70"/>
        <v/>
      </c>
      <c r="BC256" t="str">
        <f>IF(AZ256=1,IF(S256="","",IF(S256=N144,"Yes","No")),"")</f>
        <v>No</v>
      </c>
      <c r="BD256" t="str">
        <f t="shared" si="71"/>
        <v/>
      </c>
      <c r="BE256" t="str">
        <f t="shared" si="72"/>
        <v>Increasing</v>
      </c>
      <c r="BF256" t="str">
        <f t="shared" si="73"/>
        <v>No</v>
      </c>
      <c r="BG256" t="str">
        <f t="shared" si="74"/>
        <v>No</v>
      </c>
      <c r="BH256" t="str">
        <f t="shared" si="75"/>
        <v>Yes</v>
      </c>
    </row>
    <row r="257" spans="1:60" x14ac:dyDescent="0.3">
      <c r="A257" s="1">
        <v>10</v>
      </c>
      <c r="B257" t="s">
        <v>657</v>
      </c>
      <c r="C257" t="s">
        <v>658</v>
      </c>
      <c r="D257" t="s">
        <v>659</v>
      </c>
      <c r="E257" t="s">
        <v>660</v>
      </c>
      <c r="F257" t="s">
        <v>661</v>
      </c>
      <c r="G257" t="s">
        <v>662</v>
      </c>
      <c r="I257" t="str">
        <f t="shared" si="82"/>
        <v>N/A</v>
      </c>
      <c r="J257">
        <f t="shared" si="83"/>
        <v>273310000</v>
      </c>
      <c r="K257">
        <f t="shared" si="84"/>
        <v>345080000</v>
      </c>
      <c r="L257">
        <f t="shared" si="85"/>
        <v>358690000</v>
      </c>
      <c r="M257">
        <f t="shared" si="86"/>
        <v>504650000</v>
      </c>
      <c r="N257">
        <f t="shared" si="87"/>
        <v>444280000</v>
      </c>
      <c r="P257">
        <f t="shared" si="58"/>
        <v>504650000</v>
      </c>
      <c r="Q257">
        <f>IFERROR(J144+MATCH(P257,J257:N257,0)-1,"")</f>
        <v>2015</v>
      </c>
      <c r="R257">
        <f t="shared" si="59"/>
        <v>273310000</v>
      </c>
      <c r="S257">
        <f>IFERROR(J144+MATCH(R257,J257:N257,0)-1,"")</f>
        <v>2012</v>
      </c>
      <c r="T257">
        <f t="shared" si="60"/>
        <v>385202000</v>
      </c>
      <c r="U257">
        <f t="shared" si="61"/>
        <v>90264216.996548533</v>
      </c>
      <c r="V257">
        <f t="shared" si="62"/>
        <v>-1.239605280177398</v>
      </c>
      <c r="W257">
        <f t="shared" si="63"/>
        <v>-0.44449507606689992</v>
      </c>
      <c r="X257">
        <f t="shared" si="64"/>
        <v>-0.29371550412954617</v>
      </c>
      <c r="Y257">
        <f t="shared" si="65"/>
        <v>1.3233150851412956</v>
      </c>
      <c r="Z257">
        <f t="shared" si="66"/>
        <v>0.65450077523254857</v>
      </c>
      <c r="AA257">
        <f t="shared" si="67"/>
        <v>1.3233150851412956</v>
      </c>
      <c r="AB257">
        <f>IFERROR(V144+MATCH(AA257,V257:Z257,0)-1,"")</f>
        <v>2015</v>
      </c>
      <c r="AC257" t="str">
        <f t="shared" si="68"/>
        <v>High</v>
      </c>
      <c r="AE257">
        <f>IF(ISNUMBER(MATCH("N/A",J257:N257,0)),"",IFERROR((5 * SUMPRODUCT(J144:N144,J257:N257) - PRODUCT(SUM(J144:N144),SUM(J257:N257))) / ((5 * SUM((J144^2)+(K144^2)+(L144^2)+(M144^2)+(N144^2))) - SUM(J144:N144)^2),""))</f>
        <v>50151000</v>
      </c>
      <c r="AF257">
        <f>IFERROR(CORREL(J144:N144,J257:N257),"")</f>
        <v>0.87848425551161935</v>
      </c>
      <c r="AZ257">
        <f t="shared" si="69"/>
        <v>1</v>
      </c>
      <c r="BA257" t="str">
        <f>IF(AZ257=1,IF(Q257="","",IF(Q257=N144,"Yes","No")),"")</f>
        <v>No</v>
      </c>
      <c r="BB257" t="str">
        <f t="shared" si="70"/>
        <v/>
      </c>
      <c r="BC257" t="str">
        <f>IF(AZ257=1,IF(S257="","",IF(S257=N144,"Yes","No")),"")</f>
        <v>No</v>
      </c>
      <c r="BD257" t="str">
        <f t="shared" si="71"/>
        <v/>
      </c>
      <c r="BE257" t="str">
        <f t="shared" si="72"/>
        <v>Increasing</v>
      </c>
      <c r="BF257" t="str">
        <f t="shared" si="73"/>
        <v>No</v>
      </c>
      <c r="BG257" t="str">
        <f t="shared" si="74"/>
        <v>No</v>
      </c>
      <c r="BH257" t="str">
        <f t="shared" si="75"/>
        <v>Yes</v>
      </c>
    </row>
    <row r="258" spans="1:60" x14ac:dyDescent="0.3">
      <c r="A258" s="1">
        <v>11</v>
      </c>
      <c r="B258" t="s">
        <v>663</v>
      </c>
      <c r="C258" t="s">
        <v>664</v>
      </c>
      <c r="D258" t="s">
        <v>665</v>
      </c>
      <c r="E258" t="s">
        <v>666</v>
      </c>
      <c r="F258" t="s">
        <v>667</v>
      </c>
      <c r="G258" t="s">
        <v>668</v>
      </c>
      <c r="I258" t="str">
        <f t="shared" si="82"/>
        <v>N/A</v>
      </c>
      <c r="J258">
        <f t="shared" si="83"/>
        <v>139770000</v>
      </c>
      <c r="K258">
        <f t="shared" si="84"/>
        <v>115180000</v>
      </c>
      <c r="L258">
        <f t="shared" si="85"/>
        <v>606080000</v>
      </c>
      <c r="M258">
        <f t="shared" si="86"/>
        <v>450510000</v>
      </c>
      <c r="N258">
        <f t="shared" si="87"/>
        <v>351310000</v>
      </c>
      <c r="P258">
        <f t="shared" si="58"/>
        <v>606080000</v>
      </c>
      <c r="Q258">
        <f>IFERROR(J144+MATCH(P258,J258:N258,0)-1,"")</f>
        <v>2014</v>
      </c>
      <c r="R258">
        <f t="shared" si="59"/>
        <v>115180000</v>
      </c>
      <c r="S258">
        <f>IFERROR(J144+MATCH(R258,J258:N258,0)-1,"")</f>
        <v>2013</v>
      </c>
      <c r="T258">
        <f t="shared" si="60"/>
        <v>332570000</v>
      </c>
      <c r="U258">
        <f t="shared" si="61"/>
        <v>208266057.84428728</v>
      </c>
      <c r="V258">
        <f t="shared" si="62"/>
        <v>-0.92573894179218263</v>
      </c>
      <c r="W258">
        <f t="shared" si="63"/>
        <v>-1.0438090692749096</v>
      </c>
      <c r="X258">
        <f t="shared" si="64"/>
        <v>1.3132720849044599</v>
      </c>
      <c r="Y258">
        <f t="shared" si="65"/>
        <v>0.56629486926851669</v>
      </c>
      <c r="Z258">
        <f t="shared" si="66"/>
        <v>8.9981056894115674E-2</v>
      </c>
      <c r="AA258">
        <f t="shared" si="67"/>
        <v>1.3132720849044599</v>
      </c>
      <c r="AB258">
        <f>IFERROR(V144+MATCH(AA258,V258:Z258,0)-1,"")</f>
        <v>2014</v>
      </c>
      <c r="AC258" t="str">
        <f t="shared" si="68"/>
        <v>High</v>
      </c>
      <c r="AE258">
        <f>IF(ISNUMBER(MATCH("N/A",J258:N258,0)),"",IFERROR((5 * SUMPRODUCT(J144:N144,J258:N258) - PRODUCT(SUM(J144:N144),SUM(J258:N258))) / ((5 * SUM((J144^2)+(K144^2)+(L144^2)+(M144^2)+(N144^2))) - SUM(J144:N144)^2),""))</f>
        <v>75841000</v>
      </c>
      <c r="AF258">
        <f>IFERROR(CORREL(J144:N144,J258:N258),"")</f>
        <v>0.57577865185344357</v>
      </c>
      <c r="AZ258">
        <f t="shared" si="69"/>
        <v>1</v>
      </c>
      <c r="BA258" t="str">
        <f>IF(AZ258=1,IF(Q258="","",IF(Q258=N144,"Yes","No")),"")</f>
        <v>No</v>
      </c>
      <c r="BB258" t="str">
        <f t="shared" si="70"/>
        <v/>
      </c>
      <c r="BC258" t="str">
        <f>IF(AZ258=1,IF(S258="","",IF(S258=N144,"Yes","No")),"")</f>
        <v>No</v>
      </c>
      <c r="BD258" t="str">
        <f t="shared" si="71"/>
        <v/>
      </c>
      <c r="BE258" t="str">
        <f t="shared" si="72"/>
        <v>Increasing</v>
      </c>
      <c r="BF258" t="str">
        <f t="shared" si="73"/>
        <v>No</v>
      </c>
      <c r="BG258" t="str">
        <f t="shared" si="74"/>
        <v>No</v>
      </c>
      <c r="BH258" t="str">
        <f t="shared" si="75"/>
        <v>No</v>
      </c>
    </row>
    <row r="259" spans="1:60" x14ac:dyDescent="0.3">
      <c r="A259" s="1">
        <v>12</v>
      </c>
      <c r="B259" t="s">
        <v>669</v>
      </c>
      <c r="C259" t="s">
        <v>670</v>
      </c>
      <c r="D259" t="s">
        <v>671</v>
      </c>
      <c r="E259" t="s">
        <v>666</v>
      </c>
      <c r="F259" t="s">
        <v>667</v>
      </c>
      <c r="G259" t="s">
        <v>672</v>
      </c>
      <c r="I259" t="str">
        <f t="shared" si="82"/>
        <v>N/A</v>
      </c>
      <c r="J259">
        <f t="shared" si="83"/>
        <v>128250000</v>
      </c>
      <c r="K259">
        <f t="shared" si="84"/>
        <v>103250000</v>
      </c>
      <c r="L259">
        <f t="shared" si="85"/>
        <v>606080000</v>
      </c>
      <c r="M259">
        <f t="shared" si="86"/>
        <v>450510000</v>
      </c>
      <c r="N259">
        <f t="shared" si="87"/>
        <v>347560000</v>
      </c>
      <c r="P259">
        <f t="shared" si="58"/>
        <v>606080000</v>
      </c>
      <c r="Q259">
        <f>IFERROR(J144+MATCH(P259,J259:N259,0)-1,"")</f>
        <v>2014</v>
      </c>
      <c r="R259">
        <f t="shared" si="59"/>
        <v>103250000</v>
      </c>
      <c r="S259">
        <f>IFERROR(J144+MATCH(R259,J259:N259,0)-1,"")</f>
        <v>2013</v>
      </c>
      <c r="T259">
        <f t="shared" si="60"/>
        <v>327130000</v>
      </c>
      <c r="U259">
        <f t="shared" si="61"/>
        <v>213967649.77444607</v>
      </c>
      <c r="V259">
        <f t="shared" si="62"/>
        <v>-0.92948630416630407</v>
      </c>
      <c r="W259">
        <f t="shared" si="63"/>
        <v>-1.0463263967053105</v>
      </c>
      <c r="X259">
        <f t="shared" si="64"/>
        <v>1.3037017525502339</v>
      </c>
      <c r="Y259">
        <f t="shared" si="65"/>
        <v>0.57662922469850464</v>
      </c>
      <c r="Z259">
        <f t="shared" si="66"/>
        <v>9.5481723622876061E-2</v>
      </c>
      <c r="AA259">
        <f t="shared" si="67"/>
        <v>1.3037017525502339</v>
      </c>
      <c r="AB259">
        <f>IFERROR(V144+MATCH(AA259,V259:Z259,0)-1,"")</f>
        <v>2014</v>
      </c>
      <c r="AC259" t="str">
        <f t="shared" si="68"/>
        <v>High</v>
      </c>
      <c r="AE259">
        <f>IF(ISNUMBER(MATCH("N/A",J259:N259,0)),"",IFERROR((5 * SUMPRODUCT(J144:N144,J259:N259) - PRODUCT(SUM(J144:N144),SUM(J259:N259))) / ((5 * SUM((J144^2)+(K144^2)+(L144^2)+(M144^2)+(N144^2))) - SUM(J144:N144)^2),""))</f>
        <v>78588000</v>
      </c>
      <c r="AF259">
        <f>IFERROR(CORREL(J144:N144,J259:N259),"")</f>
        <v>0.58073516491695554</v>
      </c>
      <c r="AZ259">
        <f t="shared" si="69"/>
        <v>1</v>
      </c>
      <c r="BA259" t="str">
        <f>IF(AZ259=1,IF(Q259="","",IF(Q259=N144,"Yes","No")),"")</f>
        <v>No</v>
      </c>
      <c r="BB259" t="str">
        <f t="shared" si="70"/>
        <v/>
      </c>
      <c r="BC259" t="str">
        <f>IF(AZ259=1,IF(S259="","",IF(S259=N144,"Yes","No")),"")</f>
        <v>No</v>
      </c>
      <c r="BD259" t="str">
        <f t="shared" si="71"/>
        <v/>
      </c>
      <c r="BE259" t="str">
        <f t="shared" si="72"/>
        <v>Increasing</v>
      </c>
      <c r="BF259" t="str">
        <f t="shared" si="73"/>
        <v>No</v>
      </c>
      <c r="BG259" t="str">
        <f t="shared" si="74"/>
        <v>No</v>
      </c>
      <c r="BH259" t="str">
        <f t="shared" si="75"/>
        <v>No</v>
      </c>
    </row>
    <row r="260" spans="1:60" x14ac:dyDescent="0.3">
      <c r="A260" s="1">
        <v>13</v>
      </c>
      <c r="B260" t="s">
        <v>673</v>
      </c>
      <c r="C260" t="s">
        <v>670</v>
      </c>
      <c r="D260" t="s">
        <v>671</v>
      </c>
      <c r="E260" t="s">
        <v>264</v>
      </c>
      <c r="F260" t="s">
        <v>667</v>
      </c>
      <c r="G260" t="s">
        <v>672</v>
      </c>
      <c r="I260" t="str">
        <f t="shared" si="82"/>
        <v>N/A</v>
      </c>
      <c r="J260">
        <f t="shared" si="83"/>
        <v>128250000</v>
      </c>
      <c r="K260">
        <f t="shared" si="84"/>
        <v>103250000</v>
      </c>
      <c r="L260" t="str">
        <f t="shared" si="85"/>
        <v>N/A</v>
      </c>
      <c r="M260">
        <f t="shared" si="86"/>
        <v>450510000</v>
      </c>
      <c r="N260">
        <f t="shared" si="87"/>
        <v>347560000</v>
      </c>
      <c r="P260">
        <f t="shared" si="58"/>
        <v>450510000</v>
      </c>
      <c r="Q260">
        <f>IFERROR(J144+MATCH(P260,J260:N260,0)-1,"")</f>
        <v>2015</v>
      </c>
      <c r="R260">
        <f t="shared" si="59"/>
        <v>103250000</v>
      </c>
      <c r="S260">
        <f>IFERROR(J144+MATCH(R260,J260:N260,0)-1,"")</f>
        <v>2013</v>
      </c>
      <c r="T260">
        <f t="shared" si="60"/>
        <v>257392500</v>
      </c>
      <c r="U260">
        <f t="shared" si="61"/>
        <v>169176675.37715319</v>
      </c>
      <c r="V260">
        <f t="shared" si="62"/>
        <v>-0.7633587769241641</v>
      </c>
      <c r="W260">
        <f t="shared" si="63"/>
        <v>-0.91113328510779146</v>
      </c>
      <c r="X260" t="str">
        <f t="shared" si="64"/>
        <v/>
      </c>
      <c r="Y260">
        <f t="shared" si="65"/>
        <v>1.1415137433660665</v>
      </c>
      <c r="Z260">
        <f t="shared" si="66"/>
        <v>0.53297831866588896</v>
      </c>
      <c r="AA260">
        <f t="shared" si="67"/>
        <v>1.1415137433660665</v>
      </c>
      <c r="AB260">
        <f>IFERROR(V144+MATCH(AA260,V260:Z260,0)-1,"")</f>
        <v>2015</v>
      </c>
      <c r="AC260" t="str">
        <f t="shared" si="68"/>
        <v>High</v>
      </c>
      <c r="AE260" t="str">
        <f>IF(ISNUMBER(MATCH("N/A",J260:N260,0)),"",IFERROR((5 * SUMPRODUCT(J144:N144,J260:N260) - PRODUCT(SUM(J144:N144),SUM(J260:N260))) / ((5 * SUM((J144^2)+(K144^2)+(L144^2)+(M144^2)+(N144^2))) - SUM(J144:N144)^2),""))</f>
        <v/>
      </c>
      <c r="AF260">
        <f>IFERROR(CORREL(J144:N144,J260:N260),"")</f>
        <v>0.84811573962062903</v>
      </c>
      <c r="AZ260">
        <f t="shared" si="69"/>
        <v>1</v>
      </c>
      <c r="BA260" t="str">
        <f>IF(AZ260=1,IF(Q260="","",IF(Q260=N144,"Yes","No")),"")</f>
        <v>No</v>
      </c>
      <c r="BB260" t="str">
        <f t="shared" si="70"/>
        <v/>
      </c>
      <c r="BC260" t="str">
        <f>IF(AZ260=1,IF(S260="","",IF(S260=N144,"Yes","No")),"")</f>
        <v>No</v>
      </c>
      <c r="BD260" t="str">
        <f t="shared" si="71"/>
        <v/>
      </c>
      <c r="BE260" t="str">
        <f t="shared" si="72"/>
        <v/>
      </c>
      <c r="BF260" t="str">
        <f t="shared" si="73"/>
        <v>No</v>
      </c>
      <c r="BG260" t="str">
        <f t="shared" si="74"/>
        <v>No</v>
      </c>
      <c r="BH260" t="str">
        <f t="shared" si="75"/>
        <v>Yes</v>
      </c>
    </row>
    <row r="261" spans="1:60" x14ac:dyDescent="0.3">
      <c r="A261" s="1">
        <v>14</v>
      </c>
      <c r="B261" t="s">
        <v>674</v>
      </c>
      <c r="C261" t="s">
        <v>264</v>
      </c>
      <c r="D261" t="s">
        <v>264</v>
      </c>
      <c r="E261" t="s">
        <v>264</v>
      </c>
      <c r="F261" t="s">
        <v>264</v>
      </c>
      <c r="G261" t="s">
        <v>264</v>
      </c>
      <c r="I261" t="str">
        <f t="shared" si="82"/>
        <v>N/A</v>
      </c>
      <c r="J261" t="str">
        <f t="shared" si="83"/>
        <v>N/A</v>
      </c>
      <c r="K261" t="str">
        <f t="shared" si="84"/>
        <v>N/A</v>
      </c>
      <c r="L261" t="str">
        <f t="shared" si="85"/>
        <v>N/A</v>
      </c>
      <c r="M261" t="str">
        <f t="shared" si="86"/>
        <v>N/A</v>
      </c>
      <c r="N261" t="str">
        <f t="shared" si="87"/>
        <v>N/A</v>
      </c>
      <c r="P261">
        <f t="shared" si="58"/>
        <v>0</v>
      </c>
      <c r="Q261" t="str">
        <f>IFERROR(J144+MATCH(P261,J261:N261,0)-1,"")</f>
        <v/>
      </c>
      <c r="R261" t="str">
        <f t="shared" si="59"/>
        <v/>
      </c>
      <c r="S261" t="str">
        <f>IFERROR(J144+MATCH(R261,J261:N261,0)-1,"")</f>
        <v/>
      </c>
      <c r="T261" t="str">
        <f t="shared" si="60"/>
        <v/>
      </c>
      <c r="U261" t="str">
        <f t="shared" si="61"/>
        <v/>
      </c>
      <c r="V261" t="str">
        <f t="shared" si="62"/>
        <v/>
      </c>
      <c r="W261" t="str">
        <f t="shared" si="63"/>
        <v/>
      </c>
      <c r="X261" t="str">
        <f t="shared" si="64"/>
        <v/>
      </c>
      <c r="Y261" t="str">
        <f t="shared" si="65"/>
        <v/>
      </c>
      <c r="Z261" t="str">
        <f t="shared" si="66"/>
        <v/>
      </c>
      <c r="AA261">
        <f t="shared" si="67"/>
        <v>0</v>
      </c>
      <c r="AB261" t="str">
        <f>IFERROR(V144+MATCH(AA261,V261:Z261,0)-1,"")</f>
        <v/>
      </c>
      <c r="AC261" t="str">
        <f t="shared" si="68"/>
        <v/>
      </c>
      <c r="AE261" t="str">
        <f>IF(ISNUMBER(MATCH("N/A",J261:N261,0)),"",IFERROR((5 * SUMPRODUCT(J144:N144,J261:N261) - PRODUCT(SUM(J144:N144),SUM(J261:N261))) / ((5 * SUM((J144^2)+(K144^2)+(L144^2)+(M144^2)+(N144^2))) - SUM(J144:N144)^2),""))</f>
        <v/>
      </c>
      <c r="AF261" t="str">
        <f>IFERROR(CORREL(J144:N144,J261:N261),"")</f>
        <v/>
      </c>
      <c r="AZ261">
        <f t="shared" si="69"/>
        <v>0</v>
      </c>
      <c r="BA261" t="str">
        <f>IF(AZ261=1,IF(Q261="","",IF(Q261=N144,"Yes","No")),"")</f>
        <v/>
      </c>
      <c r="BB261" t="str">
        <f t="shared" si="70"/>
        <v/>
      </c>
      <c r="BC261" t="str">
        <f>IF(AZ261=1,IF(S261="","",IF(S261=N144,"Yes","No")),"")</f>
        <v/>
      </c>
      <c r="BD261" t="str">
        <f t="shared" si="71"/>
        <v/>
      </c>
      <c r="BE261" t="str">
        <f t="shared" si="72"/>
        <v/>
      </c>
      <c r="BF261" t="str">
        <f t="shared" si="73"/>
        <v>No</v>
      </c>
      <c r="BG261" t="str">
        <f t="shared" si="74"/>
        <v>No</v>
      </c>
      <c r="BH261" t="str">
        <f t="shared" si="75"/>
        <v/>
      </c>
    </row>
    <row r="262" spans="1:60" x14ac:dyDescent="0.3">
      <c r="A262" s="1">
        <v>15</v>
      </c>
      <c r="B262" t="s">
        <v>675</v>
      </c>
      <c r="C262" t="s">
        <v>676</v>
      </c>
      <c r="D262" t="s">
        <v>677</v>
      </c>
      <c r="E262" t="s">
        <v>264</v>
      </c>
      <c r="F262" t="s">
        <v>264</v>
      </c>
      <c r="G262" t="s">
        <v>678</v>
      </c>
      <c r="I262" t="str">
        <f t="shared" si="82"/>
        <v>N/A</v>
      </c>
      <c r="J262">
        <f t="shared" si="83"/>
        <v>11520000</v>
      </c>
      <c r="K262">
        <f t="shared" si="84"/>
        <v>11930000</v>
      </c>
      <c r="L262" t="str">
        <f t="shared" si="85"/>
        <v>N/A</v>
      </c>
      <c r="M262" t="str">
        <f t="shared" si="86"/>
        <v>N/A</v>
      </c>
      <c r="N262">
        <f t="shared" si="87"/>
        <v>3760000</v>
      </c>
      <c r="P262">
        <f t="shared" si="58"/>
        <v>11930000</v>
      </c>
      <c r="Q262">
        <f>IFERROR(J144+MATCH(P262,J262:N262,0)-1,"")</f>
        <v>2013</v>
      </c>
      <c r="R262">
        <f t="shared" si="59"/>
        <v>3760000</v>
      </c>
      <c r="S262">
        <f>IFERROR(J144+MATCH(R262,J262:N262,0)-1,"")</f>
        <v>2016</v>
      </c>
      <c r="T262">
        <f t="shared" si="60"/>
        <v>9070000</v>
      </c>
      <c r="U262">
        <f t="shared" si="61"/>
        <v>4603161.9567423435</v>
      </c>
      <c r="V262">
        <f t="shared" si="62"/>
        <v>0.53224284155621249</v>
      </c>
      <c r="W262">
        <f t="shared" si="63"/>
        <v>0.62131205177582349</v>
      </c>
      <c r="X262" t="str">
        <f t="shared" si="64"/>
        <v/>
      </c>
      <c r="Y262" t="str">
        <f t="shared" si="65"/>
        <v/>
      </c>
      <c r="Z262">
        <f t="shared" si="66"/>
        <v>-1.1535548933320359</v>
      </c>
      <c r="AA262">
        <f t="shared" si="67"/>
        <v>-1.1535548933320359</v>
      </c>
      <c r="AB262">
        <f>IFERROR(V144+MATCH(AA262,V262:Z262,0)-1,"")</f>
        <v>2016</v>
      </c>
      <c r="AC262" t="str">
        <f t="shared" si="68"/>
        <v>Low</v>
      </c>
      <c r="AE262" t="str">
        <f>IF(ISNUMBER(MATCH("N/A",J262:N262,0)),"",IFERROR((5 * SUMPRODUCT(J144:N144,J262:N262) - PRODUCT(SUM(J144:N144),SUM(J262:N262))) / ((5 * SUM((J144^2)+(K144^2)+(L144^2)+(M144^2)+(N144^2))) - SUM(J144:N144)^2),""))</f>
        <v/>
      </c>
      <c r="AF262">
        <f>IFERROR(CORREL(J144:N144,J262:N262),"")</f>
        <v>-0.95906536461092884</v>
      </c>
      <c r="AZ262">
        <f t="shared" si="69"/>
        <v>1</v>
      </c>
      <c r="BA262" t="str">
        <f>IF(AZ262=1,IF(Q262="","",IF(Q262=N144,"Yes","No")),"")</f>
        <v>No</v>
      </c>
      <c r="BB262" t="str">
        <f t="shared" si="70"/>
        <v/>
      </c>
      <c r="BC262" t="str">
        <f>IF(AZ262=1,IF(S262="","",IF(S262=N144,"Yes","No")),"")</f>
        <v>Yes</v>
      </c>
      <c r="BD262">
        <f t="shared" si="71"/>
        <v>3760000</v>
      </c>
      <c r="BE262" t="str">
        <f t="shared" si="72"/>
        <v/>
      </c>
      <c r="BF262" t="str">
        <f t="shared" si="73"/>
        <v>No</v>
      </c>
      <c r="BG262" t="str">
        <f t="shared" si="74"/>
        <v>No</v>
      </c>
      <c r="BH262" t="str">
        <f t="shared" si="75"/>
        <v>Yes</v>
      </c>
    </row>
    <row r="263" spans="1:60" x14ac:dyDescent="0.3">
      <c r="A263" s="1">
        <v>16</v>
      </c>
      <c r="B263" t="s">
        <v>679</v>
      </c>
      <c r="C263" t="s">
        <v>264</v>
      </c>
      <c r="D263" t="s">
        <v>264</v>
      </c>
      <c r="E263" t="s">
        <v>264</v>
      </c>
      <c r="F263" t="s">
        <v>264</v>
      </c>
      <c r="G263" t="s">
        <v>264</v>
      </c>
      <c r="I263" t="str">
        <f t="shared" si="82"/>
        <v>N/A</v>
      </c>
      <c r="J263" t="str">
        <f t="shared" si="83"/>
        <v>N/A</v>
      </c>
      <c r="K263" t="str">
        <f t="shared" si="84"/>
        <v>N/A</v>
      </c>
      <c r="L263" t="str">
        <f t="shared" si="85"/>
        <v>N/A</v>
      </c>
      <c r="M263" t="str">
        <f t="shared" si="86"/>
        <v>N/A</v>
      </c>
      <c r="N263" t="str">
        <f t="shared" si="87"/>
        <v>N/A</v>
      </c>
      <c r="P263">
        <f t="shared" si="58"/>
        <v>0</v>
      </c>
      <c r="Q263" t="str">
        <f>IFERROR(J144+MATCH(P263,J263:N263,0)-1,"")</f>
        <v/>
      </c>
      <c r="R263" t="str">
        <f t="shared" si="59"/>
        <v/>
      </c>
      <c r="S263" t="str">
        <f>IFERROR(J144+MATCH(R263,J263:N263,0)-1,"")</f>
        <v/>
      </c>
      <c r="T263" t="str">
        <f t="shared" si="60"/>
        <v/>
      </c>
      <c r="U263" t="str">
        <f t="shared" si="61"/>
        <v/>
      </c>
      <c r="V263" t="str">
        <f t="shared" si="62"/>
        <v/>
      </c>
      <c r="W263" t="str">
        <f t="shared" si="63"/>
        <v/>
      </c>
      <c r="X263" t="str">
        <f t="shared" si="64"/>
        <v/>
      </c>
      <c r="Y263" t="str">
        <f t="shared" si="65"/>
        <v/>
      </c>
      <c r="Z263" t="str">
        <f t="shared" si="66"/>
        <v/>
      </c>
      <c r="AA263">
        <f t="shared" si="67"/>
        <v>0</v>
      </c>
      <c r="AB263" t="str">
        <f>IFERROR(V144+MATCH(AA263,V263:Z263,0)-1,"")</f>
        <v/>
      </c>
      <c r="AC263" t="str">
        <f t="shared" si="68"/>
        <v/>
      </c>
      <c r="AE263" t="str">
        <f>IF(ISNUMBER(MATCH("N/A",J263:N263,0)),"",IFERROR((5 * SUMPRODUCT(J144:N144,J263:N263) - PRODUCT(SUM(J144:N144),SUM(J263:N263))) / ((5 * SUM((J144^2)+(K144^2)+(L144^2)+(M144^2)+(N144^2))) - SUM(J144:N144)^2),""))</f>
        <v/>
      </c>
      <c r="AF263" t="str">
        <f>IFERROR(CORREL(J144:N144,J263:N263),"")</f>
        <v/>
      </c>
      <c r="AZ263">
        <f t="shared" si="69"/>
        <v>0</v>
      </c>
      <c r="BA263" t="str">
        <f>IF(AZ263=1,IF(Q263="","",IF(Q263=N144,"Yes","No")),"")</f>
        <v/>
      </c>
      <c r="BB263" t="str">
        <f t="shared" si="70"/>
        <v/>
      </c>
      <c r="BC263" t="str">
        <f>IF(AZ263=1,IF(S263="","",IF(S263=N144,"Yes","No")),"")</f>
        <v/>
      </c>
      <c r="BD263" t="str">
        <f t="shared" si="71"/>
        <v/>
      </c>
      <c r="BE263" t="str">
        <f t="shared" si="72"/>
        <v/>
      </c>
      <c r="BF263" t="str">
        <f t="shared" si="73"/>
        <v>No</v>
      </c>
      <c r="BG263" t="str">
        <f t="shared" si="74"/>
        <v>No</v>
      </c>
      <c r="BH263" t="str">
        <f t="shared" si="75"/>
        <v/>
      </c>
    </row>
    <row r="264" spans="1:60" x14ac:dyDescent="0.3">
      <c r="A264" s="1">
        <v>17</v>
      </c>
      <c r="B264" t="s">
        <v>680</v>
      </c>
      <c r="C264" t="s">
        <v>681</v>
      </c>
      <c r="D264" t="s">
        <v>682</v>
      </c>
      <c r="E264" t="s">
        <v>683</v>
      </c>
      <c r="F264" t="s">
        <v>684</v>
      </c>
      <c r="G264" t="s">
        <v>685</v>
      </c>
      <c r="I264" t="str">
        <f t="shared" si="82"/>
        <v>N/A</v>
      </c>
      <c r="J264">
        <f t="shared" si="83"/>
        <v>263720000.00000003</v>
      </c>
      <c r="K264">
        <f t="shared" si="84"/>
        <v>226960000</v>
      </c>
      <c r="L264">
        <f t="shared" si="85"/>
        <v>268550000</v>
      </c>
      <c r="M264">
        <f t="shared" si="86"/>
        <v>307480000</v>
      </c>
      <c r="N264">
        <f t="shared" si="87"/>
        <v>270200000</v>
      </c>
      <c r="P264">
        <f t="shared" si="58"/>
        <v>307480000</v>
      </c>
      <c r="Q264">
        <f>IFERROR(J144+MATCH(P264,J264:N264,0)-1,"")</f>
        <v>2015</v>
      </c>
      <c r="R264">
        <f t="shared" si="59"/>
        <v>226960000</v>
      </c>
      <c r="S264">
        <f>IFERROR(J144+MATCH(R264,J264:N264,0)-1,"")</f>
        <v>2013</v>
      </c>
      <c r="T264">
        <f t="shared" si="60"/>
        <v>267382000</v>
      </c>
      <c r="U264">
        <f t="shared" si="61"/>
        <v>28567915.919786658</v>
      </c>
      <c r="V264">
        <f t="shared" si="62"/>
        <v>-0.12818575951715128</v>
      </c>
      <c r="W264">
        <f t="shared" si="63"/>
        <v>-1.4149439571825044</v>
      </c>
      <c r="X264">
        <f t="shared" si="64"/>
        <v>4.0885026519943725E-2</v>
      </c>
      <c r="Y264">
        <f t="shared" si="65"/>
        <v>1.4036025628396434</v>
      </c>
      <c r="Z264">
        <f t="shared" si="66"/>
        <v>9.8642127340069705E-2</v>
      </c>
      <c r="AA264">
        <f t="shared" si="67"/>
        <v>-1.4149439571825044</v>
      </c>
      <c r="AB264">
        <f>IFERROR(V144+MATCH(AA264,V264:Z264,0)-1,"")</f>
        <v>2013</v>
      </c>
      <c r="AC264" t="str">
        <f t="shared" si="68"/>
        <v>Low</v>
      </c>
      <c r="AE264">
        <f>IF(ISNUMBER(MATCH("N/A",J264:N264,0)),"",IFERROR((5 * SUMPRODUCT(J144:N144,J264:N264) - PRODUCT(SUM(J144:N144),SUM(J264:N264))) / ((5 * SUM((J144^2)+(K144^2)+(L144^2)+(M144^2)+(N144^2))) - SUM(J144:N144)^2),""))</f>
        <v>9348000</v>
      </c>
      <c r="AF264">
        <f>IFERROR(CORREL(J144:N144,J264:N264),"")</f>
        <v>0.51738061065174734</v>
      </c>
      <c r="AZ264">
        <f t="shared" si="69"/>
        <v>1</v>
      </c>
      <c r="BA264" t="str">
        <f>IF(AZ264=1,IF(Q264="","",IF(Q264=N144,"Yes","No")),"")</f>
        <v>No</v>
      </c>
      <c r="BB264" t="str">
        <f t="shared" si="70"/>
        <v/>
      </c>
      <c r="BC264" t="str">
        <f>IF(AZ264=1,IF(S264="","",IF(S264=N144,"Yes","No")),"")</f>
        <v>No</v>
      </c>
      <c r="BD264" t="str">
        <f t="shared" si="71"/>
        <v/>
      </c>
      <c r="BE264" t="str">
        <f t="shared" si="72"/>
        <v>Increasing</v>
      </c>
      <c r="BF264" t="str">
        <f t="shared" si="73"/>
        <v>No</v>
      </c>
      <c r="BG264" t="str">
        <f t="shared" si="74"/>
        <v>No</v>
      </c>
      <c r="BH264" t="str">
        <f t="shared" si="75"/>
        <v>No</v>
      </c>
    </row>
    <row r="265" spans="1:60" x14ac:dyDescent="0.3">
      <c r="A265" s="1">
        <v>18</v>
      </c>
      <c r="B265" t="s">
        <v>686</v>
      </c>
      <c r="C265" t="s">
        <v>687</v>
      </c>
      <c r="D265" t="s">
        <v>682</v>
      </c>
      <c r="E265" t="s">
        <v>688</v>
      </c>
      <c r="F265" t="s">
        <v>684</v>
      </c>
      <c r="G265" t="s">
        <v>689</v>
      </c>
      <c r="I265" t="str">
        <f t="shared" si="82"/>
        <v>N/A</v>
      </c>
      <c r="J265">
        <f t="shared" si="83"/>
        <v>313940000</v>
      </c>
      <c r="K265">
        <f t="shared" si="84"/>
        <v>226960000</v>
      </c>
      <c r="L265">
        <f t="shared" si="85"/>
        <v>331850000</v>
      </c>
      <c r="M265">
        <f t="shared" si="86"/>
        <v>307480000</v>
      </c>
      <c r="N265">
        <f t="shared" si="87"/>
        <v>276120000</v>
      </c>
      <c r="P265">
        <f t="shared" si="58"/>
        <v>331850000</v>
      </c>
      <c r="Q265">
        <f>IFERROR(J144+MATCH(P265,J265:N265,0)-1,"")</f>
        <v>2014</v>
      </c>
      <c r="R265">
        <f t="shared" si="59"/>
        <v>226960000</v>
      </c>
      <c r="S265">
        <f>IFERROR(J144+MATCH(R265,J265:N265,0)-1,"")</f>
        <v>2013</v>
      </c>
      <c r="T265">
        <f t="shared" si="60"/>
        <v>291270000</v>
      </c>
      <c r="U265">
        <f t="shared" si="61"/>
        <v>41196868.813054226</v>
      </c>
      <c r="V265">
        <f t="shared" si="62"/>
        <v>0.55028453989727644</v>
      </c>
      <c r="W265">
        <f t="shared" si="63"/>
        <v>-1.5610409687160938</v>
      </c>
      <c r="X265">
        <f t="shared" si="64"/>
        <v>0.98502631799874174</v>
      </c>
      <c r="Y265">
        <f t="shared" si="65"/>
        <v>0.39347650603153289</v>
      </c>
      <c r="Z265">
        <f t="shared" si="66"/>
        <v>-0.3677463952114573</v>
      </c>
      <c r="AA265">
        <f t="shared" si="67"/>
        <v>-1.5610409687160938</v>
      </c>
      <c r="AB265">
        <f>IFERROR(V144+MATCH(AA265,V265:Z265,0)-1,"")</f>
        <v>2013</v>
      </c>
      <c r="AC265" t="str">
        <f t="shared" si="68"/>
        <v>Low</v>
      </c>
      <c r="AE265">
        <f>IF(ISNUMBER(MATCH("N/A",J265:N265,0)),"",IFERROR((5 * SUMPRODUCT(J144:N144,J265:N265) - PRODUCT(SUM(J144:N144),SUM(J265:N265))) / ((5 * SUM((J144^2)+(K144^2)+(L144^2)+(M144^2)+(N144^2))) - SUM(J144:N144)^2),""))</f>
        <v>488000</v>
      </c>
      <c r="AF265">
        <f>IFERROR(CORREL(J144:N144,J265:N265),"")</f>
        <v>1.8729475596373134E-2</v>
      </c>
      <c r="AZ265">
        <f t="shared" si="69"/>
        <v>1</v>
      </c>
      <c r="BA265" t="str">
        <f>IF(AZ265=1,IF(Q265="","",IF(Q265=N144,"Yes","No")),"")</f>
        <v>No</v>
      </c>
      <c r="BB265" t="str">
        <f t="shared" si="70"/>
        <v/>
      </c>
      <c r="BC265" t="str">
        <f>IF(AZ265=1,IF(S265="","",IF(S265=N144,"Yes","No")),"")</f>
        <v>No</v>
      </c>
      <c r="BD265" t="str">
        <f t="shared" si="71"/>
        <v/>
      </c>
      <c r="BE265" t="str">
        <f t="shared" si="72"/>
        <v>Increasing</v>
      </c>
      <c r="BF265" t="str">
        <f t="shared" si="73"/>
        <v>No</v>
      </c>
      <c r="BG265" t="str">
        <f t="shared" si="74"/>
        <v>No</v>
      </c>
      <c r="BH265" t="str">
        <f t="shared" si="75"/>
        <v>No</v>
      </c>
    </row>
    <row r="266" spans="1:60" x14ac:dyDescent="0.3">
      <c r="A266" s="1">
        <v>19</v>
      </c>
      <c r="B266" t="s">
        <v>690</v>
      </c>
      <c r="C266" t="s">
        <v>691</v>
      </c>
      <c r="D266" t="s">
        <v>264</v>
      </c>
      <c r="E266" t="s">
        <v>692</v>
      </c>
      <c r="F266" t="s">
        <v>264</v>
      </c>
      <c r="G266" t="s">
        <v>693</v>
      </c>
      <c r="I266" t="str">
        <f t="shared" si="82"/>
        <v>N/A</v>
      </c>
      <c r="J266">
        <f t="shared" si="83"/>
        <v>50220000</v>
      </c>
      <c r="K266" t="str">
        <f t="shared" si="84"/>
        <v>N/A</v>
      </c>
      <c r="L266">
        <f t="shared" si="85"/>
        <v>63300000</v>
      </c>
      <c r="M266" t="str">
        <f t="shared" si="86"/>
        <v>N/A</v>
      </c>
      <c r="N266">
        <f t="shared" si="87"/>
        <v>5910000</v>
      </c>
      <c r="P266">
        <f t="shared" si="58"/>
        <v>63300000</v>
      </c>
      <c r="Q266">
        <f>IFERROR(J144+MATCH(P266,J266:N266,0)-1,"")</f>
        <v>2014</v>
      </c>
      <c r="R266">
        <f t="shared" si="59"/>
        <v>5910000</v>
      </c>
      <c r="S266">
        <f>IFERROR(J144+MATCH(R266,J266:N266,0)-1,"")</f>
        <v>2016</v>
      </c>
      <c r="T266">
        <f t="shared" si="60"/>
        <v>39810000</v>
      </c>
      <c r="U266">
        <f t="shared" si="61"/>
        <v>30077883.901631113</v>
      </c>
      <c r="V266">
        <f t="shared" si="62"/>
        <v>0.34610147555744336</v>
      </c>
      <c r="W266" t="str">
        <f t="shared" si="63"/>
        <v/>
      </c>
      <c r="X266">
        <f t="shared" si="64"/>
        <v>0.78097249383711287</v>
      </c>
      <c r="Y266" t="str">
        <f t="shared" si="65"/>
        <v/>
      </c>
      <c r="Z266">
        <f t="shared" si="66"/>
        <v>-1.1270739693945562</v>
      </c>
      <c r="AA266">
        <f t="shared" si="67"/>
        <v>-1.1270739693945562</v>
      </c>
      <c r="AB266">
        <f>IFERROR(V144+MATCH(AA266,V266:Z266,0)-1,"")</f>
        <v>2016</v>
      </c>
      <c r="AC266" t="str">
        <f t="shared" si="68"/>
        <v>Low</v>
      </c>
      <c r="AE266" t="str">
        <f>IF(ISNUMBER(MATCH("N/A",J266:N266,0)),"",IFERROR((5 * SUMPRODUCT(J144:N144,J266:N266) - PRODUCT(SUM(J144:N144),SUM(J266:N266))) / ((5 * SUM((J144^2)+(K144^2)+(L144^2)+(M144^2)+(N144^2))) - SUM(J144:N144)^2),""))</f>
        <v/>
      </c>
      <c r="AF266">
        <f>IFERROR(CORREL(J144:N144,J266:N266),"")</f>
        <v>-0.73658772247599991</v>
      </c>
      <c r="AZ266">
        <f t="shared" si="69"/>
        <v>1</v>
      </c>
      <c r="BA266" t="str">
        <f>IF(AZ266=1,IF(Q266="","",IF(Q266=N144,"Yes","No")),"")</f>
        <v>No</v>
      </c>
      <c r="BB266" t="str">
        <f t="shared" si="70"/>
        <v/>
      </c>
      <c r="BC266" t="str">
        <f>IF(AZ266=1,IF(S266="","",IF(S266=N144,"Yes","No")),"")</f>
        <v>Yes</v>
      </c>
      <c r="BD266">
        <f t="shared" si="71"/>
        <v>5910000</v>
      </c>
      <c r="BE266" t="str">
        <f t="shared" si="72"/>
        <v/>
      </c>
      <c r="BF266" t="str">
        <f t="shared" si="73"/>
        <v>No</v>
      </c>
      <c r="BG266" t="str">
        <f t="shared" si="74"/>
        <v>No</v>
      </c>
      <c r="BH266" t="str">
        <f t="shared" si="75"/>
        <v>No</v>
      </c>
    </row>
    <row r="267" spans="1:60" x14ac:dyDescent="0.3">
      <c r="A267" s="1">
        <v>20</v>
      </c>
      <c r="B267" t="s">
        <v>694</v>
      </c>
      <c r="C267" t="s">
        <v>264</v>
      </c>
      <c r="D267" t="s">
        <v>264</v>
      </c>
      <c r="E267" t="s">
        <v>264</v>
      </c>
      <c r="F267" t="s">
        <v>695</v>
      </c>
      <c r="G267" t="s">
        <v>696</v>
      </c>
      <c r="I267" t="str">
        <f t="shared" si="82"/>
        <v>N/A</v>
      </c>
      <c r="J267" t="str">
        <f t="shared" si="83"/>
        <v>N/A</v>
      </c>
      <c r="K267" t="str">
        <f t="shared" si="84"/>
        <v>N/A</v>
      </c>
      <c r="L267" t="str">
        <f t="shared" si="85"/>
        <v>N/A</v>
      </c>
      <c r="M267">
        <f t="shared" si="86"/>
        <v>69230000</v>
      </c>
      <c r="N267">
        <f t="shared" si="87"/>
        <v>62430000</v>
      </c>
      <c r="P267">
        <f t="shared" si="58"/>
        <v>69230000</v>
      </c>
      <c r="Q267">
        <f>IFERROR(J144+MATCH(P267,J267:N267,0)-1,"")</f>
        <v>2015</v>
      </c>
      <c r="R267">
        <f t="shared" si="59"/>
        <v>62430000</v>
      </c>
      <c r="S267">
        <f>IFERROR(J144+MATCH(R267,J267:N267,0)-1,"")</f>
        <v>2016</v>
      </c>
      <c r="T267">
        <f t="shared" si="60"/>
        <v>65830000</v>
      </c>
      <c r="U267">
        <f t="shared" si="61"/>
        <v>4808326.1120685227</v>
      </c>
      <c r="V267" t="str">
        <f t="shared" si="62"/>
        <v/>
      </c>
      <c r="W267" t="str">
        <f t="shared" si="63"/>
        <v/>
      </c>
      <c r="X267" t="str">
        <f t="shared" si="64"/>
        <v/>
      </c>
      <c r="Y267">
        <f t="shared" si="65"/>
        <v>0.70710678118654757</v>
      </c>
      <c r="Z267">
        <f t="shared" si="66"/>
        <v>-0.70710678118654757</v>
      </c>
      <c r="AA267">
        <f t="shared" si="67"/>
        <v>-0.70710678118654757</v>
      </c>
      <c r="AB267">
        <f>IFERROR(V144+MATCH(AA267,V267:Z267,0)-1,"")</f>
        <v>2016</v>
      </c>
      <c r="AC267" t="str">
        <f t="shared" si="68"/>
        <v>Low</v>
      </c>
      <c r="AE267" t="str">
        <f>IF(ISNUMBER(MATCH("N/A",J267:N267,0)),"",IFERROR((5 * SUMPRODUCT(J144:N144,J267:N267) - PRODUCT(SUM(J144:N144),SUM(J267:N267))) / ((5 * SUM((J144^2)+(K144^2)+(L144^2)+(M144^2)+(N144^2))) - SUM(J144:N144)^2),""))</f>
        <v/>
      </c>
      <c r="AF267">
        <f>IFERROR(CORREL(J144:N144,J267:N267),"")</f>
        <v>-1</v>
      </c>
      <c r="AZ267">
        <f t="shared" si="69"/>
        <v>1</v>
      </c>
      <c r="BA267" t="str">
        <f>IF(AZ267=1,IF(Q267="","",IF(Q267=N144,"Yes","No")),"")</f>
        <v>No</v>
      </c>
      <c r="BB267" t="str">
        <f t="shared" si="70"/>
        <v/>
      </c>
      <c r="BC267" t="str">
        <f>IF(AZ267=1,IF(S267="","",IF(S267=N144,"Yes","No")),"")</f>
        <v>Yes</v>
      </c>
      <c r="BD267">
        <f t="shared" si="71"/>
        <v>62430000</v>
      </c>
      <c r="BE267" t="str">
        <f t="shared" si="72"/>
        <v/>
      </c>
      <c r="BF267" t="str">
        <f t="shared" si="73"/>
        <v>No</v>
      </c>
      <c r="BG267" t="str">
        <f t="shared" si="74"/>
        <v>No</v>
      </c>
      <c r="BH267" t="str">
        <f t="shared" si="75"/>
        <v>Yes</v>
      </c>
    </row>
    <row r="268" spans="1:60" x14ac:dyDescent="0.3">
      <c r="A268" s="1">
        <v>21</v>
      </c>
      <c r="B268" t="s">
        <v>697</v>
      </c>
      <c r="C268" t="s">
        <v>698</v>
      </c>
      <c r="D268" t="s">
        <v>264</v>
      </c>
      <c r="E268" t="s">
        <v>698</v>
      </c>
      <c r="F268" t="s">
        <v>695</v>
      </c>
      <c r="G268" t="s">
        <v>696</v>
      </c>
      <c r="I268" t="str">
        <f t="shared" si="82"/>
        <v>N/A</v>
      </c>
      <c r="J268">
        <f t="shared" si="83"/>
        <v>0</v>
      </c>
      <c r="K268" t="str">
        <f t="shared" si="84"/>
        <v>N/A</v>
      </c>
      <c r="L268">
        <f t="shared" si="85"/>
        <v>0</v>
      </c>
      <c r="M268">
        <f t="shared" si="86"/>
        <v>69230000</v>
      </c>
      <c r="N268">
        <f t="shared" si="87"/>
        <v>62430000</v>
      </c>
      <c r="P268">
        <f t="shared" si="58"/>
        <v>69230000</v>
      </c>
      <c r="Q268">
        <f>IFERROR(J144+MATCH(P268,J268:N268,0)-1,"")</f>
        <v>2015</v>
      </c>
      <c r="R268">
        <f t="shared" si="59"/>
        <v>0</v>
      </c>
      <c r="S268">
        <f>IFERROR(J144+MATCH(R268,J268:N268,0)-1,"")</f>
        <v>2012</v>
      </c>
      <c r="T268">
        <f t="shared" si="60"/>
        <v>32915000</v>
      </c>
      <c r="U268">
        <f t="shared" si="61"/>
        <v>38108218.273752972</v>
      </c>
      <c r="V268">
        <f t="shared" si="62"/>
        <v>-0.86372445343817605</v>
      </c>
      <c r="W268" t="str">
        <f t="shared" si="63"/>
        <v/>
      </c>
      <c r="X268">
        <f t="shared" si="64"/>
        <v>-0.86372445343817605</v>
      </c>
      <c r="Y268">
        <f t="shared" si="65"/>
        <v>0.95294405367180202</v>
      </c>
      <c r="Z268">
        <f t="shared" si="66"/>
        <v>0.77450485320455009</v>
      </c>
      <c r="AA268">
        <f t="shared" si="67"/>
        <v>0.95294405367180202</v>
      </c>
      <c r="AB268">
        <f>IFERROR(V144+MATCH(AA268,V268:Z268,0)-1,"")</f>
        <v>2015</v>
      </c>
      <c r="AC268" t="str">
        <f t="shared" si="68"/>
        <v>High</v>
      </c>
      <c r="AE268" t="str">
        <f>IF(ISNUMBER(MATCH("N/A",J268:N268,0)),"",IFERROR((5 * SUMPRODUCT(J144:N144,J268:N268) - PRODUCT(SUM(J144:N144),SUM(J268:N268))) / ((5 * SUM((J144^2)+(K144^2)+(L144^2)+(M144^2)+(N144^2))) - SUM(J144:N144)^2),""))</f>
        <v/>
      </c>
      <c r="AF268">
        <f>IFERROR(CORREL(J144:N144,J268:N268),"")</f>
        <v>0.82549487424246115</v>
      </c>
      <c r="AZ268">
        <f t="shared" si="69"/>
        <v>1</v>
      </c>
      <c r="BA268" t="str">
        <f>IF(AZ268=1,IF(Q268="","",IF(Q268=N144,"Yes","No")),"")</f>
        <v>No</v>
      </c>
      <c r="BB268" t="str">
        <f t="shared" si="70"/>
        <v/>
      </c>
      <c r="BC268" t="str">
        <f>IF(AZ268=1,IF(S268="","",IF(S268=N144,"Yes","No")),"")</f>
        <v>No</v>
      </c>
      <c r="BD268" t="str">
        <f t="shared" si="71"/>
        <v/>
      </c>
      <c r="BE268" t="str">
        <f t="shared" si="72"/>
        <v/>
      </c>
      <c r="BF268" t="str">
        <f t="shared" si="73"/>
        <v>No</v>
      </c>
      <c r="BG268" t="str">
        <f t="shared" si="74"/>
        <v>No</v>
      </c>
      <c r="BH268" t="str">
        <f t="shared" si="75"/>
        <v>Yes</v>
      </c>
    </row>
    <row r="269" spans="1:60" x14ac:dyDescent="0.3">
      <c r="A269" s="1">
        <v>22</v>
      </c>
      <c r="B269" t="s">
        <v>699</v>
      </c>
      <c r="C269" t="s">
        <v>264</v>
      </c>
      <c r="D269" t="s">
        <v>264</v>
      </c>
      <c r="E269" t="s">
        <v>264</v>
      </c>
      <c r="F269" t="s">
        <v>264</v>
      </c>
      <c r="G269" t="s">
        <v>264</v>
      </c>
      <c r="I269" t="str">
        <f t="shared" si="82"/>
        <v>N/A</v>
      </c>
      <c r="J269" t="str">
        <f t="shared" si="83"/>
        <v>N/A</v>
      </c>
      <c r="K269" t="str">
        <f t="shared" si="84"/>
        <v>N/A</v>
      </c>
      <c r="L269" t="str">
        <f t="shared" si="85"/>
        <v>N/A</v>
      </c>
      <c r="M269" t="str">
        <f t="shared" si="86"/>
        <v>N/A</v>
      </c>
      <c r="N269" t="str">
        <f t="shared" si="87"/>
        <v>N/A</v>
      </c>
      <c r="P269">
        <f t="shared" si="58"/>
        <v>0</v>
      </c>
      <c r="Q269" t="str">
        <f>IFERROR(J144+MATCH(P269,J269:N269,0)-1,"")</f>
        <v/>
      </c>
      <c r="R269" t="str">
        <f t="shared" si="59"/>
        <v/>
      </c>
      <c r="S269" t="str">
        <f>IFERROR(J144+MATCH(R269,J269:N269,0)-1,"")</f>
        <v/>
      </c>
      <c r="T269" t="str">
        <f t="shared" si="60"/>
        <v/>
      </c>
      <c r="U269" t="str">
        <f t="shared" si="61"/>
        <v/>
      </c>
      <c r="V269" t="str">
        <f t="shared" si="62"/>
        <v/>
      </c>
      <c r="W269" t="str">
        <f t="shared" si="63"/>
        <v/>
      </c>
      <c r="X269" t="str">
        <f t="shared" si="64"/>
        <v/>
      </c>
      <c r="Y269" t="str">
        <f t="shared" si="65"/>
        <v/>
      </c>
      <c r="Z269" t="str">
        <f t="shared" si="66"/>
        <v/>
      </c>
      <c r="AA269">
        <f t="shared" si="67"/>
        <v>0</v>
      </c>
      <c r="AB269" t="str">
        <f>IFERROR(V144+MATCH(AA269,V269:Z269,0)-1,"")</f>
        <v/>
      </c>
      <c r="AC269" t="str">
        <f t="shared" si="68"/>
        <v/>
      </c>
      <c r="AE269" t="str">
        <f>IF(ISNUMBER(MATCH("N/A",J269:N269,0)),"",IFERROR((5 * SUMPRODUCT(J144:N144,J269:N269) - PRODUCT(SUM(J144:N144),SUM(J269:N269))) / ((5 * SUM((J144^2)+(K144^2)+(L144^2)+(M144^2)+(N144^2))) - SUM(J144:N144)^2),""))</f>
        <v/>
      </c>
      <c r="AF269" t="str">
        <f>IFERROR(CORREL(J144:N144,J269:N269),"")</f>
        <v/>
      </c>
      <c r="AZ269">
        <f t="shared" si="69"/>
        <v>0</v>
      </c>
      <c r="BA269" t="str">
        <f>IF(AZ269=1,IF(Q269="","",IF(Q269=N144,"Yes","No")),"")</f>
        <v/>
      </c>
      <c r="BB269" t="str">
        <f t="shared" si="70"/>
        <v/>
      </c>
      <c r="BC269" t="str">
        <f>IF(AZ269=1,IF(S269="","",IF(S269=N144,"Yes","No")),"")</f>
        <v/>
      </c>
      <c r="BD269" t="str">
        <f t="shared" si="71"/>
        <v/>
      </c>
      <c r="BE269" t="str">
        <f t="shared" si="72"/>
        <v/>
      </c>
      <c r="BF269" t="str">
        <f t="shared" si="73"/>
        <v>No</v>
      </c>
      <c r="BG269" t="str">
        <f t="shared" si="74"/>
        <v>No</v>
      </c>
      <c r="BH269" t="str">
        <f t="shared" si="75"/>
        <v/>
      </c>
    </row>
    <row r="270" spans="1:60" x14ac:dyDescent="0.3">
      <c r="A270" s="1">
        <v>23</v>
      </c>
      <c r="B270" t="s">
        <v>700</v>
      </c>
      <c r="C270" t="s">
        <v>701</v>
      </c>
      <c r="D270" t="s">
        <v>702</v>
      </c>
      <c r="E270" t="s">
        <v>703</v>
      </c>
      <c r="F270" t="s">
        <v>704</v>
      </c>
      <c r="G270" t="s">
        <v>705</v>
      </c>
      <c r="I270" t="str">
        <f t="shared" si="82"/>
        <v>N/A</v>
      </c>
      <c r="J270">
        <f t="shared" si="83"/>
        <v>727020000</v>
      </c>
      <c r="K270">
        <f t="shared" si="84"/>
        <v>687210000</v>
      </c>
      <c r="L270">
        <f t="shared" si="85"/>
        <v>1300000000</v>
      </c>
      <c r="M270">
        <f t="shared" si="86"/>
        <v>1330000000</v>
      </c>
      <c r="N270">
        <f t="shared" si="87"/>
        <v>1130000000</v>
      </c>
      <c r="P270">
        <f t="shared" si="58"/>
        <v>1330000000</v>
      </c>
      <c r="Q270">
        <f>IFERROR(J144+MATCH(P270,J270:N270,0)-1,"")</f>
        <v>2015</v>
      </c>
      <c r="R270">
        <f t="shared" si="59"/>
        <v>687210000</v>
      </c>
      <c r="S270">
        <f>IFERROR(J144+MATCH(R270,J270:N270,0)-1,"")</f>
        <v>2013</v>
      </c>
      <c r="T270">
        <f t="shared" si="60"/>
        <v>1034846000</v>
      </c>
      <c r="U270">
        <f t="shared" si="61"/>
        <v>309064898.49220991</v>
      </c>
      <c r="V270">
        <f t="shared" si="62"/>
        <v>-0.99599146166952657</v>
      </c>
      <c r="W270">
        <f t="shared" si="63"/>
        <v>-1.124799359927191</v>
      </c>
      <c r="X270">
        <f t="shared" si="64"/>
        <v>0.8579233723841444</v>
      </c>
      <c r="Y270">
        <f t="shared" si="65"/>
        <v>0.95499036428894057</v>
      </c>
      <c r="Z270">
        <f t="shared" si="66"/>
        <v>0.30787708492363258</v>
      </c>
      <c r="AA270">
        <f t="shared" si="67"/>
        <v>-1.124799359927191</v>
      </c>
      <c r="AB270">
        <f>IFERROR(V144+MATCH(AA270,V270:Z270,0)-1,"")</f>
        <v>2013</v>
      </c>
      <c r="AC270" t="str">
        <f t="shared" si="68"/>
        <v>Low</v>
      </c>
      <c r="AE270">
        <f>IF(ISNUMBER(MATCH("N/A",J270:N270,0)),"",IFERROR((5 * SUMPRODUCT(J144:N144,J270:N270) - PRODUCT(SUM(J144:N144),SUM(J270:N270))) / ((5 * SUM((J144^2)+(K144^2)+(L144^2)+(M144^2)+(N144^2))) - SUM(J144:N144)^2),""))</f>
        <v>144875000</v>
      </c>
      <c r="AF270">
        <f>IFERROR(CORREL(J144:N144,J270:N270),"")</f>
        <v>0.74116306680559751</v>
      </c>
      <c r="AZ270">
        <f t="shared" si="69"/>
        <v>1</v>
      </c>
      <c r="BA270" t="str">
        <f>IF(AZ270=1,IF(Q270="","",IF(Q270=N144,"Yes","No")),"")</f>
        <v>No</v>
      </c>
      <c r="BB270" t="str">
        <f t="shared" si="70"/>
        <v/>
      </c>
      <c r="BC270" t="str">
        <f>IF(AZ270=1,IF(S270="","",IF(S270=N144,"Yes","No")),"")</f>
        <v>No</v>
      </c>
      <c r="BD270" t="str">
        <f t="shared" si="71"/>
        <v/>
      </c>
      <c r="BE270" t="str">
        <f t="shared" si="72"/>
        <v>Increasing</v>
      </c>
      <c r="BF270" t="str">
        <f t="shared" si="73"/>
        <v>No</v>
      </c>
      <c r="BG270" t="str">
        <f t="shared" si="74"/>
        <v>No</v>
      </c>
      <c r="BH270" t="str">
        <f t="shared" si="75"/>
        <v>No</v>
      </c>
    </row>
    <row r="271" spans="1:60" x14ac:dyDescent="0.3">
      <c r="A271" s="1">
        <v>24</v>
      </c>
      <c r="B271" t="s">
        <v>706</v>
      </c>
      <c r="C271" t="s">
        <v>264</v>
      </c>
      <c r="D271" t="s">
        <v>264</v>
      </c>
      <c r="E271" t="s">
        <v>264</v>
      </c>
      <c r="F271" t="s">
        <v>264</v>
      </c>
      <c r="G271" t="s">
        <v>264</v>
      </c>
      <c r="P271">
        <f t="shared" si="58"/>
        <v>0</v>
      </c>
      <c r="Q271" t="str">
        <f>IFERROR(J144+MATCH(P271,J271:N271,0)-1,"")</f>
        <v/>
      </c>
      <c r="R271" t="str">
        <f t="shared" si="59"/>
        <v/>
      </c>
      <c r="S271" t="str">
        <f>IFERROR(J144+MATCH(R271,J271:N271,0)-1,"")</f>
        <v/>
      </c>
      <c r="T271" t="str">
        <f t="shared" si="60"/>
        <v/>
      </c>
      <c r="U271" t="str">
        <f t="shared" si="61"/>
        <v/>
      </c>
      <c r="V271" t="str">
        <f t="shared" si="62"/>
        <v/>
      </c>
      <c r="W271" t="str">
        <f t="shared" si="63"/>
        <v/>
      </c>
      <c r="X271" t="str">
        <f t="shared" si="64"/>
        <v/>
      </c>
      <c r="Y271" t="str">
        <f t="shared" si="65"/>
        <v/>
      </c>
      <c r="Z271" t="str">
        <f t="shared" si="66"/>
        <v/>
      </c>
      <c r="AA271">
        <f t="shared" si="67"/>
        <v>0</v>
      </c>
      <c r="AB271" t="str">
        <f>IFERROR(V144+MATCH(AA271,V271:Z271,0)-1,"")</f>
        <v/>
      </c>
      <c r="AC271" t="str">
        <f t="shared" si="68"/>
        <v/>
      </c>
      <c r="AE271">
        <f>IF(ISNUMBER(MATCH("N/A",J271:N271,0)),"",IFERROR((5 * SUMPRODUCT(J144:N144,J271:N271) - PRODUCT(SUM(J144:N144),SUM(J271:N271))) / ((5 * SUM((J144^2)+(K144^2)+(L144^2)+(M144^2)+(N144^2))) - SUM(J144:N144)^2),""))</f>
        <v>0</v>
      </c>
      <c r="AF271" t="str">
        <f>IFERROR(CORREL(J144:N144,J271:N271),"")</f>
        <v/>
      </c>
      <c r="AZ271">
        <f t="shared" si="69"/>
        <v>0</v>
      </c>
      <c r="BA271" t="str">
        <f>IF(AZ271=1,IF(Q271="","",IF(Q271=N144,"Yes","No")),"")</f>
        <v/>
      </c>
      <c r="BB271" t="str">
        <f t="shared" si="70"/>
        <v/>
      </c>
      <c r="BC271" t="str">
        <f>IF(AZ271=1,IF(S271="","",IF(S271=N144,"Yes","No")),"")</f>
        <v/>
      </c>
      <c r="BD271" t="str">
        <f t="shared" si="71"/>
        <v/>
      </c>
      <c r="BE271" t="str">
        <f t="shared" si="72"/>
        <v/>
      </c>
      <c r="BF271" t="str">
        <f t="shared" si="73"/>
        <v>No</v>
      </c>
      <c r="BG271" t="str">
        <f t="shared" si="74"/>
        <v>No</v>
      </c>
      <c r="BH271" t="str">
        <f t="shared" si="75"/>
        <v/>
      </c>
    </row>
    <row r="272" spans="1:60" x14ac:dyDescent="0.3">
      <c r="A272" s="1">
        <v>25</v>
      </c>
      <c r="B272" t="s">
        <v>707</v>
      </c>
      <c r="C272" t="s">
        <v>708</v>
      </c>
      <c r="D272" t="s">
        <v>709</v>
      </c>
      <c r="E272" t="s">
        <v>710</v>
      </c>
      <c r="F272" t="s">
        <v>711</v>
      </c>
      <c r="G272" t="s">
        <v>712</v>
      </c>
      <c r="I272" t="str">
        <f t="shared" ref="I272:I310" si="88">IF(AND(K272&gt; J272, L272&gt; K272, M272&gt; L272, N272&gt; M272), "pos_trend", IF(AND(K272&lt; J272, L272&lt; K272, M272&lt; L272, N272&lt; M272), "neg_trend", "N/A"))</f>
        <v>N/A</v>
      </c>
      <c r="J272">
        <f t="shared" ref="J272:J310" si="89">IFERROR(IF(TRIM(C272)="-", "N/A", IF(RIGHT(C272,1)=")",IF(RIGHT(C272,2)="T)",-1000000000000*VALUE(MID(C272,2,LEN(C272)-3)),IF(RIGHT(C272,2)="M)",-1000000*VALUE(MID(C272,2,LEN(C272)-3)),IF(RIGHT(C272,2)="B)",-1000000000*VALUE(MID(C272,2,LEN(C272)-3)),IF(RIGHT(C272,2)="k)",-1000*VALUE(MID(C272,2,LEN(C272)-3)),VALUE(SUBSTITUTE(C272,",","")))))),IF(RIGHT(C272,1)="T",1000000000000*VALUE(LEFT(C272,LEN(C272)-1)),IF(RIGHT(C272,1)="M",1000000*VALUE(LEFT(C272,LEN(C272)-1)),IF(RIGHT(C272,1)="B",1000000000*VALUE(LEFT(C272,LEN(C272)-1)),IF(RIGHT(C272,1)="%",0.01*VALUE(LEFT(C272,LEN(C272)-1)),IF(RIGHT(C272,1)="k",1000*VALUE(LEFT(C272,LEN(C272)-1)),VALUE(SUBSTITUTE(C272,",",""))))))))),"N/A")</f>
        <v>0.39020000000000005</v>
      </c>
      <c r="K272">
        <f t="shared" ref="K272:K310" si="90">IFERROR(IF(TRIM(D272)="-", "N/A", IF(RIGHT(D272,1)=")",IF(RIGHT(D272,2)="T)",-1000000000000*VALUE(MID(D272,2,LEN(D272)-3)),IF(RIGHT(D272,2)="M)",-1000000*VALUE(MID(D272,2,LEN(D272)-3)),IF(RIGHT(D272,2)="B)",-1000000000*VALUE(MID(D272,2,LEN(D272)-3)),IF(RIGHT(D272,2)="k)",-1000*VALUE(MID(D272,2,LEN(D272)-3)),VALUE(SUBSTITUTE(D272,",","")))))),IF(RIGHT(D272,1)="T",1000000000000*VALUE(LEFT(D272,LEN(D272)-1)),IF(RIGHT(D272,1)="M",1000000*VALUE(LEFT(D272,LEN(D272)-1)),IF(RIGHT(D272,1)="B",1000000000*VALUE(LEFT(D272,LEN(D272)-1)),IF(RIGHT(D272,1)="%",0.01*VALUE(LEFT(D272,LEN(D272)-1)),IF(RIGHT(D272,1)="k",1000*VALUE(LEFT(D272,LEN(D272)-1)),VALUE(SUBSTITUTE(D272,",",""))))))))),"N/A")</f>
        <v>0.37609999999999999</v>
      </c>
      <c r="L272">
        <f t="shared" ref="L272:L310" si="91">IFERROR(IF(TRIM(E272)="-", "N/A", IF(RIGHT(E272,1)=")",IF(RIGHT(E272,2)="T)",-1000000000000*VALUE(MID(E272,2,LEN(E272)-3)),IF(RIGHT(E272,2)="M)",-1000000*VALUE(MID(E272,2,LEN(E272)-3)),IF(RIGHT(E272,2)="B)",-1000000000*VALUE(MID(E272,2,LEN(E272)-3)),IF(RIGHT(E272,2)="k)",-1000*VALUE(MID(E272,2,LEN(E272)-3)),VALUE(SUBSTITUTE(E272,",","")))))),IF(RIGHT(E272,1)="T",1000000000000*VALUE(LEFT(E272,LEN(E272)-1)),IF(RIGHT(E272,1)="M",1000000*VALUE(LEFT(E272,LEN(E272)-1)),IF(RIGHT(E272,1)="B",1000000000*VALUE(LEFT(E272,LEN(E272)-1)),IF(RIGHT(E272,1)="%",0.01*VALUE(LEFT(E272,LEN(E272)-1)),IF(RIGHT(E272,1)="k",1000*VALUE(LEFT(E272,LEN(E272)-1)),VALUE(SUBSTITUTE(E272,",",""))))))))),"N/A")</f>
        <v>0.51450000000000007</v>
      </c>
      <c r="M272">
        <f t="shared" ref="M272:M310" si="92">IFERROR(IF(TRIM(F272)="-", "N/A", IF(RIGHT(F272,1)=")",IF(RIGHT(F272,2)="T)",-1000000000000*VALUE(MID(F272,2,LEN(F272)-3)),IF(RIGHT(F272,2)="M)",-1000000*VALUE(MID(F272,2,LEN(F272)-3)),IF(RIGHT(F272,2)="B)",-1000000000*VALUE(MID(F272,2,LEN(F272)-3)),IF(RIGHT(F272,2)="k)",-1000*VALUE(MID(F272,2,LEN(F272)-3)),VALUE(SUBSTITUTE(F272,",","")))))),IF(RIGHT(F272,1)="T",1000000000000*VALUE(LEFT(F272,LEN(F272)-1)),IF(RIGHT(F272,1)="M",1000000*VALUE(LEFT(F272,LEN(F272)-1)),IF(RIGHT(F272,1)="B",1000000000*VALUE(LEFT(F272,LEN(F272)-1)),IF(RIGHT(F272,1)="%",0.01*VALUE(LEFT(F272,LEN(F272)-1)),IF(RIGHT(F272,1)="k",1000*VALUE(LEFT(F272,LEN(F272)-1)),VALUE(SUBSTITUTE(F272,",",""))))))))),"N/A")</f>
        <v>0.49359999999999998</v>
      </c>
      <c r="N272">
        <f t="shared" ref="N272:N310" si="93">IFERROR(IF(TRIM(G272)="-", "N/A", IF(RIGHT(G272,1)=")",IF(RIGHT(G272,2)="T)",-1000000000000*VALUE(MID(G272,2,LEN(G272)-3)),IF(RIGHT(G272,2)="M)",-1000000*VALUE(MID(G272,2,LEN(G272)-3)),IF(RIGHT(G272,2)="B)",-1000000000*VALUE(MID(G272,2,LEN(G272)-3)),IF(RIGHT(G272,2)="k)",-1000*VALUE(MID(G272,2,LEN(G272)-3)),VALUE(SUBSTITUTE(G272,",","")))))),IF(RIGHT(G272,1)="T",1000000000000*VALUE(LEFT(G272,LEN(G272)-1)),IF(RIGHT(G272,1)="M",1000000*VALUE(LEFT(G272,LEN(G272)-1)),IF(RIGHT(G272,1)="B",1000000000*VALUE(LEFT(G272,LEN(G272)-1)),IF(RIGHT(G272,1)="%",0.01*VALUE(LEFT(G272,LEN(G272)-1)),IF(RIGHT(G272,1)="k",1000*VALUE(LEFT(G272,LEN(G272)-1)),VALUE(SUBSTITUTE(G272,",",""))))))))),"N/A")</f>
        <v>0.43359999999999999</v>
      </c>
      <c r="P272">
        <f t="shared" si="58"/>
        <v>0.51450000000000007</v>
      </c>
      <c r="Q272">
        <f>IFERROR(J144+MATCH(P272,J272:N272,0)-1,"")</f>
        <v>2014</v>
      </c>
      <c r="R272">
        <f t="shared" si="59"/>
        <v>0.37609999999999999</v>
      </c>
      <c r="S272">
        <f>IFERROR(J144+MATCH(R272,J272:N272,0)-1,"")</f>
        <v>2013</v>
      </c>
      <c r="T272">
        <f t="shared" si="60"/>
        <v>0.44160000000000005</v>
      </c>
      <c r="U272">
        <f t="shared" si="61"/>
        <v>6.1267079251421983E-2</v>
      </c>
      <c r="V272">
        <f t="shared" si="62"/>
        <v>-0.83894973659621663</v>
      </c>
      <c r="W272">
        <f t="shared" si="63"/>
        <v>-1.0690896448842848</v>
      </c>
      <c r="X272">
        <f t="shared" si="64"/>
        <v>1.1898722917872413</v>
      </c>
      <c r="Y272">
        <f t="shared" si="65"/>
        <v>0.84874292418294184</v>
      </c>
      <c r="Z272">
        <f t="shared" si="66"/>
        <v>-0.13057583448968454</v>
      </c>
      <c r="AA272">
        <f t="shared" si="67"/>
        <v>1.1898722917872413</v>
      </c>
      <c r="AB272">
        <f>IFERROR(V144+MATCH(AA272,V272:Z272,0)-1,"")</f>
        <v>2014</v>
      </c>
      <c r="AC272" t="str">
        <f t="shared" si="68"/>
        <v>High</v>
      </c>
      <c r="AE272">
        <f>IF(ISNUMBER(MATCH("N/A",J272:N272,0)),"",IFERROR((5 * SUMPRODUCT(J144:N144,J272:N272) - PRODUCT(SUM(J144:N144),SUM(J272:N272))) / ((5 * SUM((J144^2)+(K144^2)+(L144^2)+(M144^2)+(N144^2))) - SUM(J144:N144)^2),""))</f>
        <v>2.0429999999978462E-2</v>
      </c>
      <c r="AF272">
        <f>IFERROR(CORREL(J144:N144,J272:N272),"")</f>
        <v>0.5272434510230114</v>
      </c>
      <c r="AZ272">
        <f t="shared" si="69"/>
        <v>1</v>
      </c>
      <c r="BA272" t="str">
        <f>IF(AZ272=1,IF(Q272="","",IF(Q272=N144,"Yes","No")),"")</f>
        <v>No</v>
      </c>
      <c r="BB272" t="str">
        <f t="shared" si="70"/>
        <v/>
      </c>
      <c r="BC272" t="str">
        <f>IF(AZ272=1,IF(S272="","",IF(S272=N144,"Yes","No")),"")</f>
        <v>No</v>
      </c>
      <c r="BD272" t="str">
        <f t="shared" si="71"/>
        <v/>
      </c>
      <c r="BE272" t="str">
        <f t="shared" si="72"/>
        <v>Increasing</v>
      </c>
      <c r="BF272" t="str">
        <f t="shared" si="73"/>
        <v>No</v>
      </c>
      <c r="BG272" t="str">
        <f t="shared" si="74"/>
        <v>No</v>
      </c>
      <c r="BH272" t="str">
        <f t="shared" si="75"/>
        <v>No</v>
      </c>
    </row>
    <row r="273" spans="1:60" x14ac:dyDescent="0.3">
      <c r="A273" s="1">
        <v>26</v>
      </c>
      <c r="B273" t="s">
        <v>713</v>
      </c>
      <c r="C273" t="s">
        <v>264</v>
      </c>
      <c r="D273" t="s">
        <v>264</v>
      </c>
      <c r="E273" t="s">
        <v>264</v>
      </c>
      <c r="F273" t="s">
        <v>264</v>
      </c>
      <c r="G273" t="s">
        <v>264</v>
      </c>
      <c r="I273" t="str">
        <f t="shared" si="88"/>
        <v>N/A</v>
      </c>
      <c r="J273" t="str">
        <f t="shared" si="89"/>
        <v>N/A</v>
      </c>
      <c r="K273" t="str">
        <f t="shared" si="90"/>
        <v>N/A</v>
      </c>
      <c r="L273" t="str">
        <f t="shared" si="91"/>
        <v>N/A</v>
      </c>
      <c r="M273" t="str">
        <f t="shared" si="92"/>
        <v>N/A</v>
      </c>
      <c r="N273" t="str">
        <f t="shared" si="93"/>
        <v>N/A</v>
      </c>
      <c r="P273">
        <f t="shared" ref="P273:P336" si="94">MAX(J273:N273)</f>
        <v>0</v>
      </c>
      <c r="Q273" t="str">
        <f>IFERROR(J144+MATCH(P273,J273:N273,0)-1,"")</f>
        <v/>
      </c>
      <c r="R273" t="str">
        <f t="shared" ref="R273:R336" si="95">IF(Q273="","",MIN(J273:N273))</f>
        <v/>
      </c>
      <c r="S273" t="str">
        <f>IFERROR(J144+MATCH(R273,J273:N273,0)-1,"")</f>
        <v/>
      </c>
      <c r="T273" t="str">
        <f t="shared" ref="T273:T336" si="96">IFERROR(AVERAGE(J273:N273),"")</f>
        <v/>
      </c>
      <c r="U273" t="str">
        <f t="shared" ref="U273:U336" si="97">IFERROR(STDEV(J273:N273),"")</f>
        <v/>
      </c>
      <c r="V273" t="str">
        <f t="shared" ref="V273:V336" si="98">IFERROR(IF(C273="-","",IF(ISBLANK(B273),"",IF(OR(ISNUMBER(FIND("Growth",B273)),ISNUMBER(FIND("Margin",B273))),"",(J273-T273)/U273))),"")</f>
        <v/>
      </c>
      <c r="W273" t="str">
        <f t="shared" ref="W273:W336" si="99">IFERROR(IF(OR(D273="-",ISBLANK(D273)),"",(K273-T273)/U273),"")</f>
        <v/>
      </c>
      <c r="X273" t="str">
        <f t="shared" ref="X273:X336" si="100">IFERROR(IF(OR(E273="-",ISBLANK(E273)),"",(L273-T273)/U273),"")</f>
        <v/>
      </c>
      <c r="Y273" t="str">
        <f t="shared" ref="Y273:Y336" si="101">IFERROR(IF(OR(F273="-",ISBLANK(F273)),"",(M273-T273)/U273),"")</f>
        <v/>
      </c>
      <c r="Z273" t="str">
        <f t="shared" ref="Z273:Z336" si="102">IFERROR(IF(OR(G273="-",ISBLANK(G273)),"",(N273-T273)/U273),"")</f>
        <v/>
      </c>
      <c r="AA273">
        <f t="shared" ref="AA273:AA336" si="103">IF(MAX(MAX(V273:Z273),ABS(MIN(V273:Z273)))=ABS(MIN(V273:Z273)),MIN(V273:Z273),MAX(V273:Z273))</f>
        <v>0</v>
      </c>
      <c r="AB273" t="str">
        <f>IFERROR(V144+MATCH(AA273,V273:Z273,0)-1,"")</f>
        <v/>
      </c>
      <c r="AC273" t="str">
        <f t="shared" ref="AC273:AC336" si="104">IF(AB273&lt;&gt;"",IF(S273=AB273,"Low",IF(AB273=Q273,"High","")),"")</f>
        <v/>
      </c>
      <c r="AE273" t="str">
        <f>IF(ISNUMBER(MATCH("N/A",J273:N273,0)),"",IFERROR((5 * SUMPRODUCT(J144:N144,J273:N273) - PRODUCT(SUM(J144:N144),SUM(J273:N273))) / ((5 * SUM((J144^2)+(K144^2)+(L144^2)+(M144^2)+(N144^2))) - SUM(J144:N144)^2),""))</f>
        <v/>
      </c>
      <c r="AF273" t="str">
        <f>IFERROR(CORREL(J144:N144,J273:N273),"")</f>
        <v/>
      </c>
      <c r="AZ273">
        <f t="shared" ref="AZ273:AZ336" si="105">IF(Q273=S273,0,1)</f>
        <v>0</v>
      </c>
      <c r="BA273" t="str">
        <f>IF(AZ273=1,IF(Q273="","",IF(Q273=N144,"Yes","No")),"")</f>
        <v/>
      </c>
      <c r="BB273" t="str">
        <f t="shared" ref="BB273:BB336" si="106">IF(BA273="Yes",P273,"")</f>
        <v/>
      </c>
      <c r="BC273" t="str">
        <f>IF(AZ273=1,IF(S273="","",IF(S273=N144,"Yes","No")),"")</f>
        <v/>
      </c>
      <c r="BD273" t="str">
        <f t="shared" ref="BD273:BD336" si="107">IF(BC273="Yes",R273,"")</f>
        <v/>
      </c>
      <c r="BE273" t="str">
        <f t="shared" ref="BE273:BE336" si="108">IFERROR(IF(SIGN(AE273)=1,"Increasing",IF(SIGN(AE273)=-1,"Decreasing","")),"")</f>
        <v/>
      </c>
      <c r="BF273" t="str">
        <f t="shared" ref="BF273:BF336" si="109">IF(OR(AND(BE273="Increasing",BA273="Yes"),AND(BE273="Decreasing",BC273="Yes")),"Yes","No")</f>
        <v>No</v>
      </c>
      <c r="BG273" t="str">
        <f t="shared" ref="BG273:BG336" si="110">IF(I273="pos_trend","Yes","No")</f>
        <v>No</v>
      </c>
      <c r="BH273" t="str">
        <f t="shared" ref="BH273:BH336" si="111">IF(AF273&lt;&gt;"",IF(ABS(AF273)&gt;0.8,"Yes","No"),"")</f>
        <v/>
      </c>
    </row>
    <row r="274" spans="1:60" x14ac:dyDescent="0.3">
      <c r="A274" s="1">
        <v>27</v>
      </c>
      <c r="B274" t="s">
        <v>714</v>
      </c>
      <c r="C274" t="s">
        <v>264</v>
      </c>
      <c r="D274" t="s">
        <v>264</v>
      </c>
      <c r="E274" t="s">
        <v>264</v>
      </c>
      <c r="F274" t="s">
        <v>264</v>
      </c>
      <c r="G274" t="s">
        <v>264</v>
      </c>
      <c r="I274" t="str">
        <f t="shared" si="88"/>
        <v>N/A</v>
      </c>
      <c r="J274" t="str">
        <f t="shared" si="89"/>
        <v>N/A</v>
      </c>
      <c r="K274" t="str">
        <f t="shared" si="90"/>
        <v>N/A</v>
      </c>
      <c r="L274" t="str">
        <f t="shared" si="91"/>
        <v>N/A</v>
      </c>
      <c r="M274" t="str">
        <f t="shared" si="92"/>
        <v>N/A</v>
      </c>
      <c r="N274" t="str">
        <f t="shared" si="93"/>
        <v>N/A</v>
      </c>
      <c r="P274">
        <f t="shared" si="94"/>
        <v>0</v>
      </c>
      <c r="Q274" t="str">
        <f>IFERROR(J144+MATCH(P274,J274:N274,0)-1,"")</f>
        <v/>
      </c>
      <c r="R274" t="str">
        <f t="shared" si="95"/>
        <v/>
      </c>
      <c r="S274" t="str">
        <f>IFERROR(J144+MATCH(R274,J274:N274,0)-1,"")</f>
        <v/>
      </c>
      <c r="T274" t="str">
        <f t="shared" si="96"/>
        <v/>
      </c>
      <c r="U274" t="str">
        <f t="shared" si="97"/>
        <v/>
      </c>
      <c r="V274" t="str">
        <f t="shared" si="98"/>
        <v/>
      </c>
      <c r="W274" t="str">
        <f t="shared" si="99"/>
        <v/>
      </c>
      <c r="X274" t="str">
        <f t="shared" si="100"/>
        <v/>
      </c>
      <c r="Y274" t="str">
        <f t="shared" si="101"/>
        <v/>
      </c>
      <c r="Z274" t="str">
        <f t="shared" si="102"/>
        <v/>
      </c>
      <c r="AA274">
        <f t="shared" si="103"/>
        <v>0</v>
      </c>
      <c r="AB274" t="str">
        <f>IFERROR(V144+MATCH(AA274,V274:Z274,0)-1,"")</f>
        <v/>
      </c>
      <c r="AC274" t="str">
        <f t="shared" si="104"/>
        <v/>
      </c>
      <c r="AE274" t="str">
        <f>IF(ISNUMBER(MATCH("N/A",J274:N274,0)),"",IFERROR((5 * SUMPRODUCT(J144:N144,J274:N274) - PRODUCT(SUM(J144:N144),SUM(J274:N274))) / ((5 * SUM((J144^2)+(K144^2)+(L144^2)+(M144^2)+(N144^2))) - SUM(J144:N144)^2),""))</f>
        <v/>
      </c>
      <c r="AF274" t="str">
        <f>IFERROR(CORREL(J144:N144,J274:N274),"")</f>
        <v/>
      </c>
      <c r="AZ274">
        <f t="shared" si="105"/>
        <v>0</v>
      </c>
      <c r="BA274" t="str">
        <f>IF(AZ274=1,IF(Q274="","",IF(Q274=N144,"Yes","No")),"")</f>
        <v/>
      </c>
      <c r="BB274" t="str">
        <f t="shared" si="106"/>
        <v/>
      </c>
      <c r="BC274" t="str">
        <f>IF(AZ274=1,IF(S274="","",IF(S274=N144,"Yes","No")),"")</f>
        <v/>
      </c>
      <c r="BD274" t="str">
        <f t="shared" si="107"/>
        <v/>
      </c>
      <c r="BE274" t="str">
        <f t="shared" si="108"/>
        <v/>
      </c>
      <c r="BF274" t="str">
        <f t="shared" si="109"/>
        <v>No</v>
      </c>
      <c r="BG274" t="str">
        <f t="shared" si="110"/>
        <v>No</v>
      </c>
      <c r="BH274" t="str">
        <f t="shared" si="111"/>
        <v/>
      </c>
    </row>
    <row r="275" spans="1:60" x14ac:dyDescent="0.3">
      <c r="A275" s="1">
        <v>28</v>
      </c>
      <c r="B275" t="s">
        <v>715</v>
      </c>
      <c r="C275" t="s">
        <v>264</v>
      </c>
      <c r="D275" t="s">
        <v>264</v>
      </c>
      <c r="E275" t="s">
        <v>264</v>
      </c>
      <c r="F275" t="s">
        <v>264</v>
      </c>
      <c r="G275" t="s">
        <v>264</v>
      </c>
      <c r="I275" t="str">
        <f t="shared" si="88"/>
        <v>N/A</v>
      </c>
      <c r="J275" t="str">
        <f t="shared" si="89"/>
        <v>N/A</v>
      </c>
      <c r="K275" t="str">
        <f t="shared" si="90"/>
        <v>N/A</v>
      </c>
      <c r="L275" t="str">
        <f t="shared" si="91"/>
        <v>N/A</v>
      </c>
      <c r="M275" t="str">
        <f t="shared" si="92"/>
        <v>N/A</v>
      </c>
      <c r="N275" t="str">
        <f t="shared" si="93"/>
        <v>N/A</v>
      </c>
      <c r="P275">
        <f t="shared" si="94"/>
        <v>0</v>
      </c>
      <c r="Q275" t="str">
        <f>IFERROR(J144+MATCH(P275,J275:N275,0)-1,"")</f>
        <v/>
      </c>
      <c r="R275" t="str">
        <f t="shared" si="95"/>
        <v/>
      </c>
      <c r="S275" t="str">
        <f>IFERROR(J144+MATCH(R275,J275:N275,0)-1,"")</f>
        <v/>
      </c>
      <c r="T275" t="str">
        <f t="shared" si="96"/>
        <v/>
      </c>
      <c r="U275" t="str">
        <f t="shared" si="97"/>
        <v/>
      </c>
      <c r="V275" t="str">
        <f t="shared" si="98"/>
        <v/>
      </c>
      <c r="W275" t="str">
        <f t="shared" si="99"/>
        <v/>
      </c>
      <c r="X275" t="str">
        <f t="shared" si="100"/>
        <v/>
      </c>
      <c r="Y275" t="str">
        <f t="shared" si="101"/>
        <v/>
      </c>
      <c r="Z275" t="str">
        <f t="shared" si="102"/>
        <v/>
      </c>
      <c r="AA275">
        <f t="shared" si="103"/>
        <v>0</v>
      </c>
      <c r="AB275" t="str">
        <f>IFERROR(V144+MATCH(AA275,V275:Z275,0)-1,"")</f>
        <v/>
      </c>
      <c r="AC275" t="str">
        <f t="shared" si="104"/>
        <v/>
      </c>
      <c r="AE275" t="str">
        <f>IF(ISNUMBER(MATCH("N/A",J275:N275,0)),"",IFERROR((5 * SUMPRODUCT(J144:N144,J275:N275) - PRODUCT(SUM(J144:N144),SUM(J275:N275))) / ((5 * SUM((J144^2)+(K144^2)+(L144^2)+(M144^2)+(N144^2))) - SUM(J144:N144)^2),""))</f>
        <v/>
      </c>
      <c r="AF275" t="str">
        <f>IFERROR(CORREL(J144:N144,J275:N275),"")</f>
        <v/>
      </c>
      <c r="AZ275">
        <f t="shared" si="105"/>
        <v>0</v>
      </c>
      <c r="BA275" t="str">
        <f>IF(AZ275=1,IF(Q275="","",IF(Q275=N144,"Yes","No")),"")</f>
        <v/>
      </c>
      <c r="BB275" t="str">
        <f t="shared" si="106"/>
        <v/>
      </c>
      <c r="BC275" t="str">
        <f>IF(AZ275=1,IF(S275="","",IF(S275=N144,"Yes","No")),"")</f>
        <v/>
      </c>
      <c r="BD275" t="str">
        <f t="shared" si="107"/>
        <v/>
      </c>
      <c r="BE275" t="str">
        <f t="shared" si="108"/>
        <v/>
      </c>
      <c r="BF275" t="str">
        <f t="shared" si="109"/>
        <v>No</v>
      </c>
      <c r="BG275" t="str">
        <f t="shared" si="110"/>
        <v>No</v>
      </c>
      <c r="BH275" t="str">
        <f t="shared" si="111"/>
        <v/>
      </c>
    </row>
    <row r="276" spans="1:60" x14ac:dyDescent="0.3">
      <c r="A276" s="1">
        <v>29</v>
      </c>
      <c r="B276" t="s">
        <v>716</v>
      </c>
      <c r="C276" t="s">
        <v>320</v>
      </c>
      <c r="D276" t="s">
        <v>320</v>
      </c>
      <c r="E276" t="s">
        <v>544</v>
      </c>
      <c r="F276" t="s">
        <v>272</v>
      </c>
      <c r="G276" t="s">
        <v>717</v>
      </c>
      <c r="I276" t="str">
        <f t="shared" si="88"/>
        <v>N/A</v>
      </c>
      <c r="J276">
        <f t="shared" si="89"/>
        <v>1140000000</v>
      </c>
      <c r="K276">
        <f t="shared" si="90"/>
        <v>1140000000</v>
      </c>
      <c r="L276">
        <f t="shared" si="91"/>
        <v>1220000000</v>
      </c>
      <c r="M276">
        <f t="shared" si="92"/>
        <v>1370000000</v>
      </c>
      <c r="N276">
        <f t="shared" si="93"/>
        <v>1480000000</v>
      </c>
      <c r="P276">
        <f t="shared" si="94"/>
        <v>1480000000</v>
      </c>
      <c r="Q276">
        <f>IFERROR(J144+MATCH(P276,J276:N276,0)-1,"")</f>
        <v>2016</v>
      </c>
      <c r="R276">
        <f t="shared" si="95"/>
        <v>1140000000</v>
      </c>
      <c r="S276">
        <f>IFERROR(J144+MATCH(R276,J276:N276,0)-1,"")</f>
        <v>2012</v>
      </c>
      <c r="T276">
        <f t="shared" si="96"/>
        <v>1270000000</v>
      </c>
      <c r="U276">
        <f t="shared" si="97"/>
        <v>150332963.78372908</v>
      </c>
      <c r="V276">
        <f t="shared" si="98"/>
        <v>-0.86474713680906112</v>
      </c>
      <c r="W276">
        <f t="shared" si="99"/>
        <v>-0.86474713680906112</v>
      </c>
      <c r="X276">
        <f t="shared" si="100"/>
        <v>-0.33259505261886968</v>
      </c>
      <c r="Y276">
        <f t="shared" si="101"/>
        <v>0.66519010523773936</v>
      </c>
      <c r="Z276">
        <f t="shared" si="102"/>
        <v>1.3968992209992526</v>
      </c>
      <c r="AA276">
        <f t="shared" si="103"/>
        <v>1.3968992209992526</v>
      </c>
      <c r="AB276">
        <f>IFERROR(V144+MATCH(AA276,V276:Z276,0)-1,"")</f>
        <v>2016</v>
      </c>
      <c r="AC276" t="str">
        <f t="shared" si="104"/>
        <v>High</v>
      </c>
      <c r="AE276">
        <f>IF(ISNUMBER(MATCH("N/A",J276:N276,0)),"",IFERROR((5 * SUMPRODUCT(J144:N144,J276:N276) - PRODUCT(SUM(J144:N144),SUM(J276:N276))) / ((5 * SUM((J144^2)+(K144^2)+(L144^2)+(M144^2)+(N144^2))) - SUM(J144:N144)^2),""))</f>
        <v>91000000</v>
      </c>
      <c r="AF276">
        <f>IFERROR(CORREL(J144:N144,J276:N276),"")</f>
        <v>0.95709969334905187</v>
      </c>
      <c r="AZ276">
        <f t="shared" si="105"/>
        <v>1</v>
      </c>
      <c r="BA276" t="str">
        <f>IF(AZ276=1,IF(Q276="","",IF(Q276=N144,"Yes","No")),"")</f>
        <v>Yes</v>
      </c>
      <c r="BB276">
        <f t="shared" si="106"/>
        <v>1480000000</v>
      </c>
      <c r="BC276" t="str">
        <f>IF(AZ276=1,IF(S276="","",IF(S276=N144,"Yes","No")),"")</f>
        <v>No</v>
      </c>
      <c r="BD276" t="str">
        <f t="shared" si="107"/>
        <v/>
      </c>
      <c r="BE276" t="str">
        <f t="shared" si="108"/>
        <v>Increasing</v>
      </c>
      <c r="BF276" t="str">
        <f t="shared" si="109"/>
        <v>Yes</v>
      </c>
      <c r="BG276" t="str">
        <f t="shared" si="110"/>
        <v>No</v>
      </c>
      <c r="BH276" t="str">
        <f t="shared" si="111"/>
        <v>Yes</v>
      </c>
    </row>
    <row r="277" spans="1:60" x14ac:dyDescent="0.3">
      <c r="A277" s="1">
        <v>30</v>
      </c>
      <c r="B277" t="s">
        <v>718</v>
      </c>
      <c r="C277" t="s">
        <v>719</v>
      </c>
      <c r="D277" t="s">
        <v>719</v>
      </c>
      <c r="E277" t="s">
        <v>719</v>
      </c>
      <c r="F277" t="s">
        <v>719</v>
      </c>
      <c r="G277" t="s">
        <v>719</v>
      </c>
      <c r="I277" t="str">
        <f t="shared" si="88"/>
        <v>N/A</v>
      </c>
      <c r="J277">
        <f t="shared" si="89"/>
        <v>45380000</v>
      </c>
      <c r="K277">
        <f t="shared" si="90"/>
        <v>45380000</v>
      </c>
      <c r="L277">
        <f t="shared" si="91"/>
        <v>45380000</v>
      </c>
      <c r="M277">
        <f t="shared" si="92"/>
        <v>45380000</v>
      </c>
      <c r="N277">
        <f t="shared" si="93"/>
        <v>45380000</v>
      </c>
      <c r="P277">
        <f t="shared" si="94"/>
        <v>45380000</v>
      </c>
      <c r="Q277">
        <f>IFERROR(J144+MATCH(P277,J277:N277,0)-1,"")</f>
        <v>2012</v>
      </c>
      <c r="R277">
        <f t="shared" si="95"/>
        <v>45380000</v>
      </c>
      <c r="S277">
        <f>IFERROR(J144+MATCH(R277,J277:N277,0)-1,"")</f>
        <v>2012</v>
      </c>
      <c r="T277">
        <f t="shared" si="96"/>
        <v>45380000</v>
      </c>
      <c r="U277">
        <f t="shared" si="97"/>
        <v>0</v>
      </c>
      <c r="V277" t="str">
        <f t="shared" si="98"/>
        <v/>
      </c>
      <c r="W277" t="str">
        <f t="shared" si="99"/>
        <v/>
      </c>
      <c r="X277" t="str">
        <f t="shared" si="100"/>
        <v/>
      </c>
      <c r="Y277" t="str">
        <f t="shared" si="101"/>
        <v/>
      </c>
      <c r="Z277" t="str">
        <f t="shared" si="102"/>
        <v/>
      </c>
      <c r="AA277">
        <f t="shared" si="103"/>
        <v>0</v>
      </c>
      <c r="AB277" t="str">
        <f>IFERROR(V144+MATCH(AA277,V277:Z277,0)-1,"")</f>
        <v/>
      </c>
      <c r="AC277" t="str">
        <f t="shared" si="104"/>
        <v/>
      </c>
      <c r="AE277">
        <f>IF(ISNUMBER(MATCH("N/A",J277:N277,0)),"",IFERROR((5 * SUMPRODUCT(J144:N144,J277:N277) - PRODUCT(SUM(J144:N144),SUM(J277:N277))) / ((5 * SUM((J144^2)+(K144^2)+(L144^2)+(M144^2)+(N144^2))) - SUM(J144:N144)^2),""))</f>
        <v>0</v>
      </c>
      <c r="AF277" t="str">
        <f>IFERROR(CORREL(J144:N144,J277:N277),"")</f>
        <v/>
      </c>
      <c r="AZ277">
        <f t="shared" si="105"/>
        <v>0</v>
      </c>
      <c r="BA277" t="str">
        <f>IF(AZ277=1,IF(Q277="","",IF(Q277=N144,"Yes","No")),"")</f>
        <v/>
      </c>
      <c r="BB277" t="str">
        <f t="shared" si="106"/>
        <v/>
      </c>
      <c r="BC277" t="str">
        <f>IF(AZ277=1,IF(S277="","",IF(S277=N144,"Yes","No")),"")</f>
        <v/>
      </c>
      <c r="BD277" t="str">
        <f t="shared" si="107"/>
        <v/>
      </c>
      <c r="BE277" t="str">
        <f t="shared" si="108"/>
        <v/>
      </c>
      <c r="BF277" t="str">
        <f t="shared" si="109"/>
        <v>No</v>
      </c>
      <c r="BG277" t="str">
        <f t="shared" si="110"/>
        <v>No</v>
      </c>
      <c r="BH277" t="str">
        <f t="shared" si="111"/>
        <v/>
      </c>
    </row>
    <row r="278" spans="1:60" x14ac:dyDescent="0.3">
      <c r="A278" s="1">
        <v>31</v>
      </c>
      <c r="B278" t="s">
        <v>720</v>
      </c>
      <c r="C278" t="s">
        <v>533</v>
      </c>
      <c r="D278" t="s">
        <v>721</v>
      </c>
      <c r="E278" t="s">
        <v>722</v>
      </c>
      <c r="F278" t="s">
        <v>723</v>
      </c>
      <c r="G278" t="s">
        <v>308</v>
      </c>
      <c r="I278" t="str">
        <f t="shared" si="88"/>
        <v>pos_trend</v>
      </c>
      <c r="J278">
        <f t="shared" si="89"/>
        <v>1090000000</v>
      </c>
      <c r="K278">
        <f t="shared" si="90"/>
        <v>1200000000</v>
      </c>
      <c r="L278">
        <f t="shared" si="91"/>
        <v>1270000000</v>
      </c>
      <c r="M278">
        <f t="shared" si="92"/>
        <v>1400000000</v>
      </c>
      <c r="N278">
        <f t="shared" si="93"/>
        <v>1530000000</v>
      </c>
      <c r="P278">
        <f t="shared" si="94"/>
        <v>1530000000</v>
      </c>
      <c r="Q278">
        <f>IFERROR(J144+MATCH(P278,J278:N278,0)-1,"")</f>
        <v>2016</v>
      </c>
      <c r="R278">
        <f t="shared" si="95"/>
        <v>1090000000</v>
      </c>
      <c r="S278">
        <f>IFERROR(J144+MATCH(R278,J278:N278,0)-1,"")</f>
        <v>2012</v>
      </c>
      <c r="T278">
        <f t="shared" si="96"/>
        <v>1298000000</v>
      </c>
      <c r="U278">
        <f t="shared" si="97"/>
        <v>171668284.78201792</v>
      </c>
      <c r="V278">
        <f t="shared" si="98"/>
        <v>-1.2116390646304622</v>
      </c>
      <c r="W278">
        <f t="shared" si="99"/>
        <v>-0.5708684054508909</v>
      </c>
      <c r="X278">
        <f t="shared" si="100"/>
        <v>-0.16310525870025452</v>
      </c>
      <c r="Y278">
        <f t="shared" si="101"/>
        <v>0.59416915669378434</v>
      </c>
      <c r="Z278">
        <f t="shared" si="102"/>
        <v>1.3514435720878233</v>
      </c>
      <c r="AA278">
        <f t="shared" si="103"/>
        <v>1.3514435720878233</v>
      </c>
      <c r="AB278">
        <f>IFERROR(V144+MATCH(AA278,V278:Z278,0)-1,"")</f>
        <v>2016</v>
      </c>
      <c r="AC278" t="str">
        <f t="shared" si="104"/>
        <v>High</v>
      </c>
      <c r="AE278">
        <f>IF(ISNUMBER(MATCH("N/A",J278:N278,0)),"",IFERROR((5 * SUMPRODUCT(J144:N144,J278:N278) - PRODUCT(SUM(J144:N144),SUM(J278:N278))) / ((5 * SUM((J144^2)+(K144^2)+(L144^2)+(M144^2)+(N144^2))) - SUM(J144:N144)^2),""))</f>
        <v>108000000</v>
      </c>
      <c r="AF278">
        <f>IFERROR(CORREL(J144:N144,J278:N278),"")</f>
        <v>0.99472650912732685</v>
      </c>
      <c r="AZ278">
        <f t="shared" si="105"/>
        <v>1</v>
      </c>
      <c r="BA278" t="str">
        <f>IF(AZ278=1,IF(Q278="","",IF(Q278=N144,"Yes","No")),"")</f>
        <v>Yes</v>
      </c>
      <c r="BB278">
        <f t="shared" si="106"/>
        <v>1530000000</v>
      </c>
      <c r="BC278" t="str">
        <f>IF(AZ278=1,IF(S278="","",IF(S278=N144,"Yes","No")),"")</f>
        <v>No</v>
      </c>
      <c r="BD278" t="str">
        <f t="shared" si="107"/>
        <v/>
      </c>
      <c r="BE278" t="str">
        <f t="shared" si="108"/>
        <v>Increasing</v>
      </c>
      <c r="BF278" t="str">
        <f t="shared" si="109"/>
        <v>Yes</v>
      </c>
      <c r="BG278" t="str">
        <f t="shared" si="110"/>
        <v>Yes</v>
      </c>
      <c r="BH278" t="str">
        <f t="shared" si="111"/>
        <v>Yes</v>
      </c>
    </row>
    <row r="279" spans="1:60" x14ac:dyDescent="0.3">
      <c r="A279" s="1">
        <v>32</v>
      </c>
      <c r="B279" t="s">
        <v>724</v>
      </c>
      <c r="C279" t="s">
        <v>264</v>
      </c>
      <c r="D279" t="s">
        <v>264</v>
      </c>
      <c r="E279" t="s">
        <v>264</v>
      </c>
      <c r="F279" t="s">
        <v>264</v>
      </c>
      <c r="G279" t="s">
        <v>264</v>
      </c>
      <c r="I279" t="str">
        <f t="shared" si="88"/>
        <v>N/A</v>
      </c>
      <c r="J279" t="str">
        <f t="shared" si="89"/>
        <v>N/A</v>
      </c>
      <c r="K279" t="str">
        <f t="shared" si="90"/>
        <v>N/A</v>
      </c>
      <c r="L279" t="str">
        <f t="shared" si="91"/>
        <v>N/A</v>
      </c>
      <c r="M279" t="str">
        <f t="shared" si="92"/>
        <v>N/A</v>
      </c>
      <c r="N279" t="str">
        <f t="shared" si="93"/>
        <v>N/A</v>
      </c>
      <c r="P279">
        <f t="shared" si="94"/>
        <v>0</v>
      </c>
      <c r="Q279" t="str">
        <f>IFERROR(J144+MATCH(P279,J279:N279,0)-1,"")</f>
        <v/>
      </c>
      <c r="R279" t="str">
        <f t="shared" si="95"/>
        <v/>
      </c>
      <c r="S279" t="str">
        <f>IFERROR(J144+MATCH(R279,J279:N279,0)-1,"")</f>
        <v/>
      </c>
      <c r="T279" t="str">
        <f t="shared" si="96"/>
        <v/>
      </c>
      <c r="U279" t="str">
        <f t="shared" si="97"/>
        <v/>
      </c>
      <c r="V279" t="str">
        <f t="shared" si="98"/>
        <v/>
      </c>
      <c r="W279" t="str">
        <f t="shared" si="99"/>
        <v/>
      </c>
      <c r="X279" t="str">
        <f t="shared" si="100"/>
        <v/>
      </c>
      <c r="Y279" t="str">
        <f t="shared" si="101"/>
        <v/>
      </c>
      <c r="Z279" t="str">
        <f t="shared" si="102"/>
        <v/>
      </c>
      <c r="AA279">
        <f t="shared" si="103"/>
        <v>0</v>
      </c>
      <c r="AB279" t="str">
        <f>IFERROR(V144+MATCH(AA279,V279:Z279,0)-1,"")</f>
        <v/>
      </c>
      <c r="AC279" t="str">
        <f t="shared" si="104"/>
        <v/>
      </c>
      <c r="AE279" t="str">
        <f>IF(ISNUMBER(MATCH("N/A",J279:N279,0)),"",IFERROR((5 * SUMPRODUCT(J144:N144,J279:N279) - PRODUCT(SUM(J144:N144),SUM(J279:N279))) / ((5 * SUM((J144^2)+(K144^2)+(L144^2)+(M144^2)+(N144^2))) - SUM(J144:N144)^2),""))</f>
        <v/>
      </c>
      <c r="AF279" t="str">
        <f>IFERROR(CORREL(J144:N144,J279:N279),"")</f>
        <v/>
      </c>
      <c r="AZ279">
        <f t="shared" si="105"/>
        <v>0</v>
      </c>
      <c r="BA279" t="str">
        <f>IF(AZ279=1,IF(Q279="","",IF(Q279=N144,"Yes","No")),"")</f>
        <v/>
      </c>
      <c r="BB279" t="str">
        <f t="shared" si="106"/>
        <v/>
      </c>
      <c r="BC279" t="str">
        <f>IF(AZ279=1,IF(S279="","",IF(S279=N144,"Yes","No")),"")</f>
        <v/>
      </c>
      <c r="BD279" t="str">
        <f t="shared" si="107"/>
        <v/>
      </c>
      <c r="BE279" t="str">
        <f t="shared" si="108"/>
        <v/>
      </c>
      <c r="BF279" t="str">
        <f t="shared" si="109"/>
        <v>No</v>
      </c>
      <c r="BG279" t="str">
        <f t="shared" si="110"/>
        <v>No</v>
      </c>
      <c r="BH279" t="str">
        <f t="shared" si="111"/>
        <v/>
      </c>
    </row>
    <row r="280" spans="1:60" x14ac:dyDescent="0.3">
      <c r="A280" s="1">
        <v>33</v>
      </c>
      <c r="B280" t="s">
        <v>725</v>
      </c>
      <c r="C280" t="s">
        <v>726</v>
      </c>
      <c r="D280" t="s">
        <v>727</v>
      </c>
      <c r="E280" t="s">
        <v>728</v>
      </c>
      <c r="F280" t="s">
        <v>729</v>
      </c>
      <c r="G280" t="s">
        <v>730</v>
      </c>
      <c r="I280" t="str">
        <f t="shared" si="88"/>
        <v>N/A</v>
      </c>
      <c r="J280">
        <f t="shared" si="89"/>
        <v>-69000</v>
      </c>
      <c r="K280">
        <f t="shared" si="90"/>
        <v>-64000</v>
      </c>
      <c r="L280">
        <f t="shared" si="91"/>
        <v>-90000</v>
      </c>
      <c r="M280">
        <f t="shared" si="92"/>
        <v>-517000</v>
      </c>
      <c r="N280">
        <f t="shared" si="93"/>
        <v>-531000</v>
      </c>
      <c r="P280">
        <f t="shared" si="94"/>
        <v>-64000</v>
      </c>
      <c r="Q280">
        <f>IFERROR(J144+MATCH(P280,J280:N280,0)-1,"")</f>
        <v>2013</v>
      </c>
      <c r="R280">
        <f t="shared" si="95"/>
        <v>-531000</v>
      </c>
      <c r="S280">
        <f>IFERROR(J144+MATCH(R280,J280:N280,0)-1,"")</f>
        <v>2016</v>
      </c>
      <c r="T280">
        <f t="shared" si="96"/>
        <v>-254200</v>
      </c>
      <c r="U280">
        <f t="shared" si="97"/>
        <v>246535.39299662432</v>
      </c>
      <c r="V280">
        <f t="shared" si="98"/>
        <v>0.75121059799529821</v>
      </c>
      <c r="W280">
        <f t="shared" si="99"/>
        <v>0.77149166165607841</v>
      </c>
      <c r="X280">
        <f t="shared" si="100"/>
        <v>0.66603013062002137</v>
      </c>
      <c r="Y280">
        <f t="shared" si="101"/>
        <v>-1.0659727060106068</v>
      </c>
      <c r="Z280">
        <f t="shared" si="102"/>
        <v>-1.1227596842607912</v>
      </c>
      <c r="AA280">
        <f t="shared" si="103"/>
        <v>-1.1227596842607912</v>
      </c>
      <c r="AB280">
        <f>IFERROR(V144+MATCH(AA280,V280:Z280,0)-1,"")</f>
        <v>2016</v>
      </c>
      <c r="AC280" t="str">
        <f t="shared" si="104"/>
        <v>Low</v>
      </c>
      <c r="AE280">
        <f>IF(ISNUMBER(MATCH("N/A",J280:N280,0)),"",IFERROR((5 * SUMPRODUCT(J144:N144,J280:N280) - PRODUCT(SUM(J144:N144),SUM(J280:N280))) / ((5 * SUM((J144^2)+(K144^2)+(L144^2)+(M144^2)+(N144^2))) - SUM(J144:N144)^2),""))</f>
        <v>-137700</v>
      </c>
      <c r="AF280">
        <f>IFERROR(CORREL(J144:N144,J280:N280),"")</f>
        <v>-0.88313006200117516</v>
      </c>
      <c r="AZ280">
        <f t="shared" si="105"/>
        <v>1</v>
      </c>
      <c r="BA280" t="str">
        <f>IF(AZ280=1,IF(Q280="","",IF(Q280=N144,"Yes","No")),"")</f>
        <v>No</v>
      </c>
      <c r="BB280" t="str">
        <f t="shared" si="106"/>
        <v/>
      </c>
      <c r="BC280" t="str">
        <f>IF(AZ280=1,IF(S280="","",IF(S280=N144,"Yes","No")),"")</f>
        <v>Yes</v>
      </c>
      <c r="BD280">
        <f t="shared" si="107"/>
        <v>-531000</v>
      </c>
      <c r="BE280" t="str">
        <f t="shared" si="108"/>
        <v>Decreasing</v>
      </c>
      <c r="BF280" t="str">
        <f t="shared" si="109"/>
        <v>Yes</v>
      </c>
      <c r="BG280" t="str">
        <f t="shared" si="110"/>
        <v>No</v>
      </c>
      <c r="BH280" t="str">
        <f t="shared" si="111"/>
        <v>Yes</v>
      </c>
    </row>
    <row r="281" spans="1:60" x14ac:dyDescent="0.3">
      <c r="A281" s="1">
        <v>34</v>
      </c>
      <c r="B281" t="s">
        <v>731</v>
      </c>
      <c r="C281" t="s">
        <v>264</v>
      </c>
      <c r="D281" t="s">
        <v>264</v>
      </c>
      <c r="E281" t="s">
        <v>264</v>
      </c>
      <c r="F281" t="s">
        <v>264</v>
      </c>
      <c r="G281" t="s">
        <v>264</v>
      </c>
      <c r="I281" t="str">
        <f t="shared" si="88"/>
        <v>N/A</v>
      </c>
      <c r="J281" t="str">
        <f t="shared" si="89"/>
        <v>N/A</v>
      </c>
      <c r="K281" t="str">
        <f t="shared" si="90"/>
        <v>N/A</v>
      </c>
      <c r="L281" t="str">
        <f t="shared" si="91"/>
        <v>N/A</v>
      </c>
      <c r="M281" t="str">
        <f t="shared" si="92"/>
        <v>N/A</v>
      </c>
      <c r="N281" t="str">
        <f t="shared" si="93"/>
        <v>N/A</v>
      </c>
      <c r="P281">
        <f t="shared" si="94"/>
        <v>0</v>
      </c>
      <c r="Q281" t="str">
        <f>IFERROR(J144+MATCH(P281,J281:N281,0)-1,"")</f>
        <v/>
      </c>
      <c r="R281" t="str">
        <f t="shared" si="95"/>
        <v/>
      </c>
      <c r="S281" t="str">
        <f>IFERROR(J144+MATCH(R281,J281:N281,0)-1,"")</f>
        <v/>
      </c>
      <c r="T281" t="str">
        <f t="shared" si="96"/>
        <v/>
      </c>
      <c r="U281" t="str">
        <f t="shared" si="97"/>
        <v/>
      </c>
      <c r="V281" t="str">
        <f t="shared" si="98"/>
        <v/>
      </c>
      <c r="W281" t="str">
        <f t="shared" si="99"/>
        <v/>
      </c>
      <c r="X281" t="str">
        <f t="shared" si="100"/>
        <v/>
      </c>
      <c r="Y281" t="str">
        <f t="shared" si="101"/>
        <v/>
      </c>
      <c r="Z281" t="str">
        <f t="shared" si="102"/>
        <v/>
      </c>
      <c r="AA281">
        <f t="shared" si="103"/>
        <v>0</v>
      </c>
      <c r="AB281" t="str">
        <f>IFERROR(V144+MATCH(AA281,V281:Z281,0)-1,"")</f>
        <v/>
      </c>
      <c r="AC281" t="str">
        <f t="shared" si="104"/>
        <v/>
      </c>
      <c r="AE281" t="str">
        <f>IF(ISNUMBER(MATCH("N/A",J281:N281,0)),"",IFERROR((5 * SUMPRODUCT(J144:N144,J281:N281) - PRODUCT(SUM(J144:N144),SUM(J281:N281))) / ((5 * SUM((J144^2)+(K144^2)+(L144^2)+(M144^2)+(N144^2))) - SUM(J144:N144)^2),""))</f>
        <v/>
      </c>
      <c r="AF281" t="str">
        <f>IFERROR(CORREL(J144:N144,J281:N281),"")</f>
        <v/>
      </c>
      <c r="AZ281">
        <f t="shared" si="105"/>
        <v>0</v>
      </c>
      <c r="BA281" t="str">
        <f>IF(AZ281=1,IF(Q281="","",IF(Q281=N144,"Yes","No")),"")</f>
        <v/>
      </c>
      <c r="BB281" t="str">
        <f t="shared" si="106"/>
        <v/>
      </c>
      <c r="BC281" t="str">
        <f>IF(AZ281=1,IF(S281="","",IF(S281=N144,"Yes","No")),"")</f>
        <v/>
      </c>
      <c r="BD281" t="str">
        <f t="shared" si="107"/>
        <v/>
      </c>
      <c r="BE281" t="str">
        <f t="shared" si="108"/>
        <v/>
      </c>
      <c r="BF281" t="str">
        <f t="shared" si="109"/>
        <v>No</v>
      </c>
      <c r="BG281" t="str">
        <f t="shared" si="110"/>
        <v>No</v>
      </c>
      <c r="BH281" t="str">
        <f t="shared" si="111"/>
        <v/>
      </c>
    </row>
    <row r="282" spans="1:60" x14ac:dyDescent="0.3">
      <c r="A282" s="1">
        <v>35</v>
      </c>
      <c r="B282" t="s">
        <v>732</v>
      </c>
      <c r="C282" t="s">
        <v>264</v>
      </c>
      <c r="D282" t="s">
        <v>264</v>
      </c>
      <c r="E282" t="s">
        <v>264</v>
      </c>
      <c r="F282" t="s">
        <v>264</v>
      </c>
      <c r="G282" t="s">
        <v>264</v>
      </c>
      <c r="I282" t="str">
        <f t="shared" si="88"/>
        <v>N/A</v>
      </c>
      <c r="J282" t="str">
        <f t="shared" si="89"/>
        <v>N/A</v>
      </c>
      <c r="K282" t="str">
        <f t="shared" si="90"/>
        <v>N/A</v>
      </c>
      <c r="L282" t="str">
        <f t="shared" si="91"/>
        <v>N/A</v>
      </c>
      <c r="M282" t="str">
        <f t="shared" si="92"/>
        <v>N/A</v>
      </c>
      <c r="N282" t="str">
        <f t="shared" si="93"/>
        <v>N/A</v>
      </c>
      <c r="P282">
        <f t="shared" si="94"/>
        <v>0</v>
      </c>
      <c r="Q282" t="str">
        <f>IFERROR(J144+MATCH(P282,J282:N282,0)-1,"")</f>
        <v/>
      </c>
      <c r="R282" t="str">
        <f t="shared" si="95"/>
        <v/>
      </c>
      <c r="S282" t="str">
        <f>IFERROR(J144+MATCH(R282,J282:N282,0)-1,"")</f>
        <v/>
      </c>
      <c r="T282" t="str">
        <f t="shared" si="96"/>
        <v/>
      </c>
      <c r="U282" t="str">
        <f t="shared" si="97"/>
        <v/>
      </c>
      <c r="V282" t="str">
        <f t="shared" si="98"/>
        <v/>
      </c>
      <c r="W282" t="str">
        <f t="shared" si="99"/>
        <v/>
      </c>
      <c r="X282" t="str">
        <f t="shared" si="100"/>
        <v/>
      </c>
      <c r="Y282" t="str">
        <f t="shared" si="101"/>
        <v/>
      </c>
      <c r="Z282" t="str">
        <f t="shared" si="102"/>
        <v/>
      </c>
      <c r="AA282">
        <f t="shared" si="103"/>
        <v>0</v>
      </c>
      <c r="AB282" t="str">
        <f>IFERROR(V144+MATCH(AA282,V282:Z282,0)-1,"")</f>
        <v/>
      </c>
      <c r="AC282" t="str">
        <f t="shared" si="104"/>
        <v/>
      </c>
      <c r="AE282" t="str">
        <f>IF(ISNUMBER(MATCH("N/A",J282:N282,0)),"",IFERROR((5 * SUMPRODUCT(J144:N144,J282:N282) - PRODUCT(SUM(J144:N144),SUM(J282:N282))) / ((5 * SUM((J144^2)+(K144^2)+(L144^2)+(M144^2)+(N144^2))) - SUM(J144:N144)^2),""))</f>
        <v/>
      </c>
      <c r="AF282" t="str">
        <f>IFERROR(CORREL(J144:N144,J282:N282),"")</f>
        <v/>
      </c>
      <c r="AZ282">
        <f t="shared" si="105"/>
        <v>0</v>
      </c>
      <c r="BA282" t="str">
        <f>IF(AZ282=1,IF(Q282="","",IF(Q282=N144,"Yes","No")),"")</f>
        <v/>
      </c>
      <c r="BB282" t="str">
        <f t="shared" si="106"/>
        <v/>
      </c>
      <c r="BC282" t="str">
        <f>IF(AZ282=1,IF(S282="","",IF(S282=N144,"Yes","No")),"")</f>
        <v/>
      </c>
      <c r="BD282" t="str">
        <f t="shared" si="107"/>
        <v/>
      </c>
      <c r="BE282" t="str">
        <f t="shared" si="108"/>
        <v/>
      </c>
      <c r="BF282" t="str">
        <f t="shared" si="109"/>
        <v>No</v>
      </c>
      <c r="BG282" t="str">
        <f t="shared" si="110"/>
        <v>No</v>
      </c>
      <c r="BH282" t="str">
        <f t="shared" si="111"/>
        <v/>
      </c>
    </row>
    <row r="283" spans="1:60" x14ac:dyDescent="0.3">
      <c r="A283" s="1">
        <v>36</v>
      </c>
      <c r="B283" t="s">
        <v>733</v>
      </c>
      <c r="C283" t="s">
        <v>734</v>
      </c>
      <c r="D283" t="s">
        <v>735</v>
      </c>
      <c r="E283" t="s">
        <v>736</v>
      </c>
      <c r="F283" t="s">
        <v>737</v>
      </c>
      <c r="G283" t="s">
        <v>738</v>
      </c>
      <c r="I283" t="str">
        <f t="shared" si="88"/>
        <v>N/A</v>
      </c>
      <c r="J283">
        <f t="shared" si="89"/>
        <v>-216580000</v>
      </c>
      <c r="K283">
        <f t="shared" si="90"/>
        <v>-305750000</v>
      </c>
      <c r="L283">
        <f t="shared" si="91"/>
        <v>-323290000</v>
      </c>
      <c r="M283">
        <f t="shared" si="92"/>
        <v>-321470000</v>
      </c>
      <c r="N283">
        <f t="shared" si="93"/>
        <v>-352740000</v>
      </c>
      <c r="P283">
        <f t="shared" si="94"/>
        <v>-216580000</v>
      </c>
      <c r="Q283">
        <f>IFERROR(J144+MATCH(P283,J283:N283,0)-1,"")</f>
        <v>2012</v>
      </c>
      <c r="R283">
        <f t="shared" si="95"/>
        <v>-352740000</v>
      </c>
      <c r="S283">
        <f>IFERROR(J144+MATCH(R283,J283:N283,0)-1,"")</f>
        <v>2016</v>
      </c>
      <c r="T283">
        <f t="shared" si="96"/>
        <v>-303966000</v>
      </c>
      <c r="U283">
        <f t="shared" si="97"/>
        <v>51716065.49226281</v>
      </c>
      <c r="V283">
        <f t="shared" si="98"/>
        <v>1.6897263774459743</v>
      </c>
      <c r="W283">
        <f t="shared" si="99"/>
        <v>-3.4496050366919398E-2</v>
      </c>
      <c r="X283">
        <f t="shared" si="100"/>
        <v>-0.37365564870535334</v>
      </c>
      <c r="Y283">
        <f t="shared" si="101"/>
        <v>-0.33846348969874279</v>
      </c>
      <c r="Z283">
        <f t="shared" si="102"/>
        <v>-0.9431111886749588</v>
      </c>
      <c r="AA283">
        <f t="shared" si="103"/>
        <v>1.6897263774459743</v>
      </c>
      <c r="AB283">
        <f>IFERROR(V144+MATCH(AA283,V283:Z283,0)-1,"")</f>
        <v>2012</v>
      </c>
      <c r="AC283" t="str">
        <f t="shared" si="104"/>
        <v>High</v>
      </c>
      <c r="AE283">
        <f>IF(ISNUMBER(MATCH("N/A",J283:N283,0)),"",IFERROR((5 * SUMPRODUCT(J144:N144,J283:N283) - PRODUCT(SUM(J144:N144),SUM(J283:N283))) / ((5 * SUM((J144^2)+(K144^2)+(L144^2)+(M144^2)+(N144^2))) - SUM(J144:N144)^2),""))</f>
        <v>-28804000</v>
      </c>
      <c r="AF283">
        <f>IFERROR(CORREL(J144:N144,J283:N283),"")</f>
        <v>-0.88063781396051477</v>
      </c>
      <c r="AZ283">
        <f t="shared" si="105"/>
        <v>1</v>
      </c>
      <c r="BA283" t="str">
        <f>IF(AZ283=1,IF(Q283="","",IF(Q283=N144,"Yes","No")),"")</f>
        <v>No</v>
      </c>
      <c r="BB283" t="str">
        <f t="shared" si="106"/>
        <v/>
      </c>
      <c r="BC283" t="str">
        <f>IF(AZ283=1,IF(S283="","",IF(S283=N144,"Yes","No")),"")</f>
        <v>Yes</v>
      </c>
      <c r="BD283">
        <f t="shared" si="107"/>
        <v>-352740000</v>
      </c>
      <c r="BE283" t="str">
        <f t="shared" si="108"/>
        <v>Decreasing</v>
      </c>
      <c r="BF283" t="str">
        <f t="shared" si="109"/>
        <v>Yes</v>
      </c>
      <c r="BG283" t="str">
        <f t="shared" si="110"/>
        <v>No</v>
      </c>
      <c r="BH283" t="str">
        <f t="shared" si="111"/>
        <v>Yes</v>
      </c>
    </row>
    <row r="284" spans="1:60" x14ac:dyDescent="0.3">
      <c r="A284" s="1">
        <v>37</v>
      </c>
      <c r="B284" t="s">
        <v>739</v>
      </c>
      <c r="C284" t="s">
        <v>740</v>
      </c>
      <c r="D284" t="s">
        <v>741</v>
      </c>
      <c r="E284" t="s">
        <v>742</v>
      </c>
      <c r="F284" t="s">
        <v>743</v>
      </c>
      <c r="G284" t="s">
        <v>744</v>
      </c>
      <c r="I284" t="str">
        <f t="shared" si="88"/>
        <v>N/A</v>
      </c>
      <c r="J284">
        <f t="shared" si="89"/>
        <v>0.60980000000000001</v>
      </c>
      <c r="K284">
        <f t="shared" si="90"/>
        <v>0.62390000000000001</v>
      </c>
      <c r="L284">
        <f t="shared" si="91"/>
        <v>0.48549999999999999</v>
      </c>
      <c r="M284">
        <f t="shared" si="92"/>
        <v>0.50639999999999996</v>
      </c>
      <c r="N284">
        <f t="shared" si="93"/>
        <v>0.56640000000000001</v>
      </c>
      <c r="P284">
        <f t="shared" si="94"/>
        <v>0.62390000000000001</v>
      </c>
      <c r="Q284">
        <f>IFERROR(J144+MATCH(P284,J284:N284,0)-1,"")</f>
        <v>2013</v>
      </c>
      <c r="R284">
        <f t="shared" si="95"/>
        <v>0.48549999999999999</v>
      </c>
      <c r="S284">
        <f>IFERROR(J144+MATCH(R284,J284:N284,0)-1,"")</f>
        <v>2014</v>
      </c>
      <c r="T284">
        <f t="shared" si="96"/>
        <v>0.55840000000000001</v>
      </c>
      <c r="U284">
        <f t="shared" si="97"/>
        <v>6.1267079251421816E-2</v>
      </c>
      <c r="V284">
        <f t="shared" si="98"/>
        <v>0.83894973659621885</v>
      </c>
      <c r="W284">
        <f t="shared" si="99"/>
        <v>1.0690896448842868</v>
      </c>
      <c r="X284">
        <f t="shared" si="100"/>
        <v>-1.1898722917872446</v>
      </c>
      <c r="Y284">
        <f t="shared" si="101"/>
        <v>-0.84874292418294595</v>
      </c>
      <c r="Z284">
        <f t="shared" si="102"/>
        <v>0.13057583448968399</v>
      </c>
      <c r="AA284">
        <f t="shared" si="103"/>
        <v>-1.1898722917872446</v>
      </c>
      <c r="AB284">
        <f>IFERROR(V144+MATCH(AA284,V284:Z284,0)-1,"")</f>
        <v>2014</v>
      </c>
      <c r="AC284" t="str">
        <f t="shared" si="104"/>
        <v>Low</v>
      </c>
      <c r="AE284">
        <f>IF(ISNUMBER(MATCH("N/A",J284:N284,0)),"",IFERROR((5 * SUMPRODUCT(J144:N144,J284:N284) - PRODUCT(SUM(J144:N144),SUM(J284:N284))) / ((5 * SUM((J144^2)+(K144^2)+(L144^2)+(M144^2)+(N144^2))) - SUM(J144:N144)^2),""))</f>
        <v>-2.0429999999978462E-2</v>
      </c>
      <c r="AF284">
        <f>IFERROR(CORREL(J144:N144,J284:N284),"")</f>
        <v>-0.52724345102301173</v>
      </c>
      <c r="AZ284">
        <f t="shared" si="105"/>
        <v>1</v>
      </c>
      <c r="BA284" t="str">
        <f>IF(AZ284=1,IF(Q284="","",IF(Q284=N144,"Yes","No")),"")</f>
        <v>No</v>
      </c>
      <c r="BB284" t="str">
        <f t="shared" si="106"/>
        <v/>
      </c>
      <c r="BC284" t="str">
        <f>IF(AZ284=1,IF(S284="","",IF(S284=N144,"Yes","No")),"")</f>
        <v>No</v>
      </c>
      <c r="BD284" t="str">
        <f t="shared" si="107"/>
        <v/>
      </c>
      <c r="BE284" t="str">
        <f t="shared" si="108"/>
        <v>Decreasing</v>
      </c>
      <c r="BF284" t="str">
        <f t="shared" si="109"/>
        <v>No</v>
      </c>
      <c r="BG284" t="str">
        <f t="shared" si="110"/>
        <v>No</v>
      </c>
      <c r="BH284" t="str">
        <f t="shared" si="111"/>
        <v>No</v>
      </c>
    </row>
    <row r="285" spans="1:60" x14ac:dyDescent="0.3">
      <c r="A285" s="1">
        <v>38</v>
      </c>
      <c r="B285" t="s">
        <v>745</v>
      </c>
      <c r="C285" t="s">
        <v>320</v>
      </c>
      <c r="D285" t="s">
        <v>320</v>
      </c>
      <c r="E285" t="s">
        <v>544</v>
      </c>
      <c r="F285" t="s">
        <v>272</v>
      </c>
      <c r="G285" t="s">
        <v>717</v>
      </c>
      <c r="I285" t="str">
        <f t="shared" si="88"/>
        <v>N/A</v>
      </c>
      <c r="J285">
        <f t="shared" si="89"/>
        <v>1140000000</v>
      </c>
      <c r="K285">
        <f t="shared" si="90"/>
        <v>1140000000</v>
      </c>
      <c r="L285">
        <f t="shared" si="91"/>
        <v>1220000000</v>
      </c>
      <c r="M285">
        <f t="shared" si="92"/>
        <v>1370000000</v>
      </c>
      <c r="N285">
        <f t="shared" si="93"/>
        <v>1480000000</v>
      </c>
      <c r="P285">
        <f t="shared" si="94"/>
        <v>1480000000</v>
      </c>
      <c r="Q285">
        <f>IFERROR(J144+MATCH(P285,J285:N285,0)-1,"")</f>
        <v>2016</v>
      </c>
      <c r="R285">
        <f t="shared" si="95"/>
        <v>1140000000</v>
      </c>
      <c r="S285">
        <f>IFERROR(J144+MATCH(R285,J285:N285,0)-1,"")</f>
        <v>2012</v>
      </c>
      <c r="T285">
        <f t="shared" si="96"/>
        <v>1270000000</v>
      </c>
      <c r="U285">
        <f t="shared" si="97"/>
        <v>150332963.78372908</v>
      </c>
      <c r="V285">
        <f t="shared" si="98"/>
        <v>-0.86474713680906112</v>
      </c>
      <c r="W285">
        <f t="shared" si="99"/>
        <v>-0.86474713680906112</v>
      </c>
      <c r="X285">
        <f t="shared" si="100"/>
        <v>-0.33259505261886968</v>
      </c>
      <c r="Y285">
        <f t="shared" si="101"/>
        <v>0.66519010523773936</v>
      </c>
      <c r="Z285">
        <f t="shared" si="102"/>
        <v>1.3968992209992526</v>
      </c>
      <c r="AA285">
        <f t="shared" si="103"/>
        <v>1.3968992209992526</v>
      </c>
      <c r="AB285">
        <f>IFERROR(V144+MATCH(AA285,V285:Z285,0)-1,"")</f>
        <v>2016</v>
      </c>
      <c r="AC285" t="str">
        <f t="shared" si="104"/>
        <v>High</v>
      </c>
      <c r="AE285">
        <f>IF(ISNUMBER(MATCH("N/A",J285:N285,0)),"",IFERROR((5 * SUMPRODUCT(J144:N144,J285:N285) - PRODUCT(SUM(J144:N144),SUM(J285:N285))) / ((5 * SUM((J144^2)+(K144^2)+(L144^2)+(M144^2)+(N144^2))) - SUM(J144:N144)^2),""))</f>
        <v>91000000</v>
      </c>
      <c r="AF285">
        <f>IFERROR(CORREL(J144:N144,J285:N285),"")</f>
        <v>0.95709969334905187</v>
      </c>
      <c r="AZ285">
        <f t="shared" si="105"/>
        <v>1</v>
      </c>
      <c r="BA285" t="str">
        <f>IF(AZ285=1,IF(Q285="","",IF(Q285=N144,"Yes","No")),"")</f>
        <v>Yes</v>
      </c>
      <c r="BB285">
        <f t="shared" si="106"/>
        <v>1480000000</v>
      </c>
      <c r="BC285" t="str">
        <f>IF(AZ285=1,IF(S285="","",IF(S285=N144,"Yes","No")),"")</f>
        <v>No</v>
      </c>
      <c r="BD285" t="str">
        <f t="shared" si="107"/>
        <v/>
      </c>
      <c r="BE285" t="str">
        <f t="shared" si="108"/>
        <v>Increasing</v>
      </c>
      <c r="BF285" t="str">
        <f t="shared" si="109"/>
        <v>Yes</v>
      </c>
      <c r="BG285" t="str">
        <f t="shared" si="110"/>
        <v>No</v>
      </c>
      <c r="BH285" t="str">
        <f t="shared" si="111"/>
        <v>Yes</v>
      </c>
    </row>
    <row r="286" spans="1:60" x14ac:dyDescent="0.3">
      <c r="A286" s="1">
        <v>39</v>
      </c>
      <c r="B286" t="s">
        <v>746</v>
      </c>
      <c r="C286" t="s">
        <v>740</v>
      </c>
      <c r="D286" t="s">
        <v>741</v>
      </c>
      <c r="E286" t="s">
        <v>742</v>
      </c>
      <c r="F286" t="s">
        <v>743</v>
      </c>
      <c r="G286" t="s">
        <v>744</v>
      </c>
      <c r="I286" t="str">
        <f t="shared" si="88"/>
        <v>N/A</v>
      </c>
      <c r="J286">
        <f t="shared" si="89"/>
        <v>0.60980000000000001</v>
      </c>
      <c r="K286">
        <f t="shared" si="90"/>
        <v>0.62390000000000001</v>
      </c>
      <c r="L286">
        <f t="shared" si="91"/>
        <v>0.48549999999999999</v>
      </c>
      <c r="M286">
        <f t="shared" si="92"/>
        <v>0.50639999999999996</v>
      </c>
      <c r="N286">
        <f t="shared" si="93"/>
        <v>0.56640000000000001</v>
      </c>
      <c r="P286">
        <f t="shared" si="94"/>
        <v>0.62390000000000001</v>
      </c>
      <c r="Q286">
        <f>IFERROR(J144+MATCH(P286,J286:N286,0)-1,"")</f>
        <v>2013</v>
      </c>
      <c r="R286">
        <f t="shared" si="95"/>
        <v>0.48549999999999999</v>
      </c>
      <c r="S286">
        <f>IFERROR(J144+MATCH(R286,J286:N286,0)-1,"")</f>
        <v>2014</v>
      </c>
      <c r="T286">
        <f t="shared" si="96"/>
        <v>0.55840000000000001</v>
      </c>
      <c r="U286">
        <f t="shared" si="97"/>
        <v>6.1267079251421816E-2</v>
      </c>
      <c r="V286">
        <f t="shared" si="98"/>
        <v>0.83894973659621885</v>
      </c>
      <c r="W286">
        <f t="shared" si="99"/>
        <v>1.0690896448842868</v>
      </c>
      <c r="X286">
        <f t="shared" si="100"/>
        <v>-1.1898722917872446</v>
      </c>
      <c r="Y286">
        <f t="shared" si="101"/>
        <v>-0.84874292418294595</v>
      </c>
      <c r="Z286">
        <f t="shared" si="102"/>
        <v>0.13057583448968399</v>
      </c>
      <c r="AA286">
        <f t="shared" si="103"/>
        <v>-1.1898722917872446</v>
      </c>
      <c r="AB286">
        <f>IFERROR(V144+MATCH(AA286,V286:Z286,0)-1,"")</f>
        <v>2014</v>
      </c>
      <c r="AC286" t="str">
        <f t="shared" si="104"/>
        <v>Low</v>
      </c>
      <c r="AE286">
        <f>IF(ISNUMBER(MATCH("N/A",J286:N286,0)),"",IFERROR((5 * SUMPRODUCT(J144:N144,J286:N286) - PRODUCT(SUM(J144:N144),SUM(J286:N286))) / ((5 * SUM((J144^2)+(K144^2)+(L144^2)+(M144^2)+(N144^2))) - SUM(J144:N144)^2),""))</f>
        <v>-2.0429999999978462E-2</v>
      </c>
      <c r="AF286">
        <f>IFERROR(CORREL(J144:N144,J286:N286),"")</f>
        <v>-0.52724345102301173</v>
      </c>
      <c r="AZ286">
        <f t="shared" si="105"/>
        <v>1</v>
      </c>
      <c r="BA286" t="str">
        <f>IF(AZ286=1,IF(Q286="","",IF(Q286=N144,"Yes","No")),"")</f>
        <v>No</v>
      </c>
      <c r="BB286" t="str">
        <f t="shared" si="106"/>
        <v/>
      </c>
      <c r="BC286" t="str">
        <f>IF(AZ286=1,IF(S286="","",IF(S286=N144,"Yes","No")),"")</f>
        <v>No</v>
      </c>
      <c r="BD286" t="str">
        <f t="shared" si="107"/>
        <v/>
      </c>
      <c r="BE286" t="str">
        <f t="shared" si="108"/>
        <v>Decreasing</v>
      </c>
      <c r="BF286" t="str">
        <f t="shared" si="109"/>
        <v>No</v>
      </c>
      <c r="BG286" t="str">
        <f t="shared" si="110"/>
        <v>No</v>
      </c>
      <c r="BH286" t="str">
        <f t="shared" si="111"/>
        <v>No</v>
      </c>
    </row>
    <row r="287" spans="1:60" x14ac:dyDescent="0.3">
      <c r="A287" s="1">
        <v>40</v>
      </c>
      <c r="B287" t="s">
        <v>747</v>
      </c>
      <c r="C287" t="s">
        <v>264</v>
      </c>
      <c r="D287" t="s">
        <v>264</v>
      </c>
      <c r="E287" t="s">
        <v>264</v>
      </c>
      <c r="F287" t="s">
        <v>264</v>
      </c>
      <c r="G287" t="s">
        <v>264</v>
      </c>
      <c r="I287" t="str">
        <f t="shared" si="88"/>
        <v>N/A</v>
      </c>
      <c r="J287" t="str">
        <f t="shared" si="89"/>
        <v>N/A</v>
      </c>
      <c r="K287" t="str">
        <f t="shared" si="90"/>
        <v>N/A</v>
      </c>
      <c r="L287" t="str">
        <f t="shared" si="91"/>
        <v>N/A</v>
      </c>
      <c r="M287" t="str">
        <f t="shared" si="92"/>
        <v>N/A</v>
      </c>
      <c r="N287" t="str">
        <f t="shared" si="93"/>
        <v>N/A</v>
      </c>
      <c r="P287">
        <f t="shared" si="94"/>
        <v>0</v>
      </c>
      <c r="Q287" t="str">
        <f>IFERROR(J144+MATCH(P287,J287:N287,0)-1,"")</f>
        <v/>
      </c>
      <c r="R287" t="str">
        <f t="shared" si="95"/>
        <v/>
      </c>
      <c r="S287" t="str">
        <f>IFERROR(J144+MATCH(R287,J287:N287,0)-1,"")</f>
        <v/>
      </c>
      <c r="T287" t="str">
        <f t="shared" si="96"/>
        <v/>
      </c>
      <c r="U287" t="str">
        <f t="shared" si="97"/>
        <v/>
      </c>
      <c r="V287" t="str">
        <f t="shared" si="98"/>
        <v/>
      </c>
      <c r="W287" t="str">
        <f t="shared" si="99"/>
        <v/>
      </c>
      <c r="X287" t="str">
        <f t="shared" si="100"/>
        <v/>
      </c>
      <c r="Y287" t="str">
        <f t="shared" si="101"/>
        <v/>
      </c>
      <c r="Z287" t="str">
        <f t="shared" si="102"/>
        <v/>
      </c>
      <c r="AA287">
        <f t="shared" si="103"/>
        <v>0</v>
      </c>
      <c r="AB287" t="str">
        <f>IFERROR(V144+MATCH(AA287,V287:Z287,0)-1,"")</f>
        <v/>
      </c>
      <c r="AC287" t="str">
        <f t="shared" si="104"/>
        <v/>
      </c>
      <c r="AE287" t="str">
        <f>IF(ISNUMBER(MATCH("N/A",J287:N287,0)),"",IFERROR((5 * SUMPRODUCT(J144:N144,J287:N287) - PRODUCT(SUM(J144:N144),SUM(J287:N287))) / ((5 * SUM((J144^2)+(K144^2)+(L144^2)+(M144^2)+(N144^2))) - SUM(J144:N144)^2),""))</f>
        <v/>
      </c>
      <c r="AF287" t="str">
        <f>IFERROR(CORREL(J144:N144,J287:N287),"")</f>
        <v/>
      </c>
      <c r="AZ287">
        <f t="shared" si="105"/>
        <v>0</v>
      </c>
      <c r="BA287" t="str">
        <f>IF(AZ287=1,IF(Q287="","",IF(Q287=N144,"Yes","No")),"")</f>
        <v/>
      </c>
      <c r="BB287" t="str">
        <f t="shared" si="106"/>
        <v/>
      </c>
      <c r="BC287" t="str">
        <f>IF(AZ287=1,IF(S287="","",IF(S287=N144,"Yes","No")),"")</f>
        <v/>
      </c>
      <c r="BD287" t="str">
        <f t="shared" si="107"/>
        <v/>
      </c>
      <c r="BE287" t="str">
        <f t="shared" si="108"/>
        <v/>
      </c>
      <c r="BF287" t="str">
        <f t="shared" si="109"/>
        <v>No</v>
      </c>
      <c r="BG287" t="str">
        <f t="shared" si="110"/>
        <v>No</v>
      </c>
      <c r="BH287" t="str">
        <f t="shared" si="111"/>
        <v/>
      </c>
    </row>
    <row r="288" spans="1:60" x14ac:dyDescent="0.3">
      <c r="A288" s="1">
        <v>41</v>
      </c>
      <c r="B288" t="s">
        <v>748</v>
      </c>
      <c r="C288" t="s">
        <v>320</v>
      </c>
      <c r="D288" t="s">
        <v>320</v>
      </c>
      <c r="E288" t="s">
        <v>544</v>
      </c>
      <c r="F288" t="s">
        <v>272</v>
      </c>
      <c r="G288" t="s">
        <v>717</v>
      </c>
      <c r="I288" t="str">
        <f t="shared" si="88"/>
        <v>N/A</v>
      </c>
      <c r="J288">
        <f t="shared" si="89"/>
        <v>1140000000</v>
      </c>
      <c r="K288">
        <f t="shared" si="90"/>
        <v>1140000000</v>
      </c>
      <c r="L288">
        <f t="shared" si="91"/>
        <v>1220000000</v>
      </c>
      <c r="M288">
        <f t="shared" si="92"/>
        <v>1370000000</v>
      </c>
      <c r="N288">
        <f t="shared" si="93"/>
        <v>1480000000</v>
      </c>
      <c r="P288">
        <f t="shared" si="94"/>
        <v>1480000000</v>
      </c>
      <c r="Q288">
        <f>IFERROR(J144+MATCH(P288,J288:N288,0)-1,"")</f>
        <v>2016</v>
      </c>
      <c r="R288">
        <f t="shared" si="95"/>
        <v>1140000000</v>
      </c>
      <c r="S288">
        <f>IFERROR(J144+MATCH(R288,J288:N288,0)-1,"")</f>
        <v>2012</v>
      </c>
      <c r="T288">
        <f t="shared" si="96"/>
        <v>1270000000</v>
      </c>
      <c r="U288">
        <f t="shared" si="97"/>
        <v>150332963.78372908</v>
      </c>
      <c r="V288">
        <f t="shared" si="98"/>
        <v>-0.86474713680906112</v>
      </c>
      <c r="W288">
        <f t="shared" si="99"/>
        <v>-0.86474713680906112</v>
      </c>
      <c r="X288">
        <f t="shared" si="100"/>
        <v>-0.33259505261886968</v>
      </c>
      <c r="Y288">
        <f t="shared" si="101"/>
        <v>0.66519010523773936</v>
      </c>
      <c r="Z288">
        <f t="shared" si="102"/>
        <v>1.3968992209992526</v>
      </c>
      <c r="AA288">
        <f t="shared" si="103"/>
        <v>1.3968992209992526</v>
      </c>
      <c r="AB288">
        <f>IFERROR(V144+MATCH(AA288,V288:Z288,0)-1,"")</f>
        <v>2016</v>
      </c>
      <c r="AC288" t="str">
        <f t="shared" si="104"/>
        <v>High</v>
      </c>
      <c r="AE288">
        <f>IF(ISNUMBER(MATCH("N/A",J288:N288,0)),"",IFERROR((5 * SUMPRODUCT(J144:N144,J288:N288) - PRODUCT(SUM(J144:N144),SUM(J288:N288))) / ((5 * SUM((J144^2)+(K144^2)+(L144^2)+(M144^2)+(N144^2))) - SUM(J144:N144)^2),""))</f>
        <v>91000000</v>
      </c>
      <c r="AF288">
        <f>IFERROR(CORREL(J144:N144,J288:N288),"")</f>
        <v>0.95709969334905187</v>
      </c>
      <c r="AZ288">
        <f t="shared" si="105"/>
        <v>1</v>
      </c>
      <c r="BA288" t="str">
        <f>IF(AZ288=1,IF(Q288="","",IF(Q288=N144,"Yes","No")),"")</f>
        <v>Yes</v>
      </c>
      <c r="BB288">
        <f t="shared" si="106"/>
        <v>1480000000</v>
      </c>
      <c r="BC288" t="str">
        <f>IF(AZ288=1,IF(S288="","",IF(S288=N144,"Yes","No")),"")</f>
        <v>No</v>
      </c>
      <c r="BD288" t="str">
        <f t="shared" si="107"/>
        <v/>
      </c>
      <c r="BE288" t="str">
        <f t="shared" si="108"/>
        <v>Increasing</v>
      </c>
      <c r="BF288" t="str">
        <f t="shared" si="109"/>
        <v>Yes</v>
      </c>
      <c r="BG288" t="str">
        <f t="shared" si="110"/>
        <v>No</v>
      </c>
      <c r="BH288" t="str">
        <f t="shared" si="111"/>
        <v>Yes</v>
      </c>
    </row>
    <row r="289" spans="1:60" x14ac:dyDescent="0.3">
      <c r="A289" s="1">
        <v>42</v>
      </c>
      <c r="B289" t="s">
        <v>749</v>
      </c>
      <c r="C289" t="s">
        <v>614</v>
      </c>
      <c r="D289" t="s">
        <v>615</v>
      </c>
      <c r="E289" t="s">
        <v>616</v>
      </c>
      <c r="F289" t="s">
        <v>261</v>
      </c>
      <c r="G289" t="s">
        <v>617</v>
      </c>
      <c r="I289" t="str">
        <f t="shared" si="88"/>
        <v>N/A</v>
      </c>
      <c r="J289">
        <f t="shared" si="89"/>
        <v>1860000000</v>
      </c>
      <c r="K289">
        <f t="shared" si="90"/>
        <v>1830000000</v>
      </c>
      <c r="L289">
        <f t="shared" si="91"/>
        <v>2520000000</v>
      </c>
      <c r="M289">
        <f t="shared" si="92"/>
        <v>2700000000</v>
      </c>
      <c r="N289">
        <f t="shared" si="93"/>
        <v>2620000000</v>
      </c>
      <c r="P289">
        <f t="shared" si="94"/>
        <v>2700000000</v>
      </c>
      <c r="Q289">
        <f>IFERROR(J144+MATCH(P289,J289:N289,0)-1,"")</f>
        <v>2015</v>
      </c>
      <c r="R289">
        <f t="shared" si="95"/>
        <v>1830000000</v>
      </c>
      <c r="S289">
        <f>IFERROR(J144+MATCH(R289,J289:N289,0)-1,"")</f>
        <v>2013</v>
      </c>
      <c r="T289">
        <f t="shared" si="96"/>
        <v>2306000000</v>
      </c>
      <c r="U289">
        <f t="shared" si="97"/>
        <v>425769890.90352547</v>
      </c>
      <c r="V289">
        <f t="shared" si="98"/>
        <v>-1.0475141843720894</v>
      </c>
      <c r="W289">
        <f t="shared" si="99"/>
        <v>-1.1179747797334407</v>
      </c>
      <c r="X289">
        <f t="shared" si="100"/>
        <v>0.50261891357763933</v>
      </c>
      <c r="Y289">
        <f t="shared" si="101"/>
        <v>0.92538248574574722</v>
      </c>
      <c r="Z289">
        <f t="shared" si="102"/>
        <v>0.73748756478214372</v>
      </c>
      <c r="AA289">
        <f t="shared" si="103"/>
        <v>-1.1179747797334407</v>
      </c>
      <c r="AB289">
        <f>IFERROR(V144+MATCH(AA289,V289:Z289,0)-1,"")</f>
        <v>2013</v>
      </c>
      <c r="AC289" t="str">
        <f t="shared" si="104"/>
        <v>Low</v>
      </c>
      <c r="AE289">
        <f>IF(ISNUMBER(MATCH("N/A",J289:N289,0)),"",IFERROR((5 * SUMPRODUCT(J144:N144,J289:N289) - PRODUCT(SUM(J144:N144),SUM(J289:N289))) / ((5 * SUM((J144^2)+(K144^2)+(L144^2)+(M144^2)+(N144^2))) - SUM(J144:N144)^2),""))</f>
        <v>239000000</v>
      </c>
      <c r="AF289">
        <f>IFERROR(CORREL(J144:N144,J289:N289),"")</f>
        <v>0.88755026708957041</v>
      </c>
      <c r="AZ289">
        <f t="shared" si="105"/>
        <v>1</v>
      </c>
      <c r="BA289" t="str">
        <f>IF(AZ289=1,IF(Q289="","",IF(Q289=N144,"Yes","No")),"")</f>
        <v>No</v>
      </c>
      <c r="BB289" t="str">
        <f t="shared" si="106"/>
        <v/>
      </c>
      <c r="BC289" t="str">
        <f>IF(AZ289=1,IF(S289="","",IF(S289=N144,"Yes","No")),"")</f>
        <v>No</v>
      </c>
      <c r="BD289" t="str">
        <f t="shared" si="107"/>
        <v/>
      </c>
      <c r="BE289" t="str">
        <f t="shared" si="108"/>
        <v>Increasing</v>
      </c>
      <c r="BF289" t="str">
        <f t="shared" si="109"/>
        <v>No</v>
      </c>
      <c r="BG289" t="str">
        <f t="shared" si="110"/>
        <v>No</v>
      </c>
      <c r="BH289" t="str">
        <f t="shared" si="111"/>
        <v>Yes</v>
      </c>
    </row>
    <row r="290" spans="1:60" x14ac:dyDescent="0.3">
      <c r="I290" t="str">
        <f t="shared" si="88"/>
        <v>N/A</v>
      </c>
      <c r="J290" t="str">
        <f t="shared" si="89"/>
        <v>N/A</v>
      </c>
      <c r="K290" t="str">
        <f t="shared" si="90"/>
        <v>N/A</v>
      </c>
      <c r="L290" t="str">
        <f t="shared" si="91"/>
        <v>N/A</v>
      </c>
      <c r="M290" t="str">
        <f t="shared" si="92"/>
        <v>N/A</v>
      </c>
      <c r="N290" t="str">
        <f t="shared" si="93"/>
        <v>N/A</v>
      </c>
      <c r="P290">
        <f t="shared" si="94"/>
        <v>0</v>
      </c>
      <c r="Q290" t="str">
        <f>IFERROR(J144+MATCH(P290,J290:N290,0)-1,"")</f>
        <v/>
      </c>
      <c r="R290" t="str">
        <f t="shared" si="95"/>
        <v/>
      </c>
      <c r="S290" t="str">
        <f>IFERROR(J144+MATCH(R290,J290:N290,0)-1,"")</f>
        <v/>
      </c>
      <c r="T290" t="str">
        <f t="shared" si="96"/>
        <v/>
      </c>
      <c r="U290" t="str">
        <f t="shared" si="97"/>
        <v/>
      </c>
      <c r="V290" t="str">
        <f t="shared" si="98"/>
        <v/>
      </c>
      <c r="W290" t="str">
        <f t="shared" si="99"/>
        <v/>
      </c>
      <c r="X290" t="str">
        <f t="shared" si="100"/>
        <v/>
      </c>
      <c r="Y290" t="str">
        <f t="shared" si="101"/>
        <v/>
      </c>
      <c r="Z290" t="str">
        <f t="shared" si="102"/>
        <v/>
      </c>
      <c r="AA290">
        <f t="shared" si="103"/>
        <v>0</v>
      </c>
      <c r="AB290" t="str">
        <f>IFERROR(V144+MATCH(AA290,V290:Z290,0)-1,"")</f>
        <v/>
      </c>
      <c r="AC290" t="str">
        <f t="shared" si="104"/>
        <v/>
      </c>
      <c r="AE290" t="str">
        <f>IF(ISNUMBER(MATCH("N/A",J290:N290,0)),"",IFERROR((5 * SUMPRODUCT(J144:N144,J290:N290) - PRODUCT(SUM(J144:N144),SUM(J290:N290))) / ((5 * SUM((J144^2)+(K144^2)+(L144^2)+(M144^2)+(N144^2))) - SUM(J144:N144)^2),""))</f>
        <v/>
      </c>
      <c r="AF290" t="str">
        <f>IFERROR(CORREL(J144:N144,J290:N290),"")</f>
        <v/>
      </c>
      <c r="AZ290">
        <f t="shared" si="105"/>
        <v>0</v>
      </c>
      <c r="BA290" t="str">
        <f>IF(AZ290=1,IF(Q290="","",IF(Q290=N144,"Yes","No")),"")</f>
        <v/>
      </c>
      <c r="BB290" t="str">
        <f t="shared" si="106"/>
        <v/>
      </c>
      <c r="BC290" t="str">
        <f>IF(AZ290=1,IF(S290="","",IF(S290=N144,"Yes","No")),"")</f>
        <v/>
      </c>
      <c r="BD290" t="str">
        <f t="shared" si="107"/>
        <v/>
      </c>
      <c r="BE290" t="str">
        <f t="shared" si="108"/>
        <v/>
      </c>
      <c r="BF290" t="str">
        <f t="shared" si="109"/>
        <v>No</v>
      </c>
      <c r="BG290" t="str">
        <f t="shared" si="110"/>
        <v>No</v>
      </c>
      <c r="BH290" t="str">
        <f t="shared" si="111"/>
        <v/>
      </c>
    </row>
    <row r="291" spans="1:60" x14ac:dyDescent="0.3">
      <c r="B291" s="1" t="s">
        <v>251</v>
      </c>
      <c r="C291" s="1" t="s">
        <v>252</v>
      </c>
      <c r="D291" s="1" t="s">
        <v>253</v>
      </c>
      <c r="E291" s="1" t="s">
        <v>254</v>
      </c>
      <c r="F291" s="1" t="s">
        <v>255</v>
      </c>
      <c r="G291" s="1" t="s">
        <v>256</v>
      </c>
      <c r="H291" s="1" t="s">
        <v>257</v>
      </c>
      <c r="I291" t="str">
        <f t="shared" si="88"/>
        <v>pos_trend</v>
      </c>
      <c r="J291">
        <f t="shared" si="89"/>
        <v>2012</v>
      </c>
      <c r="K291">
        <f t="shared" si="90"/>
        <v>2013</v>
      </c>
      <c r="L291">
        <f t="shared" si="91"/>
        <v>2014</v>
      </c>
      <c r="M291">
        <f t="shared" si="92"/>
        <v>2015</v>
      </c>
      <c r="N291">
        <f t="shared" si="93"/>
        <v>2016</v>
      </c>
      <c r="P291">
        <f t="shared" si="94"/>
        <v>2016</v>
      </c>
      <c r="Q291">
        <f>IFERROR(J144+MATCH(P291,J291:N291,0)-1,"")</f>
        <v>2016</v>
      </c>
      <c r="R291">
        <f t="shared" si="95"/>
        <v>2012</v>
      </c>
      <c r="S291">
        <f>IFERROR(J144+MATCH(R291,J291:N291,0)-1,"")</f>
        <v>2012</v>
      </c>
      <c r="T291">
        <f t="shared" si="96"/>
        <v>2014</v>
      </c>
      <c r="U291">
        <f t="shared" si="97"/>
        <v>1.5811388300841898</v>
      </c>
      <c r="V291">
        <f t="shared" si="98"/>
        <v>-1.2649110640673518</v>
      </c>
      <c r="W291">
        <f t="shared" si="99"/>
        <v>-0.63245553203367588</v>
      </c>
      <c r="X291">
        <f t="shared" si="100"/>
        <v>0</v>
      </c>
      <c r="Y291">
        <f t="shared" si="101"/>
        <v>0.63245553203367588</v>
      </c>
      <c r="Z291">
        <f t="shared" si="102"/>
        <v>1.2649110640673518</v>
      </c>
      <c r="AA291">
        <f t="shared" si="103"/>
        <v>-1.2649110640673518</v>
      </c>
      <c r="AB291">
        <f>IFERROR(V144+MATCH(AA291,V291:Z291,0)-1,"")</f>
        <v>2012</v>
      </c>
      <c r="AC291" t="str">
        <f t="shared" si="104"/>
        <v>Low</v>
      </c>
      <c r="AE291">
        <f>IF(ISNUMBER(MATCH("N/A",J291:N291,0)),"",IFERROR((5 * SUMPRODUCT(J144:N144,J291:N291) - PRODUCT(SUM(J144:N144),SUM(J291:N291))) / ((5 * SUM((J144^2)+(K144^2)+(L144^2)+(M144^2)+(N144^2))) - SUM(J144:N144)^2),""))</f>
        <v>1</v>
      </c>
      <c r="AF291">
        <f>IFERROR(CORREL(J144:N144,J291:N291),"")</f>
        <v>0.99999999999999978</v>
      </c>
      <c r="AZ291">
        <f t="shared" si="105"/>
        <v>1</v>
      </c>
      <c r="BA291" t="str">
        <f>IF(AZ291=1,IF(Q291="","",IF(Q291=N144,"Yes","No")),"")</f>
        <v>Yes</v>
      </c>
      <c r="BB291">
        <f t="shared" si="106"/>
        <v>2016</v>
      </c>
      <c r="BC291" t="str">
        <f>IF(AZ291=1,IF(S291="","",IF(S291=N144,"Yes","No")),"")</f>
        <v>No</v>
      </c>
      <c r="BD291" t="str">
        <f t="shared" si="107"/>
        <v/>
      </c>
      <c r="BE291" t="str">
        <f t="shared" si="108"/>
        <v>Increasing</v>
      </c>
      <c r="BF291" t="str">
        <f t="shared" si="109"/>
        <v>Yes</v>
      </c>
      <c r="BG291" t="str">
        <f t="shared" si="110"/>
        <v>Yes</v>
      </c>
      <c r="BH291" t="str">
        <f t="shared" si="111"/>
        <v>Yes</v>
      </c>
    </row>
    <row r="292" spans="1:60" x14ac:dyDescent="0.3">
      <c r="A292" s="1">
        <v>0</v>
      </c>
      <c r="B292" t="s">
        <v>750</v>
      </c>
      <c r="C292" t="s">
        <v>402</v>
      </c>
      <c r="D292" t="s">
        <v>403</v>
      </c>
      <c r="E292" t="s">
        <v>404</v>
      </c>
      <c r="F292" t="s">
        <v>405</v>
      </c>
      <c r="G292" t="s">
        <v>406</v>
      </c>
      <c r="I292" t="str">
        <f t="shared" si="88"/>
        <v>N/A</v>
      </c>
      <c r="J292">
        <f t="shared" si="89"/>
        <v>173040000</v>
      </c>
      <c r="K292">
        <f t="shared" si="90"/>
        <v>120670000</v>
      </c>
      <c r="L292">
        <f t="shared" si="91"/>
        <v>78230000</v>
      </c>
      <c r="M292">
        <f t="shared" si="92"/>
        <v>135710000</v>
      </c>
      <c r="N292">
        <f t="shared" si="93"/>
        <v>139280000</v>
      </c>
      <c r="P292">
        <f t="shared" si="94"/>
        <v>173040000</v>
      </c>
      <c r="Q292">
        <f>IFERROR(J144+MATCH(P292,J292:N292,0)-1,"")</f>
        <v>2012</v>
      </c>
      <c r="R292">
        <f t="shared" si="95"/>
        <v>78230000</v>
      </c>
      <c r="S292">
        <f>IFERROR(J144+MATCH(R292,J292:N292,0)-1,"")</f>
        <v>2014</v>
      </c>
      <c r="T292">
        <f t="shared" si="96"/>
        <v>129386000</v>
      </c>
      <c r="U292">
        <f t="shared" si="97"/>
        <v>34410975.429359742</v>
      </c>
      <c r="V292">
        <f t="shared" si="98"/>
        <v>1.2686068748505754</v>
      </c>
      <c r="W292">
        <f t="shared" si="99"/>
        <v>-0.25329127963525944</v>
      </c>
      <c r="X292">
        <f t="shared" si="100"/>
        <v>-1.4866187128294324</v>
      </c>
      <c r="Y292">
        <f t="shared" si="101"/>
        <v>0.18377857416399504</v>
      </c>
      <c r="Z292">
        <f t="shared" si="102"/>
        <v>0.28752454345012124</v>
      </c>
      <c r="AA292">
        <f t="shared" si="103"/>
        <v>-1.4866187128294324</v>
      </c>
      <c r="AB292">
        <f>IFERROR(V144+MATCH(AA292,V292:Z292,0)-1,"")</f>
        <v>2014</v>
      </c>
      <c r="AC292" t="str">
        <f t="shared" si="104"/>
        <v>Low</v>
      </c>
      <c r="AE292">
        <f>IF(ISNUMBER(MATCH("N/A",J292:N292,0)),"",IFERROR((5 * SUMPRODUCT(J144:N144,J292:N292) - PRODUCT(SUM(J144:N144),SUM(J292:N292))) / ((5 * SUM((J144^2)+(K144^2)+(L144^2)+(M144^2)+(N144^2))) - SUM(J144:N144)^2),""))</f>
        <v>-5248000</v>
      </c>
      <c r="AF292">
        <f>IFERROR(CORREL(J144:N144,J292:N292),"")</f>
        <v>-0.24113866220723454</v>
      </c>
      <c r="AZ292">
        <f t="shared" si="105"/>
        <v>1</v>
      </c>
      <c r="BA292" t="str">
        <f>IF(AZ292=1,IF(Q292="","",IF(Q292=N144,"Yes","No")),"")</f>
        <v>No</v>
      </c>
      <c r="BB292" t="str">
        <f t="shared" si="106"/>
        <v/>
      </c>
      <c r="BC292" t="str">
        <f>IF(AZ292=1,IF(S292="","",IF(S292=N144,"Yes","No")),"")</f>
        <v>No</v>
      </c>
      <c r="BD292" t="str">
        <f t="shared" si="107"/>
        <v/>
      </c>
      <c r="BE292" t="str">
        <f t="shared" si="108"/>
        <v>Decreasing</v>
      </c>
      <c r="BF292" t="str">
        <f t="shared" si="109"/>
        <v>No</v>
      </c>
      <c r="BG292" t="str">
        <f t="shared" si="110"/>
        <v>No</v>
      </c>
      <c r="BH292" t="str">
        <f t="shared" si="111"/>
        <v>No</v>
      </c>
    </row>
    <row r="293" spans="1:60" x14ac:dyDescent="0.3">
      <c r="A293" s="1">
        <v>1</v>
      </c>
      <c r="B293" t="s">
        <v>409</v>
      </c>
      <c r="C293" t="s">
        <v>264</v>
      </c>
      <c r="D293" t="s">
        <v>410</v>
      </c>
      <c r="E293" t="s">
        <v>411</v>
      </c>
      <c r="F293" t="s">
        <v>412</v>
      </c>
      <c r="G293" t="s">
        <v>413</v>
      </c>
      <c r="I293" t="str">
        <f t="shared" si="88"/>
        <v>N/A</v>
      </c>
      <c r="J293" t="str">
        <f t="shared" si="89"/>
        <v>N/A</v>
      </c>
      <c r="K293">
        <f t="shared" si="90"/>
        <v>-0.30270000000000002</v>
      </c>
      <c r="L293">
        <f t="shared" si="91"/>
        <v>-0.35170000000000001</v>
      </c>
      <c r="M293">
        <f t="shared" si="92"/>
        <v>0.73470000000000002</v>
      </c>
      <c r="N293">
        <f t="shared" si="93"/>
        <v>2.63E-2</v>
      </c>
      <c r="P293">
        <f t="shared" si="94"/>
        <v>0.73470000000000002</v>
      </c>
      <c r="Q293">
        <f>IFERROR(J144+MATCH(P293,J293:N293,0)-1,"")</f>
        <v>2015</v>
      </c>
      <c r="R293">
        <f t="shared" si="95"/>
        <v>-0.35170000000000001</v>
      </c>
      <c r="S293">
        <f>IFERROR(J144+MATCH(R293,J293:N293,0)-1,"")</f>
        <v>2014</v>
      </c>
      <c r="T293">
        <f t="shared" si="96"/>
        <v>2.6649999999999983E-2</v>
      </c>
      <c r="U293">
        <f t="shared" si="97"/>
        <v>0.5009840549691511</v>
      </c>
      <c r="V293" t="str">
        <f t="shared" si="98"/>
        <v/>
      </c>
      <c r="W293">
        <f t="shared" si="99"/>
        <v>-0.65740615241792533</v>
      </c>
      <c r="X293">
        <f t="shared" si="100"/>
        <v>-0.75521365649710648</v>
      </c>
      <c r="Y293">
        <f t="shared" si="101"/>
        <v>1.4133184339441689</v>
      </c>
      <c r="Z293">
        <f t="shared" si="102"/>
        <v>-6.9862502913697335E-4</v>
      </c>
      <c r="AA293">
        <f t="shared" si="103"/>
        <v>1.4133184339441689</v>
      </c>
      <c r="AB293">
        <f>IFERROR(V144+MATCH(AA293,V293:Z293,0)-1,"")</f>
        <v>2015</v>
      </c>
      <c r="AC293" t="str">
        <f t="shared" si="104"/>
        <v>High</v>
      </c>
      <c r="AE293" t="str">
        <f>IF(ISNUMBER(MATCH("N/A",J293:N293,0)),"",IFERROR((5 * SUMPRODUCT(J144:N144,J293:N293) - PRODUCT(SUM(J144:N144),SUM(J293:N293))) / ((5 * SUM((J144^2)+(K144^2)+(L144^2)+(M144^2)+(N144^2))) - SUM(J144:N144)^2),""))</f>
        <v/>
      </c>
      <c r="AF293">
        <f>IFERROR(CORREL(J144:N144,J293:N293),"")</f>
        <v>0.53429802075709676</v>
      </c>
      <c r="AZ293">
        <f t="shared" si="105"/>
        <v>1</v>
      </c>
      <c r="BA293" t="str">
        <f>IF(AZ293=1,IF(Q293="","",IF(Q293=N144,"Yes","No")),"")</f>
        <v>No</v>
      </c>
      <c r="BB293" t="str">
        <f t="shared" si="106"/>
        <v/>
      </c>
      <c r="BC293" t="str">
        <f>IF(AZ293=1,IF(S293="","",IF(S293=N144,"Yes","No")),"")</f>
        <v>No</v>
      </c>
      <c r="BD293" t="str">
        <f t="shared" si="107"/>
        <v/>
      </c>
      <c r="BE293" t="str">
        <f t="shared" si="108"/>
        <v/>
      </c>
      <c r="BF293" t="str">
        <f t="shared" si="109"/>
        <v>No</v>
      </c>
      <c r="BG293" t="str">
        <f t="shared" si="110"/>
        <v>No</v>
      </c>
      <c r="BH293" t="str">
        <f t="shared" si="111"/>
        <v>No</v>
      </c>
    </row>
    <row r="294" spans="1:60" x14ac:dyDescent="0.3">
      <c r="A294" s="1">
        <v>2</v>
      </c>
      <c r="B294" t="s">
        <v>751</v>
      </c>
      <c r="C294" t="s">
        <v>282</v>
      </c>
      <c r="D294" t="s">
        <v>283</v>
      </c>
      <c r="E294" t="s">
        <v>284</v>
      </c>
      <c r="F294" t="s">
        <v>285</v>
      </c>
      <c r="G294" t="s">
        <v>286</v>
      </c>
      <c r="I294" t="str">
        <f t="shared" si="88"/>
        <v>N/A</v>
      </c>
      <c r="J294">
        <f t="shared" si="89"/>
        <v>56780000</v>
      </c>
      <c r="K294">
        <f t="shared" si="90"/>
        <v>57020000</v>
      </c>
      <c r="L294">
        <f t="shared" si="91"/>
        <v>85600000</v>
      </c>
      <c r="M294">
        <f t="shared" si="92"/>
        <v>80200000</v>
      </c>
      <c r="N294">
        <f t="shared" si="93"/>
        <v>82380000</v>
      </c>
      <c r="P294">
        <f t="shared" si="94"/>
        <v>85600000</v>
      </c>
      <c r="Q294">
        <f>IFERROR(J144+MATCH(P294,J294:N294,0)-1,"")</f>
        <v>2014</v>
      </c>
      <c r="R294">
        <f t="shared" si="95"/>
        <v>56780000</v>
      </c>
      <c r="S294">
        <f>IFERROR(J144+MATCH(R294,J294:N294,0)-1,"")</f>
        <v>2012</v>
      </c>
      <c r="T294">
        <f t="shared" si="96"/>
        <v>72396000</v>
      </c>
      <c r="U294">
        <f t="shared" si="97"/>
        <v>14275933.594690051</v>
      </c>
      <c r="V294">
        <f t="shared" si="98"/>
        <v>-1.0938689155718957</v>
      </c>
      <c r="W294">
        <f t="shared" si="99"/>
        <v>-1.077057405598967</v>
      </c>
      <c r="X294">
        <f t="shared" si="100"/>
        <v>0.92491324034396194</v>
      </c>
      <c r="Y294">
        <f t="shared" si="101"/>
        <v>0.54665426595306565</v>
      </c>
      <c r="Z294">
        <f t="shared" si="102"/>
        <v>0.69935881487383489</v>
      </c>
      <c r="AA294">
        <f t="shared" si="103"/>
        <v>-1.0938689155718957</v>
      </c>
      <c r="AB294">
        <f>IFERROR(V144+MATCH(AA294,V294:Z294,0)-1,"")</f>
        <v>2012</v>
      </c>
      <c r="AC294" t="str">
        <f t="shared" si="104"/>
        <v>Low</v>
      </c>
      <c r="AE294">
        <f>IF(ISNUMBER(MATCH("N/A",J294:N294,0)),"",IFERROR((5 * SUMPRODUCT(J144:N144,J294:N294) - PRODUCT(SUM(J144:N144),SUM(J294:N294))) / ((5 * SUM((J144^2)+(K144^2)+(L144^2)+(M144^2)+(N144^2))) - SUM(J144:N144)^2),""))</f>
        <v>7438000</v>
      </c>
      <c r="AF294">
        <f>IFERROR(CORREL(J144:N144,J294:N294),"")</f>
        <v>0.82379975643348025</v>
      </c>
      <c r="AZ294">
        <f t="shared" si="105"/>
        <v>1</v>
      </c>
      <c r="BA294" t="str">
        <f>IF(AZ294=1,IF(Q294="","",IF(Q294=N144,"Yes","No")),"")</f>
        <v>No</v>
      </c>
      <c r="BB294" t="str">
        <f t="shared" si="106"/>
        <v/>
      </c>
      <c r="BC294" t="str">
        <f>IF(AZ294=1,IF(S294="","",IF(S294=N144,"Yes","No")),"")</f>
        <v>No</v>
      </c>
      <c r="BD294" t="str">
        <f t="shared" si="107"/>
        <v/>
      </c>
      <c r="BE294" t="str">
        <f t="shared" si="108"/>
        <v>Increasing</v>
      </c>
      <c r="BF294" t="str">
        <f t="shared" si="109"/>
        <v>No</v>
      </c>
      <c r="BG294" t="str">
        <f t="shared" si="110"/>
        <v>No</v>
      </c>
      <c r="BH294" t="str">
        <f t="shared" si="111"/>
        <v>Yes</v>
      </c>
    </row>
    <row r="295" spans="1:60" x14ac:dyDescent="0.3">
      <c r="A295" s="1">
        <v>3</v>
      </c>
      <c r="B295" t="s">
        <v>752</v>
      </c>
      <c r="C295" t="s">
        <v>288</v>
      </c>
      <c r="D295" t="s">
        <v>289</v>
      </c>
      <c r="E295" t="s">
        <v>290</v>
      </c>
      <c r="F295" t="s">
        <v>291</v>
      </c>
      <c r="G295" t="s">
        <v>292</v>
      </c>
      <c r="I295" t="str">
        <f t="shared" si="88"/>
        <v>N/A</v>
      </c>
      <c r="J295">
        <f t="shared" si="89"/>
        <v>53080000</v>
      </c>
      <c r="K295">
        <f t="shared" si="90"/>
        <v>53320000</v>
      </c>
      <c r="L295">
        <f t="shared" si="91"/>
        <v>53700000</v>
      </c>
      <c r="M295">
        <f t="shared" si="92"/>
        <v>52000000</v>
      </c>
      <c r="N295">
        <f t="shared" si="93"/>
        <v>53580000</v>
      </c>
      <c r="P295">
        <f t="shared" si="94"/>
        <v>53700000</v>
      </c>
      <c r="Q295">
        <f>IFERROR(J144+MATCH(P295,J295:N295,0)-1,"")</f>
        <v>2014</v>
      </c>
      <c r="R295">
        <f t="shared" si="95"/>
        <v>52000000</v>
      </c>
      <c r="S295">
        <f>IFERROR(J144+MATCH(R295,J295:N295,0)-1,"")</f>
        <v>2015</v>
      </c>
      <c r="T295">
        <f t="shared" si="96"/>
        <v>53136000</v>
      </c>
      <c r="U295">
        <f t="shared" si="97"/>
        <v>678734.11583623814</v>
      </c>
      <c r="V295">
        <f t="shared" si="98"/>
        <v>-8.2506534876333554E-2</v>
      </c>
      <c r="W295">
        <f t="shared" si="99"/>
        <v>0.27109290030795308</v>
      </c>
      <c r="X295">
        <f t="shared" si="100"/>
        <v>0.83095867268307366</v>
      </c>
      <c r="Y295">
        <f t="shared" si="101"/>
        <v>-1.6737039932056235</v>
      </c>
      <c r="Z295">
        <f t="shared" si="102"/>
        <v>0.65415895509093036</v>
      </c>
      <c r="AA295">
        <f t="shared" si="103"/>
        <v>-1.6737039932056235</v>
      </c>
      <c r="AB295">
        <f>IFERROR(V144+MATCH(AA295,V295:Z295,0)-1,"")</f>
        <v>2015</v>
      </c>
      <c r="AC295" t="str">
        <f t="shared" si="104"/>
        <v>Low</v>
      </c>
      <c r="AE295">
        <f>IF(ISNUMBER(MATCH("N/A",J295:N295,0)),"",IFERROR((5 * SUMPRODUCT(J144:N144,J295:N295) - PRODUCT(SUM(J144:N144),SUM(J295:N295))) / ((5 * SUM((J144^2)+(K144^2)+(L144^2)+(M144^2)+(N144^2))) - SUM(J144:N144)^2),""))</f>
        <v>-32000</v>
      </c>
      <c r="AF295">
        <f>IFERROR(CORREL(J144:N144,J295:N295),"")</f>
        <v>-7.4545306302095105E-2</v>
      </c>
      <c r="AZ295">
        <f t="shared" si="105"/>
        <v>1</v>
      </c>
      <c r="BA295" t="str">
        <f>IF(AZ295=1,IF(Q295="","",IF(Q295=N144,"Yes","No")),"")</f>
        <v>No</v>
      </c>
      <c r="BB295" t="str">
        <f t="shared" si="106"/>
        <v/>
      </c>
      <c r="BC295" t="str">
        <f>IF(AZ295=1,IF(S295="","",IF(S295=N144,"Yes","No")),"")</f>
        <v>No</v>
      </c>
      <c r="BD295" t="str">
        <f t="shared" si="107"/>
        <v/>
      </c>
      <c r="BE295" t="str">
        <f t="shared" si="108"/>
        <v>Decreasing</v>
      </c>
      <c r="BF295" t="str">
        <f t="shared" si="109"/>
        <v>No</v>
      </c>
      <c r="BG295" t="str">
        <f t="shared" si="110"/>
        <v>No</v>
      </c>
      <c r="BH295" t="str">
        <f t="shared" si="111"/>
        <v>No</v>
      </c>
    </row>
    <row r="296" spans="1:60" x14ac:dyDescent="0.3">
      <c r="A296" s="1">
        <v>4</v>
      </c>
      <c r="B296" t="s">
        <v>753</v>
      </c>
      <c r="C296" t="s">
        <v>294</v>
      </c>
      <c r="D296" t="s">
        <v>294</v>
      </c>
      <c r="E296" t="s">
        <v>295</v>
      </c>
      <c r="F296" t="s">
        <v>296</v>
      </c>
      <c r="G296" t="s">
        <v>297</v>
      </c>
      <c r="I296" t="str">
        <f t="shared" si="88"/>
        <v>N/A</v>
      </c>
      <c r="J296">
        <f t="shared" si="89"/>
        <v>3700000</v>
      </c>
      <c r="K296">
        <f t="shared" si="90"/>
        <v>3700000</v>
      </c>
      <c r="L296">
        <f t="shared" si="91"/>
        <v>31900000</v>
      </c>
      <c r="M296">
        <f t="shared" si="92"/>
        <v>28200000</v>
      </c>
      <c r="N296">
        <f t="shared" si="93"/>
        <v>28800000</v>
      </c>
      <c r="P296">
        <f t="shared" si="94"/>
        <v>31900000</v>
      </c>
      <c r="Q296">
        <f>IFERROR(J144+MATCH(P296,J296:N296,0)-1,"")</f>
        <v>2014</v>
      </c>
      <c r="R296">
        <f t="shared" si="95"/>
        <v>3700000</v>
      </c>
      <c r="S296">
        <f>IFERROR(J144+MATCH(R296,J296:N296,0)-1,"")</f>
        <v>2012</v>
      </c>
      <c r="T296">
        <f t="shared" si="96"/>
        <v>19260000</v>
      </c>
      <c r="U296">
        <f t="shared" si="97"/>
        <v>14273506.927171052</v>
      </c>
      <c r="V296">
        <f t="shared" si="98"/>
        <v>-1.0901315338545134</v>
      </c>
      <c r="W296">
        <f t="shared" si="99"/>
        <v>-1.0901315338545134</v>
      </c>
      <c r="X296">
        <f t="shared" si="100"/>
        <v>0.88555672158875631</v>
      </c>
      <c r="Y296">
        <f t="shared" si="101"/>
        <v>0.62633521289584504</v>
      </c>
      <c r="Z296">
        <f t="shared" si="102"/>
        <v>0.66837113322442532</v>
      </c>
      <c r="AA296">
        <f t="shared" si="103"/>
        <v>-1.0901315338545134</v>
      </c>
      <c r="AB296">
        <f>IFERROR(V144+MATCH(AA296,V296:Z296,0)-1,"")</f>
        <v>2012</v>
      </c>
      <c r="AC296" t="str">
        <f t="shared" si="104"/>
        <v>Low</v>
      </c>
      <c r="AE296">
        <f>IF(ISNUMBER(MATCH("N/A",J296:N296,0)),"",IFERROR((5 * SUMPRODUCT(J144:N144,J296:N296) - PRODUCT(SUM(J144:N144),SUM(J296:N296))) / ((5 * SUM((J144^2)+(K144^2)+(L144^2)+(M144^2)+(N144^2))) - SUM(J144:N144)^2),""))</f>
        <v>7470000</v>
      </c>
      <c r="AF296">
        <f>IFERROR(CORREL(J144:N144,J296:N296),"")</f>
        <v>0.82748459232855165</v>
      </c>
      <c r="AZ296">
        <f t="shared" si="105"/>
        <v>1</v>
      </c>
      <c r="BA296" t="str">
        <f>IF(AZ296=1,IF(Q296="","",IF(Q296=N144,"Yes","No")),"")</f>
        <v>No</v>
      </c>
      <c r="BB296" t="str">
        <f t="shared" si="106"/>
        <v/>
      </c>
      <c r="BC296" t="str">
        <f>IF(AZ296=1,IF(S296="","",IF(S296=N144,"Yes","No")),"")</f>
        <v>No</v>
      </c>
      <c r="BD296" t="str">
        <f t="shared" si="107"/>
        <v/>
      </c>
      <c r="BE296" t="str">
        <f t="shared" si="108"/>
        <v>Increasing</v>
      </c>
      <c r="BF296" t="str">
        <f t="shared" si="109"/>
        <v>No</v>
      </c>
      <c r="BG296" t="str">
        <f t="shared" si="110"/>
        <v>No</v>
      </c>
      <c r="BH296" t="str">
        <f t="shared" si="111"/>
        <v>Yes</v>
      </c>
    </row>
    <row r="297" spans="1:60" x14ac:dyDescent="0.3">
      <c r="A297" s="1">
        <v>5</v>
      </c>
      <c r="B297" t="s">
        <v>754</v>
      </c>
      <c r="C297" t="s">
        <v>393</v>
      </c>
      <c r="D297" t="s">
        <v>755</v>
      </c>
      <c r="E297" t="s">
        <v>394</v>
      </c>
      <c r="F297" t="s">
        <v>395</v>
      </c>
      <c r="G297" t="s">
        <v>396</v>
      </c>
      <c r="I297" t="str">
        <f t="shared" si="88"/>
        <v>N/A</v>
      </c>
      <c r="J297">
        <f t="shared" si="89"/>
        <v>-23240000</v>
      </c>
      <c r="K297">
        <f t="shared" si="90"/>
        <v>-36760000</v>
      </c>
      <c r="L297">
        <f t="shared" si="91"/>
        <v>-7160000</v>
      </c>
      <c r="M297">
        <f t="shared" si="92"/>
        <v>38970000</v>
      </c>
      <c r="N297">
        <f t="shared" si="93"/>
        <v>-35160000</v>
      </c>
      <c r="P297">
        <f t="shared" si="94"/>
        <v>38970000</v>
      </c>
      <c r="Q297">
        <f>IFERROR(J144+MATCH(P297,J297:N297,0)-1,"")</f>
        <v>2015</v>
      </c>
      <c r="R297">
        <f t="shared" si="95"/>
        <v>-36760000</v>
      </c>
      <c r="S297">
        <f>IFERROR(J144+MATCH(R297,J297:N297,0)-1,"")</f>
        <v>2013</v>
      </c>
      <c r="T297">
        <f t="shared" si="96"/>
        <v>-12670000</v>
      </c>
      <c r="U297">
        <f t="shared" si="97"/>
        <v>31204578.189746454</v>
      </c>
      <c r="V297">
        <f t="shared" si="98"/>
        <v>-0.33873234676420677</v>
      </c>
      <c r="W297">
        <f t="shared" si="99"/>
        <v>-0.77200210345787523</v>
      </c>
      <c r="X297">
        <f t="shared" si="100"/>
        <v>0.17657665380045218</v>
      </c>
      <c r="Y297">
        <f t="shared" si="101"/>
        <v>1.654885372460136</v>
      </c>
      <c r="Z297">
        <f t="shared" si="102"/>
        <v>-0.72072757603850623</v>
      </c>
      <c r="AA297">
        <f t="shared" si="103"/>
        <v>1.654885372460136</v>
      </c>
      <c r="AB297">
        <f>IFERROR(V144+MATCH(AA297,V297:Z297,0)-1,"")</f>
        <v>2015</v>
      </c>
      <c r="AC297" t="str">
        <f t="shared" si="104"/>
        <v>High</v>
      </c>
      <c r="AE297">
        <f>IF(ISNUMBER(MATCH("N/A",J297:N297,0)),"",IFERROR((5 * SUMPRODUCT(J144:N144,J297:N297) - PRODUCT(SUM(J144:N144),SUM(J297:N297))) / ((5 * SUM((J144^2)+(K144^2)+(L144^2)+(M144^2)+(N144^2))) - SUM(J144:N144)^2),""))</f>
        <v>5189000</v>
      </c>
      <c r="AF297">
        <f>IFERROR(CORREL(J144:N144,J297:N297),"")</f>
        <v>0.26292710445939615</v>
      </c>
      <c r="AZ297">
        <f t="shared" si="105"/>
        <v>1</v>
      </c>
      <c r="BA297" t="str">
        <f>IF(AZ297=1,IF(Q297="","",IF(Q297=N144,"Yes","No")),"")</f>
        <v>No</v>
      </c>
      <c r="BB297" t="str">
        <f t="shared" si="106"/>
        <v/>
      </c>
      <c r="BC297" t="str">
        <f>IF(AZ297=1,IF(S297="","",IF(S297=N144,"Yes","No")),"")</f>
        <v>No</v>
      </c>
      <c r="BD297" t="str">
        <f t="shared" si="107"/>
        <v/>
      </c>
      <c r="BE297" t="str">
        <f t="shared" si="108"/>
        <v>Increasing</v>
      </c>
      <c r="BF297" t="str">
        <f t="shared" si="109"/>
        <v>No</v>
      </c>
      <c r="BG297" t="str">
        <f t="shared" si="110"/>
        <v>No</v>
      </c>
      <c r="BH297" t="str">
        <f t="shared" si="111"/>
        <v>No</v>
      </c>
    </row>
    <row r="298" spans="1:60" x14ac:dyDescent="0.3">
      <c r="A298" s="1">
        <v>6</v>
      </c>
      <c r="B298" t="s">
        <v>680</v>
      </c>
      <c r="C298" t="s">
        <v>393</v>
      </c>
      <c r="D298" t="s">
        <v>755</v>
      </c>
      <c r="E298" t="s">
        <v>394</v>
      </c>
      <c r="F298" t="s">
        <v>395</v>
      </c>
      <c r="G298" t="s">
        <v>396</v>
      </c>
      <c r="I298" t="str">
        <f t="shared" si="88"/>
        <v>N/A</v>
      </c>
      <c r="J298">
        <f t="shared" si="89"/>
        <v>-23240000</v>
      </c>
      <c r="K298">
        <f t="shared" si="90"/>
        <v>-36760000</v>
      </c>
      <c r="L298">
        <f t="shared" si="91"/>
        <v>-7160000</v>
      </c>
      <c r="M298">
        <f t="shared" si="92"/>
        <v>38970000</v>
      </c>
      <c r="N298">
        <f t="shared" si="93"/>
        <v>-35160000</v>
      </c>
      <c r="P298">
        <f t="shared" si="94"/>
        <v>38970000</v>
      </c>
      <c r="Q298">
        <f>IFERROR(J144+MATCH(P298,J298:N298,0)-1,"")</f>
        <v>2015</v>
      </c>
      <c r="R298">
        <f t="shared" si="95"/>
        <v>-36760000</v>
      </c>
      <c r="S298">
        <f>IFERROR(J144+MATCH(R298,J298:N298,0)-1,"")</f>
        <v>2013</v>
      </c>
      <c r="T298">
        <f t="shared" si="96"/>
        <v>-12670000</v>
      </c>
      <c r="U298">
        <f t="shared" si="97"/>
        <v>31204578.189746454</v>
      </c>
      <c r="V298">
        <f t="shared" si="98"/>
        <v>-0.33873234676420677</v>
      </c>
      <c r="W298">
        <f t="shared" si="99"/>
        <v>-0.77200210345787523</v>
      </c>
      <c r="X298">
        <f t="shared" si="100"/>
        <v>0.17657665380045218</v>
      </c>
      <c r="Y298">
        <f t="shared" si="101"/>
        <v>1.654885372460136</v>
      </c>
      <c r="Z298">
        <f t="shared" si="102"/>
        <v>-0.72072757603850623</v>
      </c>
      <c r="AA298">
        <f t="shared" si="103"/>
        <v>1.654885372460136</v>
      </c>
      <c r="AB298">
        <f>IFERROR(V144+MATCH(AA298,V298:Z298,0)-1,"")</f>
        <v>2015</v>
      </c>
      <c r="AC298" t="str">
        <f t="shared" si="104"/>
        <v>High</v>
      </c>
      <c r="AE298">
        <f>IF(ISNUMBER(MATCH("N/A",J298:N298,0)),"",IFERROR((5 * SUMPRODUCT(J144:N144,J298:N298) - PRODUCT(SUM(J144:N144),SUM(J298:N298))) / ((5 * SUM((J144^2)+(K144^2)+(L144^2)+(M144^2)+(N144^2))) - SUM(J144:N144)^2),""))</f>
        <v>5189000</v>
      </c>
      <c r="AF298">
        <f>IFERROR(CORREL(J144:N144,J298:N298),"")</f>
        <v>0.26292710445939615</v>
      </c>
      <c r="AZ298">
        <f t="shared" si="105"/>
        <v>1</v>
      </c>
      <c r="BA298" t="str">
        <f>IF(AZ298=1,IF(Q298="","",IF(Q298=N144,"Yes","No")),"")</f>
        <v>No</v>
      </c>
      <c r="BB298" t="str">
        <f t="shared" si="106"/>
        <v/>
      </c>
      <c r="BC298" t="str">
        <f>IF(AZ298=1,IF(S298="","",IF(S298=N144,"Yes","No")),"")</f>
        <v>No</v>
      </c>
      <c r="BD298" t="str">
        <f t="shared" si="107"/>
        <v/>
      </c>
      <c r="BE298" t="str">
        <f t="shared" si="108"/>
        <v>Increasing</v>
      </c>
      <c r="BF298" t="str">
        <f t="shared" si="109"/>
        <v>No</v>
      </c>
      <c r="BG298" t="str">
        <f t="shared" si="110"/>
        <v>No</v>
      </c>
      <c r="BH298" t="str">
        <f t="shared" si="111"/>
        <v>No</v>
      </c>
    </row>
    <row r="299" spans="1:60" x14ac:dyDescent="0.3">
      <c r="A299" s="1">
        <v>7</v>
      </c>
      <c r="B299" t="s">
        <v>756</v>
      </c>
      <c r="C299" t="s">
        <v>264</v>
      </c>
      <c r="D299" t="s">
        <v>264</v>
      </c>
      <c r="E299" t="s">
        <v>264</v>
      </c>
      <c r="F299" t="s">
        <v>264</v>
      </c>
      <c r="G299" t="s">
        <v>264</v>
      </c>
      <c r="I299" t="str">
        <f t="shared" si="88"/>
        <v>N/A</v>
      </c>
      <c r="J299" t="str">
        <f t="shared" si="89"/>
        <v>N/A</v>
      </c>
      <c r="K299" t="str">
        <f t="shared" si="90"/>
        <v>N/A</v>
      </c>
      <c r="L299" t="str">
        <f t="shared" si="91"/>
        <v>N/A</v>
      </c>
      <c r="M299" t="str">
        <f t="shared" si="92"/>
        <v>N/A</v>
      </c>
      <c r="N299" t="str">
        <f t="shared" si="93"/>
        <v>N/A</v>
      </c>
      <c r="P299">
        <f t="shared" si="94"/>
        <v>0</v>
      </c>
      <c r="Q299" t="str">
        <f>IFERROR(J144+MATCH(P299,J299:N299,0)-1,"")</f>
        <v/>
      </c>
      <c r="R299" t="str">
        <f t="shared" si="95"/>
        <v/>
      </c>
      <c r="S299" t="str">
        <f>IFERROR(J144+MATCH(R299,J299:N299,0)-1,"")</f>
        <v/>
      </c>
      <c r="T299" t="str">
        <f t="shared" si="96"/>
        <v/>
      </c>
      <c r="U299" t="str">
        <f t="shared" si="97"/>
        <v/>
      </c>
      <c r="V299" t="str">
        <f t="shared" si="98"/>
        <v/>
      </c>
      <c r="W299" t="str">
        <f t="shared" si="99"/>
        <v/>
      </c>
      <c r="X299" t="str">
        <f t="shared" si="100"/>
        <v/>
      </c>
      <c r="Y299" t="str">
        <f t="shared" si="101"/>
        <v/>
      </c>
      <c r="Z299" t="str">
        <f t="shared" si="102"/>
        <v/>
      </c>
      <c r="AA299">
        <f t="shared" si="103"/>
        <v>0</v>
      </c>
      <c r="AB299" t="str">
        <f>IFERROR(V144+MATCH(AA299,V299:Z299,0)-1,"")</f>
        <v/>
      </c>
      <c r="AC299" t="str">
        <f t="shared" si="104"/>
        <v/>
      </c>
      <c r="AE299" t="str">
        <f>IF(ISNUMBER(MATCH("N/A",J299:N299,0)),"",IFERROR((5 * SUMPRODUCT(J144:N144,J299:N299) - PRODUCT(SUM(J144:N144),SUM(J299:N299))) / ((5 * SUM((J144^2)+(K144^2)+(L144^2)+(M144^2)+(N144^2))) - SUM(J144:N144)^2),""))</f>
        <v/>
      </c>
      <c r="AF299" t="str">
        <f>IFERROR(CORREL(J144:N144,J299:N299),"")</f>
        <v/>
      </c>
      <c r="AZ299">
        <f t="shared" si="105"/>
        <v>0</v>
      </c>
      <c r="BA299" t="str">
        <f>IF(AZ299=1,IF(Q299="","",IF(Q299=N144,"Yes","No")),"")</f>
        <v/>
      </c>
      <c r="BB299" t="str">
        <f t="shared" si="106"/>
        <v/>
      </c>
      <c r="BC299" t="str">
        <f>IF(AZ299=1,IF(S299="","",IF(S299=N144,"Yes","No")),"")</f>
        <v/>
      </c>
      <c r="BD299" t="str">
        <f t="shared" si="107"/>
        <v/>
      </c>
      <c r="BE299" t="str">
        <f t="shared" si="108"/>
        <v/>
      </c>
      <c r="BF299" t="str">
        <f t="shared" si="109"/>
        <v>No</v>
      </c>
      <c r="BG299" t="str">
        <f t="shared" si="110"/>
        <v>No</v>
      </c>
      <c r="BH299" t="str">
        <f t="shared" si="111"/>
        <v/>
      </c>
    </row>
    <row r="300" spans="1:60" x14ac:dyDescent="0.3">
      <c r="A300" s="1">
        <v>8</v>
      </c>
      <c r="B300" t="s">
        <v>757</v>
      </c>
      <c r="C300" t="s">
        <v>758</v>
      </c>
      <c r="D300" t="s">
        <v>759</v>
      </c>
      <c r="E300" t="s">
        <v>760</v>
      </c>
      <c r="F300" t="s">
        <v>761</v>
      </c>
      <c r="G300" t="s">
        <v>762</v>
      </c>
      <c r="I300" t="str">
        <f t="shared" si="88"/>
        <v>pos_trend</v>
      </c>
      <c r="J300">
        <f t="shared" si="89"/>
        <v>644150000</v>
      </c>
      <c r="K300">
        <f t="shared" si="90"/>
        <v>670320000</v>
      </c>
      <c r="L300">
        <f t="shared" si="91"/>
        <v>1040000000</v>
      </c>
      <c r="M300">
        <f t="shared" si="92"/>
        <v>1390000000</v>
      </c>
      <c r="N300">
        <f t="shared" si="93"/>
        <v>1500000000</v>
      </c>
      <c r="P300">
        <f t="shared" si="94"/>
        <v>1500000000</v>
      </c>
      <c r="Q300">
        <f>IFERROR(J144+MATCH(P300,J300:N300,0)-1,"")</f>
        <v>2016</v>
      </c>
      <c r="R300">
        <f t="shared" si="95"/>
        <v>644150000</v>
      </c>
      <c r="S300">
        <f>IFERROR(J144+MATCH(R300,J300:N300,0)-1,"")</f>
        <v>2012</v>
      </c>
      <c r="T300">
        <f t="shared" si="96"/>
        <v>1048894000</v>
      </c>
      <c r="U300">
        <f t="shared" si="97"/>
        <v>395937182.1135267</v>
      </c>
      <c r="V300">
        <f t="shared" si="98"/>
        <v>-1.0222429675320266</v>
      </c>
      <c r="W300">
        <f t="shared" si="99"/>
        <v>-0.95614662401535155</v>
      </c>
      <c r="X300">
        <f t="shared" si="100"/>
        <v>-2.2463159313615137E-2</v>
      </c>
      <c r="Y300">
        <f t="shared" si="101"/>
        <v>0.86151545095907411</v>
      </c>
      <c r="Z300">
        <f t="shared" si="102"/>
        <v>1.1393372999019193</v>
      </c>
      <c r="AA300">
        <f t="shared" si="103"/>
        <v>1.1393372999019193</v>
      </c>
      <c r="AB300">
        <f>IFERROR(V144+MATCH(AA300,V300:Z300,0)-1,"")</f>
        <v>2016</v>
      </c>
      <c r="AC300" t="str">
        <f t="shared" si="104"/>
        <v>High</v>
      </c>
      <c r="AE300">
        <f>IF(ISNUMBER(MATCH("N/A",J300:N300,0)),"",IFERROR((5 * SUMPRODUCT(J144:N144,J300:N300) - PRODUCT(SUM(J144:N144),SUM(J300:N300))) / ((5 * SUM((J144^2)+(K144^2)+(L144^2)+(M144^2)+(N144^2))) - SUM(J144:N144)^2),""))</f>
        <v>243138000</v>
      </c>
      <c r="AF300">
        <f>IFERROR(CORREL(J144:N144,J300:N300),"")</f>
        <v>0.9709493077080622</v>
      </c>
      <c r="AZ300">
        <f t="shared" si="105"/>
        <v>1</v>
      </c>
      <c r="BA300" t="str">
        <f>IF(AZ300=1,IF(Q300="","",IF(Q300=N144,"Yes","No")),"")</f>
        <v>Yes</v>
      </c>
      <c r="BB300">
        <f t="shared" si="106"/>
        <v>1500000000</v>
      </c>
      <c r="BC300" t="str">
        <f>IF(AZ300=1,IF(S300="","",IF(S300=N144,"Yes","No")),"")</f>
        <v>No</v>
      </c>
      <c r="BD300" t="str">
        <f t="shared" si="107"/>
        <v/>
      </c>
      <c r="BE300" t="str">
        <f t="shared" si="108"/>
        <v>Increasing</v>
      </c>
      <c r="BF300" t="str">
        <f t="shared" si="109"/>
        <v>Yes</v>
      </c>
      <c r="BG300" t="str">
        <f t="shared" si="110"/>
        <v>Yes</v>
      </c>
      <c r="BH300" t="str">
        <f t="shared" si="111"/>
        <v>Yes</v>
      </c>
    </row>
    <row r="301" spans="1:60" x14ac:dyDescent="0.3">
      <c r="A301" s="1">
        <v>9</v>
      </c>
      <c r="B301" t="s">
        <v>763</v>
      </c>
      <c r="C301" t="s">
        <v>764</v>
      </c>
      <c r="D301" t="s">
        <v>765</v>
      </c>
      <c r="E301" t="s">
        <v>721</v>
      </c>
      <c r="F301" t="s">
        <v>766</v>
      </c>
      <c r="G301" t="s">
        <v>178</v>
      </c>
      <c r="I301" t="str">
        <f t="shared" si="88"/>
        <v>N/A</v>
      </c>
      <c r="J301">
        <f t="shared" si="89"/>
        <v>850730000</v>
      </c>
      <c r="K301">
        <f t="shared" si="90"/>
        <v>811240000</v>
      </c>
      <c r="L301">
        <f t="shared" si="91"/>
        <v>1200000000</v>
      </c>
      <c r="M301">
        <f t="shared" si="92"/>
        <v>1640000000</v>
      </c>
      <c r="N301">
        <f t="shared" si="93"/>
        <v>1690000000</v>
      </c>
      <c r="P301">
        <f t="shared" si="94"/>
        <v>1690000000</v>
      </c>
      <c r="Q301">
        <f>IFERROR(J144+MATCH(P301,J301:N301,0)-1,"")</f>
        <v>2016</v>
      </c>
      <c r="R301">
        <f t="shared" si="95"/>
        <v>811240000</v>
      </c>
      <c r="S301">
        <f>IFERROR(J144+MATCH(R301,J301:N301,0)-1,"")</f>
        <v>2013</v>
      </c>
      <c r="T301">
        <f t="shared" si="96"/>
        <v>1238394000</v>
      </c>
      <c r="U301">
        <f t="shared" si="97"/>
        <v>418166645.70479554</v>
      </c>
      <c r="V301">
        <f t="shared" si="98"/>
        <v>-0.92705624415982513</v>
      </c>
      <c r="W301">
        <f t="shared" si="99"/>
        <v>-1.0214922791846701</v>
      </c>
      <c r="X301">
        <f t="shared" si="100"/>
        <v>-9.1815070365760879E-2</v>
      </c>
      <c r="Y301">
        <f t="shared" si="101"/>
        <v>0.96039701904755337</v>
      </c>
      <c r="Z301">
        <f t="shared" si="102"/>
        <v>1.0799665746627027</v>
      </c>
      <c r="AA301">
        <f t="shared" si="103"/>
        <v>1.0799665746627027</v>
      </c>
      <c r="AB301">
        <f>IFERROR(V144+MATCH(AA301,V301:Z301,0)-1,"")</f>
        <v>2016</v>
      </c>
      <c r="AC301" t="str">
        <f t="shared" si="104"/>
        <v>High</v>
      </c>
      <c r="AE301">
        <f>IF(ISNUMBER(MATCH("N/A",J301:N301,0)),"",IFERROR((5 * SUMPRODUCT(J144:N144,J301:N301) - PRODUCT(SUM(J144:N144),SUM(J301:N301))) / ((5 * SUM((J144^2)+(K144^2)+(L144^2)+(M144^2)+(N144^2))) - SUM(J144:N144)^2),""))</f>
        <v>250730000</v>
      </c>
      <c r="AF301">
        <f>IFERROR(CORREL(J144:N144,J301:N301),"")</f>
        <v>0.94804055497739215</v>
      </c>
      <c r="AZ301">
        <f t="shared" si="105"/>
        <v>1</v>
      </c>
      <c r="BA301" t="str">
        <f>IF(AZ301=1,IF(Q301="","",IF(Q301=N144,"Yes","No")),"")</f>
        <v>Yes</v>
      </c>
      <c r="BB301">
        <f t="shared" si="106"/>
        <v>1690000000</v>
      </c>
      <c r="BC301" t="str">
        <f>IF(AZ301=1,IF(S301="","",IF(S301=N144,"Yes","No")),"")</f>
        <v>No</v>
      </c>
      <c r="BD301" t="str">
        <f t="shared" si="107"/>
        <v/>
      </c>
      <c r="BE301" t="str">
        <f t="shared" si="108"/>
        <v>Increasing</v>
      </c>
      <c r="BF301" t="str">
        <f t="shared" si="109"/>
        <v>Yes</v>
      </c>
      <c r="BG301" t="str">
        <f t="shared" si="110"/>
        <v>No</v>
      </c>
      <c r="BH301" t="str">
        <f t="shared" si="111"/>
        <v>Yes</v>
      </c>
    </row>
    <row r="302" spans="1:60" x14ac:dyDescent="0.3">
      <c r="A302" s="1">
        <v>10</v>
      </c>
      <c r="B302" t="s">
        <v>767</v>
      </c>
      <c r="C302" t="s">
        <v>264</v>
      </c>
      <c r="D302" t="s">
        <v>264</v>
      </c>
      <c r="E302" t="s">
        <v>264</v>
      </c>
      <c r="F302" t="s">
        <v>264</v>
      </c>
      <c r="G302" t="s">
        <v>264</v>
      </c>
      <c r="I302" t="str">
        <f t="shared" si="88"/>
        <v>N/A</v>
      </c>
      <c r="J302" t="str">
        <f t="shared" si="89"/>
        <v>N/A</v>
      </c>
      <c r="K302" t="str">
        <f t="shared" si="90"/>
        <v>N/A</v>
      </c>
      <c r="L302" t="str">
        <f t="shared" si="91"/>
        <v>N/A</v>
      </c>
      <c r="M302" t="str">
        <f t="shared" si="92"/>
        <v>N/A</v>
      </c>
      <c r="N302" t="str">
        <f t="shared" si="93"/>
        <v>N/A</v>
      </c>
      <c r="P302">
        <f t="shared" si="94"/>
        <v>0</v>
      </c>
      <c r="Q302" t="str">
        <f>IFERROR(J144+MATCH(P302,J302:N302,0)-1,"")</f>
        <v/>
      </c>
      <c r="R302" t="str">
        <f t="shared" si="95"/>
        <v/>
      </c>
      <c r="S302" t="str">
        <f>IFERROR(J144+MATCH(R302,J302:N302,0)-1,"")</f>
        <v/>
      </c>
      <c r="T302" t="str">
        <f t="shared" si="96"/>
        <v/>
      </c>
      <c r="U302" t="str">
        <f t="shared" si="97"/>
        <v/>
      </c>
      <c r="V302" t="str">
        <f t="shared" si="98"/>
        <v/>
      </c>
      <c r="W302" t="str">
        <f t="shared" si="99"/>
        <v/>
      </c>
      <c r="X302" t="str">
        <f t="shared" si="100"/>
        <v/>
      </c>
      <c r="Y302" t="str">
        <f t="shared" si="101"/>
        <v/>
      </c>
      <c r="Z302" t="str">
        <f t="shared" si="102"/>
        <v/>
      </c>
      <c r="AA302">
        <f t="shared" si="103"/>
        <v>0</v>
      </c>
      <c r="AB302" t="str">
        <f>IFERROR(V144+MATCH(AA302,V302:Z302,0)-1,"")</f>
        <v/>
      </c>
      <c r="AC302" t="str">
        <f t="shared" si="104"/>
        <v/>
      </c>
      <c r="AE302" t="str">
        <f>IF(ISNUMBER(MATCH("N/A",J302:N302,0)),"",IFERROR((5 * SUMPRODUCT(J144:N144,J302:N302) - PRODUCT(SUM(J144:N144),SUM(J302:N302))) / ((5 * SUM((J144^2)+(K144^2)+(L144^2)+(M144^2)+(N144^2))) - SUM(J144:N144)^2),""))</f>
        <v/>
      </c>
      <c r="AF302" t="str">
        <f>IFERROR(CORREL(J144:N144,J302:N302),"")</f>
        <v/>
      </c>
      <c r="AZ302">
        <f t="shared" si="105"/>
        <v>0</v>
      </c>
      <c r="BA302" t="str">
        <f>IF(AZ302=1,IF(Q302="","",IF(Q302=N144,"Yes","No")),"")</f>
        <v/>
      </c>
      <c r="BB302" t="str">
        <f t="shared" si="106"/>
        <v/>
      </c>
      <c r="BC302" t="str">
        <f>IF(AZ302=1,IF(S302="","",IF(S302=N144,"Yes","No")),"")</f>
        <v/>
      </c>
      <c r="BD302" t="str">
        <f t="shared" si="107"/>
        <v/>
      </c>
      <c r="BE302" t="str">
        <f t="shared" si="108"/>
        <v/>
      </c>
      <c r="BF302" t="str">
        <f t="shared" si="109"/>
        <v>No</v>
      </c>
      <c r="BG302" t="str">
        <f t="shared" si="110"/>
        <v>No</v>
      </c>
      <c r="BH302" t="str">
        <f t="shared" si="111"/>
        <v/>
      </c>
    </row>
    <row r="303" spans="1:60" x14ac:dyDescent="0.3">
      <c r="A303" s="1">
        <v>11</v>
      </c>
      <c r="B303" t="s">
        <v>768</v>
      </c>
      <c r="C303" t="s">
        <v>769</v>
      </c>
      <c r="D303" t="s">
        <v>770</v>
      </c>
      <c r="E303" t="s">
        <v>771</v>
      </c>
      <c r="F303" t="s">
        <v>772</v>
      </c>
      <c r="G303" t="s">
        <v>773</v>
      </c>
      <c r="I303" t="str">
        <f t="shared" si="88"/>
        <v>N/A</v>
      </c>
      <c r="J303">
        <f t="shared" si="89"/>
        <v>-790980000</v>
      </c>
      <c r="K303">
        <f t="shared" si="90"/>
        <v>-502800000</v>
      </c>
      <c r="L303">
        <f t="shared" si="91"/>
        <v>-1250000000</v>
      </c>
      <c r="M303">
        <f t="shared" si="92"/>
        <v>-1470000000</v>
      </c>
      <c r="N303">
        <f t="shared" si="93"/>
        <v>-1220000000</v>
      </c>
      <c r="P303">
        <f t="shared" si="94"/>
        <v>-502800000</v>
      </c>
      <c r="Q303">
        <f>IFERROR(J144+MATCH(P303,J303:N303,0)-1,"")</f>
        <v>2013</v>
      </c>
      <c r="R303">
        <f t="shared" si="95"/>
        <v>-1470000000</v>
      </c>
      <c r="S303">
        <f>IFERROR(J144+MATCH(R303,J303:N303,0)-1,"")</f>
        <v>2015</v>
      </c>
      <c r="T303">
        <f t="shared" si="96"/>
        <v>-1046756000</v>
      </c>
      <c r="U303">
        <f t="shared" si="97"/>
        <v>391077544.33104438</v>
      </c>
      <c r="V303">
        <f t="shared" si="98"/>
        <v>0.65402885874594585</v>
      </c>
      <c r="W303">
        <f t="shared" si="99"/>
        <v>1.3909159650944956</v>
      </c>
      <c r="X303">
        <f t="shared" si="100"/>
        <v>-0.51970255757757189</v>
      </c>
      <c r="Y303">
        <f t="shared" si="101"/>
        <v>-1.0822508378075704</v>
      </c>
      <c r="Z303">
        <f t="shared" si="102"/>
        <v>-0.44299142845529932</v>
      </c>
      <c r="AA303">
        <f t="shared" si="103"/>
        <v>1.3909159650944956</v>
      </c>
      <c r="AB303">
        <f>IFERROR(V144+MATCH(AA303,V303:Z303,0)-1,"")</f>
        <v>2013</v>
      </c>
      <c r="AC303" t="str">
        <f t="shared" si="104"/>
        <v>High</v>
      </c>
      <c r="AE303">
        <f>IF(ISNUMBER(MATCH("N/A",J303:N303,0)),"",IFERROR((5 * SUMPRODUCT(J144:N144,J303:N303) - PRODUCT(SUM(J144:N144),SUM(J303:N303))) / ((5 * SUM((J144^2)+(K144^2)+(L144^2)+(M144^2)+(N144^2))) - SUM(J144:N144)^2),""))</f>
        <v>-182524000</v>
      </c>
      <c r="AF303">
        <f>IFERROR(CORREL(J144:N144,J303:N303),"")</f>
        <v>-0.73795028123116246</v>
      </c>
      <c r="AZ303">
        <f t="shared" si="105"/>
        <v>1</v>
      </c>
      <c r="BA303" t="str">
        <f>IF(AZ303=1,IF(Q303="","",IF(Q303=N144,"Yes","No")),"")</f>
        <v>No</v>
      </c>
      <c r="BB303" t="str">
        <f t="shared" si="106"/>
        <v/>
      </c>
      <c r="BC303" t="str">
        <f>IF(AZ303=1,IF(S303="","",IF(S303=N144,"Yes","No")),"")</f>
        <v>No</v>
      </c>
      <c r="BD303" t="str">
        <f t="shared" si="107"/>
        <v/>
      </c>
      <c r="BE303" t="str">
        <f t="shared" si="108"/>
        <v>Decreasing</v>
      </c>
      <c r="BF303" t="str">
        <f t="shared" si="109"/>
        <v>No</v>
      </c>
      <c r="BG303" t="str">
        <f t="shared" si="110"/>
        <v>No</v>
      </c>
      <c r="BH303" t="str">
        <f t="shared" si="111"/>
        <v>No</v>
      </c>
    </row>
    <row r="304" spans="1:60" x14ac:dyDescent="0.3">
      <c r="A304" s="1">
        <v>12</v>
      </c>
      <c r="B304" t="s">
        <v>774</v>
      </c>
      <c r="C304" t="s">
        <v>775</v>
      </c>
      <c r="D304" t="s">
        <v>776</v>
      </c>
      <c r="E304" t="s">
        <v>777</v>
      </c>
      <c r="F304" t="s">
        <v>778</v>
      </c>
      <c r="G304" t="s">
        <v>779</v>
      </c>
      <c r="I304" t="str">
        <f t="shared" si="88"/>
        <v>N/A</v>
      </c>
      <c r="J304">
        <f t="shared" si="89"/>
        <v>-18530000</v>
      </c>
      <c r="K304">
        <f t="shared" si="90"/>
        <v>-7730000</v>
      </c>
      <c r="L304">
        <f t="shared" si="91"/>
        <v>-110270000</v>
      </c>
      <c r="M304">
        <f t="shared" si="92"/>
        <v>-173160000</v>
      </c>
      <c r="N304">
        <f t="shared" si="93"/>
        <v>-149830000</v>
      </c>
      <c r="P304">
        <f t="shared" si="94"/>
        <v>-7730000</v>
      </c>
      <c r="Q304">
        <f>IFERROR(J144+MATCH(P304,J304:N304,0)-1,"")</f>
        <v>2013</v>
      </c>
      <c r="R304">
        <f t="shared" si="95"/>
        <v>-173160000</v>
      </c>
      <c r="S304">
        <f>IFERROR(J144+MATCH(R304,J304:N304,0)-1,"")</f>
        <v>2015</v>
      </c>
      <c r="T304">
        <f t="shared" si="96"/>
        <v>-91904000</v>
      </c>
      <c r="U304">
        <f t="shared" si="97"/>
        <v>75439172.71550636</v>
      </c>
      <c r="V304">
        <f t="shared" si="98"/>
        <v>0.97262466380305534</v>
      </c>
      <c r="W304">
        <f t="shared" si="99"/>
        <v>1.1157863609856131</v>
      </c>
      <c r="X304">
        <f t="shared" si="100"/>
        <v>-0.24345441948656082</v>
      </c>
      <c r="Y304">
        <f t="shared" si="101"/>
        <v>-1.0771061913209183</v>
      </c>
      <c r="Z304">
        <f t="shared" si="102"/>
        <v>-0.76785041398118936</v>
      </c>
      <c r="AA304">
        <f t="shared" si="103"/>
        <v>1.1157863609856131</v>
      </c>
      <c r="AB304">
        <f>IFERROR(V144+MATCH(AA304,V304:Z304,0)-1,"")</f>
        <v>2013</v>
      </c>
      <c r="AC304" t="str">
        <f t="shared" si="104"/>
        <v>High</v>
      </c>
      <c r="AE304">
        <f>IF(ISNUMBER(MATCH("N/A",J304:N304,0)),"",IFERROR((5 * SUMPRODUCT(J144:N144,J304:N304) - PRODUCT(SUM(J144:N144),SUM(J304:N304))) / ((5 * SUM((J144^2)+(K144^2)+(L144^2)+(M144^2)+(N144^2))) - SUM(J144:N144)^2),""))</f>
        <v>-42803000</v>
      </c>
      <c r="AF304">
        <f>IFERROR(CORREL(J144:N144,J304:N304),"")</f>
        <v>-0.89711330212112195</v>
      </c>
      <c r="AZ304">
        <f t="shared" si="105"/>
        <v>1</v>
      </c>
      <c r="BA304" t="str">
        <f>IF(AZ304=1,IF(Q304="","",IF(Q304=N144,"Yes","No")),"")</f>
        <v>No</v>
      </c>
      <c r="BB304" t="str">
        <f t="shared" si="106"/>
        <v/>
      </c>
      <c r="BC304" t="str">
        <f>IF(AZ304=1,IF(S304="","",IF(S304=N144,"Yes","No")),"")</f>
        <v>No</v>
      </c>
      <c r="BD304" t="str">
        <f t="shared" si="107"/>
        <v/>
      </c>
      <c r="BE304" t="str">
        <f t="shared" si="108"/>
        <v>Decreasing</v>
      </c>
      <c r="BF304" t="str">
        <f t="shared" si="109"/>
        <v>No</v>
      </c>
      <c r="BG304" t="str">
        <f t="shared" si="110"/>
        <v>No</v>
      </c>
      <c r="BH304" t="str">
        <f t="shared" si="111"/>
        <v>Yes</v>
      </c>
    </row>
    <row r="305" spans="1:60" x14ac:dyDescent="0.3">
      <c r="A305" s="1">
        <v>13</v>
      </c>
      <c r="B305" t="s">
        <v>630</v>
      </c>
      <c r="C305" t="s">
        <v>264</v>
      </c>
      <c r="D305" t="s">
        <v>780</v>
      </c>
      <c r="E305" t="s">
        <v>781</v>
      </c>
      <c r="F305" t="s">
        <v>782</v>
      </c>
      <c r="G305" t="s">
        <v>783</v>
      </c>
      <c r="I305" t="str">
        <f t="shared" si="88"/>
        <v>N/A</v>
      </c>
      <c r="J305" t="str">
        <f t="shared" si="89"/>
        <v>N/A</v>
      </c>
      <c r="K305">
        <f t="shared" si="90"/>
        <v>16890000</v>
      </c>
      <c r="L305">
        <f t="shared" si="91"/>
        <v>-12790000</v>
      </c>
      <c r="M305">
        <f t="shared" si="92"/>
        <v>68780000</v>
      </c>
      <c r="N305">
        <f t="shared" si="93"/>
        <v>-51640000</v>
      </c>
      <c r="P305">
        <f t="shared" si="94"/>
        <v>68780000</v>
      </c>
      <c r="Q305">
        <f>IFERROR(J144+MATCH(P305,J305:N305,0)-1,"")</f>
        <v>2015</v>
      </c>
      <c r="R305">
        <f t="shared" si="95"/>
        <v>-51640000</v>
      </c>
      <c r="S305">
        <f>IFERROR(J144+MATCH(R305,J305:N305,0)-1,"")</f>
        <v>2016</v>
      </c>
      <c r="T305">
        <f t="shared" si="96"/>
        <v>5310000</v>
      </c>
      <c r="U305">
        <f t="shared" si="97"/>
        <v>50772203.024883606</v>
      </c>
      <c r="V305" t="str">
        <f t="shared" si="98"/>
        <v/>
      </c>
      <c r="W305">
        <f t="shared" si="99"/>
        <v>0.22807755642048086</v>
      </c>
      <c r="X305">
        <f t="shared" si="100"/>
        <v>-0.35649428076085526</v>
      </c>
      <c r="Y305">
        <f t="shared" si="101"/>
        <v>1.2500934806569879</v>
      </c>
      <c r="Z305">
        <f t="shared" si="102"/>
        <v>-1.1216767563166137</v>
      </c>
      <c r="AA305">
        <f t="shared" si="103"/>
        <v>1.2500934806569879</v>
      </c>
      <c r="AB305">
        <f>IFERROR(V144+MATCH(AA305,V305:Z305,0)-1,"")</f>
        <v>2015</v>
      </c>
      <c r="AC305" t="str">
        <f t="shared" si="104"/>
        <v>High</v>
      </c>
      <c r="AE305" t="str">
        <f>IF(ISNUMBER(MATCH("N/A",J305:N305,0)),"",IFERROR((5 * SUMPRODUCT(J144:N144,J305:N305) - PRODUCT(SUM(J144:N144),SUM(J305:N305))) / ((5 * SUM((J144^2)+(K144^2)+(L144^2)+(M144^2)+(N144^2))) - SUM(J144:N144)^2),""))</f>
        <v/>
      </c>
      <c r="AF305">
        <f>IFERROR(CORREL(J144:N144,J305:N305),"")</f>
        <v>-0.31534800933050838</v>
      </c>
      <c r="AZ305">
        <f t="shared" si="105"/>
        <v>1</v>
      </c>
      <c r="BA305" t="str">
        <f>IF(AZ305=1,IF(Q305="","",IF(Q305=N144,"Yes","No")),"")</f>
        <v>No</v>
      </c>
      <c r="BB305" t="str">
        <f t="shared" si="106"/>
        <v/>
      </c>
      <c r="BC305" t="str">
        <f>IF(AZ305=1,IF(S305="","",IF(S305=N144,"Yes","No")),"")</f>
        <v>Yes</v>
      </c>
      <c r="BD305">
        <f t="shared" si="107"/>
        <v>-51640000</v>
      </c>
      <c r="BE305" t="str">
        <f t="shared" si="108"/>
        <v/>
      </c>
      <c r="BF305" t="str">
        <f t="shared" si="109"/>
        <v>No</v>
      </c>
      <c r="BG305" t="str">
        <f t="shared" si="110"/>
        <v>No</v>
      </c>
      <c r="BH305" t="str">
        <f t="shared" si="111"/>
        <v>No</v>
      </c>
    </row>
    <row r="306" spans="1:60" x14ac:dyDescent="0.3">
      <c r="A306" s="1">
        <v>14</v>
      </c>
      <c r="B306" t="s">
        <v>784</v>
      </c>
      <c r="C306" t="s">
        <v>785</v>
      </c>
      <c r="D306" t="s">
        <v>786</v>
      </c>
      <c r="E306" t="s">
        <v>787</v>
      </c>
      <c r="F306" t="s">
        <v>788</v>
      </c>
      <c r="G306" t="s">
        <v>789</v>
      </c>
      <c r="I306" t="str">
        <f t="shared" si="88"/>
        <v>N/A</v>
      </c>
      <c r="J306">
        <f t="shared" si="89"/>
        <v>458990000</v>
      </c>
      <c r="K306">
        <f t="shared" si="90"/>
        <v>-540370000</v>
      </c>
      <c r="L306">
        <f t="shared" si="91"/>
        <v>339130000</v>
      </c>
      <c r="M306">
        <f t="shared" si="92"/>
        <v>-82490000</v>
      </c>
      <c r="N306">
        <f t="shared" si="93"/>
        <v>163900000</v>
      </c>
      <c r="P306">
        <f t="shared" si="94"/>
        <v>458990000</v>
      </c>
      <c r="Q306">
        <f>IFERROR(J144+MATCH(P306,J306:N306,0)-1,"")</f>
        <v>2012</v>
      </c>
      <c r="R306">
        <f t="shared" si="95"/>
        <v>-540370000</v>
      </c>
      <c r="S306">
        <f>IFERROR(J144+MATCH(R306,J306:N306,0)-1,"")</f>
        <v>2013</v>
      </c>
      <c r="T306">
        <f t="shared" si="96"/>
        <v>67832000</v>
      </c>
      <c r="U306">
        <f t="shared" si="97"/>
        <v>396340328.1524604</v>
      </c>
      <c r="V306">
        <f t="shared" si="98"/>
        <v>0.9869245499780005</v>
      </c>
      <c r="W306">
        <f t="shared" si="99"/>
        <v>-1.5345448262485233</v>
      </c>
      <c r="X306">
        <f t="shared" si="100"/>
        <v>0.68450768374910287</v>
      </c>
      <c r="Y306">
        <f t="shared" si="101"/>
        <v>-0.37927505560871305</v>
      </c>
      <c r="Z306">
        <f t="shared" si="102"/>
        <v>0.24238764813013297</v>
      </c>
      <c r="AA306">
        <f t="shared" si="103"/>
        <v>-1.5345448262485233</v>
      </c>
      <c r="AB306">
        <f>IFERROR(V144+MATCH(AA306,V306:Z306,0)-1,"")</f>
        <v>2013</v>
      </c>
      <c r="AC306" t="str">
        <f t="shared" si="104"/>
        <v>Low</v>
      </c>
      <c r="AE306">
        <f>IF(ISNUMBER(MATCH("N/A",J306:N306,0)),"",IFERROR((5 * SUMPRODUCT(J144:N144,J306:N306) - PRODUCT(SUM(J144:N144),SUM(J306:N306))) / ((5 * SUM((J144^2)+(K144^2)+(L144^2)+(M144^2)+(N144^2))) - SUM(J144:N144)^2),""))</f>
        <v>-13230000</v>
      </c>
      <c r="AF306">
        <f>IFERROR(CORREL(J144:N144,J306:N306),"")</f>
        <v>-5.2779051830342913E-2</v>
      </c>
      <c r="AZ306">
        <f t="shared" si="105"/>
        <v>1</v>
      </c>
      <c r="BA306" t="str">
        <f>IF(AZ306=1,IF(Q306="","",IF(Q306=N144,"Yes","No")),"")</f>
        <v>No</v>
      </c>
      <c r="BB306" t="str">
        <f t="shared" si="106"/>
        <v/>
      </c>
      <c r="BC306" t="str">
        <f>IF(AZ306=1,IF(S306="","",IF(S306=N144,"Yes","No")),"")</f>
        <v>No</v>
      </c>
      <c r="BD306" t="str">
        <f t="shared" si="107"/>
        <v/>
      </c>
      <c r="BE306" t="str">
        <f t="shared" si="108"/>
        <v>Decreasing</v>
      </c>
      <c r="BF306" t="str">
        <f t="shared" si="109"/>
        <v>No</v>
      </c>
      <c r="BG306" t="str">
        <f t="shared" si="110"/>
        <v>No</v>
      </c>
      <c r="BH306" t="str">
        <f t="shared" si="111"/>
        <v>No</v>
      </c>
    </row>
    <row r="307" spans="1:60" x14ac:dyDescent="0.3">
      <c r="A307" s="1">
        <v>15</v>
      </c>
      <c r="B307" t="s">
        <v>790</v>
      </c>
      <c r="C307" t="s">
        <v>791</v>
      </c>
      <c r="D307" t="s">
        <v>792</v>
      </c>
      <c r="E307" t="s">
        <v>793</v>
      </c>
      <c r="F307" t="s">
        <v>794</v>
      </c>
      <c r="G307" t="s">
        <v>795</v>
      </c>
      <c r="I307" t="str">
        <f t="shared" si="88"/>
        <v>N/A</v>
      </c>
      <c r="J307">
        <f t="shared" si="89"/>
        <v>59750000</v>
      </c>
      <c r="K307">
        <f t="shared" si="90"/>
        <v>308440000</v>
      </c>
      <c r="L307">
        <f t="shared" si="91"/>
        <v>-48960000</v>
      </c>
      <c r="M307">
        <f t="shared" si="92"/>
        <v>166760000</v>
      </c>
      <c r="N307">
        <f t="shared" si="93"/>
        <v>465440000</v>
      </c>
      <c r="P307">
        <f t="shared" si="94"/>
        <v>465440000</v>
      </c>
      <c r="Q307">
        <f>IFERROR(J144+MATCH(P307,J307:N307,0)-1,"")</f>
        <v>2016</v>
      </c>
      <c r="R307">
        <f t="shared" si="95"/>
        <v>-48960000</v>
      </c>
      <c r="S307">
        <f>IFERROR(J144+MATCH(R307,J307:N307,0)-1,"")</f>
        <v>2014</v>
      </c>
      <c r="T307">
        <f t="shared" si="96"/>
        <v>190286000</v>
      </c>
      <c r="U307">
        <f t="shared" si="97"/>
        <v>202794144.34346965</v>
      </c>
      <c r="V307">
        <f t="shared" si="98"/>
        <v>-0.64368722490780095</v>
      </c>
      <c r="W307">
        <f t="shared" si="99"/>
        <v>0.5826302351210112</v>
      </c>
      <c r="X307">
        <f t="shared" si="100"/>
        <v>-1.1797480680447674</v>
      </c>
      <c r="Y307">
        <f t="shared" si="101"/>
        <v>-0.11600926681667069</v>
      </c>
      <c r="Z307">
        <f t="shared" si="102"/>
        <v>1.3568143246482278</v>
      </c>
      <c r="AA307">
        <f t="shared" si="103"/>
        <v>1.3568143246482278</v>
      </c>
      <c r="AB307">
        <f>IFERROR(V144+MATCH(AA307,V307:Z307,0)-1,"")</f>
        <v>2016</v>
      </c>
      <c r="AC307" t="str">
        <f t="shared" si="104"/>
        <v>High</v>
      </c>
      <c r="AE307">
        <f>IF(ISNUMBER(MATCH("N/A",J307:N307,0)),"",IFERROR((5 * SUMPRODUCT(J144:N144,J307:N307) - PRODUCT(SUM(J144:N144),SUM(J307:N307))) / ((5 * SUM((J144^2)+(K144^2)+(L144^2)+(M144^2)+(N144^2))) - SUM(J144:N144)^2),""))</f>
        <v>66970000</v>
      </c>
      <c r="AF307">
        <f>IFERROR(CORREL(J144:N144,J307:N307),"")</f>
        <v>0.52214953145489085</v>
      </c>
      <c r="AZ307">
        <f t="shared" si="105"/>
        <v>1</v>
      </c>
      <c r="BA307" t="str">
        <f>IF(AZ307=1,IF(Q307="","",IF(Q307=N144,"Yes","No")),"")</f>
        <v>Yes</v>
      </c>
      <c r="BB307">
        <f t="shared" si="106"/>
        <v>465440000</v>
      </c>
      <c r="BC307" t="str">
        <f>IF(AZ307=1,IF(S307="","",IF(S307=N144,"Yes","No")),"")</f>
        <v>No</v>
      </c>
      <c r="BD307" t="str">
        <f t="shared" si="107"/>
        <v/>
      </c>
      <c r="BE307" t="str">
        <f t="shared" si="108"/>
        <v>Increasing</v>
      </c>
      <c r="BF307" t="str">
        <f t="shared" si="109"/>
        <v>Yes</v>
      </c>
      <c r="BG307" t="str">
        <f t="shared" si="110"/>
        <v>No</v>
      </c>
      <c r="BH307" t="str">
        <f t="shared" si="111"/>
        <v>No</v>
      </c>
    </row>
    <row r="308" spans="1:60" x14ac:dyDescent="0.3">
      <c r="A308" s="1">
        <v>16</v>
      </c>
      <c r="B308" t="s">
        <v>796</v>
      </c>
      <c r="C308" t="s">
        <v>264</v>
      </c>
      <c r="D308" t="s">
        <v>797</v>
      </c>
      <c r="E308" t="s">
        <v>798</v>
      </c>
      <c r="F308" t="s">
        <v>799</v>
      </c>
      <c r="G308" t="s">
        <v>800</v>
      </c>
      <c r="I308" t="str">
        <f t="shared" si="88"/>
        <v>N/A</v>
      </c>
      <c r="J308" t="str">
        <f t="shared" si="89"/>
        <v>N/A</v>
      </c>
      <c r="K308">
        <f t="shared" si="90"/>
        <v>4.1618000000000004</v>
      </c>
      <c r="L308">
        <f t="shared" si="91"/>
        <v>-1.1587000000000001</v>
      </c>
      <c r="M308">
        <f t="shared" si="92"/>
        <v>4.4058999999999999</v>
      </c>
      <c r="N308">
        <f t="shared" si="93"/>
        <v>1.7911000000000001</v>
      </c>
      <c r="P308">
        <f t="shared" si="94"/>
        <v>4.4058999999999999</v>
      </c>
      <c r="Q308">
        <f>IFERROR(J144+MATCH(P308,J308:N308,0)-1,"")</f>
        <v>2015</v>
      </c>
      <c r="R308">
        <f t="shared" si="95"/>
        <v>-1.1587000000000001</v>
      </c>
      <c r="S308">
        <f>IFERROR(J144+MATCH(R308,J308:N308,0)-1,"")</f>
        <v>2014</v>
      </c>
      <c r="T308">
        <f t="shared" si="96"/>
        <v>2.3000250000000002</v>
      </c>
      <c r="U308">
        <f t="shared" si="97"/>
        <v>2.5898969701193395</v>
      </c>
      <c r="V308" t="str">
        <f t="shared" si="98"/>
        <v/>
      </c>
      <c r="W308">
        <f t="shared" si="99"/>
        <v>0.71886064251977244</v>
      </c>
      <c r="X308">
        <f t="shared" si="100"/>
        <v>-1.3354681826747055</v>
      </c>
      <c r="Y308">
        <f t="shared" si="101"/>
        <v>0.81311149605420918</v>
      </c>
      <c r="Z308">
        <f t="shared" si="102"/>
        <v>-0.19650395589927633</v>
      </c>
      <c r="AA308">
        <f t="shared" si="103"/>
        <v>-1.3354681826747055</v>
      </c>
      <c r="AB308">
        <f>IFERROR(V144+MATCH(AA308,V308:Z308,0)-1,"")</f>
        <v>2014</v>
      </c>
      <c r="AC308" t="str">
        <f t="shared" si="104"/>
        <v>Low</v>
      </c>
      <c r="AE308" t="str">
        <f>IF(ISNUMBER(MATCH("N/A",J308:N308,0)),"",IFERROR((5 * SUMPRODUCT(J144:N144,J308:N308) - PRODUCT(SUM(J144:N144),SUM(J308:N308))) / ((5 * SUM((J144^2)+(K144^2)+(L144^2)+(M144^2)+(N144^2))) - SUM(J144:N144)^2),""))</f>
        <v/>
      </c>
      <c r="AF308">
        <f>IFERROR(CORREL(J144:N144,J308:N308),"")</f>
        <v>-7.7138740747922638E-2</v>
      </c>
      <c r="AZ308">
        <f t="shared" si="105"/>
        <v>1</v>
      </c>
      <c r="BA308" t="str">
        <f>IF(AZ308=1,IF(Q308="","",IF(Q308=N144,"Yes","No")),"")</f>
        <v>No</v>
      </c>
      <c r="BB308" t="str">
        <f t="shared" si="106"/>
        <v/>
      </c>
      <c r="BC308" t="str">
        <f>IF(AZ308=1,IF(S308="","",IF(S308=N144,"Yes","No")),"")</f>
        <v>No</v>
      </c>
      <c r="BD308" t="str">
        <f t="shared" si="107"/>
        <v/>
      </c>
      <c r="BE308" t="str">
        <f t="shared" si="108"/>
        <v/>
      </c>
      <c r="BF308" t="str">
        <f t="shared" si="109"/>
        <v>No</v>
      </c>
      <c r="BG308" t="str">
        <f t="shared" si="110"/>
        <v>No</v>
      </c>
      <c r="BH308" t="str">
        <f t="shared" si="111"/>
        <v>No</v>
      </c>
    </row>
    <row r="309" spans="1:60" x14ac:dyDescent="0.3">
      <c r="A309" s="1">
        <v>17</v>
      </c>
      <c r="B309" t="s">
        <v>801</v>
      </c>
      <c r="C309" t="s">
        <v>448</v>
      </c>
      <c r="D309" t="s">
        <v>802</v>
      </c>
      <c r="E309" t="s">
        <v>803</v>
      </c>
      <c r="F309" t="s">
        <v>804</v>
      </c>
      <c r="G309" t="s">
        <v>312</v>
      </c>
      <c r="I309" t="str">
        <f t="shared" si="88"/>
        <v>N/A</v>
      </c>
      <c r="J309">
        <f t="shared" si="89"/>
        <v>2.69E-2</v>
      </c>
      <c r="K309">
        <f t="shared" si="90"/>
        <v>0.13800000000000001</v>
      </c>
      <c r="L309">
        <f t="shared" si="91"/>
        <v>-1.8200000000000001E-2</v>
      </c>
      <c r="M309">
        <f t="shared" si="92"/>
        <v>5.2400000000000002E-2</v>
      </c>
      <c r="N309">
        <f t="shared" si="93"/>
        <v>0.14510000000000001</v>
      </c>
      <c r="P309">
        <f t="shared" si="94"/>
        <v>0.14510000000000001</v>
      </c>
      <c r="Q309">
        <f>IFERROR(J144+MATCH(P309,J309:N309,0)-1,"")</f>
        <v>2016</v>
      </c>
      <c r="R309">
        <f t="shared" si="95"/>
        <v>-1.8200000000000001E-2</v>
      </c>
      <c r="S309">
        <f>IFERROR(J144+MATCH(R309,J309:N309,0)-1,"")</f>
        <v>2014</v>
      </c>
      <c r="T309">
        <f t="shared" si="96"/>
        <v>6.8840000000000012E-2</v>
      </c>
      <c r="U309">
        <f t="shared" si="97"/>
        <v>7.1070197692140957E-2</v>
      </c>
      <c r="V309">
        <f t="shared" si="98"/>
        <v>-0.59012077300915955</v>
      </c>
      <c r="W309">
        <f t="shared" si="99"/>
        <v>0.97312238105182325</v>
      </c>
      <c r="X309">
        <f t="shared" si="100"/>
        <v>-1.2247046276279743</v>
      </c>
      <c r="Y309">
        <f t="shared" si="101"/>
        <v>-0.23132058913377651</v>
      </c>
      <c r="Z309">
        <f t="shared" si="102"/>
        <v>1.0730236087190868</v>
      </c>
      <c r="AA309">
        <f t="shared" si="103"/>
        <v>-1.2247046276279743</v>
      </c>
      <c r="AB309">
        <f>IFERROR(V144+MATCH(AA309,V309:Z309,0)-1,"")</f>
        <v>2014</v>
      </c>
      <c r="AC309" t="str">
        <f t="shared" si="104"/>
        <v>Low</v>
      </c>
      <c r="AE309">
        <f>IF(ISNUMBER(MATCH("N/A",J309:N309,0)),"",IFERROR((5 * SUMPRODUCT(J144:N144,J309:N309) - PRODUCT(SUM(J144:N144),SUM(J309:N309))) / ((5 * SUM((J144^2)+(K144^2)+(L144^2)+(M144^2)+(N144^2))) - SUM(J144:N144)^2),""))</f>
        <v>1.5079999999989014E-2</v>
      </c>
      <c r="AF309">
        <f>IFERROR(CORREL(J144:N144,J309:N309),"")</f>
        <v>0.33549327751913982</v>
      </c>
      <c r="AZ309">
        <f t="shared" si="105"/>
        <v>1</v>
      </c>
      <c r="BA309" t="str">
        <f>IF(AZ309=1,IF(Q309="","",IF(Q309=N144,"Yes","No")),"")</f>
        <v>Yes</v>
      </c>
      <c r="BB309">
        <f t="shared" si="106"/>
        <v>0.14510000000000001</v>
      </c>
      <c r="BC309" t="str">
        <f>IF(AZ309=1,IF(S309="","",IF(S309=N144,"Yes","No")),"")</f>
        <v>No</v>
      </c>
      <c r="BD309" t="str">
        <f t="shared" si="107"/>
        <v/>
      </c>
      <c r="BE309" t="str">
        <f t="shared" si="108"/>
        <v>Increasing</v>
      </c>
      <c r="BF309" t="str">
        <f t="shared" si="109"/>
        <v>Yes</v>
      </c>
      <c r="BG309" t="str">
        <f t="shared" si="110"/>
        <v>No</v>
      </c>
      <c r="BH309" t="str">
        <f t="shared" si="111"/>
        <v>No</v>
      </c>
    </row>
    <row r="310" spans="1:60" x14ac:dyDescent="0.3">
      <c r="I310" t="str">
        <f t="shared" si="88"/>
        <v>N/A</v>
      </c>
      <c r="J310" t="str">
        <f t="shared" si="89"/>
        <v>N/A</v>
      </c>
      <c r="K310" t="str">
        <f t="shared" si="90"/>
        <v>N/A</v>
      </c>
      <c r="L310" t="str">
        <f t="shared" si="91"/>
        <v>N/A</v>
      </c>
      <c r="M310" t="str">
        <f t="shared" si="92"/>
        <v>N/A</v>
      </c>
      <c r="N310" t="str">
        <f t="shared" si="93"/>
        <v>N/A</v>
      </c>
      <c r="P310">
        <f t="shared" si="94"/>
        <v>0</v>
      </c>
      <c r="Q310" t="str">
        <f>IFERROR(J144+MATCH(P310,J310:N310,0)-1,"")</f>
        <v/>
      </c>
      <c r="R310" t="str">
        <f t="shared" si="95"/>
        <v/>
      </c>
      <c r="S310" t="str">
        <f>IFERROR(J144+MATCH(R310,J310:N310,0)-1,"")</f>
        <v/>
      </c>
      <c r="T310" t="str">
        <f t="shared" si="96"/>
        <v/>
      </c>
      <c r="U310" t="str">
        <f t="shared" si="97"/>
        <v/>
      </c>
      <c r="V310" t="str">
        <f t="shared" si="98"/>
        <v/>
      </c>
      <c r="W310" t="str">
        <f t="shared" si="99"/>
        <v/>
      </c>
      <c r="X310" t="str">
        <f t="shared" si="100"/>
        <v/>
      </c>
      <c r="Y310" t="str">
        <f t="shared" si="101"/>
        <v/>
      </c>
      <c r="Z310" t="str">
        <f t="shared" si="102"/>
        <v/>
      </c>
      <c r="AA310">
        <f t="shared" si="103"/>
        <v>0</v>
      </c>
      <c r="AB310" t="str">
        <f>IFERROR(V144+MATCH(AA310,V310:Z310,0)-1,"")</f>
        <v/>
      </c>
      <c r="AC310" t="str">
        <f t="shared" si="104"/>
        <v/>
      </c>
      <c r="AE310" t="str">
        <f>IF(ISNUMBER(MATCH("N/A",J310:N310,0)),"",IFERROR((5 * SUMPRODUCT(J144:N144,J310:N310) - PRODUCT(SUM(J144:N144),SUM(J310:N310))) / ((5 * SUM((J144^2)+(K144^2)+(L144^2)+(M144^2)+(N144^2))) - SUM(J144:N144)^2),""))</f>
        <v/>
      </c>
      <c r="AF310" t="str">
        <f>IFERROR(CORREL(J144:N144,J310:N310),"")</f>
        <v/>
      </c>
      <c r="AZ310">
        <f t="shared" si="105"/>
        <v>0</v>
      </c>
      <c r="BA310" t="str">
        <f>IF(AZ310=1,IF(Q310="","",IF(Q310=N144,"Yes","No")),"")</f>
        <v/>
      </c>
      <c r="BB310" t="str">
        <f t="shared" si="106"/>
        <v/>
      </c>
      <c r="BC310" t="str">
        <f>IF(AZ310=1,IF(S310="","",IF(S310=N144,"Yes","No")),"")</f>
        <v/>
      </c>
      <c r="BD310" t="str">
        <f t="shared" si="107"/>
        <v/>
      </c>
      <c r="BE310" t="str">
        <f t="shared" si="108"/>
        <v/>
      </c>
      <c r="BF310" t="str">
        <f t="shared" si="109"/>
        <v>No</v>
      </c>
      <c r="BG310" t="str">
        <f t="shared" si="110"/>
        <v>No</v>
      </c>
      <c r="BH310" t="str">
        <f t="shared" si="111"/>
        <v/>
      </c>
    </row>
    <row r="311" spans="1:60" x14ac:dyDescent="0.3">
      <c r="B311" s="1" t="s">
        <v>316</v>
      </c>
      <c r="C311" s="1" t="s">
        <v>252</v>
      </c>
      <c r="D311" s="1" t="s">
        <v>253</v>
      </c>
      <c r="E311" s="1" t="s">
        <v>254</v>
      </c>
      <c r="F311" s="1" t="s">
        <v>255</v>
      </c>
      <c r="G311" s="1" t="s">
        <v>256</v>
      </c>
      <c r="H311" s="1" t="s">
        <v>257</v>
      </c>
      <c r="P311">
        <f t="shared" si="94"/>
        <v>0</v>
      </c>
      <c r="Q311" t="str">
        <f>IFERROR(J144+MATCH(P311,J311:N311,0)-1,"")</f>
        <v/>
      </c>
      <c r="R311" t="str">
        <f t="shared" si="95"/>
        <v/>
      </c>
      <c r="S311" t="str">
        <f>IFERROR(J144+MATCH(R311,J311:N311,0)-1,"")</f>
        <v/>
      </c>
      <c r="T311" t="str">
        <f t="shared" si="96"/>
        <v/>
      </c>
      <c r="U311" t="str">
        <f t="shared" si="97"/>
        <v/>
      </c>
      <c r="V311" t="str">
        <f t="shared" si="98"/>
        <v/>
      </c>
      <c r="W311" t="str">
        <f t="shared" si="99"/>
        <v/>
      </c>
      <c r="X311" t="str">
        <f t="shared" si="100"/>
        <v/>
      </c>
      <c r="Y311" t="str">
        <f t="shared" si="101"/>
        <v/>
      </c>
      <c r="Z311" t="str">
        <f t="shared" si="102"/>
        <v/>
      </c>
      <c r="AA311">
        <f t="shared" si="103"/>
        <v>0</v>
      </c>
      <c r="AB311" t="str">
        <f>IFERROR(V144+MATCH(AA311,V311:Z311,0)-1,"")</f>
        <v/>
      </c>
      <c r="AC311" t="str">
        <f t="shared" si="104"/>
        <v/>
      </c>
      <c r="AE311">
        <f>IF(ISNUMBER(MATCH("N/A",J311:N311,0)),"",IFERROR((5 * SUMPRODUCT(J144:N144,J311:N311) - PRODUCT(SUM(J144:N144),SUM(J311:N311))) / ((5 * SUM((J144^2)+(K144^2)+(L144^2)+(M144^2)+(N144^2))) - SUM(J144:N144)^2),""))</f>
        <v>0</v>
      </c>
      <c r="AF311" t="str">
        <f>IFERROR(CORREL(J144:N144,J311:N311),"")</f>
        <v/>
      </c>
      <c r="AZ311">
        <f t="shared" si="105"/>
        <v>0</v>
      </c>
      <c r="BA311" t="str">
        <f>IF(AZ311=1,IF(Q311="","",IF(Q311=N144,"Yes","No")),"")</f>
        <v/>
      </c>
      <c r="BB311" t="str">
        <f t="shared" si="106"/>
        <v/>
      </c>
      <c r="BC311" t="str">
        <f>IF(AZ311=1,IF(S311="","",IF(S311=N144,"Yes","No")),"")</f>
        <v/>
      </c>
      <c r="BD311" t="str">
        <f t="shared" si="107"/>
        <v/>
      </c>
      <c r="BE311" t="str">
        <f t="shared" si="108"/>
        <v/>
      </c>
      <c r="BF311" t="str">
        <f t="shared" si="109"/>
        <v>No</v>
      </c>
      <c r="BG311" t="str">
        <f t="shared" si="110"/>
        <v>No</v>
      </c>
      <c r="BH311" t="str">
        <f t="shared" si="111"/>
        <v/>
      </c>
    </row>
    <row r="312" spans="1:60" x14ac:dyDescent="0.3">
      <c r="A312" s="1">
        <v>0</v>
      </c>
      <c r="B312" t="s">
        <v>805</v>
      </c>
      <c r="C312" t="s">
        <v>806</v>
      </c>
      <c r="D312" t="s">
        <v>807</v>
      </c>
      <c r="E312" t="s">
        <v>808</v>
      </c>
      <c r="F312" t="s">
        <v>809</v>
      </c>
      <c r="G312" t="s">
        <v>810</v>
      </c>
      <c r="I312" t="str">
        <f t="shared" ref="I312:I327" si="112">IF(AND(K312&gt; J312, L312&gt; K312, M312&gt; L312, N312&gt; M312), "pos_trend", IF(AND(K312&lt; J312, L312&lt; K312, M312&lt; L312, N312&lt; M312), "neg_trend", "N/A"))</f>
        <v>N/A</v>
      </c>
      <c r="J312">
        <f t="shared" ref="J312:J327" si="113">IFERROR(IF(TRIM(C312)="-", "N/A", IF(RIGHT(C312,1)=")",IF(RIGHT(C312,2)="T)",-1000000000000*VALUE(MID(C312,2,LEN(C312)-3)),IF(RIGHT(C312,2)="M)",-1000000*VALUE(MID(C312,2,LEN(C312)-3)),IF(RIGHT(C312,2)="B)",-1000000000*VALUE(MID(C312,2,LEN(C312)-3)),IF(RIGHT(C312,2)="k)",-1000*VALUE(MID(C312,2,LEN(C312)-3)),VALUE(SUBSTITUTE(C312,",","")))))),IF(RIGHT(C312,1)="T",1000000000000*VALUE(LEFT(C312,LEN(C312)-1)),IF(RIGHT(C312,1)="M",1000000*VALUE(LEFT(C312,LEN(C312)-1)),IF(RIGHT(C312,1)="B",1000000000*VALUE(LEFT(C312,LEN(C312)-1)),IF(RIGHT(C312,1)="%",0.01*VALUE(LEFT(C312,LEN(C312)-1)),IF(RIGHT(C312,1)="k",1000*VALUE(LEFT(C312,LEN(C312)-1)),VALUE(SUBSTITUTE(C312,",",""))))))))),"N/A")</f>
        <v>-65069999.999999993</v>
      </c>
      <c r="K312">
        <f t="shared" ref="K312:K327" si="114">IFERROR(IF(TRIM(D312)="-", "N/A", IF(RIGHT(D312,1)=")",IF(RIGHT(D312,2)="T)",-1000000000000*VALUE(MID(D312,2,LEN(D312)-3)),IF(RIGHT(D312,2)="M)",-1000000*VALUE(MID(D312,2,LEN(D312)-3)),IF(RIGHT(D312,2)="B)",-1000000000*VALUE(MID(D312,2,LEN(D312)-3)),IF(RIGHT(D312,2)="k)",-1000*VALUE(MID(D312,2,LEN(D312)-3)),VALUE(SUBSTITUTE(D312,",","")))))),IF(RIGHT(D312,1)="T",1000000000000*VALUE(LEFT(D312,LEN(D312)-1)),IF(RIGHT(D312,1)="M",1000000*VALUE(LEFT(D312,LEN(D312)-1)),IF(RIGHT(D312,1)="B",1000000000*VALUE(LEFT(D312,LEN(D312)-1)),IF(RIGHT(D312,1)="%",0.01*VALUE(LEFT(D312,LEN(D312)-1)),IF(RIGHT(D312,1)="k",1000*VALUE(LEFT(D312,LEN(D312)-1)),VALUE(SUBSTITUTE(D312,",",""))))))))),"N/A")</f>
        <v>-58150000</v>
      </c>
      <c r="L312">
        <f t="shared" ref="L312:L327" si="115">IFERROR(IF(TRIM(E312)="-", "N/A", IF(RIGHT(E312,1)=")",IF(RIGHT(E312,2)="T)",-1000000000000*VALUE(MID(E312,2,LEN(E312)-3)),IF(RIGHT(E312,2)="M)",-1000000*VALUE(MID(E312,2,LEN(E312)-3)),IF(RIGHT(E312,2)="B)",-1000000000*VALUE(MID(E312,2,LEN(E312)-3)),IF(RIGHT(E312,2)="k)",-1000*VALUE(MID(E312,2,LEN(E312)-3)),VALUE(SUBSTITUTE(E312,",","")))))),IF(RIGHT(E312,1)="T",1000000000000*VALUE(LEFT(E312,LEN(E312)-1)),IF(RIGHT(E312,1)="M",1000000*VALUE(LEFT(E312,LEN(E312)-1)),IF(RIGHT(E312,1)="B",1000000000*VALUE(LEFT(E312,LEN(E312)-1)),IF(RIGHT(E312,1)="%",0.01*VALUE(LEFT(E312,LEN(E312)-1)),IF(RIGHT(E312,1)="k",1000*VALUE(LEFT(E312,LEN(E312)-1)),VALUE(SUBSTITUTE(E312,",",""))))))))),"N/A")</f>
        <v>-47570000</v>
      </c>
      <c r="M312">
        <f t="shared" ref="M312:M327" si="116">IFERROR(IF(TRIM(F312)="-", "N/A", IF(RIGHT(F312,1)=")",IF(RIGHT(F312,2)="T)",-1000000000000*VALUE(MID(F312,2,LEN(F312)-3)),IF(RIGHT(F312,2)="M)",-1000000*VALUE(MID(F312,2,LEN(F312)-3)),IF(RIGHT(F312,2)="B)",-1000000000*VALUE(MID(F312,2,LEN(F312)-3)),IF(RIGHT(F312,2)="k)",-1000*VALUE(MID(F312,2,LEN(F312)-3)),VALUE(SUBSTITUTE(F312,",","")))))),IF(RIGHT(F312,1)="T",1000000000000*VALUE(LEFT(F312,LEN(F312)-1)),IF(RIGHT(F312,1)="M",1000000*VALUE(LEFT(F312,LEN(F312)-1)),IF(RIGHT(F312,1)="B",1000000000*VALUE(LEFT(F312,LEN(F312)-1)),IF(RIGHT(F312,1)="%",0.01*VALUE(LEFT(F312,LEN(F312)-1)),IF(RIGHT(F312,1)="k",1000*VALUE(LEFT(F312,LEN(F312)-1)),VALUE(SUBSTITUTE(F312,",",""))))))))),"N/A")</f>
        <v>-60560000</v>
      </c>
      <c r="N312">
        <f t="shared" ref="N312:N327" si="117">IFERROR(IF(TRIM(G312)="-", "N/A", IF(RIGHT(G312,1)=")",IF(RIGHT(G312,2)="T)",-1000000000000*VALUE(MID(G312,2,LEN(G312)-3)),IF(RIGHT(G312,2)="M)",-1000000*VALUE(MID(G312,2,LEN(G312)-3)),IF(RIGHT(G312,2)="B)",-1000000000*VALUE(MID(G312,2,LEN(G312)-3)),IF(RIGHT(G312,2)="k)",-1000*VALUE(MID(G312,2,LEN(G312)-3)),VALUE(SUBSTITUTE(G312,",","")))))),IF(RIGHT(G312,1)="T",1000000000000*VALUE(LEFT(G312,LEN(G312)-1)),IF(RIGHT(G312,1)="M",1000000*VALUE(LEFT(G312,LEN(G312)-1)),IF(RIGHT(G312,1)="B",1000000000*VALUE(LEFT(G312,LEN(G312)-1)),IF(RIGHT(G312,1)="%",0.01*VALUE(LEFT(G312,LEN(G312)-1)),IF(RIGHT(G312,1)="k",1000*VALUE(LEFT(G312,LEN(G312)-1)),VALUE(SUBSTITUTE(G312,",",""))))))))),"N/A")</f>
        <v>-57450000</v>
      </c>
      <c r="P312">
        <f t="shared" si="94"/>
        <v>-47570000</v>
      </c>
      <c r="Q312">
        <f>IFERROR(J144+MATCH(P312,J312:N312,0)-1,"")</f>
        <v>2014</v>
      </c>
      <c r="R312">
        <f t="shared" si="95"/>
        <v>-65069999.999999993</v>
      </c>
      <c r="S312">
        <f>IFERROR(J144+MATCH(R312,J312:N312,0)-1,"")</f>
        <v>2012</v>
      </c>
      <c r="T312">
        <f t="shared" si="96"/>
        <v>-57760000</v>
      </c>
      <c r="U312">
        <f t="shared" si="97"/>
        <v>6429626.7387772957</v>
      </c>
      <c r="V312">
        <f t="shared" si="98"/>
        <v>-1.1369244743109481</v>
      </c>
      <c r="W312">
        <f t="shared" si="99"/>
        <v>-6.065670929976337E-2</v>
      </c>
      <c r="X312">
        <f t="shared" si="100"/>
        <v>1.5848509429861248</v>
      </c>
      <c r="Y312">
        <f t="shared" si="101"/>
        <v>-0.43548406676753187</v>
      </c>
      <c r="Z312">
        <f t="shared" si="102"/>
        <v>4.8214307392119599E-2</v>
      </c>
      <c r="AA312">
        <f t="shared" si="103"/>
        <v>1.5848509429861248</v>
      </c>
      <c r="AB312">
        <f>IFERROR(V144+MATCH(AA312,V312:Z312,0)-1,"")</f>
        <v>2014</v>
      </c>
      <c r="AC312" t="str">
        <f t="shared" si="104"/>
        <v>High</v>
      </c>
      <c r="AE312">
        <f>IF(ISNUMBER(MATCH("N/A",J312:N312,0)),"",IFERROR((5 * SUMPRODUCT(J144:N144,J312:N312) - PRODUCT(SUM(J144:N144),SUM(J312:N312))) / ((5 * SUM((J144^2)+(K144^2)+(L144^2)+(M144^2)+(N144^2))) - SUM(J144:N144)^2),""))</f>
        <v>1283000</v>
      </c>
      <c r="AF312">
        <f>IFERROR(CORREL(J144:N144,J312:N312),"")</f>
        <v>0.31550838041086449</v>
      </c>
      <c r="AZ312">
        <f t="shared" si="105"/>
        <v>1</v>
      </c>
      <c r="BA312" t="str">
        <f>IF(AZ312=1,IF(Q312="","",IF(Q312=N144,"Yes","No")),"")</f>
        <v>No</v>
      </c>
      <c r="BB312" t="str">
        <f t="shared" si="106"/>
        <v/>
      </c>
      <c r="BC312" t="str">
        <f>IF(AZ312=1,IF(S312="","",IF(S312=N144,"Yes","No")),"")</f>
        <v>No</v>
      </c>
      <c r="BD312" t="str">
        <f t="shared" si="107"/>
        <v/>
      </c>
      <c r="BE312" t="str">
        <f t="shared" si="108"/>
        <v>Increasing</v>
      </c>
      <c r="BF312" t="str">
        <f t="shared" si="109"/>
        <v>No</v>
      </c>
      <c r="BG312" t="str">
        <f t="shared" si="110"/>
        <v>No</v>
      </c>
      <c r="BH312" t="str">
        <f t="shared" si="111"/>
        <v>No</v>
      </c>
    </row>
    <row r="313" spans="1:60" x14ac:dyDescent="0.3">
      <c r="A313" s="1">
        <v>1</v>
      </c>
      <c r="B313" t="s">
        <v>811</v>
      </c>
      <c r="C313" t="s">
        <v>806</v>
      </c>
      <c r="D313" t="s">
        <v>807</v>
      </c>
      <c r="E313" t="s">
        <v>808</v>
      </c>
      <c r="F313" t="s">
        <v>809</v>
      </c>
      <c r="G313" t="s">
        <v>810</v>
      </c>
      <c r="I313" t="str">
        <f t="shared" si="112"/>
        <v>N/A</v>
      </c>
      <c r="J313">
        <f t="shared" si="113"/>
        <v>-65069999.999999993</v>
      </c>
      <c r="K313">
        <f t="shared" si="114"/>
        <v>-58150000</v>
      </c>
      <c r="L313">
        <f t="shared" si="115"/>
        <v>-47570000</v>
      </c>
      <c r="M313">
        <f t="shared" si="116"/>
        <v>-60560000</v>
      </c>
      <c r="N313">
        <f t="shared" si="117"/>
        <v>-57450000</v>
      </c>
      <c r="P313">
        <f t="shared" si="94"/>
        <v>-47570000</v>
      </c>
      <c r="Q313">
        <f>IFERROR(J144+MATCH(P313,J313:N313,0)-1,"")</f>
        <v>2014</v>
      </c>
      <c r="R313">
        <f t="shared" si="95"/>
        <v>-65069999.999999993</v>
      </c>
      <c r="S313">
        <f>IFERROR(J144+MATCH(R313,J313:N313,0)-1,"")</f>
        <v>2012</v>
      </c>
      <c r="T313">
        <f t="shared" si="96"/>
        <v>-57760000</v>
      </c>
      <c r="U313">
        <f t="shared" si="97"/>
        <v>6429626.7387772957</v>
      </c>
      <c r="V313">
        <f t="shared" si="98"/>
        <v>-1.1369244743109481</v>
      </c>
      <c r="W313">
        <f t="shared" si="99"/>
        <v>-6.065670929976337E-2</v>
      </c>
      <c r="X313">
        <f t="shared" si="100"/>
        <v>1.5848509429861248</v>
      </c>
      <c r="Y313">
        <f t="shared" si="101"/>
        <v>-0.43548406676753187</v>
      </c>
      <c r="Z313">
        <f t="shared" si="102"/>
        <v>4.8214307392119599E-2</v>
      </c>
      <c r="AA313">
        <f t="shared" si="103"/>
        <v>1.5848509429861248</v>
      </c>
      <c r="AB313">
        <f>IFERROR(V144+MATCH(AA313,V313:Z313,0)-1,"")</f>
        <v>2014</v>
      </c>
      <c r="AC313" t="str">
        <f t="shared" si="104"/>
        <v>High</v>
      </c>
      <c r="AE313">
        <f>IF(ISNUMBER(MATCH("N/A",J313:N313,0)),"",IFERROR((5 * SUMPRODUCT(J144:N144,J313:N313) - PRODUCT(SUM(J144:N144),SUM(J313:N313))) / ((5 * SUM((J144^2)+(K144^2)+(L144^2)+(M144^2)+(N144^2))) - SUM(J144:N144)^2),""))</f>
        <v>1283000</v>
      </c>
      <c r="AF313">
        <f>IFERROR(CORREL(J144:N144,J313:N313),"")</f>
        <v>0.31550838041086449</v>
      </c>
      <c r="AZ313">
        <f t="shared" si="105"/>
        <v>1</v>
      </c>
      <c r="BA313" t="str">
        <f>IF(AZ313=1,IF(Q313="","",IF(Q313=N144,"Yes","No")),"")</f>
        <v>No</v>
      </c>
      <c r="BB313" t="str">
        <f t="shared" si="106"/>
        <v/>
      </c>
      <c r="BC313" t="str">
        <f>IF(AZ313=1,IF(S313="","",IF(S313=N144,"Yes","No")),"")</f>
        <v>No</v>
      </c>
      <c r="BD313" t="str">
        <f t="shared" si="107"/>
        <v/>
      </c>
      <c r="BE313" t="str">
        <f t="shared" si="108"/>
        <v>Increasing</v>
      </c>
      <c r="BF313" t="str">
        <f t="shared" si="109"/>
        <v>No</v>
      </c>
      <c r="BG313" t="str">
        <f t="shared" si="110"/>
        <v>No</v>
      </c>
      <c r="BH313" t="str">
        <f t="shared" si="111"/>
        <v>No</v>
      </c>
    </row>
    <row r="314" spans="1:60" x14ac:dyDescent="0.3">
      <c r="A314" s="1">
        <v>2</v>
      </c>
      <c r="B314" t="s">
        <v>812</v>
      </c>
      <c r="C314" t="s">
        <v>264</v>
      </c>
      <c r="D314" t="s">
        <v>264</v>
      </c>
      <c r="E314" t="s">
        <v>264</v>
      </c>
      <c r="F314" t="s">
        <v>264</v>
      </c>
      <c r="G314" t="s">
        <v>264</v>
      </c>
      <c r="I314" t="str">
        <f t="shared" si="112"/>
        <v>N/A</v>
      </c>
      <c r="J314" t="str">
        <f t="shared" si="113"/>
        <v>N/A</v>
      </c>
      <c r="K314" t="str">
        <f t="shared" si="114"/>
        <v>N/A</v>
      </c>
      <c r="L314" t="str">
        <f t="shared" si="115"/>
        <v>N/A</v>
      </c>
      <c r="M314" t="str">
        <f t="shared" si="116"/>
        <v>N/A</v>
      </c>
      <c r="N314" t="str">
        <f t="shared" si="117"/>
        <v>N/A</v>
      </c>
      <c r="P314">
        <f t="shared" si="94"/>
        <v>0</v>
      </c>
      <c r="Q314" t="str">
        <f>IFERROR(J144+MATCH(P314,J314:N314,0)-1,"")</f>
        <v/>
      </c>
      <c r="R314" t="str">
        <f t="shared" si="95"/>
        <v/>
      </c>
      <c r="S314" t="str">
        <f>IFERROR(J144+MATCH(R314,J314:N314,0)-1,"")</f>
        <v/>
      </c>
      <c r="T314" t="str">
        <f t="shared" si="96"/>
        <v/>
      </c>
      <c r="U314" t="str">
        <f t="shared" si="97"/>
        <v/>
      </c>
      <c r="V314" t="str">
        <f t="shared" si="98"/>
        <v/>
      </c>
      <c r="W314" t="str">
        <f t="shared" si="99"/>
        <v/>
      </c>
      <c r="X314" t="str">
        <f t="shared" si="100"/>
        <v/>
      </c>
      <c r="Y314" t="str">
        <f t="shared" si="101"/>
        <v/>
      </c>
      <c r="Z314" t="str">
        <f t="shared" si="102"/>
        <v/>
      </c>
      <c r="AA314">
        <f t="shared" si="103"/>
        <v>0</v>
      </c>
      <c r="AB314" t="str">
        <f>IFERROR(V144+MATCH(AA314,V314:Z314,0)-1,"")</f>
        <v/>
      </c>
      <c r="AC314" t="str">
        <f t="shared" si="104"/>
        <v/>
      </c>
      <c r="AE314" t="str">
        <f>IF(ISNUMBER(MATCH("N/A",J314:N314,0)),"",IFERROR((5 * SUMPRODUCT(J144:N144,J314:N314) - PRODUCT(SUM(J144:N144),SUM(J314:N314))) / ((5 * SUM((J144^2)+(K144^2)+(L144^2)+(M144^2)+(N144^2))) - SUM(J144:N144)^2),""))</f>
        <v/>
      </c>
      <c r="AF314" t="str">
        <f>IFERROR(CORREL(J144:N144,J314:N314),"")</f>
        <v/>
      </c>
      <c r="AZ314">
        <f t="shared" si="105"/>
        <v>0</v>
      </c>
      <c r="BA314" t="str">
        <f>IF(AZ314=1,IF(Q314="","",IF(Q314=N144,"Yes","No")),"")</f>
        <v/>
      </c>
      <c r="BB314" t="str">
        <f t="shared" si="106"/>
        <v/>
      </c>
      <c r="BC314" t="str">
        <f>IF(AZ314=1,IF(S314="","",IF(S314=N144,"Yes","No")),"")</f>
        <v/>
      </c>
      <c r="BD314" t="str">
        <f t="shared" si="107"/>
        <v/>
      </c>
      <c r="BE314" t="str">
        <f t="shared" si="108"/>
        <v/>
      </c>
      <c r="BF314" t="str">
        <f t="shared" si="109"/>
        <v>No</v>
      </c>
      <c r="BG314" t="str">
        <f t="shared" si="110"/>
        <v>No</v>
      </c>
      <c r="BH314" t="str">
        <f t="shared" si="111"/>
        <v/>
      </c>
    </row>
    <row r="315" spans="1:60" x14ac:dyDescent="0.3">
      <c r="A315" s="1">
        <v>3</v>
      </c>
      <c r="B315" t="s">
        <v>813</v>
      </c>
      <c r="C315" t="s">
        <v>264</v>
      </c>
      <c r="D315" t="s">
        <v>814</v>
      </c>
      <c r="E315" t="s">
        <v>815</v>
      </c>
      <c r="F315" t="s">
        <v>816</v>
      </c>
      <c r="G315" t="s">
        <v>817</v>
      </c>
      <c r="I315" t="str">
        <f t="shared" si="112"/>
        <v>N/A</v>
      </c>
      <c r="J315" t="str">
        <f t="shared" si="113"/>
        <v>N/A</v>
      </c>
      <c r="K315">
        <f t="shared" si="114"/>
        <v>0.10650000000000001</v>
      </c>
      <c r="L315">
        <f t="shared" si="115"/>
        <v>0.182</v>
      </c>
      <c r="M315">
        <f t="shared" si="116"/>
        <v>-0.27310000000000001</v>
      </c>
      <c r="N315">
        <f t="shared" si="117"/>
        <v>5.1299999999999998E-2</v>
      </c>
      <c r="P315">
        <f t="shared" si="94"/>
        <v>0.182</v>
      </c>
      <c r="Q315">
        <f>IFERROR(J144+MATCH(P315,J315:N315,0)-1,"")</f>
        <v>2014</v>
      </c>
      <c r="R315">
        <f t="shared" si="95"/>
        <v>-0.27310000000000001</v>
      </c>
      <c r="S315">
        <f>IFERROR(J144+MATCH(R315,J315:N315,0)-1,"")</f>
        <v>2015</v>
      </c>
      <c r="T315">
        <f t="shared" si="96"/>
        <v>1.6674999999999992E-2</v>
      </c>
      <c r="U315">
        <f t="shared" si="97"/>
        <v>0.20047387818200488</v>
      </c>
      <c r="V315" t="str">
        <f t="shared" si="98"/>
        <v/>
      </c>
      <c r="W315">
        <f t="shared" si="99"/>
        <v>0.44806336274120612</v>
      </c>
      <c r="X315">
        <f t="shared" si="100"/>
        <v>0.82467103195312985</v>
      </c>
      <c r="Y315">
        <f t="shared" si="101"/>
        <v>-1.4454501635216586</v>
      </c>
      <c r="Z315">
        <f t="shared" si="102"/>
        <v>0.17271576882732267</v>
      </c>
      <c r="AA315">
        <f t="shared" si="103"/>
        <v>-1.4454501635216586</v>
      </c>
      <c r="AB315">
        <f>IFERROR(V144+MATCH(AA315,V315:Z315,0)-1,"")</f>
        <v>2015</v>
      </c>
      <c r="AC315" t="str">
        <f t="shared" si="104"/>
        <v>Low</v>
      </c>
      <c r="AE315" t="str">
        <f>IF(ISNUMBER(MATCH("N/A",J315:N315,0)),"",IFERROR((5 * SUMPRODUCT(J144:N144,J315:N315) - PRODUCT(SUM(J144:N144),SUM(J315:N315))) / ((5 * SUM((J144^2)+(K144^2)+(L144^2)+(M144^2)+(N144^2))) - SUM(J144:N144)^2),""))</f>
        <v/>
      </c>
      <c r="AF315">
        <f>IFERROR(CORREL(J144:N144,J315:N315),"")</f>
        <v>-0.39971305069621943</v>
      </c>
      <c r="AZ315">
        <f t="shared" si="105"/>
        <v>1</v>
      </c>
      <c r="BA315" t="str">
        <f>IF(AZ315=1,IF(Q315="","",IF(Q315=N144,"Yes","No")),"")</f>
        <v>No</v>
      </c>
      <c r="BB315" t="str">
        <f t="shared" si="106"/>
        <v/>
      </c>
      <c r="BC315" t="str">
        <f>IF(AZ315=1,IF(S315="","",IF(S315=N144,"Yes","No")),"")</f>
        <v>No</v>
      </c>
      <c r="BD315" t="str">
        <f t="shared" si="107"/>
        <v/>
      </c>
      <c r="BE315" t="str">
        <f t="shared" si="108"/>
        <v/>
      </c>
      <c r="BF315" t="str">
        <f t="shared" si="109"/>
        <v>No</v>
      </c>
      <c r="BG315" t="str">
        <f t="shared" si="110"/>
        <v>No</v>
      </c>
      <c r="BH315" t="str">
        <f t="shared" si="111"/>
        <v>No</v>
      </c>
    </row>
    <row r="316" spans="1:60" x14ac:dyDescent="0.3">
      <c r="A316" s="1">
        <v>4</v>
      </c>
      <c r="B316" t="s">
        <v>818</v>
      </c>
      <c r="C316" t="s">
        <v>819</v>
      </c>
      <c r="D316" t="s">
        <v>820</v>
      </c>
      <c r="E316" t="s">
        <v>821</v>
      </c>
      <c r="F316" t="s">
        <v>822</v>
      </c>
      <c r="G316" t="s">
        <v>823</v>
      </c>
      <c r="I316" t="str">
        <f t="shared" si="112"/>
        <v>N/A</v>
      </c>
      <c r="J316">
        <f t="shared" si="113"/>
        <v>-2.9300000000000003E-2</v>
      </c>
      <c r="K316">
        <f t="shared" si="114"/>
        <v>-2.6000000000000002E-2</v>
      </c>
      <c r="L316">
        <f t="shared" si="115"/>
        <v>-1.7600000000000001E-2</v>
      </c>
      <c r="M316">
        <f t="shared" si="116"/>
        <v>-1.9E-2</v>
      </c>
      <c r="N316">
        <f t="shared" si="117"/>
        <v>-1.7899999999999999E-2</v>
      </c>
      <c r="P316">
        <f t="shared" si="94"/>
        <v>-1.7600000000000001E-2</v>
      </c>
      <c r="Q316">
        <f>IFERROR(J144+MATCH(P316,J316:N316,0)-1,"")</f>
        <v>2014</v>
      </c>
      <c r="R316">
        <f t="shared" si="95"/>
        <v>-2.9300000000000003E-2</v>
      </c>
      <c r="S316">
        <f>IFERROR(J144+MATCH(R316,J316:N316,0)-1,"")</f>
        <v>2012</v>
      </c>
      <c r="T316">
        <f t="shared" si="96"/>
        <v>-2.196E-2</v>
      </c>
      <c r="U316">
        <f t="shared" si="97"/>
        <v>5.3491120758496014E-3</v>
      </c>
      <c r="V316">
        <f t="shared" si="98"/>
        <v>-1.3721903553187729</v>
      </c>
      <c r="W316">
        <f t="shared" si="99"/>
        <v>-0.7552655361700058</v>
      </c>
      <c r="X316">
        <f t="shared" si="100"/>
        <v>0.81508854893594629</v>
      </c>
      <c r="Y316">
        <f t="shared" si="101"/>
        <v>0.55336286808495461</v>
      </c>
      <c r="Z316">
        <f t="shared" si="102"/>
        <v>0.759004474467877</v>
      </c>
      <c r="AA316">
        <f t="shared" si="103"/>
        <v>-1.3721903553187729</v>
      </c>
      <c r="AB316">
        <f>IFERROR(V144+MATCH(AA316,V316:Z316,0)-1,"")</f>
        <v>2012</v>
      </c>
      <c r="AC316" t="str">
        <f t="shared" si="104"/>
        <v>Low</v>
      </c>
      <c r="AE316">
        <f>IF(ISNUMBER(MATCH("N/A",J316:N316,0)),"",IFERROR((5 * SUMPRODUCT(J144:N144,J316:N316) - PRODUCT(SUM(J144:N144),SUM(J316:N316))) / ((5 * SUM((J144^2)+(K144^2)+(L144^2)+(M144^2)+(N144^2))) - SUM(J144:N144)^2),""))</f>
        <v>2.980000000002292E-3</v>
      </c>
      <c r="AF316">
        <f>IFERROR(CORREL(J144:N144,J316:N316),"")</f>
        <v>0.88085529838193033</v>
      </c>
      <c r="AZ316">
        <f t="shared" si="105"/>
        <v>1</v>
      </c>
      <c r="BA316" t="str">
        <f>IF(AZ316=1,IF(Q316="","",IF(Q316=N144,"Yes","No")),"")</f>
        <v>No</v>
      </c>
      <c r="BB316" t="str">
        <f t="shared" si="106"/>
        <v/>
      </c>
      <c r="BC316" t="str">
        <f>IF(AZ316=1,IF(S316="","",IF(S316=N144,"Yes","No")),"")</f>
        <v>No</v>
      </c>
      <c r="BD316" t="str">
        <f t="shared" si="107"/>
        <v/>
      </c>
      <c r="BE316" t="str">
        <f t="shared" si="108"/>
        <v>Increasing</v>
      </c>
      <c r="BF316" t="str">
        <f t="shared" si="109"/>
        <v>No</v>
      </c>
      <c r="BG316" t="str">
        <f t="shared" si="110"/>
        <v>No</v>
      </c>
      <c r="BH316" t="str">
        <f t="shared" si="111"/>
        <v>Yes</v>
      </c>
    </row>
    <row r="317" spans="1:60" x14ac:dyDescent="0.3">
      <c r="A317" s="1">
        <v>5</v>
      </c>
      <c r="B317" t="s">
        <v>824</v>
      </c>
      <c r="C317" t="s">
        <v>825</v>
      </c>
      <c r="D317" t="s">
        <v>826</v>
      </c>
      <c r="E317" t="s">
        <v>827</v>
      </c>
      <c r="F317" t="s">
        <v>828</v>
      </c>
      <c r="G317" t="s">
        <v>829</v>
      </c>
      <c r="I317" t="str">
        <f t="shared" si="112"/>
        <v>N/A</v>
      </c>
      <c r="J317">
        <f t="shared" si="113"/>
        <v>-30800000</v>
      </c>
      <c r="K317">
        <f t="shared" si="114"/>
        <v>-10900000</v>
      </c>
      <c r="L317">
        <f t="shared" si="115"/>
        <v>-700510000</v>
      </c>
      <c r="M317">
        <f t="shared" si="116"/>
        <v>-73300000</v>
      </c>
      <c r="N317">
        <f t="shared" si="117"/>
        <v>-9760000</v>
      </c>
      <c r="P317">
        <f t="shared" si="94"/>
        <v>-9760000</v>
      </c>
      <c r="Q317">
        <f>IFERROR(J144+MATCH(P317,J317:N317,0)-1,"")</f>
        <v>2016</v>
      </c>
      <c r="R317">
        <f t="shared" si="95"/>
        <v>-700510000</v>
      </c>
      <c r="S317">
        <f>IFERROR(J144+MATCH(R317,J317:N317,0)-1,"")</f>
        <v>2014</v>
      </c>
      <c r="T317">
        <f t="shared" si="96"/>
        <v>-165054000</v>
      </c>
      <c r="U317">
        <f t="shared" si="97"/>
        <v>300431249.67286611</v>
      </c>
      <c r="V317">
        <f t="shared" si="98"/>
        <v>0.44687095682019307</v>
      </c>
      <c r="W317">
        <f t="shared" si="99"/>
        <v>0.51310907293384211</v>
      </c>
      <c r="X317">
        <f t="shared" si="100"/>
        <v>-1.78229129154523</v>
      </c>
      <c r="Y317">
        <f t="shared" si="101"/>
        <v>0.30540764351214861</v>
      </c>
      <c r="Z317">
        <f t="shared" si="102"/>
        <v>0.51690361827904618</v>
      </c>
      <c r="AA317">
        <f t="shared" si="103"/>
        <v>-1.78229129154523</v>
      </c>
      <c r="AB317">
        <f>IFERROR(V144+MATCH(AA317,V317:Z317,0)-1,"")</f>
        <v>2014</v>
      </c>
      <c r="AC317" t="str">
        <f t="shared" si="104"/>
        <v>Low</v>
      </c>
      <c r="AE317">
        <f>IF(ISNUMBER(MATCH("N/A",J317:N317,0)),"",IFERROR((5 * SUMPRODUCT(J144:N144,J317:N317) - PRODUCT(SUM(J144:N144),SUM(J317:N317))) / ((5 * SUM((J144^2)+(K144^2)+(L144^2)+(M144^2)+(N144^2))) - SUM(J144:N144)^2),""))</f>
        <v>-2032000</v>
      </c>
      <c r="AF317">
        <f>IFERROR(CORREL(J144:N144,J317:N317),"")</f>
        <v>-1.0694207430916427E-2</v>
      </c>
      <c r="AZ317">
        <f t="shared" si="105"/>
        <v>1</v>
      </c>
      <c r="BA317" t="str">
        <f>IF(AZ317=1,IF(Q317="","",IF(Q317=N144,"Yes","No")),"")</f>
        <v>Yes</v>
      </c>
      <c r="BB317">
        <f t="shared" si="106"/>
        <v>-9760000</v>
      </c>
      <c r="BC317" t="str">
        <f>IF(AZ317=1,IF(S317="","",IF(S317=N144,"Yes","No")),"")</f>
        <v>No</v>
      </c>
      <c r="BD317" t="str">
        <f t="shared" si="107"/>
        <v/>
      </c>
      <c r="BE317" t="str">
        <f t="shared" si="108"/>
        <v>Decreasing</v>
      </c>
      <c r="BF317" t="str">
        <f t="shared" si="109"/>
        <v>No</v>
      </c>
      <c r="BG317" t="str">
        <f t="shared" si="110"/>
        <v>No</v>
      </c>
      <c r="BH317" t="str">
        <f t="shared" si="111"/>
        <v>No</v>
      </c>
    </row>
    <row r="318" spans="1:60" x14ac:dyDescent="0.3">
      <c r="A318" s="1">
        <v>6</v>
      </c>
      <c r="B318" t="s">
        <v>830</v>
      </c>
      <c r="C318" t="s">
        <v>831</v>
      </c>
      <c r="D318" t="s">
        <v>832</v>
      </c>
      <c r="E318" t="s">
        <v>833</v>
      </c>
      <c r="F318" t="s">
        <v>834</v>
      </c>
      <c r="G318" t="s">
        <v>835</v>
      </c>
      <c r="I318" t="str">
        <f t="shared" si="112"/>
        <v>N/A</v>
      </c>
      <c r="J318">
        <f t="shared" si="113"/>
        <v>8790000</v>
      </c>
      <c r="K318">
        <f t="shared" si="114"/>
        <v>9000000</v>
      </c>
      <c r="L318">
        <f t="shared" si="115"/>
        <v>22560000</v>
      </c>
      <c r="M318">
        <f t="shared" si="116"/>
        <v>21490000</v>
      </c>
      <c r="N318">
        <f t="shared" si="117"/>
        <v>55290000</v>
      </c>
      <c r="P318">
        <f t="shared" si="94"/>
        <v>55290000</v>
      </c>
      <c r="Q318">
        <f>IFERROR(J144+MATCH(P318,J318:N318,0)-1,"")</f>
        <v>2016</v>
      </c>
      <c r="R318">
        <f t="shared" si="95"/>
        <v>8790000</v>
      </c>
      <c r="S318">
        <f>IFERROR(J144+MATCH(R318,J318:N318,0)-1,"")</f>
        <v>2012</v>
      </c>
      <c r="T318">
        <f t="shared" si="96"/>
        <v>23426000</v>
      </c>
      <c r="U318">
        <f t="shared" si="97"/>
        <v>18987723.138912681</v>
      </c>
      <c r="V318">
        <f t="shared" si="98"/>
        <v>-0.77081385129350055</v>
      </c>
      <c r="W318">
        <f t="shared" si="99"/>
        <v>-0.75975407343263457</v>
      </c>
      <c r="X318">
        <f t="shared" si="100"/>
        <v>-4.5608417273857033E-2</v>
      </c>
      <c r="Y318">
        <f t="shared" si="101"/>
        <v>-0.10196061875541249</v>
      </c>
      <c r="Z318">
        <f t="shared" si="102"/>
        <v>1.6781369607554046</v>
      </c>
      <c r="AA318">
        <f t="shared" si="103"/>
        <v>1.6781369607554046</v>
      </c>
      <c r="AB318">
        <f>IFERROR(V144+MATCH(AA318,V318:Z318,0)-1,"")</f>
        <v>2016</v>
      </c>
      <c r="AC318" t="str">
        <f t="shared" si="104"/>
        <v>High</v>
      </c>
      <c r="AE318">
        <f>IF(ISNUMBER(MATCH("N/A",J318:N318,0)),"",IFERROR((5 * SUMPRODUCT(J144:N144,J318:N318) - PRODUCT(SUM(J144:N144),SUM(J318:N318))) / ((5 * SUM((J144^2)+(K144^2)+(L144^2)+(M144^2)+(N144^2))) - SUM(J144:N144)^2),""))</f>
        <v>10549000</v>
      </c>
      <c r="AF318">
        <f>IFERROR(CORREL(J144:N144,J318:N318),"")</f>
        <v>0.87843252171588437</v>
      </c>
      <c r="AZ318">
        <f t="shared" si="105"/>
        <v>1</v>
      </c>
      <c r="BA318" t="str">
        <f>IF(AZ318=1,IF(Q318="","",IF(Q318=N144,"Yes","No")),"")</f>
        <v>Yes</v>
      </c>
      <c r="BB318">
        <f t="shared" si="106"/>
        <v>55290000</v>
      </c>
      <c r="BC318" t="str">
        <f>IF(AZ318=1,IF(S318="","",IF(S318=N144,"Yes","No")),"")</f>
        <v>No</v>
      </c>
      <c r="BD318" t="str">
        <f t="shared" si="107"/>
        <v/>
      </c>
      <c r="BE318" t="str">
        <f t="shared" si="108"/>
        <v>Increasing</v>
      </c>
      <c r="BF318" t="str">
        <f t="shared" si="109"/>
        <v>Yes</v>
      </c>
      <c r="BG318" t="str">
        <f t="shared" si="110"/>
        <v>No</v>
      </c>
      <c r="BH318" t="str">
        <f t="shared" si="111"/>
        <v>Yes</v>
      </c>
    </row>
    <row r="319" spans="1:60" x14ac:dyDescent="0.3">
      <c r="A319" s="1">
        <v>7</v>
      </c>
      <c r="B319" t="s">
        <v>836</v>
      </c>
      <c r="C319" t="s">
        <v>837</v>
      </c>
      <c r="D319" t="s">
        <v>838</v>
      </c>
      <c r="E319" t="s">
        <v>839</v>
      </c>
      <c r="F319" t="s">
        <v>264</v>
      </c>
      <c r="G319" t="s">
        <v>264</v>
      </c>
      <c r="I319" t="str">
        <f t="shared" si="112"/>
        <v>N/A</v>
      </c>
      <c r="J319">
        <f t="shared" si="113"/>
        <v>11120000</v>
      </c>
      <c r="K319">
        <f t="shared" si="114"/>
        <v>-26920000</v>
      </c>
      <c r="L319">
        <f t="shared" si="115"/>
        <v>89990000</v>
      </c>
      <c r="M319" t="str">
        <f t="shared" si="116"/>
        <v>N/A</v>
      </c>
      <c r="N319" t="str">
        <f t="shared" si="117"/>
        <v>N/A</v>
      </c>
      <c r="P319">
        <f t="shared" si="94"/>
        <v>89990000</v>
      </c>
      <c r="Q319">
        <f>IFERROR(J144+MATCH(P319,J319:N319,0)-1,"")</f>
        <v>2014</v>
      </c>
      <c r="R319">
        <f t="shared" si="95"/>
        <v>-26920000</v>
      </c>
      <c r="S319">
        <f>IFERROR(J144+MATCH(R319,J319:N319,0)-1,"")</f>
        <v>2013</v>
      </c>
      <c r="T319">
        <f t="shared" si="96"/>
        <v>24730000</v>
      </c>
      <c r="U319">
        <f t="shared" si="97"/>
        <v>59631460.65626768</v>
      </c>
      <c r="V319">
        <f t="shared" si="98"/>
        <v>-0.22823522768378632</v>
      </c>
      <c r="W319">
        <f t="shared" si="99"/>
        <v>-0.8661535275435388</v>
      </c>
      <c r="X319">
        <f t="shared" si="100"/>
        <v>1.094388755227325</v>
      </c>
      <c r="Y319" t="str">
        <f t="shared" si="101"/>
        <v/>
      </c>
      <c r="Z319" t="str">
        <f t="shared" si="102"/>
        <v/>
      </c>
      <c r="AA319">
        <f t="shared" si="103"/>
        <v>1.094388755227325</v>
      </c>
      <c r="AB319">
        <f>IFERROR(V144+MATCH(AA319,V319:Z319,0)-1,"")</f>
        <v>2014</v>
      </c>
      <c r="AC319" t="str">
        <f t="shared" si="104"/>
        <v>High</v>
      </c>
      <c r="AE319" t="str">
        <f>IF(ISNUMBER(MATCH("N/A",J319:N319,0)),"",IFERROR((5 * SUMPRODUCT(J144:N144,J319:N319) - PRODUCT(SUM(J144:N144),SUM(J319:N319))) / ((5 * SUM((J144^2)+(K144^2)+(L144^2)+(M144^2)+(N144^2))) - SUM(J144:N144)^2),""))</f>
        <v/>
      </c>
      <c r="AF319">
        <f>IFERROR(CORREL(J144:N144,J319:N319),"")</f>
        <v>0.66131199145555575</v>
      </c>
      <c r="AZ319">
        <f t="shared" si="105"/>
        <v>1</v>
      </c>
      <c r="BA319" t="str">
        <f>IF(AZ319=1,IF(Q319="","",IF(Q319=N144,"Yes","No")),"")</f>
        <v>No</v>
      </c>
      <c r="BB319" t="str">
        <f t="shared" si="106"/>
        <v/>
      </c>
      <c r="BC319" t="str">
        <f>IF(AZ319=1,IF(S319="","",IF(S319=N144,"Yes","No")),"")</f>
        <v>No</v>
      </c>
      <c r="BD319" t="str">
        <f t="shared" si="107"/>
        <v/>
      </c>
      <c r="BE319" t="str">
        <f t="shared" si="108"/>
        <v/>
      </c>
      <c r="BF319" t="str">
        <f t="shared" si="109"/>
        <v>No</v>
      </c>
      <c r="BG319" t="str">
        <f t="shared" si="110"/>
        <v>No</v>
      </c>
      <c r="BH319" t="str">
        <f t="shared" si="111"/>
        <v>No</v>
      </c>
    </row>
    <row r="320" spans="1:60" x14ac:dyDescent="0.3">
      <c r="A320" s="1">
        <v>8</v>
      </c>
      <c r="B320" t="s">
        <v>840</v>
      </c>
      <c r="C320" t="s">
        <v>841</v>
      </c>
      <c r="D320" t="s">
        <v>842</v>
      </c>
      <c r="E320" t="s">
        <v>264</v>
      </c>
      <c r="F320" t="s">
        <v>264</v>
      </c>
      <c r="G320" t="s">
        <v>264</v>
      </c>
      <c r="I320" t="str">
        <f t="shared" si="112"/>
        <v>N/A</v>
      </c>
      <c r="J320">
        <f t="shared" si="113"/>
        <v>-91000000</v>
      </c>
      <c r="K320">
        <f t="shared" si="114"/>
        <v>-74850000</v>
      </c>
      <c r="L320" t="str">
        <f t="shared" si="115"/>
        <v>N/A</v>
      </c>
      <c r="M320" t="str">
        <f t="shared" si="116"/>
        <v>N/A</v>
      </c>
      <c r="N320" t="str">
        <f t="shared" si="117"/>
        <v>N/A</v>
      </c>
      <c r="P320">
        <f t="shared" si="94"/>
        <v>-74850000</v>
      </c>
      <c r="Q320">
        <f>IFERROR(J144+MATCH(P320,J320:N320,0)-1,"")</f>
        <v>2013</v>
      </c>
      <c r="R320">
        <f t="shared" si="95"/>
        <v>-91000000</v>
      </c>
      <c r="S320">
        <f>IFERROR(J144+MATCH(R320,J320:N320,0)-1,"")</f>
        <v>2012</v>
      </c>
      <c r="T320">
        <f t="shared" si="96"/>
        <v>-82925000</v>
      </c>
      <c r="U320">
        <f t="shared" si="97"/>
        <v>11419774.516162742</v>
      </c>
      <c r="V320">
        <f t="shared" si="98"/>
        <v>-0.70710678118654757</v>
      </c>
      <c r="W320">
        <f t="shared" si="99"/>
        <v>0.70710678118654757</v>
      </c>
      <c r="X320" t="str">
        <f t="shared" si="100"/>
        <v/>
      </c>
      <c r="Y320" t="str">
        <f t="shared" si="101"/>
        <v/>
      </c>
      <c r="Z320" t="str">
        <f t="shared" si="102"/>
        <v/>
      </c>
      <c r="AA320">
        <f t="shared" si="103"/>
        <v>-0.70710678118654757</v>
      </c>
      <c r="AB320">
        <f>IFERROR(V144+MATCH(AA320,V320:Z320,0)-1,"")</f>
        <v>2012</v>
      </c>
      <c r="AC320" t="str">
        <f t="shared" si="104"/>
        <v>Low</v>
      </c>
      <c r="AE320" t="str">
        <f>IF(ISNUMBER(MATCH("N/A",J320:N320,0)),"",IFERROR((5 * SUMPRODUCT(J144:N144,J320:N320) - PRODUCT(SUM(J144:N144),SUM(J320:N320))) / ((5 * SUM((J144^2)+(K144^2)+(L144^2)+(M144^2)+(N144^2))) - SUM(J144:N144)^2),""))</f>
        <v/>
      </c>
      <c r="AF320">
        <f>IFERROR(CORREL(J144:N144,J320:N320),"")</f>
        <v>1</v>
      </c>
      <c r="AZ320">
        <f t="shared" si="105"/>
        <v>1</v>
      </c>
      <c r="BA320" t="str">
        <f>IF(AZ320=1,IF(Q320="","",IF(Q320=N144,"Yes","No")),"")</f>
        <v>No</v>
      </c>
      <c r="BB320" t="str">
        <f t="shared" si="106"/>
        <v/>
      </c>
      <c r="BC320" t="str">
        <f>IF(AZ320=1,IF(S320="","",IF(S320=N144,"Yes","No")),"")</f>
        <v>No</v>
      </c>
      <c r="BD320" t="str">
        <f t="shared" si="107"/>
        <v/>
      </c>
      <c r="BE320" t="str">
        <f t="shared" si="108"/>
        <v/>
      </c>
      <c r="BF320" t="str">
        <f t="shared" si="109"/>
        <v>No</v>
      </c>
      <c r="BG320" t="str">
        <f t="shared" si="110"/>
        <v>No</v>
      </c>
      <c r="BH320" t="str">
        <f t="shared" si="111"/>
        <v>Yes</v>
      </c>
    </row>
    <row r="321" spans="1:60" x14ac:dyDescent="0.3">
      <c r="A321" s="1">
        <v>9</v>
      </c>
      <c r="B321" t="s">
        <v>843</v>
      </c>
      <c r="C321" t="s">
        <v>844</v>
      </c>
      <c r="D321" t="s">
        <v>845</v>
      </c>
      <c r="E321" t="s">
        <v>839</v>
      </c>
      <c r="F321" t="s">
        <v>264</v>
      </c>
      <c r="G321" t="s">
        <v>264</v>
      </c>
      <c r="I321" t="str">
        <f t="shared" si="112"/>
        <v>N/A</v>
      </c>
      <c r="J321">
        <f t="shared" si="113"/>
        <v>102120000</v>
      </c>
      <c r="K321">
        <f t="shared" si="114"/>
        <v>47930000</v>
      </c>
      <c r="L321">
        <f t="shared" si="115"/>
        <v>89990000</v>
      </c>
      <c r="M321" t="str">
        <f t="shared" si="116"/>
        <v>N/A</v>
      </c>
      <c r="N321" t="str">
        <f t="shared" si="117"/>
        <v>N/A</v>
      </c>
      <c r="P321">
        <f t="shared" si="94"/>
        <v>102120000</v>
      </c>
      <c r="Q321">
        <f>IFERROR(J144+MATCH(P321,J321:N321,0)-1,"")</f>
        <v>2012</v>
      </c>
      <c r="R321">
        <f t="shared" si="95"/>
        <v>47930000</v>
      </c>
      <c r="S321">
        <f>IFERROR(J144+MATCH(R321,J321:N321,0)-1,"")</f>
        <v>2013</v>
      </c>
      <c r="T321">
        <f t="shared" si="96"/>
        <v>80013333.333333328</v>
      </c>
      <c r="U321">
        <f t="shared" si="97"/>
        <v>28439223.500885781</v>
      </c>
      <c r="V321">
        <f t="shared" si="98"/>
        <v>0.77733017801903515</v>
      </c>
      <c r="W321">
        <f t="shared" si="99"/>
        <v>-1.128136755644332</v>
      </c>
      <c r="X321">
        <f t="shared" si="100"/>
        <v>0.35080657762529749</v>
      </c>
      <c r="Y321" t="str">
        <f t="shared" si="101"/>
        <v/>
      </c>
      <c r="Z321" t="str">
        <f t="shared" si="102"/>
        <v/>
      </c>
      <c r="AA321">
        <f t="shared" si="103"/>
        <v>-1.128136755644332</v>
      </c>
      <c r="AB321">
        <f>IFERROR(V144+MATCH(AA321,V321:Z321,0)-1,"")</f>
        <v>2013</v>
      </c>
      <c r="AC321" t="str">
        <f t="shared" si="104"/>
        <v>Low</v>
      </c>
      <c r="AE321" t="str">
        <f>IF(ISNUMBER(MATCH("N/A",J321:N321,0)),"",IFERROR((5 * SUMPRODUCT(J144:N144,J321:N321) - PRODUCT(SUM(J144:N144),SUM(J321:N321))) / ((5 * SUM((J144^2)+(K144^2)+(L144^2)+(M144^2)+(N144^2))) - SUM(J144:N144)^2),""))</f>
        <v/>
      </c>
      <c r="AF321">
        <f>IFERROR(CORREL(J144:N144,J321:N321),"")</f>
        <v>-0.21326180019686897</v>
      </c>
      <c r="AZ321">
        <f t="shared" si="105"/>
        <v>1</v>
      </c>
      <c r="BA321" t="str">
        <f>IF(AZ321=1,IF(Q321="","",IF(Q321=N144,"Yes","No")),"")</f>
        <v>No</v>
      </c>
      <c r="BB321" t="str">
        <f t="shared" si="106"/>
        <v/>
      </c>
      <c r="BC321" t="str">
        <f>IF(AZ321=1,IF(S321="","",IF(S321=N144,"Yes","No")),"")</f>
        <v>No</v>
      </c>
      <c r="BD321" t="str">
        <f t="shared" si="107"/>
        <v/>
      </c>
      <c r="BE321" t="str">
        <f t="shared" si="108"/>
        <v/>
      </c>
      <c r="BF321" t="str">
        <f t="shared" si="109"/>
        <v>No</v>
      </c>
      <c r="BG321" t="str">
        <f t="shared" si="110"/>
        <v>No</v>
      </c>
      <c r="BH321" t="str">
        <f t="shared" si="111"/>
        <v>No</v>
      </c>
    </row>
    <row r="322" spans="1:60" x14ac:dyDescent="0.3">
      <c r="A322" s="1">
        <v>10</v>
      </c>
      <c r="B322" t="s">
        <v>846</v>
      </c>
      <c r="C322" t="s">
        <v>264</v>
      </c>
      <c r="D322" t="s">
        <v>264</v>
      </c>
      <c r="E322" t="s">
        <v>264</v>
      </c>
      <c r="F322" t="s">
        <v>847</v>
      </c>
      <c r="G322" t="s">
        <v>848</v>
      </c>
      <c r="I322" t="str">
        <f t="shared" si="112"/>
        <v>N/A</v>
      </c>
      <c r="J322" t="str">
        <f t="shared" si="113"/>
        <v>N/A</v>
      </c>
      <c r="K322" t="str">
        <f t="shared" si="114"/>
        <v>N/A</v>
      </c>
      <c r="L322" t="str">
        <f t="shared" si="115"/>
        <v>N/A</v>
      </c>
      <c r="M322">
        <f t="shared" si="116"/>
        <v>-11700000</v>
      </c>
      <c r="N322">
        <f t="shared" si="117"/>
        <v>-72900000</v>
      </c>
      <c r="P322">
        <f t="shared" si="94"/>
        <v>-11700000</v>
      </c>
      <c r="Q322">
        <f>IFERROR(J144+MATCH(P322,J322:N322,0)-1,"")</f>
        <v>2015</v>
      </c>
      <c r="R322">
        <f t="shared" si="95"/>
        <v>-72900000</v>
      </c>
      <c r="S322">
        <f>IFERROR(J144+MATCH(R322,J322:N322,0)-1,"")</f>
        <v>2016</v>
      </c>
      <c r="T322">
        <f t="shared" si="96"/>
        <v>-42300000</v>
      </c>
      <c r="U322">
        <f t="shared" si="97"/>
        <v>43274935.008616708</v>
      </c>
      <c r="V322" t="str">
        <f t="shared" si="98"/>
        <v/>
      </c>
      <c r="W322" t="str">
        <f t="shared" si="99"/>
        <v/>
      </c>
      <c r="X322" t="str">
        <f t="shared" si="100"/>
        <v/>
      </c>
      <c r="Y322">
        <f t="shared" si="101"/>
        <v>0.70710678118654757</v>
      </c>
      <c r="Z322">
        <f t="shared" si="102"/>
        <v>-0.70710678118654757</v>
      </c>
      <c r="AA322">
        <f t="shared" si="103"/>
        <v>-0.70710678118654757</v>
      </c>
      <c r="AB322">
        <f>IFERROR(V144+MATCH(AA322,V322:Z322,0)-1,"")</f>
        <v>2016</v>
      </c>
      <c r="AC322" t="str">
        <f t="shared" si="104"/>
        <v>Low</v>
      </c>
      <c r="AE322" t="str">
        <f>IF(ISNUMBER(MATCH("N/A",J322:N322,0)),"",IFERROR((5 * SUMPRODUCT(J144:N144,J322:N322) - PRODUCT(SUM(J144:N144),SUM(J322:N322))) / ((5 * SUM((J144^2)+(K144^2)+(L144^2)+(M144^2)+(N144^2))) - SUM(J144:N144)^2),""))</f>
        <v/>
      </c>
      <c r="AF322">
        <f>IFERROR(CORREL(J144:N144,J322:N322),"")</f>
        <v>-1</v>
      </c>
      <c r="AZ322">
        <f t="shared" si="105"/>
        <v>1</v>
      </c>
      <c r="BA322" t="str">
        <f>IF(AZ322=1,IF(Q322="","",IF(Q322=N144,"Yes","No")),"")</f>
        <v>No</v>
      </c>
      <c r="BB322" t="str">
        <f t="shared" si="106"/>
        <v/>
      </c>
      <c r="BC322" t="str">
        <f>IF(AZ322=1,IF(S322="","",IF(S322=N144,"Yes","No")),"")</f>
        <v>Yes</v>
      </c>
      <c r="BD322">
        <f t="shared" si="107"/>
        <v>-72900000</v>
      </c>
      <c r="BE322" t="str">
        <f t="shared" si="108"/>
        <v/>
      </c>
      <c r="BF322" t="str">
        <f t="shared" si="109"/>
        <v>No</v>
      </c>
      <c r="BG322" t="str">
        <f t="shared" si="110"/>
        <v>No</v>
      </c>
      <c r="BH322" t="str">
        <f t="shared" si="111"/>
        <v>Yes</v>
      </c>
    </row>
    <row r="323" spans="1:60" x14ac:dyDescent="0.3">
      <c r="A323" s="1">
        <v>11</v>
      </c>
      <c r="B323" t="s">
        <v>849</v>
      </c>
      <c r="C323" t="s">
        <v>264</v>
      </c>
      <c r="D323" t="s">
        <v>264</v>
      </c>
      <c r="E323" t="s">
        <v>264</v>
      </c>
      <c r="F323" t="s">
        <v>850</v>
      </c>
      <c r="G323" t="s">
        <v>851</v>
      </c>
      <c r="I323" t="str">
        <f t="shared" si="112"/>
        <v>N/A</v>
      </c>
      <c r="J323" t="str">
        <f t="shared" si="113"/>
        <v>N/A</v>
      </c>
      <c r="K323" t="str">
        <f t="shared" si="114"/>
        <v>N/A</v>
      </c>
      <c r="L323" t="str">
        <f t="shared" si="115"/>
        <v>N/A</v>
      </c>
      <c r="M323">
        <f t="shared" si="116"/>
        <v>15210000</v>
      </c>
      <c r="N323">
        <f t="shared" si="117"/>
        <v>64739999.999999993</v>
      </c>
      <c r="P323">
        <f t="shared" si="94"/>
        <v>64739999.999999993</v>
      </c>
      <c r="Q323">
        <f>IFERROR(J144+MATCH(P323,J323:N323,0)-1,"")</f>
        <v>2016</v>
      </c>
      <c r="R323">
        <f t="shared" si="95"/>
        <v>15210000</v>
      </c>
      <c r="S323">
        <f>IFERROR(J144+MATCH(R323,J323:N323,0)-1,"")</f>
        <v>2015</v>
      </c>
      <c r="T323">
        <f t="shared" si="96"/>
        <v>39975000</v>
      </c>
      <c r="U323">
        <f t="shared" si="97"/>
        <v>35022998.872169681</v>
      </c>
      <c r="V323" t="str">
        <f t="shared" si="98"/>
        <v/>
      </c>
      <c r="W323" t="str">
        <f t="shared" si="99"/>
        <v/>
      </c>
      <c r="X323" t="str">
        <f t="shared" si="100"/>
        <v/>
      </c>
      <c r="Y323">
        <f t="shared" si="101"/>
        <v>-0.70710678118654791</v>
      </c>
      <c r="Z323">
        <f t="shared" si="102"/>
        <v>0.70710678118654768</v>
      </c>
      <c r="AA323">
        <f t="shared" si="103"/>
        <v>-0.70710678118654791</v>
      </c>
      <c r="AB323">
        <f>IFERROR(V144+MATCH(AA323,V323:Z323,0)-1,"")</f>
        <v>2015</v>
      </c>
      <c r="AC323" t="str">
        <f t="shared" si="104"/>
        <v>Low</v>
      </c>
      <c r="AE323" t="str">
        <f>IF(ISNUMBER(MATCH("N/A",J323:N323,0)),"",IFERROR((5 * SUMPRODUCT(J144:N144,J323:N323) - PRODUCT(SUM(J144:N144),SUM(J323:N323))) / ((5 * SUM((J144^2)+(K144^2)+(L144^2)+(M144^2)+(N144^2))) - SUM(J144:N144)^2),""))</f>
        <v/>
      </c>
      <c r="AF323">
        <f>IFERROR(CORREL(J144:N144,J323:N323),"")</f>
        <v>1</v>
      </c>
      <c r="AZ323">
        <f t="shared" si="105"/>
        <v>1</v>
      </c>
      <c r="BA323" t="str">
        <f>IF(AZ323=1,IF(Q323="","",IF(Q323=N144,"Yes","No")),"")</f>
        <v>Yes</v>
      </c>
      <c r="BB323">
        <f t="shared" si="106"/>
        <v>64739999.999999993</v>
      </c>
      <c r="BC323" t="str">
        <f>IF(AZ323=1,IF(S323="","",IF(S323=N144,"Yes","No")),"")</f>
        <v>No</v>
      </c>
      <c r="BD323" t="str">
        <f t="shared" si="107"/>
        <v/>
      </c>
      <c r="BE323" t="str">
        <f t="shared" si="108"/>
        <v/>
      </c>
      <c r="BF323" t="str">
        <f t="shared" si="109"/>
        <v>No</v>
      </c>
      <c r="BG323" t="str">
        <f t="shared" si="110"/>
        <v>No</v>
      </c>
      <c r="BH323" t="str">
        <f t="shared" si="111"/>
        <v>Yes</v>
      </c>
    </row>
    <row r="324" spans="1:60" x14ac:dyDescent="0.3">
      <c r="A324" s="1">
        <v>12</v>
      </c>
      <c r="B324" t="s">
        <v>852</v>
      </c>
      <c r="C324" t="s">
        <v>853</v>
      </c>
      <c r="D324" t="s">
        <v>854</v>
      </c>
      <c r="E324" t="s">
        <v>855</v>
      </c>
      <c r="F324" t="s">
        <v>856</v>
      </c>
      <c r="G324" t="s">
        <v>857</v>
      </c>
      <c r="I324" t="str">
        <f t="shared" si="112"/>
        <v>N/A</v>
      </c>
      <c r="J324">
        <f t="shared" si="113"/>
        <v>-75970000</v>
      </c>
      <c r="K324">
        <f t="shared" si="114"/>
        <v>-86950000</v>
      </c>
      <c r="L324">
        <f t="shared" si="115"/>
        <v>-635520000</v>
      </c>
      <c r="M324">
        <f t="shared" si="116"/>
        <v>-108850000</v>
      </c>
      <c r="N324">
        <f t="shared" si="117"/>
        <v>-20080000</v>
      </c>
      <c r="P324">
        <f t="shared" si="94"/>
        <v>-20080000</v>
      </c>
      <c r="Q324">
        <f>IFERROR(J144+MATCH(P324,J324:N324,0)-1,"")</f>
        <v>2016</v>
      </c>
      <c r="R324">
        <f t="shared" si="95"/>
        <v>-635520000</v>
      </c>
      <c r="S324">
        <f>IFERROR(J144+MATCH(R324,J324:N324,0)-1,"")</f>
        <v>2014</v>
      </c>
      <c r="T324">
        <f t="shared" si="96"/>
        <v>-185474000</v>
      </c>
      <c r="U324">
        <f t="shared" si="97"/>
        <v>253705498.22579724</v>
      </c>
      <c r="V324">
        <f t="shared" si="98"/>
        <v>0.43161855287244</v>
      </c>
      <c r="W324">
        <f t="shared" si="99"/>
        <v>0.38834002687759606</v>
      </c>
      <c r="X324">
        <f t="shared" si="100"/>
        <v>-1.7738913943420345</v>
      </c>
      <c r="Y324">
        <f t="shared" si="101"/>
        <v>0.30201946956547565</v>
      </c>
      <c r="Z324">
        <f t="shared" si="102"/>
        <v>0.65191334502652276</v>
      </c>
      <c r="AA324">
        <f t="shared" si="103"/>
        <v>-1.7738913943420345</v>
      </c>
      <c r="AB324">
        <f>IFERROR(V144+MATCH(AA324,V324:Z324,0)-1,"")</f>
        <v>2014</v>
      </c>
      <c r="AC324" t="str">
        <f t="shared" si="104"/>
        <v>Low</v>
      </c>
      <c r="AE324">
        <f>IF(ISNUMBER(MATCH("N/A",J324:N324,0)),"",IFERROR((5 * SUMPRODUCT(J144:N144,J324:N324) - PRODUCT(SUM(J144:N144),SUM(J324:N324))) / ((5 * SUM((J144^2)+(K144^2)+(L144^2)+(M144^2)+(N144^2))) - SUM(J144:N144)^2),""))</f>
        <v>8988000</v>
      </c>
      <c r="AF324">
        <f>IFERROR(CORREL(J144:N144,J324:N324),"")</f>
        <v>5.6014851487959073E-2</v>
      </c>
      <c r="AZ324">
        <f t="shared" si="105"/>
        <v>1</v>
      </c>
      <c r="BA324" t="str">
        <f>IF(AZ324=1,IF(Q324="","",IF(Q324=N144,"Yes","No")),"")</f>
        <v>Yes</v>
      </c>
      <c r="BB324">
        <f t="shared" si="106"/>
        <v>-20080000</v>
      </c>
      <c r="BC324" t="str">
        <f>IF(AZ324=1,IF(S324="","",IF(S324=N144,"Yes","No")),"")</f>
        <v>No</v>
      </c>
      <c r="BD324" t="str">
        <f t="shared" si="107"/>
        <v/>
      </c>
      <c r="BE324" t="str">
        <f t="shared" si="108"/>
        <v>Increasing</v>
      </c>
      <c r="BF324" t="str">
        <f t="shared" si="109"/>
        <v>Yes</v>
      </c>
      <c r="BG324" t="str">
        <f t="shared" si="110"/>
        <v>No</v>
      </c>
      <c r="BH324" t="str">
        <f t="shared" si="111"/>
        <v>No</v>
      </c>
    </row>
    <row r="325" spans="1:60" x14ac:dyDescent="0.3">
      <c r="A325" s="1">
        <v>13</v>
      </c>
      <c r="B325" t="s">
        <v>858</v>
      </c>
      <c r="C325" t="s">
        <v>264</v>
      </c>
      <c r="D325" t="s">
        <v>859</v>
      </c>
      <c r="E325" t="s">
        <v>860</v>
      </c>
      <c r="F325" t="s">
        <v>861</v>
      </c>
      <c r="G325" t="s">
        <v>862</v>
      </c>
      <c r="I325" t="str">
        <f t="shared" si="112"/>
        <v>N/A</v>
      </c>
      <c r="J325" t="str">
        <f t="shared" si="113"/>
        <v>N/A</v>
      </c>
      <c r="K325">
        <f t="shared" si="114"/>
        <v>-0.14470000000000002</v>
      </c>
      <c r="L325">
        <f t="shared" si="115"/>
        <v>-6.3087</v>
      </c>
      <c r="M325">
        <f t="shared" si="116"/>
        <v>0.8287000000000001</v>
      </c>
      <c r="N325">
        <f t="shared" si="117"/>
        <v>0.8155</v>
      </c>
      <c r="P325">
        <f t="shared" si="94"/>
        <v>0.8287000000000001</v>
      </c>
      <c r="Q325">
        <f>IFERROR(J144+MATCH(P325,J325:N325,0)-1,"")</f>
        <v>2015</v>
      </c>
      <c r="R325">
        <f t="shared" si="95"/>
        <v>-6.3087</v>
      </c>
      <c r="S325">
        <f>IFERROR(J144+MATCH(R325,J325:N325,0)-1,"")</f>
        <v>2014</v>
      </c>
      <c r="T325">
        <f t="shared" si="96"/>
        <v>-1.2022999999999999</v>
      </c>
      <c r="U325">
        <f t="shared" si="97"/>
        <v>3.4346429489346728</v>
      </c>
      <c r="V325" t="str">
        <f t="shared" si="98"/>
        <v/>
      </c>
      <c r="W325">
        <f t="shared" si="99"/>
        <v>0.30792138097732602</v>
      </c>
      <c r="X325">
        <f t="shared" si="100"/>
        <v>-1.4867338689699485</v>
      </c>
      <c r="Y325">
        <f t="shared" si="101"/>
        <v>0.59132784111663128</v>
      </c>
      <c r="Z325">
        <f t="shared" si="102"/>
        <v>0.58748464687599133</v>
      </c>
      <c r="AA325">
        <f t="shared" si="103"/>
        <v>-1.4867338689699485</v>
      </c>
      <c r="AB325">
        <f>IFERROR(V144+MATCH(AA325,V325:Z325,0)-1,"")</f>
        <v>2014</v>
      </c>
      <c r="AC325" t="str">
        <f t="shared" si="104"/>
        <v>Low</v>
      </c>
      <c r="AE325" t="str">
        <f>IF(ISNUMBER(MATCH("N/A",J325:N325,0)),"",IFERROR((5 * SUMPRODUCT(J144:N144,J325:N325) - PRODUCT(SUM(J144:N144),SUM(J325:N325))) / ((5 * SUM((J144^2)+(K144^2)+(L144^2)+(M144^2)+(N144^2))) - SUM(J144:N144)^2),""))</f>
        <v/>
      </c>
      <c r="AF325">
        <f>IFERROR(CORREL(J144:N144,J325:N325),"")</f>
        <v>0.3765510004889096</v>
      </c>
      <c r="AZ325">
        <f t="shared" si="105"/>
        <v>1</v>
      </c>
      <c r="BA325" t="str">
        <f>IF(AZ325=1,IF(Q325="","",IF(Q325=N144,"Yes","No")),"")</f>
        <v>No</v>
      </c>
      <c r="BB325" t="str">
        <f t="shared" si="106"/>
        <v/>
      </c>
      <c r="BC325" t="str">
        <f>IF(AZ325=1,IF(S325="","",IF(S325=N144,"Yes","No")),"")</f>
        <v>No</v>
      </c>
      <c r="BD325" t="str">
        <f t="shared" si="107"/>
        <v/>
      </c>
      <c r="BE325" t="str">
        <f t="shared" si="108"/>
        <v/>
      </c>
      <c r="BF325" t="str">
        <f t="shared" si="109"/>
        <v>No</v>
      </c>
      <c r="BG325" t="str">
        <f t="shared" si="110"/>
        <v>No</v>
      </c>
      <c r="BH325" t="str">
        <f t="shared" si="111"/>
        <v>No</v>
      </c>
    </row>
    <row r="326" spans="1:60" x14ac:dyDescent="0.3">
      <c r="A326" s="1">
        <v>14</v>
      </c>
      <c r="B326" t="s">
        <v>863</v>
      </c>
      <c r="C326" t="s">
        <v>864</v>
      </c>
      <c r="D326" t="s">
        <v>865</v>
      </c>
      <c r="E326" t="s">
        <v>866</v>
      </c>
      <c r="F326" t="s">
        <v>864</v>
      </c>
      <c r="G326" t="s">
        <v>867</v>
      </c>
      <c r="I326" t="str">
        <f t="shared" si="112"/>
        <v>N/A</v>
      </c>
      <c r="J326">
        <f t="shared" si="113"/>
        <v>-3.4200000000000001E-2</v>
      </c>
      <c r="K326">
        <f t="shared" si="114"/>
        <v>-3.8900000000000004E-2</v>
      </c>
      <c r="L326">
        <f t="shared" si="115"/>
        <v>-0.23579999999999998</v>
      </c>
      <c r="M326">
        <f t="shared" si="116"/>
        <v>-3.4200000000000001E-2</v>
      </c>
      <c r="N326">
        <f t="shared" si="117"/>
        <v>-6.3E-3</v>
      </c>
      <c r="P326">
        <f t="shared" si="94"/>
        <v>-6.3E-3</v>
      </c>
      <c r="Q326">
        <f>IFERROR(J144+MATCH(P326,J326:N326,0)-1,"")</f>
        <v>2016</v>
      </c>
      <c r="R326">
        <f t="shared" si="95"/>
        <v>-0.23579999999999998</v>
      </c>
      <c r="S326">
        <f>IFERROR(J144+MATCH(R326,J326:N326,0)-1,"")</f>
        <v>2014</v>
      </c>
      <c r="T326">
        <f t="shared" si="96"/>
        <v>-6.9879999999999984E-2</v>
      </c>
      <c r="U326">
        <f t="shared" si="97"/>
        <v>9.364527217110323E-2</v>
      </c>
      <c r="V326">
        <f t="shared" si="98"/>
        <v>0.38101229429722355</v>
      </c>
      <c r="W326">
        <f t="shared" si="99"/>
        <v>0.33082289454394576</v>
      </c>
      <c r="X326">
        <f t="shared" si="100"/>
        <v>-1.7717925972476281</v>
      </c>
      <c r="Y326">
        <f t="shared" si="101"/>
        <v>0.38101229429722355</v>
      </c>
      <c r="Z326">
        <f t="shared" si="102"/>
        <v>0.6789451141092343</v>
      </c>
      <c r="AA326">
        <f t="shared" si="103"/>
        <v>-1.7717925972476281</v>
      </c>
      <c r="AB326">
        <f>IFERROR(V144+MATCH(AA326,V326:Z326,0)-1,"")</f>
        <v>2014</v>
      </c>
      <c r="AC326" t="str">
        <f t="shared" si="104"/>
        <v>Low</v>
      </c>
      <c r="AE326">
        <f>IF(ISNUMBER(MATCH("N/A",J326:N326,0)),"",IFERROR((5 * SUMPRODUCT(J144:N144,J326:N326) - PRODUCT(SUM(J144:N144),SUM(J326:N326))) / ((5 * SUM((J144^2)+(K144^2)+(L144^2)+(M144^2)+(N144^2))) - SUM(J144:N144)^2),""))</f>
        <v>6.0499999999865392E-3</v>
      </c>
      <c r="AF326">
        <f>IFERROR(CORREL(J144:N144,J326:N326),"")</f>
        <v>0.1021502709131018</v>
      </c>
      <c r="AZ326">
        <f t="shared" si="105"/>
        <v>1</v>
      </c>
      <c r="BA326" t="str">
        <f>IF(AZ326=1,IF(Q326="","",IF(Q326=N144,"Yes","No")),"")</f>
        <v>Yes</v>
      </c>
      <c r="BB326">
        <f t="shared" si="106"/>
        <v>-6.3E-3</v>
      </c>
      <c r="BC326" t="str">
        <f>IF(AZ326=1,IF(S326="","",IF(S326=N144,"Yes","No")),"")</f>
        <v>No</v>
      </c>
      <c r="BD326" t="str">
        <f t="shared" si="107"/>
        <v/>
      </c>
      <c r="BE326" t="str">
        <f t="shared" si="108"/>
        <v>Increasing</v>
      </c>
      <c r="BF326" t="str">
        <f t="shared" si="109"/>
        <v>Yes</v>
      </c>
      <c r="BG326" t="str">
        <f t="shared" si="110"/>
        <v>No</v>
      </c>
      <c r="BH326" t="str">
        <f t="shared" si="111"/>
        <v>No</v>
      </c>
    </row>
    <row r="327" spans="1:60" x14ac:dyDescent="0.3">
      <c r="I327" t="str">
        <f t="shared" si="112"/>
        <v>N/A</v>
      </c>
      <c r="J327" t="str">
        <f t="shared" si="113"/>
        <v>N/A</v>
      </c>
      <c r="K327" t="str">
        <f t="shared" si="114"/>
        <v>N/A</v>
      </c>
      <c r="L327" t="str">
        <f t="shared" si="115"/>
        <v>N/A</v>
      </c>
      <c r="M327" t="str">
        <f t="shared" si="116"/>
        <v>N/A</v>
      </c>
      <c r="N327" t="str">
        <f t="shared" si="117"/>
        <v>N/A</v>
      </c>
      <c r="P327">
        <f t="shared" si="94"/>
        <v>0</v>
      </c>
      <c r="Q327" t="str">
        <f>IFERROR(J144+MATCH(P327,J327:N327,0)-1,"")</f>
        <v/>
      </c>
      <c r="R327" t="str">
        <f t="shared" si="95"/>
        <v/>
      </c>
      <c r="S327" t="str">
        <f>IFERROR(J144+MATCH(R327,J327:N327,0)-1,"")</f>
        <v/>
      </c>
      <c r="T327" t="str">
        <f t="shared" si="96"/>
        <v/>
      </c>
      <c r="U327" t="str">
        <f t="shared" si="97"/>
        <v/>
      </c>
      <c r="V327" t="str">
        <f t="shared" si="98"/>
        <v/>
      </c>
      <c r="W327" t="str">
        <f t="shared" si="99"/>
        <v/>
      </c>
      <c r="X327" t="str">
        <f t="shared" si="100"/>
        <v/>
      </c>
      <c r="Y327" t="str">
        <f t="shared" si="101"/>
        <v/>
      </c>
      <c r="Z327" t="str">
        <f t="shared" si="102"/>
        <v/>
      </c>
      <c r="AA327">
        <f t="shared" si="103"/>
        <v>0</v>
      </c>
      <c r="AB327" t="str">
        <f>IFERROR(V144+MATCH(AA327,V327:Z327,0)-1,"")</f>
        <v/>
      </c>
      <c r="AC327" t="str">
        <f t="shared" si="104"/>
        <v/>
      </c>
      <c r="AE327" t="str">
        <f>IF(ISNUMBER(MATCH("N/A",J327:N327,0)),"",IFERROR((5 * SUMPRODUCT(J144:N144,J327:N327) - PRODUCT(SUM(J144:N144),SUM(J327:N327))) / ((5 * SUM((J144^2)+(K144^2)+(L144^2)+(M144^2)+(N144^2))) - SUM(J144:N144)^2),""))</f>
        <v/>
      </c>
      <c r="AF327" t="str">
        <f>IFERROR(CORREL(J144:N144,J327:N327),"")</f>
        <v/>
      </c>
      <c r="AZ327">
        <f t="shared" si="105"/>
        <v>0</v>
      </c>
      <c r="BA327" t="str">
        <f>IF(AZ327=1,IF(Q327="","",IF(Q327=N144,"Yes","No")),"")</f>
        <v/>
      </c>
      <c r="BB327" t="str">
        <f t="shared" si="106"/>
        <v/>
      </c>
      <c r="BC327" t="str">
        <f>IF(AZ327=1,IF(S327="","",IF(S327=N144,"Yes","No")),"")</f>
        <v/>
      </c>
      <c r="BD327" t="str">
        <f t="shared" si="107"/>
        <v/>
      </c>
      <c r="BE327" t="str">
        <f t="shared" si="108"/>
        <v/>
      </c>
      <c r="BF327" t="str">
        <f t="shared" si="109"/>
        <v>No</v>
      </c>
      <c r="BG327" t="str">
        <f t="shared" si="110"/>
        <v>No</v>
      </c>
      <c r="BH327" t="str">
        <f t="shared" si="111"/>
        <v/>
      </c>
    </row>
    <row r="328" spans="1:60" x14ac:dyDescent="0.3">
      <c r="B328" s="1" t="s">
        <v>316</v>
      </c>
      <c r="C328" s="1" t="s">
        <v>252</v>
      </c>
      <c r="D328" s="1" t="s">
        <v>253</v>
      </c>
      <c r="E328" s="1" t="s">
        <v>254</v>
      </c>
      <c r="F328" s="1" t="s">
        <v>255</v>
      </c>
      <c r="G328" s="1" t="s">
        <v>256</v>
      </c>
      <c r="H328" s="1" t="s">
        <v>257</v>
      </c>
      <c r="P328">
        <f t="shared" si="94"/>
        <v>0</v>
      </c>
      <c r="Q328" t="str">
        <f>IFERROR(J144+MATCH(P328,J328:N328,0)-1,"")</f>
        <v/>
      </c>
      <c r="R328" t="str">
        <f t="shared" si="95"/>
        <v/>
      </c>
      <c r="S328" t="str">
        <f>IFERROR(J144+MATCH(R328,J328:N328,0)-1,"")</f>
        <v/>
      </c>
      <c r="T328" t="str">
        <f t="shared" si="96"/>
        <v/>
      </c>
      <c r="U328" t="str">
        <f t="shared" si="97"/>
        <v/>
      </c>
      <c r="V328" t="str">
        <f t="shared" si="98"/>
        <v/>
      </c>
      <c r="W328" t="str">
        <f t="shared" si="99"/>
        <v/>
      </c>
      <c r="X328" t="str">
        <f t="shared" si="100"/>
        <v/>
      </c>
      <c r="Y328" t="str">
        <f t="shared" si="101"/>
        <v/>
      </c>
      <c r="Z328" t="str">
        <f t="shared" si="102"/>
        <v/>
      </c>
      <c r="AA328">
        <f t="shared" si="103"/>
        <v>0</v>
      </c>
      <c r="AB328" t="str">
        <f>IFERROR(V144+MATCH(AA328,V328:Z328,0)-1,"")</f>
        <v/>
      </c>
      <c r="AC328" t="str">
        <f t="shared" si="104"/>
        <v/>
      </c>
      <c r="AE328">
        <f>IF(ISNUMBER(MATCH("N/A",J328:N328,0)),"",IFERROR((5 * SUMPRODUCT(J144:N144,J328:N328) - PRODUCT(SUM(J144:N144),SUM(J328:N328))) / ((5 * SUM((J144^2)+(K144^2)+(L144^2)+(M144^2)+(N144^2))) - SUM(J144:N144)^2),""))</f>
        <v>0</v>
      </c>
      <c r="AF328" t="str">
        <f>IFERROR(CORREL(J144:N144,J328:N328),"")</f>
        <v/>
      </c>
      <c r="AZ328">
        <f t="shared" si="105"/>
        <v>0</v>
      </c>
      <c r="BA328" t="str">
        <f>IF(AZ328=1,IF(Q328="","",IF(Q328=N144,"Yes","No")),"")</f>
        <v/>
      </c>
      <c r="BB328" t="str">
        <f t="shared" si="106"/>
        <v/>
      </c>
      <c r="BC328" t="str">
        <f>IF(AZ328=1,IF(S328="","",IF(S328=N144,"Yes","No")),"")</f>
        <v/>
      </c>
      <c r="BD328" t="str">
        <f t="shared" si="107"/>
        <v/>
      </c>
      <c r="BE328" t="str">
        <f t="shared" si="108"/>
        <v/>
      </c>
      <c r="BF328" t="str">
        <f t="shared" si="109"/>
        <v>No</v>
      </c>
      <c r="BG328" t="str">
        <f t="shared" si="110"/>
        <v>No</v>
      </c>
      <c r="BH328" t="str">
        <f t="shared" si="111"/>
        <v/>
      </c>
    </row>
    <row r="329" spans="1:60" x14ac:dyDescent="0.3">
      <c r="A329" s="1">
        <v>0</v>
      </c>
      <c r="B329" t="s">
        <v>868</v>
      </c>
      <c r="C329" t="s">
        <v>869</v>
      </c>
      <c r="D329" t="s">
        <v>870</v>
      </c>
      <c r="E329" t="s">
        <v>871</v>
      </c>
      <c r="F329" t="s">
        <v>872</v>
      </c>
      <c r="G329" t="s">
        <v>873</v>
      </c>
      <c r="I329" t="str">
        <f t="shared" ref="I329:I360" si="118">IF(AND(K329&gt; J329, L329&gt; K329, M329&gt; L329, N329&gt; M329), "pos_trend", IF(AND(K329&lt; J329, L329&lt; K329, M329&lt; L329, N329&lt; M329), "neg_trend", "N/A"))</f>
        <v>N/A</v>
      </c>
      <c r="J329">
        <f t="shared" ref="J329:J360" si="119">IFERROR(IF(TRIM(C329)="-", "N/A", IF(RIGHT(C329,1)=")",IF(RIGHT(C329,2)="T)",-1000000000000*VALUE(MID(C329,2,LEN(C329)-3)),IF(RIGHT(C329,2)="M)",-1000000*VALUE(MID(C329,2,LEN(C329)-3)),IF(RIGHT(C329,2)="B)",-1000000000*VALUE(MID(C329,2,LEN(C329)-3)),IF(RIGHT(C329,2)="k)",-1000*VALUE(MID(C329,2,LEN(C329)-3)),VALUE(SUBSTITUTE(C329,",","")))))),IF(RIGHT(C329,1)="T",1000000000000*VALUE(LEFT(C329,LEN(C329)-1)),IF(RIGHT(C329,1)="M",1000000*VALUE(LEFT(C329,LEN(C329)-1)),IF(RIGHT(C329,1)="B",1000000000*VALUE(LEFT(C329,LEN(C329)-1)),IF(RIGHT(C329,1)="%",0.01*VALUE(LEFT(C329,LEN(C329)-1)),IF(RIGHT(C329,1)="k",1000*VALUE(LEFT(C329,LEN(C329)-1)),VALUE(SUBSTITUTE(C329,",",""))))))))),"N/A")</f>
        <v>-5840000</v>
      </c>
      <c r="K329">
        <f t="shared" ref="K329:K360" si="120">IFERROR(IF(TRIM(D329)="-", "N/A", IF(RIGHT(D329,1)=")",IF(RIGHT(D329,2)="T)",-1000000000000*VALUE(MID(D329,2,LEN(D329)-3)),IF(RIGHT(D329,2)="M)",-1000000*VALUE(MID(D329,2,LEN(D329)-3)),IF(RIGHT(D329,2)="B)",-1000000000*VALUE(MID(D329,2,LEN(D329)-3)),IF(RIGHT(D329,2)="k)",-1000*VALUE(MID(D329,2,LEN(D329)-3)),VALUE(SUBSTITUTE(D329,",","")))))),IF(RIGHT(D329,1)="T",1000000000000*VALUE(LEFT(D329,LEN(D329)-1)),IF(RIGHT(D329,1)="M",1000000*VALUE(LEFT(D329,LEN(D329)-1)),IF(RIGHT(D329,1)="B",1000000000*VALUE(LEFT(D329,LEN(D329)-1)),IF(RIGHT(D329,1)="%",0.01*VALUE(LEFT(D329,LEN(D329)-1)),IF(RIGHT(D329,1)="k",1000*VALUE(LEFT(D329,LEN(D329)-1)),VALUE(SUBSTITUTE(D329,",",""))))))))),"N/A")</f>
        <v>-3880000</v>
      </c>
      <c r="L329">
        <f t="shared" ref="L329:L360" si="121">IFERROR(IF(TRIM(E329)="-", "N/A", IF(RIGHT(E329,1)=")",IF(RIGHT(E329,2)="T)",-1000000000000*VALUE(MID(E329,2,LEN(E329)-3)),IF(RIGHT(E329,2)="M)",-1000000*VALUE(MID(E329,2,LEN(E329)-3)),IF(RIGHT(E329,2)="B)",-1000000000*VALUE(MID(E329,2,LEN(E329)-3)),IF(RIGHT(E329,2)="k)",-1000*VALUE(MID(E329,2,LEN(E329)-3)),VALUE(SUBSTITUTE(E329,",","")))))),IF(RIGHT(E329,1)="T",1000000000000*VALUE(LEFT(E329,LEN(E329)-1)),IF(RIGHT(E329,1)="M",1000000*VALUE(LEFT(E329,LEN(E329)-1)),IF(RIGHT(E329,1)="B",1000000000*VALUE(LEFT(E329,LEN(E329)-1)),IF(RIGHT(E329,1)="%",0.01*VALUE(LEFT(E329,LEN(E329)-1)),IF(RIGHT(E329,1)="k",1000*VALUE(LEFT(E329,LEN(E329)-1)),VALUE(SUBSTITUTE(E329,",",""))))))))),"N/A")</f>
        <v>-7820000</v>
      </c>
      <c r="M329">
        <f t="shared" ref="M329:M360" si="122">IFERROR(IF(TRIM(F329)="-", "N/A", IF(RIGHT(F329,1)=")",IF(RIGHT(F329,2)="T)",-1000000000000*VALUE(MID(F329,2,LEN(F329)-3)),IF(RIGHT(F329,2)="M)",-1000000*VALUE(MID(F329,2,LEN(F329)-3)),IF(RIGHT(F329,2)="B)",-1000000000*VALUE(MID(F329,2,LEN(F329)-3)),IF(RIGHT(F329,2)="k)",-1000*VALUE(MID(F329,2,LEN(F329)-3)),VALUE(SUBSTITUTE(F329,",","")))))),IF(RIGHT(F329,1)="T",1000000000000*VALUE(LEFT(F329,LEN(F329)-1)),IF(RIGHT(F329,1)="M",1000000*VALUE(LEFT(F329,LEN(F329)-1)),IF(RIGHT(F329,1)="B",1000000000*VALUE(LEFT(F329,LEN(F329)-1)),IF(RIGHT(F329,1)="%",0.01*VALUE(LEFT(F329,LEN(F329)-1)),IF(RIGHT(F329,1)="k",1000*VALUE(LEFT(F329,LEN(F329)-1)),VALUE(SUBSTITUTE(F329,",",""))))))))),"N/A")</f>
        <v>-6820000</v>
      </c>
      <c r="N329">
        <f t="shared" ref="N329:N360" si="123">IFERROR(IF(TRIM(G329)="-", "N/A", IF(RIGHT(G329,1)=")",IF(RIGHT(G329,2)="T)",-1000000000000*VALUE(MID(G329,2,LEN(G329)-3)),IF(RIGHT(G329,2)="M)",-1000000*VALUE(MID(G329,2,LEN(G329)-3)),IF(RIGHT(G329,2)="B)",-1000000000*VALUE(MID(G329,2,LEN(G329)-3)),IF(RIGHT(G329,2)="k)",-1000*VALUE(MID(G329,2,LEN(G329)-3)),VALUE(SUBSTITUTE(G329,",","")))))),IF(RIGHT(G329,1)="T",1000000000000*VALUE(LEFT(G329,LEN(G329)-1)),IF(RIGHT(G329,1)="M",1000000*VALUE(LEFT(G329,LEN(G329)-1)),IF(RIGHT(G329,1)="B",1000000000*VALUE(LEFT(G329,LEN(G329)-1)),IF(RIGHT(G329,1)="%",0.01*VALUE(LEFT(G329,LEN(G329)-1)),IF(RIGHT(G329,1)="k",1000*VALUE(LEFT(G329,LEN(G329)-1)),VALUE(SUBSTITUTE(G329,",",""))))))))),"N/A")</f>
        <v>-7420000</v>
      </c>
      <c r="P329">
        <f t="shared" si="94"/>
        <v>-3880000</v>
      </c>
      <c r="Q329">
        <f>IFERROR(J144+MATCH(P329,J329:N329,0)-1,"")</f>
        <v>2013</v>
      </c>
      <c r="R329">
        <f t="shared" si="95"/>
        <v>-7820000</v>
      </c>
      <c r="S329">
        <f>IFERROR(J144+MATCH(R329,J329:N329,0)-1,"")</f>
        <v>2014</v>
      </c>
      <c r="T329">
        <f t="shared" si="96"/>
        <v>-6356000</v>
      </c>
      <c r="U329">
        <f t="shared" si="97"/>
        <v>1572221.3584606971</v>
      </c>
      <c r="V329">
        <f t="shared" si="98"/>
        <v>0.32819806016704683</v>
      </c>
      <c r="W329">
        <f t="shared" si="99"/>
        <v>1.5748418546000156</v>
      </c>
      <c r="X329">
        <f t="shared" si="100"/>
        <v>-0.93116658931115615</v>
      </c>
      <c r="Y329">
        <f t="shared" si="101"/>
        <v>-0.29512383704943745</v>
      </c>
      <c r="Z329">
        <f t="shared" si="102"/>
        <v>-0.67674948840646865</v>
      </c>
      <c r="AA329">
        <f t="shared" si="103"/>
        <v>1.5748418546000156</v>
      </c>
      <c r="AB329">
        <f>IFERROR(V144+MATCH(AA329,V329:Z329,0)-1,"")</f>
        <v>2013</v>
      </c>
      <c r="AC329" t="str">
        <f t="shared" si="104"/>
        <v>High</v>
      </c>
      <c r="AE329">
        <f>IF(ISNUMBER(MATCH("N/A",J329:N329,0)),"",IFERROR((5 * SUMPRODUCT(J144:N144,J329:N329) - PRODUCT(SUM(J144:N144),SUM(J329:N329))) / ((5 * SUM((J144^2)+(K144^2)+(L144^2)+(M144^2)+(N144^2))) - SUM(J144:N144)^2),""))</f>
        <v>-610000</v>
      </c>
      <c r="AF329">
        <f>IFERROR(CORREL(J144:N144,J329:N329),"")</f>
        <v>-0.61345985484871934</v>
      </c>
      <c r="AZ329">
        <f t="shared" si="105"/>
        <v>1</v>
      </c>
      <c r="BA329" t="str">
        <f>IF(AZ329=1,IF(Q329="","",IF(Q329=N144,"Yes","No")),"")</f>
        <v>No</v>
      </c>
      <c r="BB329" t="str">
        <f t="shared" si="106"/>
        <v/>
      </c>
      <c r="BC329" t="str">
        <f>IF(AZ329=1,IF(S329="","",IF(S329=N144,"Yes","No")),"")</f>
        <v>No</v>
      </c>
      <c r="BD329" t="str">
        <f t="shared" si="107"/>
        <v/>
      </c>
      <c r="BE329" t="str">
        <f t="shared" si="108"/>
        <v>Decreasing</v>
      </c>
      <c r="BF329" t="str">
        <f t="shared" si="109"/>
        <v>No</v>
      </c>
      <c r="BG329" t="str">
        <f t="shared" si="110"/>
        <v>No</v>
      </c>
      <c r="BH329" t="str">
        <f t="shared" si="111"/>
        <v>No</v>
      </c>
    </row>
    <row r="330" spans="1:60" x14ac:dyDescent="0.3">
      <c r="A330" s="1">
        <v>1</v>
      </c>
      <c r="B330" t="s">
        <v>874</v>
      </c>
      <c r="C330" t="s">
        <v>869</v>
      </c>
      <c r="D330" t="s">
        <v>870</v>
      </c>
      <c r="E330" t="s">
        <v>871</v>
      </c>
      <c r="F330" t="s">
        <v>872</v>
      </c>
      <c r="G330" t="s">
        <v>873</v>
      </c>
      <c r="I330" t="str">
        <f t="shared" si="118"/>
        <v>N/A</v>
      </c>
      <c r="J330">
        <f t="shared" si="119"/>
        <v>-5840000</v>
      </c>
      <c r="K330">
        <f t="shared" si="120"/>
        <v>-3880000</v>
      </c>
      <c r="L330">
        <f t="shared" si="121"/>
        <v>-7820000</v>
      </c>
      <c r="M330">
        <f t="shared" si="122"/>
        <v>-6820000</v>
      </c>
      <c r="N330">
        <f t="shared" si="123"/>
        <v>-7420000</v>
      </c>
      <c r="P330">
        <f t="shared" si="94"/>
        <v>-3880000</v>
      </c>
      <c r="Q330">
        <f>IFERROR(J144+MATCH(P330,J330:N330,0)-1,"")</f>
        <v>2013</v>
      </c>
      <c r="R330">
        <f t="shared" si="95"/>
        <v>-7820000</v>
      </c>
      <c r="S330">
        <f>IFERROR(J144+MATCH(R330,J330:N330,0)-1,"")</f>
        <v>2014</v>
      </c>
      <c r="T330">
        <f t="shared" si="96"/>
        <v>-6356000</v>
      </c>
      <c r="U330">
        <f t="shared" si="97"/>
        <v>1572221.3584606971</v>
      </c>
      <c r="V330">
        <f t="shared" si="98"/>
        <v>0.32819806016704683</v>
      </c>
      <c r="W330">
        <f t="shared" si="99"/>
        <v>1.5748418546000156</v>
      </c>
      <c r="X330">
        <f t="shared" si="100"/>
        <v>-0.93116658931115615</v>
      </c>
      <c r="Y330">
        <f t="shared" si="101"/>
        <v>-0.29512383704943745</v>
      </c>
      <c r="Z330">
        <f t="shared" si="102"/>
        <v>-0.67674948840646865</v>
      </c>
      <c r="AA330">
        <f t="shared" si="103"/>
        <v>1.5748418546000156</v>
      </c>
      <c r="AB330">
        <f>IFERROR(V144+MATCH(AA330,V330:Z330,0)-1,"")</f>
        <v>2013</v>
      </c>
      <c r="AC330" t="str">
        <f t="shared" si="104"/>
        <v>High</v>
      </c>
      <c r="AE330">
        <f>IF(ISNUMBER(MATCH("N/A",J330:N330,0)),"",IFERROR((5 * SUMPRODUCT(J144:N144,J330:N330) - PRODUCT(SUM(J144:N144),SUM(J330:N330))) / ((5 * SUM((J144^2)+(K144^2)+(L144^2)+(M144^2)+(N144^2))) - SUM(J144:N144)^2),""))</f>
        <v>-610000</v>
      </c>
      <c r="AF330">
        <f>IFERROR(CORREL(J144:N144,J330:N330),"")</f>
        <v>-0.61345985484871934</v>
      </c>
      <c r="AZ330">
        <f t="shared" si="105"/>
        <v>1</v>
      </c>
      <c r="BA330" t="str">
        <f>IF(AZ330=1,IF(Q330="","",IF(Q330=N144,"Yes","No")),"")</f>
        <v>No</v>
      </c>
      <c r="BB330" t="str">
        <f t="shared" si="106"/>
        <v/>
      </c>
      <c r="BC330" t="str">
        <f>IF(AZ330=1,IF(S330="","",IF(S330=N144,"Yes","No")),"")</f>
        <v>No</v>
      </c>
      <c r="BD330" t="str">
        <f t="shared" si="107"/>
        <v/>
      </c>
      <c r="BE330" t="str">
        <f t="shared" si="108"/>
        <v>Decreasing</v>
      </c>
      <c r="BF330" t="str">
        <f t="shared" si="109"/>
        <v>No</v>
      </c>
      <c r="BG330" t="str">
        <f t="shared" si="110"/>
        <v>No</v>
      </c>
      <c r="BH330" t="str">
        <f t="shared" si="111"/>
        <v>No</v>
      </c>
    </row>
    <row r="331" spans="1:60" x14ac:dyDescent="0.3">
      <c r="A331" s="1">
        <v>2</v>
      </c>
      <c r="B331" t="s">
        <v>421</v>
      </c>
      <c r="C331" t="s">
        <v>264</v>
      </c>
      <c r="D331" t="s">
        <v>264</v>
      </c>
      <c r="E331" t="s">
        <v>264</v>
      </c>
      <c r="F331" t="s">
        <v>264</v>
      </c>
      <c r="G331" t="s">
        <v>264</v>
      </c>
      <c r="I331" t="str">
        <f t="shared" si="118"/>
        <v>N/A</v>
      </c>
      <c r="J331" t="str">
        <f t="shared" si="119"/>
        <v>N/A</v>
      </c>
      <c r="K331" t="str">
        <f t="shared" si="120"/>
        <v>N/A</v>
      </c>
      <c r="L331" t="str">
        <f t="shared" si="121"/>
        <v>N/A</v>
      </c>
      <c r="M331" t="str">
        <f t="shared" si="122"/>
        <v>N/A</v>
      </c>
      <c r="N331" t="str">
        <f t="shared" si="123"/>
        <v>N/A</v>
      </c>
      <c r="P331">
        <f t="shared" si="94"/>
        <v>0</v>
      </c>
      <c r="Q331" t="str">
        <f>IFERROR(J144+MATCH(P331,J331:N331,0)-1,"")</f>
        <v/>
      </c>
      <c r="R331" t="str">
        <f t="shared" si="95"/>
        <v/>
      </c>
      <c r="S331" t="str">
        <f>IFERROR(J144+MATCH(R331,J331:N331,0)-1,"")</f>
        <v/>
      </c>
      <c r="T331" t="str">
        <f t="shared" si="96"/>
        <v/>
      </c>
      <c r="U331" t="str">
        <f t="shared" si="97"/>
        <v/>
      </c>
      <c r="V331" t="str">
        <f t="shared" si="98"/>
        <v/>
      </c>
      <c r="W331" t="str">
        <f t="shared" si="99"/>
        <v/>
      </c>
      <c r="X331" t="str">
        <f t="shared" si="100"/>
        <v/>
      </c>
      <c r="Y331" t="str">
        <f t="shared" si="101"/>
        <v/>
      </c>
      <c r="Z331" t="str">
        <f t="shared" si="102"/>
        <v/>
      </c>
      <c r="AA331">
        <f t="shared" si="103"/>
        <v>0</v>
      </c>
      <c r="AB331" t="str">
        <f>IFERROR(V144+MATCH(AA331,V331:Z331,0)-1,"")</f>
        <v/>
      </c>
      <c r="AC331" t="str">
        <f t="shared" si="104"/>
        <v/>
      </c>
      <c r="AE331" t="str">
        <f>IF(ISNUMBER(MATCH("N/A",J331:N331,0)),"",IFERROR((5 * SUMPRODUCT(J144:N144,J331:N331) - PRODUCT(SUM(J144:N144),SUM(J331:N331))) / ((5 * SUM((J144^2)+(K144^2)+(L144^2)+(M144^2)+(N144^2))) - SUM(J144:N144)^2),""))</f>
        <v/>
      </c>
      <c r="AF331" t="str">
        <f>IFERROR(CORREL(J144:N144,J331:N331),"")</f>
        <v/>
      </c>
      <c r="AZ331">
        <f t="shared" si="105"/>
        <v>0</v>
      </c>
      <c r="BA331" t="str">
        <f>IF(AZ331=1,IF(Q331="","",IF(Q331=N144,"Yes","No")),"")</f>
        <v/>
      </c>
      <c r="BB331" t="str">
        <f t="shared" si="106"/>
        <v/>
      </c>
      <c r="BC331" t="str">
        <f>IF(AZ331=1,IF(S331="","",IF(S331=N144,"Yes","No")),"")</f>
        <v/>
      </c>
      <c r="BD331" t="str">
        <f t="shared" si="107"/>
        <v/>
      </c>
      <c r="BE331" t="str">
        <f t="shared" si="108"/>
        <v/>
      </c>
      <c r="BF331" t="str">
        <f t="shared" si="109"/>
        <v>No</v>
      </c>
      <c r="BG331" t="str">
        <f t="shared" si="110"/>
        <v>No</v>
      </c>
      <c r="BH331" t="str">
        <f t="shared" si="111"/>
        <v/>
      </c>
    </row>
    <row r="332" spans="1:60" x14ac:dyDescent="0.3">
      <c r="A332" s="1">
        <v>3</v>
      </c>
      <c r="B332" t="s">
        <v>875</v>
      </c>
      <c r="C332" t="s">
        <v>876</v>
      </c>
      <c r="D332" t="s">
        <v>877</v>
      </c>
      <c r="E332" t="s">
        <v>878</v>
      </c>
      <c r="F332" t="s">
        <v>879</v>
      </c>
      <c r="G332" t="s">
        <v>880</v>
      </c>
      <c r="I332" t="str">
        <f t="shared" si="118"/>
        <v>N/A</v>
      </c>
      <c r="J332">
        <f t="shared" si="119"/>
        <v>-18380000</v>
      </c>
      <c r="K332">
        <f t="shared" si="120"/>
        <v>-115080000</v>
      </c>
      <c r="L332">
        <f t="shared" si="121"/>
        <v>4390000</v>
      </c>
      <c r="M332">
        <f t="shared" si="122"/>
        <v>1040000</v>
      </c>
      <c r="N332">
        <f t="shared" si="123"/>
        <v>-33980000</v>
      </c>
      <c r="P332">
        <f t="shared" si="94"/>
        <v>4390000</v>
      </c>
      <c r="Q332">
        <f>IFERROR(J144+MATCH(P332,J332:N332,0)-1,"")</f>
        <v>2014</v>
      </c>
      <c r="R332">
        <f t="shared" si="95"/>
        <v>-115080000</v>
      </c>
      <c r="S332">
        <f>IFERROR(J144+MATCH(R332,J332:N332,0)-1,"")</f>
        <v>2013</v>
      </c>
      <c r="T332">
        <f t="shared" si="96"/>
        <v>-32402000</v>
      </c>
      <c r="U332">
        <f t="shared" si="97"/>
        <v>48751350.955640197</v>
      </c>
      <c r="V332">
        <f t="shared" si="98"/>
        <v>0.2876227986534956</v>
      </c>
      <c r="W332">
        <f t="shared" si="99"/>
        <v>-1.6959119773979252</v>
      </c>
      <c r="X332">
        <f t="shared" si="100"/>
        <v>0.75468677849517973</v>
      </c>
      <c r="Y332">
        <f t="shared" si="101"/>
        <v>0.68597073403010977</v>
      </c>
      <c r="Z332">
        <f t="shared" si="102"/>
        <v>-3.2368333780859793E-2</v>
      </c>
      <c r="AA332">
        <f t="shared" si="103"/>
        <v>-1.6959119773979252</v>
      </c>
      <c r="AB332">
        <f>IFERROR(V144+MATCH(AA332,V332:Z332,0)-1,"")</f>
        <v>2013</v>
      </c>
      <c r="AC332" t="str">
        <f t="shared" si="104"/>
        <v>Low</v>
      </c>
      <c r="AE332">
        <f>IF(ISNUMBER(MATCH("N/A",J332:N332,0)),"",IFERROR((5 * SUMPRODUCT(J144:N144,J332:N332) - PRODUCT(SUM(J144:N144),SUM(J332:N332))) / ((5 * SUM((J144^2)+(K144^2)+(L144^2)+(M144^2)+(N144^2))) - SUM(J144:N144)^2),""))</f>
        <v>8492000</v>
      </c>
      <c r="AF332">
        <f>IFERROR(CORREL(J144:N144,J332:N332),"")</f>
        <v>0.27541864341959377</v>
      </c>
      <c r="AZ332">
        <f t="shared" si="105"/>
        <v>1</v>
      </c>
      <c r="BA332" t="str">
        <f>IF(AZ332=1,IF(Q332="","",IF(Q332=N144,"Yes","No")),"")</f>
        <v>No</v>
      </c>
      <c r="BB332" t="str">
        <f t="shared" si="106"/>
        <v/>
      </c>
      <c r="BC332" t="str">
        <f>IF(AZ332=1,IF(S332="","",IF(S332=N144,"Yes","No")),"")</f>
        <v>No</v>
      </c>
      <c r="BD332" t="str">
        <f t="shared" si="107"/>
        <v/>
      </c>
      <c r="BE332" t="str">
        <f t="shared" si="108"/>
        <v>Increasing</v>
      </c>
      <c r="BF332" t="str">
        <f t="shared" si="109"/>
        <v>No</v>
      </c>
      <c r="BG332" t="str">
        <f t="shared" si="110"/>
        <v>No</v>
      </c>
      <c r="BH332" t="str">
        <f t="shared" si="111"/>
        <v>No</v>
      </c>
    </row>
    <row r="333" spans="1:60" x14ac:dyDescent="0.3">
      <c r="A333" s="1">
        <v>4</v>
      </c>
      <c r="B333" t="s">
        <v>881</v>
      </c>
      <c r="C333" t="s">
        <v>882</v>
      </c>
      <c r="D333" t="s">
        <v>883</v>
      </c>
      <c r="E333" t="s">
        <v>264</v>
      </c>
      <c r="F333" t="s">
        <v>264</v>
      </c>
      <c r="G333" t="s">
        <v>884</v>
      </c>
      <c r="I333" t="str">
        <f t="shared" si="118"/>
        <v>N/A</v>
      </c>
      <c r="J333">
        <f t="shared" si="119"/>
        <v>-34130000</v>
      </c>
      <c r="K333">
        <f t="shared" si="120"/>
        <v>-125000000</v>
      </c>
      <c r="L333" t="str">
        <f t="shared" si="121"/>
        <v>N/A</v>
      </c>
      <c r="M333" t="str">
        <f t="shared" si="122"/>
        <v>N/A</v>
      </c>
      <c r="N333">
        <f t="shared" si="123"/>
        <v>-34530000</v>
      </c>
      <c r="P333">
        <f t="shared" si="94"/>
        <v>-34130000</v>
      </c>
      <c r="Q333">
        <f>IFERROR(J144+MATCH(P333,J333:N333,0)-1,"")</f>
        <v>2012</v>
      </c>
      <c r="R333">
        <f t="shared" si="95"/>
        <v>-125000000</v>
      </c>
      <c r="S333">
        <f>IFERROR(J144+MATCH(R333,J333:N333,0)-1,"")</f>
        <v>2013</v>
      </c>
      <c r="T333">
        <f t="shared" si="96"/>
        <v>-64553333.333333336</v>
      </c>
      <c r="U333">
        <f t="shared" si="97"/>
        <v>52348730.962014094</v>
      </c>
      <c r="V333">
        <f t="shared" si="98"/>
        <v>0.58116658750351513</v>
      </c>
      <c r="W333">
        <f t="shared" si="99"/>
        <v>-1.1546921110757908</v>
      </c>
      <c r="X333" t="str">
        <f t="shared" si="100"/>
        <v/>
      </c>
      <c r="Y333" t="str">
        <f t="shared" si="101"/>
        <v/>
      </c>
      <c r="Z333">
        <f t="shared" si="102"/>
        <v>0.57352552357227571</v>
      </c>
      <c r="AA333">
        <f t="shared" si="103"/>
        <v>-1.1546921110757908</v>
      </c>
      <c r="AB333">
        <f>IFERROR(V144+MATCH(AA333,V333:Z333,0)-1,"")</f>
        <v>2013</v>
      </c>
      <c r="AC333" t="str">
        <f t="shared" si="104"/>
        <v>Low</v>
      </c>
      <c r="AE333" t="str">
        <f>IF(ISNUMBER(MATCH("N/A",J333:N333,0)),"",IFERROR((5 * SUMPRODUCT(J144:N144,J333:N333) - PRODUCT(SUM(J144:N144),SUM(J333:N333))) / ((5 * SUM((J144^2)+(K144^2)+(L144^2)+(M144^2)+(N144^2))) - SUM(J144:N144)^2),""))</f>
        <v/>
      </c>
      <c r="AF333">
        <f>IFERROR(CORREL(J144:N144,J333:N333),"")</f>
        <v>0.27367742555854946</v>
      </c>
      <c r="AZ333">
        <f t="shared" si="105"/>
        <v>1</v>
      </c>
      <c r="BA333" t="str">
        <f>IF(AZ333=1,IF(Q333="","",IF(Q333=N144,"Yes","No")),"")</f>
        <v>No</v>
      </c>
      <c r="BB333" t="str">
        <f t="shared" si="106"/>
        <v/>
      </c>
      <c r="BC333" t="str">
        <f>IF(AZ333=1,IF(S333="","",IF(S333=N144,"Yes","No")),"")</f>
        <v>No</v>
      </c>
      <c r="BD333" t="str">
        <f t="shared" si="107"/>
        <v/>
      </c>
      <c r="BE333" t="str">
        <f t="shared" si="108"/>
        <v/>
      </c>
      <c r="BF333" t="str">
        <f t="shared" si="109"/>
        <v>No</v>
      </c>
      <c r="BG333" t="str">
        <f t="shared" si="110"/>
        <v>No</v>
      </c>
      <c r="BH333" t="str">
        <f t="shared" si="111"/>
        <v>No</v>
      </c>
    </row>
    <row r="334" spans="1:60" x14ac:dyDescent="0.3">
      <c r="A334" s="1">
        <v>5</v>
      </c>
      <c r="B334" t="s">
        <v>885</v>
      </c>
      <c r="C334" t="s">
        <v>886</v>
      </c>
      <c r="D334" t="s">
        <v>887</v>
      </c>
      <c r="E334" t="s">
        <v>878</v>
      </c>
      <c r="F334" t="s">
        <v>879</v>
      </c>
      <c r="G334" t="s">
        <v>888</v>
      </c>
      <c r="I334" t="str">
        <f t="shared" si="118"/>
        <v>neg_trend</v>
      </c>
      <c r="J334">
        <f t="shared" si="119"/>
        <v>15760000</v>
      </c>
      <c r="K334">
        <f t="shared" si="120"/>
        <v>9920000</v>
      </c>
      <c r="L334">
        <f t="shared" si="121"/>
        <v>4390000</v>
      </c>
      <c r="M334">
        <f t="shared" si="122"/>
        <v>1040000</v>
      </c>
      <c r="N334">
        <f t="shared" si="123"/>
        <v>550000</v>
      </c>
      <c r="P334">
        <f t="shared" si="94"/>
        <v>15760000</v>
      </c>
      <c r="Q334">
        <f>IFERROR(J144+MATCH(P334,J334:N334,0)-1,"")</f>
        <v>2012</v>
      </c>
      <c r="R334">
        <f t="shared" si="95"/>
        <v>550000</v>
      </c>
      <c r="S334">
        <f>IFERROR(J144+MATCH(R334,J334:N334,0)-1,"")</f>
        <v>2016</v>
      </c>
      <c r="T334">
        <f t="shared" si="96"/>
        <v>6332000</v>
      </c>
      <c r="U334">
        <f t="shared" si="97"/>
        <v>6460825.7986111958</v>
      </c>
      <c r="V334">
        <f t="shared" si="98"/>
        <v>1.4592561839427123</v>
      </c>
      <c r="W334">
        <f t="shared" si="99"/>
        <v>0.55534696520857574</v>
      </c>
      <c r="X334">
        <f t="shared" si="100"/>
        <v>-0.30058077102426256</v>
      </c>
      <c r="Y334">
        <f t="shared" si="101"/>
        <v>-0.81909033998990599</v>
      </c>
      <c r="Z334">
        <f t="shared" si="102"/>
        <v>-0.89493203813711952</v>
      </c>
      <c r="AA334">
        <f t="shared" si="103"/>
        <v>1.4592561839427123</v>
      </c>
      <c r="AB334">
        <f>IFERROR(V144+MATCH(AA334,V334:Z334,0)-1,"")</f>
        <v>2012</v>
      </c>
      <c r="AC334" t="str">
        <f t="shared" si="104"/>
        <v>High</v>
      </c>
      <c r="AE334">
        <f>IF(ISNUMBER(MATCH("N/A",J334:N334,0)),"",IFERROR((5 * SUMPRODUCT(J144:N144,J334:N334) - PRODUCT(SUM(J144:N144),SUM(J334:N334))) / ((5 * SUM((J144^2)+(K144^2)+(L144^2)+(M144^2)+(N144^2))) - SUM(J144:N144)^2),""))</f>
        <v>-3930000</v>
      </c>
      <c r="AF334">
        <f>IFERROR(CORREL(J144:N144,J334:N334),"")</f>
        <v>-0.96177730152801588</v>
      </c>
      <c r="AZ334">
        <f t="shared" si="105"/>
        <v>1</v>
      </c>
      <c r="BA334" t="str">
        <f>IF(AZ334=1,IF(Q334="","",IF(Q334=N144,"Yes","No")),"")</f>
        <v>No</v>
      </c>
      <c r="BB334" t="str">
        <f t="shared" si="106"/>
        <v/>
      </c>
      <c r="BC334" t="str">
        <f>IF(AZ334=1,IF(S334="","",IF(S334=N144,"Yes","No")),"")</f>
        <v>Yes</v>
      </c>
      <c r="BD334">
        <f t="shared" si="107"/>
        <v>550000</v>
      </c>
      <c r="BE334" t="str">
        <f t="shared" si="108"/>
        <v>Decreasing</v>
      </c>
      <c r="BF334" t="str">
        <f t="shared" si="109"/>
        <v>Yes</v>
      </c>
      <c r="BG334" t="str">
        <f t="shared" si="110"/>
        <v>No</v>
      </c>
      <c r="BH334" t="str">
        <f t="shared" si="111"/>
        <v>Yes</v>
      </c>
    </row>
    <row r="335" spans="1:60" x14ac:dyDescent="0.3">
      <c r="A335" s="1">
        <v>6</v>
      </c>
      <c r="B335" t="s">
        <v>889</v>
      </c>
      <c r="C335" t="s">
        <v>264</v>
      </c>
      <c r="D335" t="s">
        <v>264</v>
      </c>
      <c r="E335" t="s">
        <v>878</v>
      </c>
      <c r="F335" t="s">
        <v>264</v>
      </c>
      <c r="G335" t="s">
        <v>264</v>
      </c>
      <c r="I335" t="str">
        <f t="shared" si="118"/>
        <v>N/A</v>
      </c>
      <c r="J335" t="str">
        <f t="shared" si="119"/>
        <v>N/A</v>
      </c>
      <c r="K335" t="str">
        <f t="shared" si="120"/>
        <v>N/A</v>
      </c>
      <c r="L335">
        <f t="shared" si="121"/>
        <v>4390000</v>
      </c>
      <c r="M335" t="str">
        <f t="shared" si="122"/>
        <v>N/A</v>
      </c>
      <c r="N335" t="str">
        <f t="shared" si="123"/>
        <v>N/A</v>
      </c>
      <c r="P335">
        <f t="shared" si="94"/>
        <v>4390000</v>
      </c>
      <c r="Q335">
        <f>IFERROR(J144+MATCH(P335,J335:N335,0)-1,"")</f>
        <v>2014</v>
      </c>
      <c r="R335">
        <f t="shared" si="95"/>
        <v>4390000</v>
      </c>
      <c r="S335">
        <f>IFERROR(J144+MATCH(R335,J335:N335,0)-1,"")</f>
        <v>2014</v>
      </c>
      <c r="T335">
        <f t="shared" si="96"/>
        <v>4390000</v>
      </c>
      <c r="U335" t="str">
        <f t="shared" si="97"/>
        <v/>
      </c>
      <c r="V335" t="str">
        <f t="shared" si="98"/>
        <v/>
      </c>
      <c r="W335" t="str">
        <f t="shared" si="99"/>
        <v/>
      </c>
      <c r="X335" t="str">
        <f t="shared" si="100"/>
        <v/>
      </c>
      <c r="Y335" t="str">
        <f t="shared" si="101"/>
        <v/>
      </c>
      <c r="Z335" t="str">
        <f t="shared" si="102"/>
        <v/>
      </c>
      <c r="AA335">
        <f t="shared" si="103"/>
        <v>0</v>
      </c>
      <c r="AB335" t="str">
        <f>IFERROR(V144+MATCH(AA335,V335:Z335,0)-1,"")</f>
        <v/>
      </c>
      <c r="AC335" t="str">
        <f t="shared" si="104"/>
        <v/>
      </c>
      <c r="AE335" t="str">
        <f>IF(ISNUMBER(MATCH("N/A",J335:N335,0)),"",IFERROR((5 * SUMPRODUCT(J144:N144,J335:N335) - PRODUCT(SUM(J144:N144),SUM(J335:N335))) / ((5 * SUM((J144^2)+(K144^2)+(L144^2)+(M144^2)+(N144^2))) - SUM(J144:N144)^2),""))</f>
        <v/>
      </c>
      <c r="AF335" t="str">
        <f>IFERROR(CORREL(J144:N144,J335:N335),"")</f>
        <v/>
      </c>
      <c r="AZ335">
        <f t="shared" si="105"/>
        <v>0</v>
      </c>
      <c r="BA335" t="str">
        <f>IF(AZ335=1,IF(Q335="","",IF(Q335=N144,"Yes","No")),"")</f>
        <v/>
      </c>
      <c r="BB335" t="str">
        <f t="shared" si="106"/>
        <v/>
      </c>
      <c r="BC335" t="str">
        <f>IF(AZ335=1,IF(S335="","",IF(S335=N144,"Yes","No")),"")</f>
        <v/>
      </c>
      <c r="BD335" t="str">
        <f t="shared" si="107"/>
        <v/>
      </c>
      <c r="BE335" t="str">
        <f t="shared" si="108"/>
        <v/>
      </c>
      <c r="BF335" t="str">
        <f t="shared" si="109"/>
        <v>No</v>
      </c>
      <c r="BG335" t="str">
        <f t="shared" si="110"/>
        <v>No</v>
      </c>
      <c r="BH335" t="str">
        <f t="shared" si="111"/>
        <v/>
      </c>
    </row>
    <row r="336" spans="1:60" x14ac:dyDescent="0.3">
      <c r="A336" s="1">
        <v>7</v>
      </c>
      <c r="B336" t="s">
        <v>890</v>
      </c>
      <c r="C336" t="s">
        <v>886</v>
      </c>
      <c r="D336" t="s">
        <v>887</v>
      </c>
      <c r="E336" t="s">
        <v>264</v>
      </c>
      <c r="F336" t="s">
        <v>879</v>
      </c>
      <c r="G336" t="s">
        <v>888</v>
      </c>
      <c r="I336" t="str">
        <f t="shared" si="118"/>
        <v>N/A</v>
      </c>
      <c r="J336">
        <f t="shared" si="119"/>
        <v>15760000</v>
      </c>
      <c r="K336">
        <f t="shared" si="120"/>
        <v>9920000</v>
      </c>
      <c r="L336" t="str">
        <f t="shared" si="121"/>
        <v>N/A</v>
      </c>
      <c r="M336">
        <f t="shared" si="122"/>
        <v>1040000</v>
      </c>
      <c r="N336">
        <f t="shared" si="123"/>
        <v>550000</v>
      </c>
      <c r="P336">
        <f t="shared" si="94"/>
        <v>15760000</v>
      </c>
      <c r="Q336">
        <f>IFERROR(J144+MATCH(P336,J336:N336,0)-1,"")</f>
        <v>2012</v>
      </c>
      <c r="R336">
        <f t="shared" si="95"/>
        <v>550000</v>
      </c>
      <c r="S336">
        <f>IFERROR(J144+MATCH(R336,J336:N336,0)-1,"")</f>
        <v>2016</v>
      </c>
      <c r="T336">
        <f t="shared" si="96"/>
        <v>6817500</v>
      </c>
      <c r="U336">
        <f t="shared" si="97"/>
        <v>7354247.6388365747</v>
      </c>
      <c r="V336">
        <f t="shared" si="98"/>
        <v>1.2159639488852845</v>
      </c>
      <c r="W336">
        <f t="shared" si="99"/>
        <v>0.42186504349081294</v>
      </c>
      <c r="X336" t="str">
        <f t="shared" si="100"/>
        <v/>
      </c>
      <c r="Y336">
        <f t="shared" si="101"/>
        <v>-0.78560041539667103</v>
      </c>
      <c r="Z336">
        <f t="shared" si="102"/>
        <v>-0.85222857697942633</v>
      </c>
      <c r="AA336">
        <f t="shared" si="103"/>
        <v>1.2159639488852845</v>
      </c>
      <c r="AB336">
        <f>IFERROR(V144+MATCH(AA336,V336:Z336,0)-1,"")</f>
        <v>2012</v>
      </c>
      <c r="AC336" t="str">
        <f t="shared" si="104"/>
        <v>High</v>
      </c>
      <c r="AE336" t="str">
        <f>IF(ISNUMBER(MATCH("N/A",J336:N336,0)),"",IFERROR((5 * SUMPRODUCT(J144:N144,J336:N336) - PRODUCT(SUM(J144:N144),SUM(J336:N336))) / ((5 * SUM((J144^2)+(K144^2)+(L144^2)+(M144^2)+(N144^2))) - SUM(J144:N144)^2),""))</f>
        <v/>
      </c>
      <c r="AF336">
        <f>IFERROR(CORREL(J144:N144,J336:N336),"")</f>
        <v>-0.97564915620012638</v>
      </c>
      <c r="AZ336">
        <f t="shared" si="105"/>
        <v>1</v>
      </c>
      <c r="BA336" t="str">
        <f>IF(AZ336=1,IF(Q336="","",IF(Q336=N144,"Yes","No")),"")</f>
        <v>No</v>
      </c>
      <c r="BB336" t="str">
        <f t="shared" si="106"/>
        <v/>
      </c>
      <c r="BC336" t="str">
        <f>IF(AZ336=1,IF(S336="","",IF(S336=N144,"Yes","No")),"")</f>
        <v>Yes</v>
      </c>
      <c r="BD336">
        <f t="shared" si="107"/>
        <v>550000</v>
      </c>
      <c r="BE336" t="str">
        <f t="shared" si="108"/>
        <v/>
      </c>
      <c r="BF336" t="str">
        <f t="shared" si="109"/>
        <v>No</v>
      </c>
      <c r="BG336" t="str">
        <f t="shared" si="110"/>
        <v>No</v>
      </c>
      <c r="BH336" t="str">
        <f t="shared" si="111"/>
        <v>Yes</v>
      </c>
    </row>
    <row r="337" spans="1:60" x14ac:dyDescent="0.3">
      <c r="A337" s="1">
        <v>8</v>
      </c>
      <c r="B337" t="s">
        <v>891</v>
      </c>
      <c r="C337" t="s">
        <v>892</v>
      </c>
      <c r="D337" t="s">
        <v>893</v>
      </c>
      <c r="E337" t="s">
        <v>894</v>
      </c>
      <c r="F337" t="s">
        <v>895</v>
      </c>
      <c r="G337" t="s">
        <v>896</v>
      </c>
      <c r="I337" t="str">
        <f t="shared" si="118"/>
        <v>N/A</v>
      </c>
      <c r="J337">
        <f t="shared" si="119"/>
        <v>-12260000</v>
      </c>
      <c r="K337">
        <f t="shared" si="120"/>
        <v>-2360000</v>
      </c>
      <c r="L337">
        <f t="shared" si="121"/>
        <v>463350000</v>
      </c>
      <c r="M337">
        <f t="shared" si="122"/>
        <v>-40660000</v>
      </c>
      <c r="N337">
        <f t="shared" si="123"/>
        <v>-109680000</v>
      </c>
      <c r="P337">
        <f t="shared" ref="P337:P353" si="124">MAX(J337:N337)</f>
        <v>463350000</v>
      </c>
      <c r="Q337">
        <f>IFERROR(J144+MATCH(P337,J337:N337,0)-1,"")</f>
        <v>2014</v>
      </c>
      <c r="R337">
        <f t="shared" ref="R337:R400" si="125">IF(Q337="","",MIN(J337:N337))</f>
        <v>-109680000</v>
      </c>
      <c r="S337">
        <f>IFERROR(J144+MATCH(R337,J337:N337,0)-1,"")</f>
        <v>2016</v>
      </c>
      <c r="T337">
        <f t="shared" ref="T337:T353" si="126">IFERROR(AVERAGE(J337:N337),"")</f>
        <v>59678000</v>
      </c>
      <c r="U337">
        <f t="shared" ref="U337:U353" si="127">IFERROR(STDEV(J337:N337),"")</f>
        <v>229523811.00879273</v>
      </c>
      <c r="V337">
        <f t="shared" ref="V337:V400" si="128">IFERROR(IF(C337="-","",IF(ISBLANK(B337),"",IF(OR(ISNUMBER(FIND("Growth",B337)),ISNUMBER(FIND("Margin",B337))),"",(J337-T337)/U337))),"")</f>
        <v>-0.31342281954896678</v>
      </c>
      <c r="W337">
        <f t="shared" ref="W337:W353" si="129">IFERROR(IF(OR(D337="-",ISBLANK(D337)),"",(K337-T337)/U337),"")</f>
        <v>-0.27029003974504157</v>
      </c>
      <c r="X337">
        <f t="shared" ref="X337:X353" si="130">IFERROR(IF(OR(E337="-",ISBLANK(E337)),"",(L337-T337)/U337),"")</f>
        <v>1.7587369180818277</v>
      </c>
      <c r="Y337">
        <f t="shared" ref="Y337:Y353" si="131">IFERROR(IF(OR(F337="-",ISBLANK(F337)),"",(M337-T337)/U337),"")</f>
        <v>-0.43715725858244919</v>
      </c>
      <c r="Z337">
        <f t="shared" ref="Z337:Z353" si="132">IFERROR(IF(OR(G337="-",ISBLANK(G337)),"",(N337-T337)/U337),"")</f>
        <v>-0.7378668002053701</v>
      </c>
      <c r="AA337">
        <f t="shared" ref="AA337:AA400" si="133">IF(MAX(MAX(V337:Z337),ABS(MIN(V337:Z337)))=ABS(MIN(V337:Z337)),MIN(V337:Z337),MAX(V337:Z337))</f>
        <v>1.7587369180818277</v>
      </c>
      <c r="AB337">
        <f>IFERROR(V144+MATCH(AA337,V337:Z337,0)-1,"")</f>
        <v>2014</v>
      </c>
      <c r="AC337" t="str">
        <f t="shared" ref="AC337:AC400" si="134">IF(AB337&lt;&gt;"",IF(S337=AB337,"Low",IF(AB337=Q337,"High","")),"")</f>
        <v>High</v>
      </c>
      <c r="AE337">
        <f>IF(ISNUMBER(MATCH("N/A",J337:N337,0)),"",IFERROR((5 * SUMPRODUCT(J144:N144,J337:N337) - PRODUCT(SUM(J144:N144),SUM(J337:N337))) / ((5 * SUM((J144^2)+(K144^2)+(L144^2)+(M144^2)+(N144^2))) - SUM(J144:N144)^2),""))</f>
        <v>-23314000</v>
      </c>
      <c r="AF337">
        <f>IFERROR(CORREL(J144:N144,J337:N337),"")</f>
        <v>-0.16060499571946651</v>
      </c>
      <c r="AZ337">
        <f t="shared" ref="AZ337:AZ352" si="135">IF(Q337=S337,0,1)</f>
        <v>1</v>
      </c>
      <c r="BA337" t="str">
        <f>IF(AZ337=1,IF(Q337="","",IF(Q337=N144,"Yes","No")),"")</f>
        <v>No</v>
      </c>
      <c r="BB337" t="str">
        <f t="shared" ref="BB337:BB400" si="136">IF(BA337="Yes",P337,"")</f>
        <v/>
      </c>
      <c r="BC337" t="str">
        <f>IF(AZ337=1,IF(S337="","",IF(S337=N144,"Yes","No")),"")</f>
        <v>Yes</v>
      </c>
      <c r="BD337">
        <f t="shared" ref="BD337:BD400" si="137">IF(BC337="Yes",R337,"")</f>
        <v>-109680000</v>
      </c>
      <c r="BE337" t="str">
        <f t="shared" ref="BE337:BE352" si="138">IFERROR(IF(SIGN(AE337)=1,"Increasing",IF(SIGN(AE337)=-1,"Decreasing","")),"")</f>
        <v>Decreasing</v>
      </c>
      <c r="BF337" t="str">
        <f t="shared" ref="BF337:BF400" si="139">IF(OR(AND(BE337="Increasing",BA337="Yes"),AND(BE337="Decreasing",BC337="Yes")),"Yes","No")</f>
        <v>Yes</v>
      </c>
      <c r="BG337" t="str">
        <f t="shared" ref="BG337:BG352" si="140">IF(I337="pos_trend","Yes","No")</f>
        <v>No</v>
      </c>
      <c r="BH337" t="str">
        <f t="shared" ref="BH337:BH352" si="141">IF(AF337&lt;&gt;"",IF(ABS(AF337)&gt;0.8,"Yes","No"),"")</f>
        <v>No</v>
      </c>
    </row>
    <row r="338" spans="1:60" x14ac:dyDescent="0.3">
      <c r="A338" s="1">
        <v>9</v>
      </c>
      <c r="B338" t="s">
        <v>897</v>
      </c>
      <c r="C338" t="s">
        <v>264</v>
      </c>
      <c r="D338" t="s">
        <v>264</v>
      </c>
      <c r="E338" t="s">
        <v>264</v>
      </c>
      <c r="F338" t="s">
        <v>264</v>
      </c>
      <c r="G338" t="s">
        <v>264</v>
      </c>
      <c r="I338" t="str">
        <f t="shared" si="118"/>
        <v>N/A</v>
      </c>
      <c r="J338" t="str">
        <f t="shared" si="119"/>
        <v>N/A</v>
      </c>
      <c r="K338" t="str">
        <f t="shared" si="120"/>
        <v>N/A</v>
      </c>
      <c r="L338" t="str">
        <f t="shared" si="121"/>
        <v>N/A</v>
      </c>
      <c r="M338" t="str">
        <f t="shared" si="122"/>
        <v>N/A</v>
      </c>
      <c r="N338" t="str">
        <f t="shared" si="123"/>
        <v>N/A</v>
      </c>
      <c r="P338">
        <f t="shared" si="124"/>
        <v>0</v>
      </c>
      <c r="Q338" t="str">
        <f>IFERROR(J144+MATCH(P338,J338:N338,0)-1,"")</f>
        <v/>
      </c>
      <c r="R338" t="str">
        <f t="shared" si="125"/>
        <v/>
      </c>
      <c r="S338" t="str">
        <f>IFERROR(J144+MATCH(R338,J338:N338,0)-1,"")</f>
        <v/>
      </c>
      <c r="T338" t="str">
        <f t="shared" si="126"/>
        <v/>
      </c>
      <c r="U338" t="str">
        <f t="shared" si="127"/>
        <v/>
      </c>
      <c r="V338" t="str">
        <f t="shared" si="128"/>
        <v/>
      </c>
      <c r="W338" t="str">
        <f t="shared" si="129"/>
        <v/>
      </c>
      <c r="X338" t="str">
        <f t="shared" si="130"/>
        <v/>
      </c>
      <c r="Y338" t="str">
        <f t="shared" si="131"/>
        <v/>
      </c>
      <c r="Z338" t="str">
        <f t="shared" si="132"/>
        <v/>
      </c>
      <c r="AA338">
        <f t="shared" si="133"/>
        <v>0</v>
      </c>
      <c r="AB338" t="str">
        <f>IFERROR(V144+MATCH(AA338,V338:Z338,0)-1,"")</f>
        <v/>
      </c>
      <c r="AC338" t="str">
        <f t="shared" si="134"/>
        <v/>
      </c>
      <c r="AE338" t="str">
        <f>IF(ISNUMBER(MATCH("N/A",J338:N338,0)),"",IFERROR((5 * SUMPRODUCT(J144:N144,J338:N338) - PRODUCT(SUM(J144:N144),SUM(J338:N338))) / ((5 * SUM((J144^2)+(K144^2)+(L144^2)+(M144^2)+(N144^2))) - SUM(J144:N144)^2),""))</f>
        <v/>
      </c>
      <c r="AF338" t="str">
        <f>IFERROR(CORREL(J144:N144,J338:N338),"")</f>
        <v/>
      </c>
      <c r="AZ338">
        <f t="shared" si="135"/>
        <v>0</v>
      </c>
      <c r="BA338" t="str">
        <f>IF(AZ338=1,IF(Q338="","",IF(Q338=N144,"Yes","No")),"")</f>
        <v/>
      </c>
      <c r="BB338" t="str">
        <f t="shared" si="136"/>
        <v/>
      </c>
      <c r="BC338" t="str">
        <f>IF(AZ338=1,IF(S338="","",IF(S338=N144,"Yes","No")),"")</f>
        <v/>
      </c>
      <c r="BD338" t="str">
        <f t="shared" si="137"/>
        <v/>
      </c>
      <c r="BE338" t="str">
        <f t="shared" si="138"/>
        <v/>
      </c>
      <c r="BF338" t="str">
        <f t="shared" si="139"/>
        <v>No</v>
      </c>
      <c r="BG338" t="str">
        <f t="shared" si="140"/>
        <v>No</v>
      </c>
      <c r="BH338" t="str">
        <f t="shared" si="141"/>
        <v/>
      </c>
    </row>
    <row r="339" spans="1:60" x14ac:dyDescent="0.3">
      <c r="A339" s="1">
        <v>10</v>
      </c>
      <c r="B339" t="s">
        <v>898</v>
      </c>
      <c r="C339" t="s">
        <v>892</v>
      </c>
      <c r="D339" t="s">
        <v>893</v>
      </c>
      <c r="E339" t="s">
        <v>894</v>
      </c>
      <c r="F339" t="s">
        <v>895</v>
      </c>
      <c r="G339" t="s">
        <v>896</v>
      </c>
      <c r="I339" t="str">
        <f t="shared" si="118"/>
        <v>N/A</v>
      </c>
      <c r="J339">
        <f t="shared" si="119"/>
        <v>-12260000</v>
      </c>
      <c r="K339">
        <f t="shared" si="120"/>
        <v>-2360000</v>
      </c>
      <c r="L339">
        <f t="shared" si="121"/>
        <v>463350000</v>
      </c>
      <c r="M339">
        <f t="shared" si="122"/>
        <v>-40660000</v>
      </c>
      <c r="N339">
        <f t="shared" si="123"/>
        <v>-109680000</v>
      </c>
      <c r="P339">
        <f t="shared" si="124"/>
        <v>463350000</v>
      </c>
      <c r="Q339">
        <f>IFERROR(J144+MATCH(P339,J339:N339,0)-1,"")</f>
        <v>2014</v>
      </c>
      <c r="R339">
        <f t="shared" si="125"/>
        <v>-109680000</v>
      </c>
      <c r="S339">
        <f>IFERROR(J144+MATCH(R339,J339:N339,0)-1,"")</f>
        <v>2016</v>
      </c>
      <c r="T339">
        <f t="shared" si="126"/>
        <v>59678000</v>
      </c>
      <c r="U339">
        <f t="shared" si="127"/>
        <v>229523811.00879273</v>
      </c>
      <c r="V339">
        <f t="shared" si="128"/>
        <v>-0.31342281954896678</v>
      </c>
      <c r="W339">
        <f t="shared" si="129"/>
        <v>-0.27029003974504157</v>
      </c>
      <c r="X339">
        <f t="shared" si="130"/>
        <v>1.7587369180818277</v>
      </c>
      <c r="Y339">
        <f t="shared" si="131"/>
        <v>-0.43715725858244919</v>
      </c>
      <c r="Z339">
        <f t="shared" si="132"/>
        <v>-0.7378668002053701</v>
      </c>
      <c r="AA339">
        <f t="shared" si="133"/>
        <v>1.7587369180818277</v>
      </c>
      <c r="AB339">
        <f>IFERROR(V144+MATCH(AA339,V339:Z339,0)-1,"")</f>
        <v>2014</v>
      </c>
      <c r="AC339" t="str">
        <f t="shared" si="134"/>
        <v>High</v>
      </c>
      <c r="AE339">
        <f>IF(ISNUMBER(MATCH("N/A",J339:N339,0)),"",IFERROR((5 * SUMPRODUCT(J144:N144,J339:N339) - PRODUCT(SUM(J144:N144),SUM(J339:N339))) / ((5 * SUM((J144^2)+(K144^2)+(L144^2)+(M144^2)+(N144^2))) - SUM(J144:N144)^2),""))</f>
        <v>-23314000</v>
      </c>
      <c r="AF339">
        <f>IFERROR(CORREL(J144:N144,J339:N339),"")</f>
        <v>-0.16060499571946651</v>
      </c>
      <c r="AZ339">
        <f t="shared" si="135"/>
        <v>1</v>
      </c>
      <c r="BA339" t="str">
        <f>IF(AZ339=1,IF(Q339="","",IF(Q339=N144,"Yes","No")),"")</f>
        <v>No</v>
      </c>
      <c r="BB339" t="str">
        <f t="shared" si="136"/>
        <v/>
      </c>
      <c r="BC339" t="str">
        <f>IF(AZ339=1,IF(S339="","",IF(S339=N144,"Yes","No")),"")</f>
        <v>Yes</v>
      </c>
      <c r="BD339">
        <f t="shared" si="137"/>
        <v>-109680000</v>
      </c>
      <c r="BE339" t="str">
        <f t="shared" si="138"/>
        <v>Decreasing</v>
      </c>
      <c r="BF339" t="str">
        <f t="shared" si="139"/>
        <v>Yes</v>
      </c>
      <c r="BG339" t="str">
        <f t="shared" si="140"/>
        <v>No</v>
      </c>
      <c r="BH339" t="str">
        <f t="shared" si="141"/>
        <v>No</v>
      </c>
    </row>
    <row r="340" spans="1:60" x14ac:dyDescent="0.3">
      <c r="A340" s="1">
        <v>11</v>
      </c>
      <c r="B340" t="s">
        <v>899</v>
      </c>
      <c r="C340" t="s">
        <v>900</v>
      </c>
      <c r="D340" t="s">
        <v>901</v>
      </c>
      <c r="E340" t="s">
        <v>902</v>
      </c>
      <c r="F340" t="s">
        <v>903</v>
      </c>
      <c r="G340" t="s">
        <v>904</v>
      </c>
      <c r="I340" t="str">
        <f t="shared" si="118"/>
        <v>N/A</v>
      </c>
      <c r="J340">
        <f t="shared" si="119"/>
        <v>16260000.000000002</v>
      </c>
      <c r="K340">
        <f t="shared" si="120"/>
        <v>2600000</v>
      </c>
      <c r="L340">
        <f t="shared" si="121"/>
        <v>904960000</v>
      </c>
      <c r="M340">
        <f t="shared" si="122"/>
        <v>290090000</v>
      </c>
      <c r="N340">
        <f t="shared" si="123"/>
        <v>98930000</v>
      </c>
      <c r="P340">
        <f t="shared" si="124"/>
        <v>904960000</v>
      </c>
      <c r="Q340">
        <f>IFERROR(J144+MATCH(P340,J340:N340,0)-1,"")</f>
        <v>2014</v>
      </c>
      <c r="R340">
        <f t="shared" si="125"/>
        <v>2600000</v>
      </c>
      <c r="S340">
        <f>IFERROR(J144+MATCH(R340,J340:N340,0)-1,"")</f>
        <v>2013</v>
      </c>
      <c r="T340">
        <f t="shared" si="126"/>
        <v>262568000</v>
      </c>
      <c r="U340">
        <f t="shared" si="127"/>
        <v>376979219.94454813</v>
      </c>
      <c r="V340">
        <f t="shared" si="128"/>
        <v>-0.65337288362003276</v>
      </c>
      <c r="W340">
        <f t="shared" si="129"/>
        <v>-0.68960830264925499</v>
      </c>
      <c r="X340">
        <f t="shared" si="130"/>
        <v>1.7040514861654519</v>
      </c>
      <c r="Y340">
        <f t="shared" si="131"/>
        <v>7.3006676612170709E-2</v>
      </c>
      <c r="Z340">
        <f t="shared" si="132"/>
        <v>-0.43407697650833482</v>
      </c>
      <c r="AA340">
        <f t="shared" si="133"/>
        <v>1.7040514861654519</v>
      </c>
      <c r="AB340">
        <f>IFERROR(V144+MATCH(AA340,V340:Z340,0)-1,"")</f>
        <v>2014</v>
      </c>
      <c r="AC340" t="str">
        <f t="shared" si="134"/>
        <v>High</v>
      </c>
      <c r="AE340">
        <f>IF(ISNUMBER(MATCH("N/A",J340:N340,0)),"",IFERROR((5 * SUMPRODUCT(J144:N144,J340:N340) - PRODUCT(SUM(J144:N144),SUM(J340:N340))) / ((5 * SUM((J144^2)+(K144^2)+(L144^2)+(M144^2)+(N144^2))) - SUM(J144:N144)^2),""))</f>
        <v>45283000</v>
      </c>
      <c r="AF340">
        <f>IFERROR(CORREL(J144:N144,J340:N340),"")</f>
        <v>0.18992747041397717</v>
      </c>
      <c r="AZ340">
        <f t="shared" si="135"/>
        <v>1</v>
      </c>
      <c r="BA340" t="str">
        <f>IF(AZ340=1,IF(Q340="","",IF(Q340=N144,"Yes","No")),"")</f>
        <v>No</v>
      </c>
      <c r="BB340" t="str">
        <f t="shared" si="136"/>
        <v/>
      </c>
      <c r="BC340" t="str">
        <f>IF(AZ340=1,IF(S340="","",IF(S340=N144,"Yes","No")),"")</f>
        <v>No</v>
      </c>
      <c r="BD340" t="str">
        <f t="shared" si="137"/>
        <v/>
      </c>
      <c r="BE340" t="str">
        <f t="shared" si="138"/>
        <v>Increasing</v>
      </c>
      <c r="BF340" t="str">
        <f t="shared" si="139"/>
        <v>No</v>
      </c>
      <c r="BG340" t="str">
        <f t="shared" si="140"/>
        <v>No</v>
      </c>
      <c r="BH340" t="str">
        <f t="shared" si="141"/>
        <v>No</v>
      </c>
    </row>
    <row r="341" spans="1:60" x14ac:dyDescent="0.3">
      <c r="A341" s="1">
        <v>12</v>
      </c>
      <c r="B341" t="s">
        <v>905</v>
      </c>
      <c r="C341" t="s">
        <v>906</v>
      </c>
      <c r="D341" t="s">
        <v>907</v>
      </c>
      <c r="E341" t="s">
        <v>908</v>
      </c>
      <c r="F341" t="s">
        <v>909</v>
      </c>
      <c r="G341" t="s">
        <v>910</v>
      </c>
      <c r="I341" t="str">
        <f t="shared" si="118"/>
        <v>N/A</v>
      </c>
      <c r="J341">
        <f t="shared" si="119"/>
        <v>-28520000</v>
      </c>
      <c r="K341">
        <f t="shared" si="120"/>
        <v>-4950000</v>
      </c>
      <c r="L341">
        <f t="shared" si="121"/>
        <v>-441600000</v>
      </c>
      <c r="M341">
        <f t="shared" si="122"/>
        <v>-330750000</v>
      </c>
      <c r="N341">
        <f t="shared" si="123"/>
        <v>-208610000</v>
      </c>
      <c r="P341">
        <f t="shared" si="124"/>
        <v>-4950000</v>
      </c>
      <c r="Q341">
        <f>IFERROR(J144+MATCH(P341,J341:N341,0)-1,"")</f>
        <v>2013</v>
      </c>
      <c r="R341">
        <f t="shared" si="125"/>
        <v>-441600000</v>
      </c>
      <c r="S341">
        <f>IFERROR(J144+MATCH(R341,J341:N341,0)-1,"")</f>
        <v>2014</v>
      </c>
      <c r="T341">
        <f t="shared" si="126"/>
        <v>-202886000</v>
      </c>
      <c r="U341">
        <f t="shared" si="127"/>
        <v>189042655.58333653</v>
      </c>
      <c r="V341">
        <f t="shared" si="128"/>
        <v>0.92236325956145615</v>
      </c>
      <c r="W341">
        <f t="shared" si="129"/>
        <v>1.0470441149338541</v>
      </c>
      <c r="X341">
        <f t="shared" si="130"/>
        <v>-1.2627520453698167</v>
      </c>
      <c r="Y341">
        <f t="shared" si="131"/>
        <v>-0.67637644850811529</v>
      </c>
      <c r="Z341">
        <f t="shared" si="132"/>
        <v>-3.0278880617378247E-2</v>
      </c>
      <c r="AA341">
        <f t="shared" si="133"/>
        <v>-1.2627520453698167</v>
      </c>
      <c r="AB341">
        <f>IFERROR(V144+MATCH(AA341,V341:Z341,0)-1,"")</f>
        <v>2014</v>
      </c>
      <c r="AC341" t="str">
        <f t="shared" si="134"/>
        <v>Low</v>
      </c>
      <c r="AE341">
        <f>IF(ISNUMBER(MATCH("N/A",J341:N341,0)),"",IFERROR((5 * SUMPRODUCT(J144:N144,J341:N341) - PRODUCT(SUM(J144:N144),SUM(J341:N341))) / ((5 * SUM((J144^2)+(K144^2)+(L144^2)+(M144^2)+(N144^2))) - SUM(J144:N144)^2),""))</f>
        <v>-68598000</v>
      </c>
      <c r="AF341">
        <f>IFERROR(CORREL(J144:N144,J341:N341),"")</f>
        <v>-0.57374861314461911</v>
      </c>
      <c r="AZ341">
        <f t="shared" si="135"/>
        <v>1</v>
      </c>
      <c r="BA341" t="str">
        <f>IF(AZ341=1,IF(Q341="","",IF(Q341=N144,"Yes","No")),"")</f>
        <v>No</v>
      </c>
      <c r="BB341" t="str">
        <f t="shared" si="136"/>
        <v/>
      </c>
      <c r="BC341" t="str">
        <f>IF(AZ341=1,IF(S341="","",IF(S341=N144,"Yes","No")),"")</f>
        <v>No</v>
      </c>
      <c r="BD341" t="str">
        <f t="shared" si="137"/>
        <v/>
      </c>
      <c r="BE341" t="str">
        <f t="shared" si="138"/>
        <v>Decreasing</v>
      </c>
      <c r="BF341" t="str">
        <f t="shared" si="139"/>
        <v>No</v>
      </c>
      <c r="BG341" t="str">
        <f t="shared" si="140"/>
        <v>No</v>
      </c>
      <c r="BH341" t="str">
        <f t="shared" si="141"/>
        <v>No</v>
      </c>
    </row>
    <row r="342" spans="1:60" x14ac:dyDescent="0.3">
      <c r="A342" s="1">
        <v>13</v>
      </c>
      <c r="B342" t="s">
        <v>757</v>
      </c>
      <c r="C342" t="s">
        <v>911</v>
      </c>
      <c r="D342" t="s">
        <v>912</v>
      </c>
      <c r="E342" t="s">
        <v>913</v>
      </c>
      <c r="F342" t="s">
        <v>914</v>
      </c>
      <c r="G342" t="s">
        <v>915</v>
      </c>
      <c r="I342" t="str">
        <f t="shared" si="118"/>
        <v>N/A</v>
      </c>
      <c r="J342">
        <f t="shared" si="119"/>
        <v>5970000</v>
      </c>
      <c r="K342">
        <f t="shared" si="120"/>
        <v>1380000</v>
      </c>
      <c r="L342">
        <f t="shared" si="121"/>
        <v>-2970000</v>
      </c>
      <c r="M342">
        <f t="shared" si="122"/>
        <v>-77000</v>
      </c>
      <c r="N342">
        <f t="shared" si="123"/>
        <v>-797000</v>
      </c>
      <c r="P342">
        <f t="shared" si="124"/>
        <v>5970000</v>
      </c>
      <c r="Q342">
        <f>IFERROR(J144+MATCH(P342,J342:N342,0)-1,"")</f>
        <v>2012</v>
      </c>
      <c r="R342">
        <f t="shared" si="125"/>
        <v>-2970000</v>
      </c>
      <c r="S342">
        <f>IFERROR(J144+MATCH(R342,J342:N342,0)-1,"")</f>
        <v>2014</v>
      </c>
      <c r="T342">
        <f t="shared" si="126"/>
        <v>701200</v>
      </c>
      <c r="U342">
        <f t="shared" si="127"/>
        <v>3337249.2714809305</v>
      </c>
      <c r="V342">
        <f t="shared" si="128"/>
        <v>1.5787852723575331</v>
      </c>
      <c r="W342">
        <f t="shared" si="129"/>
        <v>0.20340104822280092</v>
      </c>
      <c r="X342">
        <f t="shared" si="130"/>
        <v>-1.1000676609244944</v>
      </c>
      <c r="Y342">
        <f t="shared" si="131"/>
        <v>-0.2331860573467644</v>
      </c>
      <c r="Z342">
        <f t="shared" si="132"/>
        <v>-0.44893260230907533</v>
      </c>
      <c r="AA342">
        <f t="shared" si="133"/>
        <v>1.5787852723575331</v>
      </c>
      <c r="AB342">
        <f>IFERROR(V144+MATCH(AA342,V342:Z342,0)-1,"")</f>
        <v>2012</v>
      </c>
      <c r="AC342" t="str">
        <f t="shared" si="134"/>
        <v>High</v>
      </c>
      <c r="AE342">
        <f>IF(ISNUMBER(MATCH("N/A",J342:N342,0)),"",IFERROR((5 * SUMPRODUCT(J144:N144,J342:N342) - PRODUCT(SUM(J144:N144),SUM(J342:N342))) / ((5 * SUM((J144^2)+(K144^2)+(L144^2)+(M144^2)+(N144^2))) - SUM(J144:N144)^2),""))</f>
        <v>-1499100</v>
      </c>
      <c r="AF342">
        <f>IFERROR(CORREL(J144:N144,J342:N342),"")</f>
        <v>-0.71025117615124267</v>
      </c>
      <c r="AZ342">
        <f t="shared" si="135"/>
        <v>1</v>
      </c>
      <c r="BA342" t="str">
        <f>IF(AZ342=1,IF(Q342="","",IF(Q342=N144,"Yes","No")),"")</f>
        <v>No</v>
      </c>
      <c r="BB342" t="str">
        <f t="shared" si="136"/>
        <v/>
      </c>
      <c r="BC342" t="str">
        <f>IF(AZ342=1,IF(S342="","",IF(S342=N144,"Yes","No")),"")</f>
        <v>No</v>
      </c>
      <c r="BD342" t="str">
        <f t="shared" si="137"/>
        <v/>
      </c>
      <c r="BE342" t="str">
        <f t="shared" si="138"/>
        <v>Decreasing</v>
      </c>
      <c r="BF342" t="str">
        <f t="shared" si="139"/>
        <v>No</v>
      </c>
      <c r="BG342" t="str">
        <f t="shared" si="140"/>
        <v>No</v>
      </c>
      <c r="BH342" t="str">
        <f t="shared" si="141"/>
        <v>No</v>
      </c>
    </row>
    <row r="343" spans="1:60" x14ac:dyDescent="0.3">
      <c r="A343" s="1">
        <v>14</v>
      </c>
      <c r="B343" t="s">
        <v>846</v>
      </c>
      <c r="C343" t="s">
        <v>264</v>
      </c>
      <c r="D343" t="s">
        <v>264</v>
      </c>
      <c r="E343" t="s">
        <v>916</v>
      </c>
      <c r="F343" t="s">
        <v>917</v>
      </c>
      <c r="G343" t="s">
        <v>915</v>
      </c>
      <c r="I343" t="str">
        <f t="shared" si="118"/>
        <v>N/A</v>
      </c>
      <c r="J343" t="str">
        <f t="shared" si="119"/>
        <v>N/A</v>
      </c>
      <c r="K343" t="str">
        <f t="shared" si="120"/>
        <v>N/A</v>
      </c>
      <c r="L343">
        <f t="shared" si="121"/>
        <v>-4370000</v>
      </c>
      <c r="M343">
        <f t="shared" si="122"/>
        <v>-425000</v>
      </c>
      <c r="N343">
        <f t="shared" si="123"/>
        <v>-797000</v>
      </c>
      <c r="P343">
        <f t="shared" si="124"/>
        <v>-425000</v>
      </c>
      <c r="Q343">
        <f>IFERROR(J144+MATCH(P343,J343:N343,0)-1,"")</f>
        <v>2015</v>
      </c>
      <c r="R343">
        <f t="shared" si="125"/>
        <v>-4370000</v>
      </c>
      <c r="S343">
        <f>IFERROR(J144+MATCH(R343,J343:N343,0)-1,"")</f>
        <v>2014</v>
      </c>
      <c r="T343">
        <f t="shared" si="126"/>
        <v>-1864000</v>
      </c>
      <c r="U343">
        <f t="shared" si="127"/>
        <v>2178215.5540717267</v>
      </c>
      <c r="V343" t="str">
        <f t="shared" si="128"/>
        <v/>
      </c>
      <c r="W343" t="str">
        <f t="shared" si="129"/>
        <v/>
      </c>
      <c r="X343">
        <f t="shared" si="130"/>
        <v>-1.1504830159327195</v>
      </c>
      <c r="Y343">
        <f t="shared" si="131"/>
        <v>0.66063250595657763</v>
      </c>
      <c r="Z343">
        <f t="shared" si="132"/>
        <v>0.48985050997614199</v>
      </c>
      <c r="AA343">
        <f t="shared" si="133"/>
        <v>-1.1504830159327195</v>
      </c>
      <c r="AB343">
        <f>IFERROR(V144+MATCH(AA343,V343:Z343,0)-1,"")</f>
        <v>2014</v>
      </c>
      <c r="AC343" t="str">
        <f t="shared" si="134"/>
        <v>Low</v>
      </c>
      <c r="AE343" t="str">
        <f>IF(ISNUMBER(MATCH("N/A",J343:N343,0)),"",IFERROR((5 * SUMPRODUCT(J144:N144,J343:N343) - PRODUCT(SUM(J144:N144),SUM(J343:N343))) / ((5 * SUM((J144^2)+(K144^2)+(L144^2)+(M144^2)+(N144^2))) - SUM(J144:N144)^2),""))</f>
        <v/>
      </c>
      <c r="AF343">
        <f>IFERROR(CORREL(J144:N144,J343:N343),"")</f>
        <v>0.82016676295443081</v>
      </c>
      <c r="AZ343">
        <f t="shared" si="135"/>
        <v>1</v>
      </c>
      <c r="BA343" t="str">
        <f>IF(AZ343=1,IF(Q343="","",IF(Q343=N144,"Yes","No")),"")</f>
        <v>No</v>
      </c>
      <c r="BB343" t="str">
        <f t="shared" si="136"/>
        <v/>
      </c>
      <c r="BC343" t="str">
        <f>IF(AZ343=1,IF(S343="","",IF(S343=N144,"Yes","No")),"")</f>
        <v>No</v>
      </c>
      <c r="BD343" t="str">
        <f t="shared" si="137"/>
        <v/>
      </c>
      <c r="BE343" t="str">
        <f t="shared" si="138"/>
        <v/>
      </c>
      <c r="BF343" t="str">
        <f t="shared" si="139"/>
        <v>No</v>
      </c>
      <c r="BG343" t="str">
        <f t="shared" si="140"/>
        <v>No</v>
      </c>
      <c r="BH343" t="str">
        <f t="shared" si="141"/>
        <v>Yes</v>
      </c>
    </row>
    <row r="344" spans="1:60" x14ac:dyDescent="0.3">
      <c r="A344" s="1">
        <v>15</v>
      </c>
      <c r="B344" t="s">
        <v>849</v>
      </c>
      <c r="C344" t="s">
        <v>911</v>
      </c>
      <c r="D344" t="s">
        <v>912</v>
      </c>
      <c r="E344" t="s">
        <v>918</v>
      </c>
      <c r="F344" t="s">
        <v>919</v>
      </c>
      <c r="G344" t="s">
        <v>264</v>
      </c>
      <c r="I344" t="str">
        <f t="shared" si="118"/>
        <v>N/A</v>
      </c>
      <c r="J344">
        <f t="shared" si="119"/>
        <v>5970000</v>
      </c>
      <c r="K344">
        <f t="shared" si="120"/>
        <v>1380000</v>
      </c>
      <c r="L344">
        <f t="shared" si="121"/>
        <v>1390000</v>
      </c>
      <c r="M344">
        <f t="shared" si="122"/>
        <v>348000</v>
      </c>
      <c r="N344" t="str">
        <f t="shared" si="123"/>
        <v>N/A</v>
      </c>
      <c r="P344">
        <f t="shared" si="124"/>
        <v>5970000</v>
      </c>
      <c r="Q344">
        <f>IFERROR(J144+MATCH(P344,J344:N344,0)-1,"")</f>
        <v>2012</v>
      </c>
      <c r="R344">
        <f t="shared" si="125"/>
        <v>348000</v>
      </c>
      <c r="S344">
        <f>IFERROR(J144+MATCH(R344,J344:N344,0)-1,"")</f>
        <v>2015</v>
      </c>
      <c r="T344">
        <f t="shared" si="126"/>
        <v>2272000</v>
      </c>
      <c r="U344">
        <f t="shared" si="127"/>
        <v>2513335.6321828566</v>
      </c>
      <c r="V344">
        <f t="shared" si="128"/>
        <v>1.4713514393572062</v>
      </c>
      <c r="W344">
        <f t="shared" si="129"/>
        <v>-0.35490683718405303</v>
      </c>
      <c r="X344">
        <f t="shared" si="130"/>
        <v>-0.35092806098243806</v>
      </c>
      <c r="Y344">
        <f t="shared" si="131"/>
        <v>-0.76551654119071522</v>
      </c>
      <c r="Z344" t="str">
        <f t="shared" si="132"/>
        <v/>
      </c>
      <c r="AA344">
        <f t="shared" si="133"/>
        <v>1.4713514393572062</v>
      </c>
      <c r="AB344">
        <f>IFERROR(V144+MATCH(AA344,V344:Z344,0)-1,"")</f>
        <v>2012</v>
      </c>
      <c r="AC344" t="str">
        <f t="shared" si="134"/>
        <v>High</v>
      </c>
      <c r="AE344" t="str">
        <f>IF(ISNUMBER(MATCH("N/A",J344:N344,0)),"",IFERROR((5 * SUMPRODUCT(J144:N144,J344:N344) - PRODUCT(SUM(J144:N144),SUM(J344:N344))) / ((5 * SUM((J144^2)+(K144^2)+(L144^2)+(M144^2)+(N144^2))) - SUM(J144:N144)^2),""))</f>
        <v/>
      </c>
      <c r="AF344">
        <f>IFERROR(CORREL(J144:N144,J344:N344),"")</f>
        <v>-0.86582158583376689</v>
      </c>
      <c r="AZ344">
        <f t="shared" si="135"/>
        <v>1</v>
      </c>
      <c r="BA344" t="str">
        <f>IF(AZ344=1,IF(Q344="","",IF(Q344=N144,"Yes","No")),"")</f>
        <v>No</v>
      </c>
      <c r="BB344" t="str">
        <f t="shared" si="136"/>
        <v/>
      </c>
      <c r="BC344" t="str">
        <f>IF(AZ344=1,IF(S344="","",IF(S344=N144,"Yes","No")),"")</f>
        <v>No</v>
      </c>
      <c r="BD344" t="str">
        <f t="shared" si="137"/>
        <v/>
      </c>
      <c r="BE344" t="str">
        <f t="shared" si="138"/>
        <v/>
      </c>
      <c r="BF344" t="str">
        <f t="shared" si="139"/>
        <v>No</v>
      </c>
      <c r="BG344" t="str">
        <f t="shared" si="140"/>
        <v>No</v>
      </c>
      <c r="BH344" t="str">
        <f t="shared" si="141"/>
        <v>Yes</v>
      </c>
    </row>
    <row r="345" spans="1:60" x14ac:dyDescent="0.3">
      <c r="A345" s="1">
        <v>16</v>
      </c>
      <c r="B345" t="s">
        <v>920</v>
      </c>
      <c r="C345" t="s">
        <v>921</v>
      </c>
      <c r="D345" t="s">
        <v>922</v>
      </c>
      <c r="E345" t="s">
        <v>923</v>
      </c>
      <c r="F345" t="s">
        <v>924</v>
      </c>
      <c r="G345" t="s">
        <v>925</v>
      </c>
      <c r="I345" t="str">
        <f t="shared" si="118"/>
        <v>N/A</v>
      </c>
      <c r="J345">
        <f t="shared" si="119"/>
        <v>-30510000</v>
      </c>
      <c r="K345">
        <f t="shared" si="120"/>
        <v>-119930000</v>
      </c>
      <c r="L345">
        <f t="shared" si="121"/>
        <v>456940000</v>
      </c>
      <c r="M345">
        <f t="shared" si="122"/>
        <v>-46520000</v>
      </c>
      <c r="N345">
        <f t="shared" si="123"/>
        <v>-151870000</v>
      </c>
      <c r="P345">
        <f t="shared" si="124"/>
        <v>456940000</v>
      </c>
      <c r="Q345">
        <f>IFERROR(J144+MATCH(P345,J345:N345,0)-1,"")</f>
        <v>2014</v>
      </c>
      <c r="R345">
        <f t="shared" si="125"/>
        <v>-151870000</v>
      </c>
      <c r="S345">
        <f>IFERROR(J144+MATCH(R345,J345:N345,0)-1,"")</f>
        <v>2016</v>
      </c>
      <c r="T345">
        <f t="shared" si="126"/>
        <v>21622000</v>
      </c>
      <c r="U345">
        <f t="shared" si="127"/>
        <v>248495111.36036459</v>
      </c>
      <c r="V345">
        <f t="shared" si="128"/>
        <v>-0.20979084745212073</v>
      </c>
      <c r="W345">
        <f t="shared" si="129"/>
        <v>-0.56963696076388004</v>
      </c>
      <c r="X345">
        <f t="shared" si="130"/>
        <v>1.7518171589649791</v>
      </c>
      <c r="Y345">
        <f t="shared" si="131"/>
        <v>-0.2742186742707437</v>
      </c>
      <c r="Z345">
        <f t="shared" si="132"/>
        <v>-0.69817067647823472</v>
      </c>
      <c r="AA345">
        <f t="shared" si="133"/>
        <v>1.7518171589649791</v>
      </c>
      <c r="AB345">
        <f>IFERROR(V144+MATCH(AA345,V345:Z345,0)-1,"")</f>
        <v>2014</v>
      </c>
      <c r="AC345" t="str">
        <f t="shared" si="134"/>
        <v>High</v>
      </c>
      <c r="AE345">
        <f>IF(ISNUMBER(MATCH("N/A",J345:N345,0)),"",IFERROR((5 * SUMPRODUCT(J144:N144,J345:N345) - PRODUCT(SUM(J144:N144),SUM(J345:N345))) / ((5 * SUM((J144^2)+(K144^2)+(L144^2)+(M144^2)+(N144^2))) - SUM(J144:N144)^2),""))</f>
        <v>-16931000</v>
      </c>
      <c r="AF345">
        <f>IFERROR(CORREL(J144:N144,J345:N345),"")</f>
        <v>-0.10772952991148992</v>
      </c>
      <c r="AZ345">
        <f t="shared" si="135"/>
        <v>1</v>
      </c>
      <c r="BA345" t="str">
        <f>IF(AZ345=1,IF(Q345="","",IF(Q345=N144,"Yes","No")),"")</f>
        <v>No</v>
      </c>
      <c r="BB345" t="str">
        <f t="shared" si="136"/>
        <v/>
      </c>
      <c r="BC345" t="str">
        <f>IF(AZ345=1,IF(S345="","",IF(S345=N144,"Yes","No")),"")</f>
        <v>Yes</v>
      </c>
      <c r="BD345">
        <f t="shared" si="137"/>
        <v>-151870000</v>
      </c>
      <c r="BE345" t="str">
        <f t="shared" si="138"/>
        <v>Decreasing</v>
      </c>
      <c r="BF345" t="str">
        <f t="shared" si="139"/>
        <v>Yes</v>
      </c>
      <c r="BG345" t="str">
        <f t="shared" si="140"/>
        <v>No</v>
      </c>
      <c r="BH345" t="str">
        <f t="shared" si="141"/>
        <v>No</v>
      </c>
    </row>
    <row r="346" spans="1:60" x14ac:dyDescent="0.3">
      <c r="A346" s="1">
        <v>17</v>
      </c>
      <c r="B346" t="s">
        <v>926</v>
      </c>
      <c r="C346" t="s">
        <v>264</v>
      </c>
      <c r="D346" t="s">
        <v>927</v>
      </c>
      <c r="E346" t="s">
        <v>928</v>
      </c>
      <c r="F346" t="s">
        <v>929</v>
      </c>
      <c r="G346" t="s">
        <v>930</v>
      </c>
      <c r="I346" t="str">
        <f t="shared" si="118"/>
        <v>N/A</v>
      </c>
      <c r="J346" t="str">
        <f t="shared" si="119"/>
        <v>N/A</v>
      </c>
      <c r="K346">
        <f t="shared" si="120"/>
        <v>-2.9305000000000003</v>
      </c>
      <c r="L346">
        <f t="shared" si="121"/>
        <v>4.8102</v>
      </c>
      <c r="M346">
        <f t="shared" si="122"/>
        <v>-1.1018000000000001</v>
      </c>
      <c r="N346">
        <f t="shared" si="123"/>
        <v>-2.2648000000000001</v>
      </c>
      <c r="P346">
        <f t="shared" si="124"/>
        <v>4.8102</v>
      </c>
      <c r="Q346">
        <f>IFERROR(J144+MATCH(P346,J346:N346,0)-1,"")</f>
        <v>2014</v>
      </c>
      <c r="R346">
        <f t="shared" si="125"/>
        <v>-2.9305000000000003</v>
      </c>
      <c r="S346">
        <f>IFERROR(J144+MATCH(R346,J346:N346,0)-1,"")</f>
        <v>2013</v>
      </c>
      <c r="T346">
        <f t="shared" si="126"/>
        <v>-0.37172500000000014</v>
      </c>
      <c r="U346">
        <f t="shared" si="127"/>
        <v>3.536307804641257</v>
      </c>
      <c r="V346" t="str">
        <f t="shared" si="128"/>
        <v/>
      </c>
      <c r="W346">
        <f t="shared" si="129"/>
        <v>-0.72357247766772859</v>
      </c>
      <c r="X346">
        <f t="shared" si="130"/>
        <v>1.4653489702448805</v>
      </c>
      <c r="Y346">
        <f t="shared" si="131"/>
        <v>-0.20645120287374502</v>
      </c>
      <c r="Z346">
        <f t="shared" si="132"/>
        <v>-0.53532528970340698</v>
      </c>
      <c r="AA346">
        <f t="shared" si="133"/>
        <v>1.4653489702448805</v>
      </c>
      <c r="AB346">
        <f>IFERROR(V144+MATCH(AA346,V346:Z346,0)-1,"")</f>
        <v>2014</v>
      </c>
      <c r="AC346" t="str">
        <f t="shared" si="134"/>
        <v>High</v>
      </c>
      <c r="AE346" t="str">
        <f>IF(ISNUMBER(MATCH("N/A",J346:N346,0)),"",IFERROR((5 * SUMPRODUCT(J144:N144,J346:N346) - PRODUCT(SUM(J144:N144),SUM(J346:N346))) / ((5 * SUM((J144^2)+(K144^2)+(L144^2)+(M144^2)+(N144^2))) - SUM(J144:N144)^2),""))</f>
        <v/>
      </c>
      <c r="AF346">
        <f>IFERROR(CORREL(J144:N144,J346:N346),"")</f>
        <v>-0.14292065189355099</v>
      </c>
      <c r="AZ346">
        <f t="shared" si="135"/>
        <v>1</v>
      </c>
      <c r="BA346" t="str">
        <f>IF(AZ346=1,IF(Q346="","",IF(Q346=N144,"Yes","No")),"")</f>
        <v>No</v>
      </c>
      <c r="BB346" t="str">
        <f t="shared" si="136"/>
        <v/>
      </c>
      <c r="BC346" t="str">
        <f>IF(AZ346=1,IF(S346="","",IF(S346=N144,"Yes","No")),"")</f>
        <v>No</v>
      </c>
      <c r="BD346" t="str">
        <f t="shared" si="137"/>
        <v/>
      </c>
      <c r="BE346" t="str">
        <f t="shared" si="138"/>
        <v/>
      </c>
      <c r="BF346" t="str">
        <f t="shared" si="139"/>
        <v>No</v>
      </c>
      <c r="BG346" t="str">
        <f t="shared" si="140"/>
        <v>No</v>
      </c>
      <c r="BH346" t="str">
        <f t="shared" si="141"/>
        <v>No</v>
      </c>
    </row>
    <row r="347" spans="1:60" x14ac:dyDescent="0.3">
      <c r="A347" s="1">
        <v>18</v>
      </c>
      <c r="B347" t="s">
        <v>931</v>
      </c>
      <c r="C347" t="s">
        <v>932</v>
      </c>
      <c r="D347" t="s">
        <v>933</v>
      </c>
      <c r="E347" t="s">
        <v>934</v>
      </c>
      <c r="F347" t="s">
        <v>935</v>
      </c>
      <c r="G347" t="s">
        <v>936</v>
      </c>
      <c r="I347" t="str">
        <f t="shared" si="118"/>
        <v>N/A</v>
      </c>
      <c r="J347">
        <f t="shared" si="119"/>
        <v>-1.3700000000000002E-2</v>
      </c>
      <c r="K347">
        <f t="shared" si="120"/>
        <v>-5.3700000000000005E-2</v>
      </c>
      <c r="L347">
        <f t="shared" si="121"/>
        <v>0.1696</v>
      </c>
      <c r="M347">
        <f t="shared" si="122"/>
        <v>-1.46E-2</v>
      </c>
      <c r="N347">
        <f t="shared" si="123"/>
        <v>-4.7300000000000009E-2</v>
      </c>
      <c r="P347">
        <f t="shared" si="124"/>
        <v>0.1696</v>
      </c>
      <c r="Q347">
        <f>IFERROR(J144+MATCH(P347,J347:N347,0)-1,"")</f>
        <v>2014</v>
      </c>
      <c r="R347">
        <f t="shared" si="125"/>
        <v>-5.3700000000000005E-2</v>
      </c>
      <c r="S347">
        <f>IFERROR(J144+MATCH(R347,J347:N347,0)-1,"")</f>
        <v>2013</v>
      </c>
      <c r="T347">
        <f t="shared" si="126"/>
        <v>8.0599999999999977E-3</v>
      </c>
      <c r="U347">
        <f t="shared" si="127"/>
        <v>9.2142785935742155E-2</v>
      </c>
      <c r="V347">
        <f t="shared" si="128"/>
        <v>-0.2361552212581767</v>
      </c>
      <c r="W347">
        <f t="shared" si="129"/>
        <v>-0.67026408386511915</v>
      </c>
      <c r="X347">
        <f t="shared" si="130"/>
        <v>1.7531486416381372</v>
      </c>
      <c r="Y347">
        <f t="shared" si="131"/>
        <v>-0.2459226706668329</v>
      </c>
      <c r="Z347">
        <f t="shared" si="132"/>
        <v>-0.60080666584800846</v>
      </c>
      <c r="AA347">
        <f t="shared" si="133"/>
        <v>1.7531486416381372</v>
      </c>
      <c r="AB347">
        <f>IFERROR(V144+MATCH(AA347,V347:Z347,0)-1,"")</f>
        <v>2014</v>
      </c>
      <c r="AC347" t="str">
        <f t="shared" si="134"/>
        <v>High</v>
      </c>
      <c r="AE347">
        <f>IF(ISNUMBER(MATCH("N/A",J347:N347,0)),"",IFERROR((5 * SUMPRODUCT(J144:N144,J347:N347) - PRODUCT(SUM(J144:N144),SUM(J347:N347))) / ((5 * SUM((J144^2)+(K144^2)+(L144^2)+(M144^2)+(N144^2))) - SUM(J144:N144)^2),""))</f>
        <v>-2.8100000000017642E-3</v>
      </c>
      <c r="AF347">
        <f>IFERROR(CORREL(J144:N144,J347:N347),"")</f>
        <v>-4.8218643135394229E-2</v>
      </c>
      <c r="AZ347">
        <f t="shared" si="135"/>
        <v>1</v>
      </c>
      <c r="BA347" t="str">
        <f>IF(AZ347=1,IF(Q347="","",IF(Q347=N144,"Yes","No")),"")</f>
        <v>No</v>
      </c>
      <c r="BB347" t="str">
        <f t="shared" si="136"/>
        <v/>
      </c>
      <c r="BC347" t="str">
        <f>IF(AZ347=1,IF(S347="","",IF(S347=N144,"Yes","No")),"")</f>
        <v>No</v>
      </c>
      <c r="BD347" t="str">
        <f t="shared" si="137"/>
        <v/>
      </c>
      <c r="BE347" t="str">
        <f t="shared" si="138"/>
        <v>Decreasing</v>
      </c>
      <c r="BF347" t="str">
        <f t="shared" si="139"/>
        <v>No</v>
      </c>
      <c r="BG347" t="str">
        <f t="shared" si="140"/>
        <v>No</v>
      </c>
      <c r="BH347" t="str">
        <f t="shared" si="141"/>
        <v>No</v>
      </c>
    </row>
    <row r="348" spans="1:60" x14ac:dyDescent="0.3">
      <c r="A348" s="1">
        <v>19</v>
      </c>
      <c r="B348" t="s">
        <v>937</v>
      </c>
      <c r="C348" t="s">
        <v>264</v>
      </c>
      <c r="D348" t="s">
        <v>264</v>
      </c>
      <c r="E348" t="s">
        <v>264</v>
      </c>
      <c r="F348" t="s">
        <v>264</v>
      </c>
      <c r="G348" t="s">
        <v>938</v>
      </c>
      <c r="I348" t="str">
        <f t="shared" si="118"/>
        <v>N/A</v>
      </c>
      <c r="J348" t="str">
        <f t="shared" si="119"/>
        <v>N/A</v>
      </c>
      <c r="K348" t="str">
        <f t="shared" si="120"/>
        <v>N/A</v>
      </c>
      <c r="L348" t="str">
        <f t="shared" si="121"/>
        <v>N/A</v>
      </c>
      <c r="M348" t="str">
        <f t="shared" si="122"/>
        <v>N/A</v>
      </c>
      <c r="N348">
        <f t="shared" si="123"/>
        <v>127000</v>
      </c>
      <c r="P348">
        <f t="shared" si="124"/>
        <v>127000</v>
      </c>
      <c r="Q348">
        <f>IFERROR(J144+MATCH(P348,J348:N348,0)-1,"")</f>
        <v>2016</v>
      </c>
      <c r="R348">
        <f t="shared" si="125"/>
        <v>127000</v>
      </c>
      <c r="S348">
        <f>IFERROR(J144+MATCH(R348,J348:N348,0)-1,"")</f>
        <v>2016</v>
      </c>
      <c r="T348">
        <f t="shared" si="126"/>
        <v>127000</v>
      </c>
      <c r="U348" t="str">
        <f t="shared" si="127"/>
        <v/>
      </c>
      <c r="V348" t="str">
        <f t="shared" si="128"/>
        <v/>
      </c>
      <c r="W348" t="str">
        <f t="shared" si="129"/>
        <v/>
      </c>
      <c r="X348" t="str">
        <f t="shared" si="130"/>
        <v/>
      </c>
      <c r="Y348" t="str">
        <f t="shared" si="131"/>
        <v/>
      </c>
      <c r="Z348" t="str">
        <f t="shared" si="132"/>
        <v/>
      </c>
      <c r="AA348">
        <f t="shared" si="133"/>
        <v>0</v>
      </c>
      <c r="AB348" t="str">
        <f>IFERROR(V144+MATCH(AA348,V348:Z348,0)-1,"")</f>
        <v/>
      </c>
      <c r="AC348" t="str">
        <f t="shared" si="134"/>
        <v/>
      </c>
      <c r="AE348" t="str">
        <f>IF(ISNUMBER(MATCH("N/A",J348:N348,0)),"",IFERROR((5 * SUMPRODUCT(J144:N144,J348:N348) - PRODUCT(SUM(J144:N144),SUM(J348:N348))) / ((5 * SUM((J144^2)+(K144^2)+(L144^2)+(M144^2)+(N144^2))) - SUM(J144:N144)^2),""))</f>
        <v/>
      </c>
      <c r="AF348" t="str">
        <f>IFERROR(CORREL(J144:N144,J348:N348),"")</f>
        <v/>
      </c>
      <c r="AZ348">
        <f t="shared" si="135"/>
        <v>0</v>
      </c>
      <c r="BA348" t="str">
        <f>IF(AZ348=1,IF(Q348="","",IF(Q348=N144,"Yes","No")),"")</f>
        <v/>
      </c>
      <c r="BB348" t="str">
        <f t="shared" si="136"/>
        <v/>
      </c>
      <c r="BC348" t="str">
        <f>IF(AZ348=1,IF(S348="","",IF(S348=N144,"Yes","No")),"")</f>
        <v/>
      </c>
      <c r="BD348" t="str">
        <f t="shared" si="137"/>
        <v/>
      </c>
      <c r="BE348" t="str">
        <f t="shared" si="138"/>
        <v/>
      </c>
      <c r="BF348" t="str">
        <f t="shared" si="139"/>
        <v>No</v>
      </c>
      <c r="BG348" t="str">
        <f t="shared" si="140"/>
        <v>No</v>
      </c>
      <c r="BH348" t="str">
        <f t="shared" si="141"/>
        <v/>
      </c>
    </row>
    <row r="349" spans="1:60" x14ac:dyDescent="0.3">
      <c r="A349" s="1">
        <v>20</v>
      </c>
      <c r="B349" t="s">
        <v>939</v>
      </c>
      <c r="C349" t="s">
        <v>698</v>
      </c>
      <c r="D349" t="s">
        <v>264</v>
      </c>
      <c r="E349" t="s">
        <v>698</v>
      </c>
      <c r="F349" t="s">
        <v>698</v>
      </c>
      <c r="G349" t="s">
        <v>698</v>
      </c>
      <c r="I349" t="str">
        <f t="shared" si="118"/>
        <v>N/A</v>
      </c>
      <c r="J349">
        <f t="shared" si="119"/>
        <v>0</v>
      </c>
      <c r="K349" t="str">
        <f t="shared" si="120"/>
        <v>N/A</v>
      </c>
      <c r="L349">
        <f t="shared" si="121"/>
        <v>0</v>
      </c>
      <c r="M349">
        <f t="shared" si="122"/>
        <v>0</v>
      </c>
      <c r="N349">
        <f t="shared" si="123"/>
        <v>0</v>
      </c>
      <c r="P349">
        <f t="shared" si="124"/>
        <v>0</v>
      </c>
      <c r="Q349">
        <f>IFERROR(J144+MATCH(P349,J349:N349,0)-1,"")</f>
        <v>2012</v>
      </c>
      <c r="R349">
        <f t="shared" si="125"/>
        <v>0</v>
      </c>
      <c r="S349">
        <f>IFERROR(J144+MATCH(R349,J349:N349,0)-1,"")</f>
        <v>2012</v>
      </c>
      <c r="T349">
        <f t="shared" si="126"/>
        <v>0</v>
      </c>
      <c r="U349">
        <f t="shared" si="127"/>
        <v>0</v>
      </c>
      <c r="V349" t="str">
        <f t="shared" si="128"/>
        <v/>
      </c>
      <c r="W349" t="str">
        <f t="shared" si="129"/>
        <v/>
      </c>
      <c r="X349" t="str">
        <f t="shared" si="130"/>
        <v/>
      </c>
      <c r="Y349" t="str">
        <f t="shared" si="131"/>
        <v/>
      </c>
      <c r="Z349" t="str">
        <f t="shared" si="132"/>
        <v/>
      </c>
      <c r="AA349">
        <f t="shared" si="133"/>
        <v>0</v>
      </c>
      <c r="AB349" t="str">
        <f>IFERROR(V144+MATCH(AA349,V349:Z349,0)-1,"")</f>
        <v/>
      </c>
      <c r="AC349" t="str">
        <f t="shared" si="134"/>
        <v/>
      </c>
      <c r="AE349" t="str">
        <f>IF(ISNUMBER(MATCH("N/A",J349:N349,0)),"",IFERROR((5 * SUMPRODUCT(J144:N144,J349:N349) - PRODUCT(SUM(J144:N144),SUM(J349:N349))) / ((5 * SUM((J144^2)+(K144^2)+(L144^2)+(M144^2)+(N144^2))) - SUM(J144:N144)^2),""))</f>
        <v/>
      </c>
      <c r="AF349" t="str">
        <f>IFERROR(CORREL(J144:N144,J349:N349),"")</f>
        <v/>
      </c>
      <c r="AZ349">
        <f t="shared" si="135"/>
        <v>0</v>
      </c>
      <c r="BA349" t="str">
        <f>IF(AZ349=1,IF(Q349="","",IF(Q349=N144,"Yes","No")),"")</f>
        <v/>
      </c>
      <c r="BB349" t="str">
        <f t="shared" si="136"/>
        <v/>
      </c>
      <c r="BC349" t="str">
        <f>IF(AZ349=1,IF(S349="","",IF(S349=N144,"Yes","No")),"")</f>
        <v/>
      </c>
      <c r="BD349" t="str">
        <f t="shared" si="137"/>
        <v/>
      </c>
      <c r="BE349" t="str">
        <f t="shared" si="138"/>
        <v/>
      </c>
      <c r="BF349" t="str">
        <f t="shared" si="139"/>
        <v>No</v>
      </c>
      <c r="BG349" t="str">
        <f t="shared" si="140"/>
        <v>No</v>
      </c>
      <c r="BH349" t="str">
        <f t="shared" si="141"/>
        <v/>
      </c>
    </row>
    <row r="350" spans="1:60" x14ac:dyDescent="0.3">
      <c r="A350" s="1">
        <v>21</v>
      </c>
      <c r="B350" t="s">
        <v>940</v>
      </c>
      <c r="C350" t="s">
        <v>941</v>
      </c>
      <c r="D350" t="s">
        <v>942</v>
      </c>
      <c r="E350" t="s">
        <v>943</v>
      </c>
      <c r="F350" t="s">
        <v>944</v>
      </c>
      <c r="G350" t="s">
        <v>945</v>
      </c>
      <c r="I350" t="str">
        <f t="shared" si="118"/>
        <v>N/A</v>
      </c>
      <c r="J350">
        <f t="shared" si="119"/>
        <v>-46720000</v>
      </c>
      <c r="K350">
        <f t="shared" si="120"/>
        <v>101560000</v>
      </c>
      <c r="L350">
        <f t="shared" si="121"/>
        <v>-227540000</v>
      </c>
      <c r="M350">
        <f t="shared" si="122"/>
        <v>11390000</v>
      </c>
      <c r="N350">
        <f t="shared" si="123"/>
        <v>293620000</v>
      </c>
      <c r="P350">
        <f t="shared" si="124"/>
        <v>293620000</v>
      </c>
      <c r="Q350">
        <f>IFERROR(J144+MATCH(P350,J350:N350,0)-1,"")</f>
        <v>2016</v>
      </c>
      <c r="R350">
        <f t="shared" si="125"/>
        <v>-227540000</v>
      </c>
      <c r="S350">
        <f>IFERROR(J144+MATCH(R350,J350:N350,0)-1,"")</f>
        <v>2014</v>
      </c>
      <c r="T350">
        <f t="shared" si="126"/>
        <v>26462000</v>
      </c>
      <c r="U350">
        <f t="shared" si="127"/>
        <v>191776492.87647325</v>
      </c>
      <c r="V350">
        <f t="shared" si="128"/>
        <v>-0.38160047095624938</v>
      </c>
      <c r="W350">
        <f t="shared" si="129"/>
        <v>0.39159126790566556</v>
      </c>
      <c r="X350">
        <f t="shared" si="130"/>
        <v>-1.3244688970488543</v>
      </c>
      <c r="Y350">
        <f t="shared" si="131"/>
        <v>-7.8591488320250757E-2</v>
      </c>
      <c r="Z350">
        <f t="shared" si="132"/>
        <v>1.3930695884196889</v>
      </c>
      <c r="AA350">
        <f t="shared" si="133"/>
        <v>1.3930695884196889</v>
      </c>
      <c r="AB350">
        <f>IFERROR(V144+MATCH(AA350,V350:Z350,0)-1,"")</f>
        <v>2016</v>
      </c>
      <c r="AC350" t="str">
        <f t="shared" si="134"/>
        <v>High</v>
      </c>
      <c r="AE350">
        <f>IF(ISNUMBER(MATCH("N/A",J350:N350,0)),"",IFERROR((5 * SUMPRODUCT(J144:N144,J350:N350) - PRODUCT(SUM(J144:N144),SUM(J350:N350))) / ((5 * SUM((J144^2)+(K144^2)+(L144^2)+(M144^2)+(N144^2))) - SUM(J144:N144)^2),""))</f>
        <v>59051000</v>
      </c>
      <c r="AF350">
        <f>IFERROR(CORREL(J144:N144,J350:N350),"")</f>
        <v>0.48685752698294155</v>
      </c>
      <c r="AZ350">
        <f t="shared" si="135"/>
        <v>1</v>
      </c>
      <c r="BA350" t="str">
        <f>IF(AZ350=1,IF(Q350="","",IF(Q350=N144,"Yes","No")),"")</f>
        <v>Yes</v>
      </c>
      <c r="BB350">
        <f t="shared" si="136"/>
        <v>293620000</v>
      </c>
      <c r="BC350" t="str">
        <f>IF(AZ350=1,IF(S350="","",IF(S350=N144,"Yes","No")),"")</f>
        <v>No</v>
      </c>
      <c r="BD350" t="str">
        <f t="shared" si="137"/>
        <v/>
      </c>
      <c r="BE350" t="str">
        <f t="shared" si="138"/>
        <v>Increasing</v>
      </c>
      <c r="BF350" t="str">
        <f t="shared" si="139"/>
        <v>Yes</v>
      </c>
      <c r="BG350" t="str">
        <f t="shared" si="140"/>
        <v>No</v>
      </c>
      <c r="BH350" t="str">
        <f t="shared" si="141"/>
        <v>No</v>
      </c>
    </row>
    <row r="351" spans="1:60" x14ac:dyDescent="0.3">
      <c r="A351" s="1">
        <v>22</v>
      </c>
      <c r="B351" t="s">
        <v>946</v>
      </c>
      <c r="C351" t="s">
        <v>947</v>
      </c>
      <c r="D351" t="s">
        <v>948</v>
      </c>
      <c r="E351" t="s">
        <v>949</v>
      </c>
      <c r="F351" t="s">
        <v>950</v>
      </c>
      <c r="G351" t="s">
        <v>951</v>
      </c>
      <c r="I351" t="str">
        <f t="shared" si="118"/>
        <v>N/A</v>
      </c>
      <c r="J351">
        <f t="shared" si="119"/>
        <v>-5320000</v>
      </c>
      <c r="K351">
        <f t="shared" si="120"/>
        <v>250290000</v>
      </c>
      <c r="L351">
        <f t="shared" si="121"/>
        <v>-96530000</v>
      </c>
      <c r="M351">
        <f t="shared" si="122"/>
        <v>106200000</v>
      </c>
      <c r="N351">
        <f t="shared" si="123"/>
        <v>407990000</v>
      </c>
      <c r="P351">
        <f t="shared" si="124"/>
        <v>407990000</v>
      </c>
      <c r="Q351">
        <f>IFERROR(J144+MATCH(P351,J351:N351,0)-1,"")</f>
        <v>2016</v>
      </c>
      <c r="R351">
        <f t="shared" si="125"/>
        <v>-96530000</v>
      </c>
      <c r="S351">
        <f>IFERROR(J144+MATCH(R351,J351:N351,0)-1,"")</f>
        <v>2014</v>
      </c>
      <c r="T351">
        <f t="shared" si="126"/>
        <v>132526000</v>
      </c>
      <c r="U351">
        <f t="shared" si="127"/>
        <v>201190211.0690279</v>
      </c>
      <c r="V351">
        <f t="shared" si="128"/>
        <v>-0.68515261884538381</v>
      </c>
      <c r="W351">
        <f t="shared" si="129"/>
        <v>0.58533662932335928</v>
      </c>
      <c r="X351">
        <f t="shared" si="130"/>
        <v>-1.138504695546104</v>
      </c>
      <c r="Y351">
        <f t="shared" si="131"/>
        <v>-0.13085129669140616</v>
      </c>
      <c r="Z351">
        <f t="shared" si="132"/>
        <v>1.3691719817595347</v>
      </c>
      <c r="AA351">
        <f t="shared" si="133"/>
        <v>1.3691719817595347</v>
      </c>
      <c r="AB351">
        <f>IFERROR(V144+MATCH(AA351,V351:Z351,0)-1,"")</f>
        <v>2016</v>
      </c>
      <c r="AC351" t="str">
        <f t="shared" si="134"/>
        <v>High</v>
      </c>
      <c r="AE351">
        <f>IF(ISNUMBER(MATCH("N/A",J351:N351,0)),"",IFERROR((5 * SUMPRODUCT(J144:N144,J351:N351) - PRODUCT(SUM(J144:N144),SUM(J351:N351))) / ((5 * SUM((J144^2)+(K144^2)+(L144^2)+(M144^2)+(N144^2))) - SUM(J144:N144)^2),""))</f>
        <v>68253000</v>
      </c>
      <c r="AF351">
        <f>IFERROR(CORREL(J144:N144,J351:N351),"")</f>
        <v>0.53639522517678528</v>
      </c>
      <c r="AZ351">
        <f t="shared" si="135"/>
        <v>1</v>
      </c>
      <c r="BA351" t="str">
        <f>IF(AZ351=1,IF(Q351="","",IF(Q351=N144,"Yes","No")),"")</f>
        <v>Yes</v>
      </c>
      <c r="BB351">
        <f t="shared" si="136"/>
        <v>407990000</v>
      </c>
      <c r="BC351" t="str">
        <f>IF(AZ351=1,IF(S351="","",IF(S351=N144,"Yes","No")),"")</f>
        <v>No</v>
      </c>
      <c r="BD351" t="str">
        <f t="shared" si="137"/>
        <v/>
      </c>
      <c r="BE351" t="str">
        <f t="shared" si="138"/>
        <v>Increasing</v>
      </c>
      <c r="BF351" t="str">
        <f t="shared" si="139"/>
        <v>Yes</v>
      </c>
      <c r="BG351" t="str">
        <f t="shared" si="140"/>
        <v>No</v>
      </c>
      <c r="BH351" t="str">
        <f t="shared" si="141"/>
        <v>No</v>
      </c>
    </row>
    <row r="352" spans="1:60" x14ac:dyDescent="0.3">
      <c r="A352" s="1">
        <v>23</v>
      </c>
      <c r="B352" t="s">
        <v>952</v>
      </c>
      <c r="C352" t="s">
        <v>264</v>
      </c>
      <c r="D352" t="s">
        <v>953</v>
      </c>
      <c r="E352" t="s">
        <v>954</v>
      </c>
      <c r="F352" t="s">
        <v>955</v>
      </c>
      <c r="G352" t="s">
        <v>956</v>
      </c>
      <c r="I352" t="str">
        <f t="shared" si="118"/>
        <v>N/A</v>
      </c>
      <c r="J352" t="str">
        <f t="shared" si="119"/>
        <v>N/A</v>
      </c>
      <c r="K352">
        <f t="shared" si="120"/>
        <v>48.056199999999997</v>
      </c>
      <c r="L352">
        <f t="shared" si="121"/>
        <v>-1.3856999999999999</v>
      </c>
      <c r="M352">
        <f t="shared" si="122"/>
        <v>2.1002999999999998</v>
      </c>
      <c r="N352">
        <f t="shared" si="123"/>
        <v>2.8416000000000001</v>
      </c>
      <c r="P352">
        <f t="shared" si="124"/>
        <v>48.056199999999997</v>
      </c>
      <c r="Q352">
        <f>IFERROR(J144+MATCH(P352,J352:N352,0)-1,"")</f>
        <v>2013</v>
      </c>
      <c r="R352">
        <f t="shared" si="125"/>
        <v>-1.3856999999999999</v>
      </c>
      <c r="S352">
        <f>IFERROR(J144+MATCH(R352,J352:N352,0)-1,"")</f>
        <v>2014</v>
      </c>
      <c r="T352">
        <f t="shared" si="126"/>
        <v>12.903099999999998</v>
      </c>
      <c r="U352">
        <f t="shared" si="127"/>
        <v>23.507761237089337</v>
      </c>
      <c r="V352" t="str">
        <f t="shared" si="128"/>
        <v/>
      </c>
      <c r="W352">
        <f t="shared" si="129"/>
        <v>1.4953827225596132</v>
      </c>
      <c r="X352">
        <f t="shared" si="130"/>
        <v>-0.60783329624157767</v>
      </c>
      <c r="Y352">
        <f t="shared" si="131"/>
        <v>-0.45954184624590688</v>
      </c>
      <c r="Z352">
        <f t="shared" si="132"/>
        <v>-0.42800758007212875</v>
      </c>
      <c r="AA352">
        <f t="shared" si="133"/>
        <v>1.4953827225596132</v>
      </c>
      <c r="AB352">
        <f>IFERROR(V144+MATCH(AA352,V352:Z352,0)-1,"")</f>
        <v>2013</v>
      </c>
      <c r="AC352" t="str">
        <f t="shared" si="134"/>
        <v>High</v>
      </c>
      <c r="AE352" t="str">
        <f>IF(ISNUMBER(MATCH("N/A",J352:N352,0)),"",IFERROR((5 * SUMPRODUCT(J144:N144,J352:N352) - PRODUCT(SUM(J144:N144),SUM(J352:N352))) / ((5 * SUM((J144^2)+(K144^2)+(L144^2)+(M144^2)+(N144^2))) - SUM(J144:N144)^2),""))</f>
        <v/>
      </c>
      <c r="AF352">
        <f>IFERROR(CORREL(J144:N144,J352:N352),"")</f>
        <v>-0.7257815171610188</v>
      </c>
      <c r="AZ352">
        <f t="shared" si="135"/>
        <v>1</v>
      </c>
      <c r="BA352" t="str">
        <f>IF(AZ352=1,IF(Q352="","",IF(Q352=N144,"Yes","No")),"")</f>
        <v>No</v>
      </c>
      <c r="BB352" t="str">
        <f t="shared" si="136"/>
        <v/>
      </c>
      <c r="BC352" t="str">
        <f>IF(AZ352=1,IF(S352="","",IF(S352=N144,"Yes","No")),"")</f>
        <v>No</v>
      </c>
      <c r="BD352" t="str">
        <f t="shared" si="137"/>
        <v/>
      </c>
      <c r="BE352" t="str">
        <f t="shared" si="138"/>
        <v/>
      </c>
      <c r="BF352" t="str">
        <f t="shared" si="139"/>
        <v>No</v>
      </c>
      <c r="BG352" t="str">
        <f t="shared" si="140"/>
        <v>No</v>
      </c>
      <c r="BH352" t="str">
        <f t="shared" si="141"/>
        <v>No</v>
      </c>
    </row>
    <row r="353" spans="1:29" x14ac:dyDescent="0.3">
      <c r="A353" s="1">
        <v>24</v>
      </c>
      <c r="B353" t="s">
        <v>957</v>
      </c>
      <c r="C353" t="s">
        <v>264</v>
      </c>
      <c r="D353" t="s">
        <v>264</v>
      </c>
      <c r="E353" t="s">
        <v>264</v>
      </c>
      <c r="F353" t="s">
        <v>264</v>
      </c>
      <c r="G353" t="s">
        <v>958</v>
      </c>
      <c r="I353" t="str">
        <f t="shared" si="118"/>
        <v>N/A</v>
      </c>
      <c r="J353" t="str">
        <f t="shared" si="119"/>
        <v>N/A</v>
      </c>
      <c r="K353" t="str">
        <f t="shared" si="120"/>
        <v>N/A</v>
      </c>
      <c r="L353" t="str">
        <f t="shared" si="121"/>
        <v>N/A</v>
      </c>
      <c r="M353" t="str">
        <f t="shared" si="122"/>
        <v>N/A</v>
      </c>
      <c r="N353">
        <f t="shared" si="123"/>
        <v>0.17149999999999999</v>
      </c>
      <c r="P353">
        <f t="shared" si="124"/>
        <v>0.17149999999999999</v>
      </c>
      <c r="Q353">
        <f>IFERROR(J144+MATCH(P353,J353:N353,0)-1,"")</f>
        <v>2016</v>
      </c>
      <c r="R353">
        <f t="shared" si="125"/>
        <v>0.17149999999999999</v>
      </c>
      <c r="T353">
        <f t="shared" si="126"/>
        <v>0.17149999999999999</v>
      </c>
      <c r="U353" t="str">
        <f t="shared" si="127"/>
        <v/>
      </c>
      <c r="V353" t="str">
        <f t="shared" si="128"/>
        <v/>
      </c>
      <c r="W353" t="str">
        <f t="shared" si="129"/>
        <v/>
      </c>
      <c r="X353" t="str">
        <f t="shared" si="130"/>
        <v/>
      </c>
      <c r="Y353" t="str">
        <f t="shared" si="131"/>
        <v/>
      </c>
      <c r="Z353" t="str">
        <f t="shared" si="132"/>
        <v/>
      </c>
      <c r="AA353">
        <f t="shared" si="133"/>
        <v>0</v>
      </c>
      <c r="AB353" t="str">
        <f>IFERROR(V144+MATCH(AA353,V353:Z353,0)-1,"")</f>
        <v/>
      </c>
      <c r="AC353" t="str">
        <f>IF(S353=AB353,"Low",IF(AB353=Q353,"High",""))</f>
        <v>Low</v>
      </c>
    </row>
    <row r="354" spans="1:29" x14ac:dyDescent="0.3">
      <c r="I354" t="str">
        <f t="shared" si="118"/>
        <v>N/A</v>
      </c>
      <c r="J354" t="str">
        <f t="shared" si="119"/>
        <v>N/A</v>
      </c>
      <c r="K354" t="str">
        <f t="shared" si="120"/>
        <v>N/A</v>
      </c>
      <c r="L354" t="str">
        <f t="shared" si="121"/>
        <v>N/A</v>
      </c>
      <c r="M354" t="str">
        <f t="shared" si="122"/>
        <v>N/A</v>
      </c>
      <c r="N354" t="str">
        <f t="shared" si="123"/>
        <v>N/A</v>
      </c>
      <c r="V354">
        <f>MAX(V145:V353)</f>
        <v>1.6897263774459743</v>
      </c>
      <c r="W354">
        <f>MAX(W145:W353)</f>
        <v>1.5748418546000156</v>
      </c>
      <c r="X354">
        <f>MAX(X145:X353)</f>
        <v>1.7587369180818277</v>
      </c>
      <c r="Y354">
        <f>MAX(Y145:Y353)</f>
        <v>1.654885372460136</v>
      </c>
      <c r="Z354">
        <f>MAX(Z145:Z353)</f>
        <v>1.6781369607554046</v>
      </c>
    </row>
    <row r="355" spans="1:29" x14ac:dyDescent="0.3">
      <c r="A355" s="1">
        <v>0</v>
      </c>
      <c r="B355" t="s">
        <v>959</v>
      </c>
      <c r="C355" t="s">
        <v>960</v>
      </c>
      <c r="I355" t="str">
        <f t="shared" si="118"/>
        <v>N/A</v>
      </c>
      <c r="J355" t="str">
        <f t="shared" si="119"/>
        <v>N/A</v>
      </c>
      <c r="K355" t="str">
        <f t="shared" si="120"/>
        <v>N/A</v>
      </c>
      <c r="L355" t="str">
        <f t="shared" si="121"/>
        <v>N/A</v>
      </c>
      <c r="M355" t="str">
        <f t="shared" si="122"/>
        <v>N/A</v>
      </c>
      <c r="N355" t="str">
        <f t="shared" si="123"/>
        <v>N/A</v>
      </c>
      <c r="V355">
        <f>MIN(V145:V353)</f>
        <v>-1.6172445571518632</v>
      </c>
      <c r="W355">
        <f>MIN(W145:W353)</f>
        <v>-1.6959119773979252</v>
      </c>
      <c r="X355">
        <f>MIN(X145:X353)</f>
        <v>-1.78229129154523</v>
      </c>
      <c r="Y355">
        <f>MIN(Y145:Y353)</f>
        <v>-1.6737039932056235</v>
      </c>
      <c r="Z355">
        <f>MIN(Z145:Z353)</f>
        <v>-1.5718147120172206</v>
      </c>
    </row>
    <row r="356" spans="1:29" x14ac:dyDescent="0.3">
      <c r="A356" s="1">
        <v>1</v>
      </c>
      <c r="B356" t="s">
        <v>961</v>
      </c>
      <c r="C356" t="s">
        <v>962</v>
      </c>
      <c r="I356" t="str">
        <f t="shared" si="118"/>
        <v>N/A</v>
      </c>
      <c r="J356" t="str">
        <f t="shared" si="119"/>
        <v>N/A</v>
      </c>
      <c r="K356" t="str">
        <f t="shared" si="120"/>
        <v>N/A</v>
      </c>
      <c r="L356" t="str">
        <f t="shared" si="121"/>
        <v>N/A</v>
      </c>
      <c r="M356" t="str">
        <f t="shared" si="122"/>
        <v>N/A</v>
      </c>
      <c r="N356" t="str">
        <f t="shared" si="123"/>
        <v>N/A</v>
      </c>
      <c r="V356">
        <f>COUNTIF(V145:V353,"&gt;1.5")</f>
        <v>3</v>
      </c>
      <c r="W356">
        <f>COUNTIF(W145:W353,"&gt;1.5")</f>
        <v>2</v>
      </c>
      <c r="X356">
        <f>COUNTIF(X145:X353,"&gt;1.5")</f>
        <v>9</v>
      </c>
      <c r="Y356">
        <f>COUNTIF(Y145:Y353,"&gt;1.5")</f>
        <v>2</v>
      </c>
      <c r="Z356">
        <f>COUNTIF(Z145:Z353,"&gt;1.5")</f>
        <v>2</v>
      </c>
    </row>
    <row r="357" spans="1:29" x14ac:dyDescent="0.3">
      <c r="A357" s="1">
        <v>2</v>
      </c>
      <c r="B357" t="s">
        <v>963</v>
      </c>
      <c r="C357" t="s">
        <v>963</v>
      </c>
      <c r="I357" t="str">
        <f t="shared" si="118"/>
        <v>N/A</v>
      </c>
      <c r="J357" t="str">
        <f t="shared" si="119"/>
        <v>N/A</v>
      </c>
      <c r="K357" t="str">
        <f t="shared" si="120"/>
        <v>N/A</v>
      </c>
      <c r="L357" t="str">
        <f t="shared" si="121"/>
        <v>N/A</v>
      </c>
      <c r="M357" t="str">
        <f t="shared" si="122"/>
        <v>N/A</v>
      </c>
      <c r="N357" t="str">
        <f t="shared" si="123"/>
        <v>N/A</v>
      </c>
      <c r="V357">
        <f>COUNTIF(V145:V353,"&lt;-1.5")</f>
        <v>2</v>
      </c>
      <c r="W357">
        <f>COUNTIF(W145:W353,"&lt;-1.5")</f>
        <v>3</v>
      </c>
      <c r="X357">
        <f>COUNTIF(X145:X353,"&lt;-1.5")</f>
        <v>4</v>
      </c>
      <c r="Y357">
        <f>COUNTIF(Y145:Y353,"&lt;-1.5")</f>
        <v>2</v>
      </c>
      <c r="Z357">
        <f>COUNTIF(Z145:Z353,"&lt;-1.5")</f>
        <v>2</v>
      </c>
    </row>
    <row r="358" spans="1:29" x14ac:dyDescent="0.3">
      <c r="A358" s="1">
        <v>3</v>
      </c>
      <c r="B358" t="s">
        <v>964</v>
      </c>
      <c r="C358" t="s">
        <v>965</v>
      </c>
      <c r="I358" t="str">
        <f t="shared" si="118"/>
        <v>N/A</v>
      </c>
      <c r="J358" t="str">
        <f t="shared" si="119"/>
        <v>N/A</v>
      </c>
      <c r="K358" t="str">
        <f t="shared" si="120"/>
        <v>N/A</v>
      </c>
      <c r="L358" t="str">
        <f t="shared" si="121"/>
        <v>N/A</v>
      </c>
      <c r="M358" t="str">
        <f t="shared" si="122"/>
        <v>N/A</v>
      </c>
      <c r="N358" t="str">
        <f t="shared" si="123"/>
        <v>N/A</v>
      </c>
      <c r="V358">
        <f>SUM(V356:V357)</f>
        <v>5</v>
      </c>
      <c r="W358">
        <f>SUM(W356:W357)</f>
        <v>5</v>
      </c>
      <c r="X358">
        <f>SUM(X356:X357)</f>
        <v>13</v>
      </c>
      <c r="Y358">
        <f>SUM(Y356:Y357)</f>
        <v>4</v>
      </c>
      <c r="Z358">
        <f>SUM(Z356:Z357)</f>
        <v>4</v>
      </c>
    </row>
    <row r="359" spans="1:29" x14ac:dyDescent="0.3">
      <c r="A359" s="1">
        <v>4</v>
      </c>
      <c r="B359" t="s">
        <v>966</v>
      </c>
      <c r="C359" t="s">
        <v>967</v>
      </c>
      <c r="I359" t="str">
        <f t="shared" si="118"/>
        <v>N/A</v>
      </c>
      <c r="J359" t="str">
        <f t="shared" si="119"/>
        <v>N/A</v>
      </c>
      <c r="K359" t="str">
        <f t="shared" si="120"/>
        <v>N/A</v>
      </c>
      <c r="L359" t="str">
        <f t="shared" si="121"/>
        <v>N/A</v>
      </c>
      <c r="M359" t="str">
        <f t="shared" si="122"/>
        <v>N/A</v>
      </c>
      <c r="N359" t="str">
        <f t="shared" si="123"/>
        <v>N/A</v>
      </c>
    </row>
    <row r="360" spans="1:29" x14ac:dyDescent="0.3">
      <c r="A360" s="1">
        <v>5</v>
      </c>
      <c r="B360" t="s">
        <v>968</v>
      </c>
      <c r="C360" t="s">
        <v>969</v>
      </c>
      <c r="I360" t="str">
        <f t="shared" si="118"/>
        <v>N/A</v>
      </c>
      <c r="J360" t="str">
        <f t="shared" si="119"/>
        <v>N/A</v>
      </c>
      <c r="K360" t="str">
        <f t="shared" si="120"/>
        <v>N/A</v>
      </c>
      <c r="L360" t="str">
        <f t="shared" si="121"/>
        <v>N/A</v>
      </c>
      <c r="M360" t="str">
        <f t="shared" si="122"/>
        <v>N/A</v>
      </c>
      <c r="N360" t="str">
        <f t="shared" si="123"/>
        <v>N/A</v>
      </c>
      <c r="V360" t="str">
        <f>"Most Variable Year"</f>
        <v>Most Variable Year</v>
      </c>
      <c r="X360">
        <f>V144+MATCH(MAX(V358:Z358),V358:Z358,0)-1</f>
        <v>2014</v>
      </c>
    </row>
    <row r="361" spans="1:29" x14ac:dyDescent="0.3">
      <c r="I361" t="str">
        <f t="shared" ref="I361:I392" si="142">IF(AND(K361&gt; J361, L361&gt; K361, M361&gt; L361, N361&gt; M361), "pos_trend", IF(AND(K361&lt; J361, L361&lt; K361, M361&lt; L361, N361&lt; M361), "neg_trend", "N/A"))</f>
        <v>N/A</v>
      </c>
      <c r="J361" t="str">
        <f t="shared" ref="J361:J392" si="143">IFERROR(IF(TRIM(C361)="-", "N/A", IF(RIGHT(C361,1)=")",IF(RIGHT(C361,2)="T)",-1000000000000*VALUE(MID(C361,2,LEN(C361)-3)),IF(RIGHT(C361,2)="M)",-1000000*VALUE(MID(C361,2,LEN(C361)-3)),IF(RIGHT(C361,2)="B)",-1000000000*VALUE(MID(C361,2,LEN(C361)-3)),IF(RIGHT(C361,2)="k)",-1000*VALUE(MID(C361,2,LEN(C361)-3)),VALUE(SUBSTITUTE(C361,",","")))))),IF(RIGHT(C361,1)="T",1000000000000*VALUE(LEFT(C361,LEN(C361)-1)),IF(RIGHT(C361,1)="M",1000000*VALUE(LEFT(C361,LEN(C361)-1)),IF(RIGHT(C361,1)="B",1000000000*VALUE(LEFT(C361,LEN(C361)-1)),IF(RIGHT(C361,1)="%",0.01*VALUE(LEFT(C361,LEN(C361)-1)),IF(RIGHT(C361,1)="k",1000*VALUE(LEFT(C361,LEN(C361)-1)),VALUE(SUBSTITUTE(C361,",",""))))))))),"N/A")</f>
        <v>N/A</v>
      </c>
      <c r="K361" t="str">
        <f t="shared" ref="K361:K392" si="144">IFERROR(IF(TRIM(D361)="-", "N/A", IF(RIGHT(D361,1)=")",IF(RIGHT(D361,2)="T)",-1000000000000*VALUE(MID(D361,2,LEN(D361)-3)),IF(RIGHT(D361,2)="M)",-1000000*VALUE(MID(D361,2,LEN(D361)-3)),IF(RIGHT(D361,2)="B)",-1000000000*VALUE(MID(D361,2,LEN(D361)-3)),IF(RIGHT(D361,2)="k)",-1000*VALUE(MID(D361,2,LEN(D361)-3)),VALUE(SUBSTITUTE(D361,",","")))))),IF(RIGHT(D361,1)="T",1000000000000*VALUE(LEFT(D361,LEN(D361)-1)),IF(RIGHT(D361,1)="M",1000000*VALUE(LEFT(D361,LEN(D361)-1)),IF(RIGHT(D361,1)="B",1000000000*VALUE(LEFT(D361,LEN(D361)-1)),IF(RIGHT(D361,1)="%",0.01*VALUE(LEFT(D361,LEN(D361)-1)),IF(RIGHT(D361,1)="k",1000*VALUE(LEFT(D361,LEN(D361)-1)),VALUE(SUBSTITUTE(D361,",",""))))))))),"N/A")</f>
        <v>N/A</v>
      </c>
      <c r="L361" t="str">
        <f t="shared" ref="L361:L392" si="145">IFERROR(IF(TRIM(E361)="-", "N/A", IF(RIGHT(E361,1)=")",IF(RIGHT(E361,2)="T)",-1000000000000*VALUE(MID(E361,2,LEN(E361)-3)),IF(RIGHT(E361,2)="M)",-1000000*VALUE(MID(E361,2,LEN(E361)-3)),IF(RIGHT(E361,2)="B)",-1000000000*VALUE(MID(E361,2,LEN(E361)-3)),IF(RIGHT(E361,2)="k)",-1000*VALUE(MID(E361,2,LEN(E361)-3)),VALUE(SUBSTITUTE(E361,",","")))))),IF(RIGHT(E361,1)="T",1000000000000*VALUE(LEFT(E361,LEN(E361)-1)),IF(RIGHT(E361,1)="M",1000000*VALUE(LEFT(E361,LEN(E361)-1)),IF(RIGHT(E361,1)="B",1000000000*VALUE(LEFT(E361,LEN(E361)-1)),IF(RIGHT(E361,1)="%",0.01*VALUE(LEFT(E361,LEN(E361)-1)),IF(RIGHT(E361,1)="k",1000*VALUE(LEFT(E361,LEN(E361)-1)),VALUE(SUBSTITUTE(E361,",",""))))))))),"N/A")</f>
        <v>N/A</v>
      </c>
      <c r="M361" t="str">
        <f t="shared" ref="M361:M392" si="146">IFERROR(IF(TRIM(F361)="-", "N/A", IF(RIGHT(F361,1)=")",IF(RIGHT(F361,2)="T)",-1000000000000*VALUE(MID(F361,2,LEN(F361)-3)),IF(RIGHT(F361,2)="M)",-1000000*VALUE(MID(F361,2,LEN(F361)-3)),IF(RIGHT(F361,2)="B)",-1000000000*VALUE(MID(F361,2,LEN(F361)-3)),IF(RIGHT(F361,2)="k)",-1000*VALUE(MID(F361,2,LEN(F361)-3)),VALUE(SUBSTITUTE(F361,",","")))))),IF(RIGHT(F361,1)="T",1000000000000*VALUE(LEFT(F361,LEN(F361)-1)),IF(RIGHT(F361,1)="M",1000000*VALUE(LEFT(F361,LEN(F361)-1)),IF(RIGHT(F361,1)="B",1000000000*VALUE(LEFT(F361,LEN(F361)-1)),IF(RIGHT(F361,1)="%",0.01*VALUE(LEFT(F361,LEN(F361)-1)),IF(RIGHT(F361,1)="k",1000*VALUE(LEFT(F361,LEN(F361)-1)),VALUE(SUBSTITUTE(F361,",",""))))))))),"N/A")</f>
        <v>N/A</v>
      </c>
      <c r="N361" t="str">
        <f t="shared" ref="N361:N392" si="147">IFERROR(IF(TRIM(G361)="-", "N/A", IF(RIGHT(G361,1)=")",IF(RIGHT(G361,2)="T)",-1000000000000*VALUE(MID(G361,2,LEN(G361)-3)),IF(RIGHT(G361,2)="M)",-1000000*VALUE(MID(G361,2,LEN(G361)-3)),IF(RIGHT(G361,2)="B)",-1000000000*VALUE(MID(G361,2,LEN(G361)-3)),IF(RIGHT(G361,2)="k)",-1000*VALUE(MID(G361,2,LEN(G361)-3)),VALUE(SUBSTITUTE(G361,",","")))))),IF(RIGHT(G361,1)="T",1000000000000*VALUE(LEFT(G361,LEN(G361)-1)),IF(RIGHT(G361,1)="M",1000000*VALUE(LEFT(G361,LEN(G361)-1)),IF(RIGHT(G361,1)="B",1000000000*VALUE(LEFT(G361,LEN(G361)-1)),IF(RIGHT(G361,1)="%",0.01*VALUE(LEFT(G361,LEN(G361)-1)),IF(RIGHT(G361,1)="k",1000*VALUE(LEFT(G361,LEN(G361)-1)),VALUE(SUBSTITUTE(G361,",",""))))))))),"N/A")</f>
        <v>N/A</v>
      </c>
    </row>
    <row r="362" spans="1:29" x14ac:dyDescent="0.3">
      <c r="I362" t="str">
        <f t="shared" si="142"/>
        <v>N/A</v>
      </c>
      <c r="J362" t="str">
        <f t="shared" si="143"/>
        <v>N/A</v>
      </c>
      <c r="K362" t="str">
        <f t="shared" si="144"/>
        <v>N/A</v>
      </c>
      <c r="L362" t="str">
        <f t="shared" si="145"/>
        <v>N/A</v>
      </c>
      <c r="M362" t="str">
        <f t="shared" si="146"/>
        <v>N/A</v>
      </c>
      <c r="N362" t="str">
        <f t="shared" si="147"/>
        <v>N/A</v>
      </c>
    </row>
    <row r="363" spans="1:29" x14ac:dyDescent="0.3">
      <c r="A363" s="1">
        <v>0</v>
      </c>
      <c r="B363" t="s">
        <v>123</v>
      </c>
      <c r="C363" t="s">
        <v>970</v>
      </c>
      <c r="I363" t="str">
        <f t="shared" si="142"/>
        <v>N/A</v>
      </c>
      <c r="J363">
        <f t="shared" si="143"/>
        <v>4080000000</v>
      </c>
      <c r="K363" t="str">
        <f t="shared" si="144"/>
        <v>N/A</v>
      </c>
      <c r="L363" t="str">
        <f t="shared" si="145"/>
        <v>N/A</v>
      </c>
      <c r="M363" t="str">
        <f t="shared" si="146"/>
        <v>N/A</v>
      </c>
      <c r="N363" t="str">
        <f t="shared" si="147"/>
        <v>N/A</v>
      </c>
    </row>
    <row r="364" spans="1:29" x14ac:dyDescent="0.3">
      <c r="A364" s="1">
        <v>1</v>
      </c>
      <c r="B364" t="s">
        <v>124</v>
      </c>
      <c r="I364" t="str">
        <f t="shared" si="142"/>
        <v>N/A</v>
      </c>
      <c r="J364" t="str">
        <f t="shared" si="143"/>
        <v>N/A</v>
      </c>
      <c r="K364" t="str">
        <f t="shared" si="144"/>
        <v>N/A</v>
      </c>
      <c r="L364" t="str">
        <f t="shared" si="145"/>
        <v>N/A</v>
      </c>
      <c r="M364" t="str">
        <f t="shared" si="146"/>
        <v>N/A</v>
      </c>
      <c r="N364" t="str">
        <f t="shared" si="147"/>
        <v>N/A</v>
      </c>
    </row>
    <row r="365" spans="1:29" x14ac:dyDescent="0.3">
      <c r="A365" s="1">
        <v>2</v>
      </c>
      <c r="B365" t="s">
        <v>125</v>
      </c>
      <c r="C365" t="s">
        <v>971</v>
      </c>
      <c r="I365" t="str">
        <f t="shared" si="142"/>
        <v>N/A</v>
      </c>
      <c r="J365">
        <f t="shared" si="143"/>
        <v>11.78</v>
      </c>
      <c r="K365" t="str">
        <f t="shared" si="144"/>
        <v>N/A</v>
      </c>
      <c r="L365" t="str">
        <f t="shared" si="145"/>
        <v>N/A</v>
      </c>
      <c r="M365" t="str">
        <f t="shared" si="146"/>
        <v>N/A</v>
      </c>
      <c r="N365" t="str">
        <f t="shared" si="147"/>
        <v>N/A</v>
      </c>
    </row>
    <row r="366" spans="1:29" x14ac:dyDescent="0.3">
      <c r="A366" s="1">
        <v>3</v>
      </c>
      <c r="B366" t="s">
        <v>126</v>
      </c>
      <c r="C366" t="s">
        <v>972</v>
      </c>
      <c r="I366" t="str">
        <f t="shared" si="142"/>
        <v>N/A</v>
      </c>
      <c r="J366">
        <f t="shared" si="143"/>
        <v>9.74</v>
      </c>
      <c r="K366" t="str">
        <f t="shared" si="144"/>
        <v>N/A</v>
      </c>
      <c r="L366" t="str">
        <f t="shared" si="145"/>
        <v>N/A</v>
      </c>
      <c r="M366" t="str">
        <f t="shared" si="146"/>
        <v>N/A</v>
      </c>
      <c r="N366" t="str">
        <f t="shared" si="147"/>
        <v>N/A</v>
      </c>
    </row>
    <row r="367" spans="1:29" x14ac:dyDescent="0.3">
      <c r="A367" s="1">
        <v>4</v>
      </c>
      <c r="B367" t="s">
        <v>128</v>
      </c>
      <c r="C367" t="s">
        <v>973</v>
      </c>
      <c r="I367" t="str">
        <f t="shared" si="142"/>
        <v>N/A</v>
      </c>
      <c r="J367">
        <f t="shared" si="143"/>
        <v>0.84</v>
      </c>
      <c r="K367" t="str">
        <f t="shared" si="144"/>
        <v>N/A</v>
      </c>
      <c r="L367" t="str">
        <f t="shared" si="145"/>
        <v>N/A</v>
      </c>
      <c r="M367" t="str">
        <f t="shared" si="146"/>
        <v>N/A</v>
      </c>
      <c r="N367" t="str">
        <f t="shared" si="147"/>
        <v>N/A</v>
      </c>
    </row>
    <row r="368" spans="1:29" x14ac:dyDescent="0.3">
      <c r="A368" s="1">
        <v>5</v>
      </c>
      <c r="B368" t="s">
        <v>130</v>
      </c>
      <c r="C368" t="s">
        <v>974</v>
      </c>
      <c r="I368" t="str">
        <f t="shared" si="142"/>
        <v>N/A</v>
      </c>
      <c r="J368">
        <f t="shared" si="143"/>
        <v>2.84</v>
      </c>
      <c r="K368" t="str">
        <f t="shared" si="144"/>
        <v>N/A</v>
      </c>
      <c r="L368" t="str">
        <f t="shared" si="145"/>
        <v>N/A</v>
      </c>
      <c r="M368" t="str">
        <f t="shared" si="146"/>
        <v>N/A</v>
      </c>
      <c r="N368" t="str">
        <f t="shared" si="147"/>
        <v>N/A</v>
      </c>
    </row>
    <row r="369" spans="1:14" x14ac:dyDescent="0.3">
      <c r="A369" s="1">
        <v>6</v>
      </c>
      <c r="B369" t="s">
        <v>132</v>
      </c>
      <c r="C369" t="s">
        <v>975</v>
      </c>
      <c r="I369" t="str">
        <f t="shared" si="142"/>
        <v>N/A</v>
      </c>
      <c r="J369">
        <f t="shared" si="143"/>
        <v>1.18</v>
      </c>
      <c r="K369" t="str">
        <f t="shared" si="144"/>
        <v>N/A</v>
      </c>
      <c r="L369" t="str">
        <f t="shared" si="145"/>
        <v>N/A</v>
      </c>
      <c r="M369" t="str">
        <f t="shared" si="146"/>
        <v>N/A</v>
      </c>
      <c r="N369" t="str">
        <f t="shared" si="147"/>
        <v>N/A</v>
      </c>
    </row>
    <row r="370" spans="1:14" x14ac:dyDescent="0.3">
      <c r="A370" s="1">
        <v>7</v>
      </c>
      <c r="B370" t="s">
        <v>134</v>
      </c>
      <c r="I370" t="str">
        <f t="shared" si="142"/>
        <v>N/A</v>
      </c>
      <c r="J370" t="str">
        <f t="shared" si="143"/>
        <v>N/A</v>
      </c>
      <c r="K370" t="str">
        <f t="shared" si="144"/>
        <v>N/A</v>
      </c>
      <c r="L370" t="str">
        <f t="shared" si="145"/>
        <v>N/A</v>
      </c>
      <c r="M370" t="str">
        <f t="shared" si="146"/>
        <v>N/A</v>
      </c>
      <c r="N370" t="str">
        <f t="shared" si="147"/>
        <v>N/A</v>
      </c>
    </row>
    <row r="371" spans="1:14" x14ac:dyDescent="0.3">
      <c r="A371" s="1">
        <v>8</v>
      </c>
      <c r="B371" t="s">
        <v>135</v>
      </c>
      <c r="I371" t="str">
        <f t="shared" si="142"/>
        <v>N/A</v>
      </c>
      <c r="J371" t="str">
        <f t="shared" si="143"/>
        <v>N/A</v>
      </c>
      <c r="K371" t="str">
        <f t="shared" si="144"/>
        <v>N/A</v>
      </c>
      <c r="L371" t="str">
        <f t="shared" si="145"/>
        <v>N/A</v>
      </c>
      <c r="M371" t="str">
        <f t="shared" si="146"/>
        <v>N/A</v>
      </c>
      <c r="N371" t="str">
        <f t="shared" si="147"/>
        <v>N/A</v>
      </c>
    </row>
    <row r="372" spans="1:14" x14ac:dyDescent="0.3">
      <c r="I372" t="str">
        <f t="shared" si="142"/>
        <v>N/A</v>
      </c>
      <c r="J372" t="str">
        <f t="shared" si="143"/>
        <v>N/A</v>
      </c>
      <c r="K372" t="str">
        <f t="shared" si="144"/>
        <v>N/A</v>
      </c>
      <c r="L372" t="str">
        <f t="shared" si="145"/>
        <v>N/A</v>
      </c>
      <c r="M372" t="str">
        <f t="shared" si="146"/>
        <v>N/A</v>
      </c>
      <c r="N372" t="str">
        <f t="shared" si="147"/>
        <v>N/A</v>
      </c>
    </row>
    <row r="373" spans="1:14" x14ac:dyDescent="0.3">
      <c r="I373" t="str">
        <f t="shared" si="142"/>
        <v>N/A</v>
      </c>
      <c r="J373" t="str">
        <f t="shared" si="143"/>
        <v>N/A</v>
      </c>
      <c r="K373" t="str">
        <f t="shared" si="144"/>
        <v>N/A</v>
      </c>
      <c r="L373" t="str">
        <f t="shared" si="145"/>
        <v>N/A</v>
      </c>
      <c r="M373" t="str">
        <f t="shared" si="146"/>
        <v>N/A</v>
      </c>
      <c r="N373" t="str">
        <f t="shared" si="147"/>
        <v>N/A</v>
      </c>
    </row>
    <row r="374" spans="1:14" x14ac:dyDescent="0.3">
      <c r="A374" s="1">
        <v>0</v>
      </c>
      <c r="B374" t="s">
        <v>123</v>
      </c>
      <c r="C374" t="s">
        <v>976</v>
      </c>
      <c r="I374" t="str">
        <f t="shared" si="142"/>
        <v>N/A</v>
      </c>
      <c r="J374">
        <f t="shared" si="143"/>
        <v>1820000000</v>
      </c>
      <c r="K374" t="str">
        <f t="shared" si="144"/>
        <v>N/A</v>
      </c>
      <c r="L374" t="str">
        <f t="shared" si="145"/>
        <v>N/A</v>
      </c>
      <c r="M374" t="str">
        <f t="shared" si="146"/>
        <v>N/A</v>
      </c>
      <c r="N374" t="str">
        <f t="shared" si="147"/>
        <v>N/A</v>
      </c>
    </row>
    <row r="375" spans="1:14" x14ac:dyDescent="0.3">
      <c r="A375" s="1">
        <v>1</v>
      </c>
      <c r="B375" t="s">
        <v>124</v>
      </c>
      <c r="I375" t="str">
        <f t="shared" si="142"/>
        <v>N/A</v>
      </c>
      <c r="J375" t="str">
        <f t="shared" si="143"/>
        <v>N/A</v>
      </c>
      <c r="K375" t="str">
        <f t="shared" si="144"/>
        <v>N/A</v>
      </c>
      <c r="L375" t="str">
        <f t="shared" si="145"/>
        <v>N/A</v>
      </c>
      <c r="M375" t="str">
        <f t="shared" si="146"/>
        <v>N/A</v>
      </c>
      <c r="N375" t="str">
        <f t="shared" si="147"/>
        <v>N/A</v>
      </c>
    </row>
    <row r="376" spans="1:14" x14ac:dyDescent="0.3">
      <c r="A376" s="1">
        <v>2</v>
      </c>
      <c r="B376" t="s">
        <v>125</v>
      </c>
      <c r="C376" t="s">
        <v>977</v>
      </c>
      <c r="I376" t="str">
        <f t="shared" si="142"/>
        <v>N/A</v>
      </c>
      <c r="J376">
        <f t="shared" si="143"/>
        <v>11.59</v>
      </c>
      <c r="K376" t="str">
        <f t="shared" si="144"/>
        <v>N/A</v>
      </c>
      <c r="L376" t="str">
        <f t="shared" si="145"/>
        <v>N/A</v>
      </c>
      <c r="M376" t="str">
        <f t="shared" si="146"/>
        <v>N/A</v>
      </c>
      <c r="N376" t="str">
        <f t="shared" si="147"/>
        <v>N/A</v>
      </c>
    </row>
    <row r="377" spans="1:14" x14ac:dyDescent="0.3">
      <c r="A377" s="1">
        <v>3</v>
      </c>
      <c r="B377" t="s">
        <v>126</v>
      </c>
      <c r="C377" t="s">
        <v>978</v>
      </c>
      <c r="I377" t="str">
        <f t="shared" si="142"/>
        <v>N/A</v>
      </c>
      <c r="J377">
        <f t="shared" si="143"/>
        <v>9.5299999999999994</v>
      </c>
      <c r="K377" t="str">
        <f t="shared" si="144"/>
        <v>N/A</v>
      </c>
      <c r="L377" t="str">
        <f t="shared" si="145"/>
        <v>N/A</v>
      </c>
      <c r="M377" t="str">
        <f t="shared" si="146"/>
        <v>N/A</v>
      </c>
      <c r="N377" t="str">
        <f t="shared" si="147"/>
        <v>N/A</v>
      </c>
    </row>
    <row r="378" spans="1:14" x14ac:dyDescent="0.3">
      <c r="A378" s="1">
        <v>4</v>
      </c>
      <c r="B378" t="s">
        <v>128</v>
      </c>
      <c r="C378" t="s">
        <v>172</v>
      </c>
      <c r="I378" t="str">
        <f t="shared" si="142"/>
        <v>N/A</v>
      </c>
      <c r="J378">
        <f t="shared" si="143"/>
        <v>2.0699999999999998</v>
      </c>
      <c r="K378" t="str">
        <f t="shared" si="144"/>
        <v>N/A</v>
      </c>
      <c r="L378" t="str">
        <f t="shared" si="145"/>
        <v>N/A</v>
      </c>
      <c r="M378" t="str">
        <f t="shared" si="146"/>
        <v>N/A</v>
      </c>
      <c r="N378" t="str">
        <f t="shared" si="147"/>
        <v>N/A</v>
      </c>
    </row>
    <row r="379" spans="1:14" x14ac:dyDescent="0.3">
      <c r="A379" s="1">
        <v>5</v>
      </c>
      <c r="B379" t="s">
        <v>130</v>
      </c>
      <c r="C379" t="s">
        <v>979</v>
      </c>
      <c r="I379" t="str">
        <f t="shared" si="142"/>
        <v>N/A</v>
      </c>
      <c r="J379">
        <f t="shared" si="143"/>
        <v>2.31</v>
      </c>
      <c r="K379" t="str">
        <f t="shared" si="144"/>
        <v>N/A</v>
      </c>
      <c r="L379" t="str">
        <f t="shared" si="145"/>
        <v>N/A</v>
      </c>
      <c r="M379" t="str">
        <f t="shared" si="146"/>
        <v>N/A</v>
      </c>
      <c r="N379" t="str">
        <f t="shared" si="147"/>
        <v>N/A</v>
      </c>
    </row>
    <row r="380" spans="1:14" x14ac:dyDescent="0.3">
      <c r="A380" s="1">
        <v>6</v>
      </c>
      <c r="B380" t="s">
        <v>132</v>
      </c>
      <c r="C380" t="s">
        <v>980</v>
      </c>
      <c r="I380" t="str">
        <f t="shared" si="142"/>
        <v>N/A</v>
      </c>
      <c r="J380">
        <f t="shared" si="143"/>
        <v>0.98</v>
      </c>
      <c r="K380" t="str">
        <f t="shared" si="144"/>
        <v>N/A</v>
      </c>
      <c r="L380" t="str">
        <f t="shared" si="145"/>
        <v>N/A</v>
      </c>
      <c r="M380" t="str">
        <f t="shared" si="146"/>
        <v>N/A</v>
      </c>
      <c r="N380" t="str">
        <f t="shared" si="147"/>
        <v>N/A</v>
      </c>
    </row>
    <row r="381" spans="1:14" x14ac:dyDescent="0.3">
      <c r="A381" s="1">
        <v>7</v>
      </c>
      <c r="B381" t="s">
        <v>134</v>
      </c>
      <c r="I381" t="str">
        <f t="shared" si="142"/>
        <v>N/A</v>
      </c>
      <c r="J381" t="str">
        <f t="shared" si="143"/>
        <v>N/A</v>
      </c>
      <c r="K381" t="str">
        <f t="shared" si="144"/>
        <v>N/A</v>
      </c>
      <c r="L381" t="str">
        <f t="shared" si="145"/>
        <v>N/A</v>
      </c>
      <c r="M381" t="str">
        <f t="shared" si="146"/>
        <v>N/A</v>
      </c>
      <c r="N381" t="str">
        <f t="shared" si="147"/>
        <v>N/A</v>
      </c>
    </row>
    <row r="382" spans="1:14" x14ac:dyDescent="0.3">
      <c r="A382" s="1">
        <v>8</v>
      </c>
      <c r="B382" t="s">
        <v>135</v>
      </c>
      <c r="I382" t="str">
        <f t="shared" si="142"/>
        <v>N/A</v>
      </c>
      <c r="J382" t="str">
        <f t="shared" si="143"/>
        <v>N/A</v>
      </c>
      <c r="K382" t="str">
        <f t="shared" si="144"/>
        <v>N/A</v>
      </c>
      <c r="L382" t="str">
        <f t="shared" si="145"/>
        <v>N/A</v>
      </c>
      <c r="M382" t="str">
        <f t="shared" si="146"/>
        <v>N/A</v>
      </c>
      <c r="N382" t="str">
        <f t="shared" si="147"/>
        <v>N/A</v>
      </c>
    </row>
    <row r="383" spans="1:14" x14ac:dyDescent="0.3">
      <c r="I383" t="str">
        <f t="shared" si="142"/>
        <v>N/A</v>
      </c>
      <c r="J383" t="str">
        <f t="shared" si="143"/>
        <v>N/A</v>
      </c>
      <c r="K383" t="str">
        <f t="shared" si="144"/>
        <v>N/A</v>
      </c>
      <c r="L383" t="str">
        <f t="shared" si="145"/>
        <v>N/A</v>
      </c>
      <c r="M383" t="str">
        <f t="shared" si="146"/>
        <v>N/A</v>
      </c>
      <c r="N383" t="str">
        <f t="shared" si="147"/>
        <v>N/A</v>
      </c>
    </row>
    <row r="384" spans="1:14" x14ac:dyDescent="0.3">
      <c r="I384" t="str">
        <f t="shared" si="142"/>
        <v>N/A</v>
      </c>
      <c r="J384" t="str">
        <f t="shared" si="143"/>
        <v>N/A</v>
      </c>
      <c r="K384" t="str">
        <f t="shared" si="144"/>
        <v>N/A</v>
      </c>
      <c r="L384" t="str">
        <f t="shared" si="145"/>
        <v>N/A</v>
      </c>
      <c r="M384" t="str">
        <f t="shared" si="146"/>
        <v>N/A</v>
      </c>
      <c r="N384" t="str">
        <f t="shared" si="147"/>
        <v>N/A</v>
      </c>
    </row>
    <row r="385" spans="1:14" x14ac:dyDescent="0.3">
      <c r="A385" s="1">
        <v>0</v>
      </c>
      <c r="B385" t="s">
        <v>123</v>
      </c>
      <c r="C385" t="s">
        <v>981</v>
      </c>
      <c r="I385" t="str">
        <f t="shared" si="142"/>
        <v>N/A</v>
      </c>
      <c r="J385">
        <f t="shared" si="143"/>
        <v>2400000000</v>
      </c>
      <c r="K385" t="str">
        <f t="shared" si="144"/>
        <v>N/A</v>
      </c>
      <c r="L385" t="str">
        <f t="shared" si="145"/>
        <v>N/A</v>
      </c>
      <c r="M385" t="str">
        <f t="shared" si="146"/>
        <v>N/A</v>
      </c>
      <c r="N385" t="str">
        <f t="shared" si="147"/>
        <v>N/A</v>
      </c>
    </row>
    <row r="386" spans="1:14" x14ac:dyDescent="0.3">
      <c r="A386" s="1">
        <v>1</v>
      </c>
      <c r="B386" t="s">
        <v>124</v>
      </c>
      <c r="I386" t="str">
        <f t="shared" si="142"/>
        <v>N/A</v>
      </c>
      <c r="J386" t="str">
        <f t="shared" si="143"/>
        <v>N/A</v>
      </c>
      <c r="K386" t="str">
        <f t="shared" si="144"/>
        <v>N/A</v>
      </c>
      <c r="L386" t="str">
        <f t="shared" si="145"/>
        <v>N/A</v>
      </c>
      <c r="M386" t="str">
        <f t="shared" si="146"/>
        <v>N/A</v>
      </c>
      <c r="N386" t="str">
        <f t="shared" si="147"/>
        <v>N/A</v>
      </c>
    </row>
    <row r="387" spans="1:14" x14ac:dyDescent="0.3">
      <c r="A387" s="1">
        <v>2</v>
      </c>
      <c r="B387" t="s">
        <v>125</v>
      </c>
      <c r="C387" t="s">
        <v>982</v>
      </c>
      <c r="I387" t="str">
        <f t="shared" si="142"/>
        <v>N/A</v>
      </c>
      <c r="J387">
        <f t="shared" si="143"/>
        <v>10.1</v>
      </c>
      <c r="K387" t="str">
        <f t="shared" si="144"/>
        <v>N/A</v>
      </c>
      <c r="L387" t="str">
        <f t="shared" si="145"/>
        <v>N/A</v>
      </c>
      <c r="M387" t="str">
        <f t="shared" si="146"/>
        <v>N/A</v>
      </c>
      <c r="N387" t="str">
        <f t="shared" si="147"/>
        <v>N/A</v>
      </c>
    </row>
    <row r="388" spans="1:14" x14ac:dyDescent="0.3">
      <c r="A388" s="1">
        <v>3</v>
      </c>
      <c r="B388" t="s">
        <v>126</v>
      </c>
      <c r="C388" t="s">
        <v>983</v>
      </c>
      <c r="I388" t="str">
        <f t="shared" si="142"/>
        <v>N/A</v>
      </c>
      <c r="J388">
        <f t="shared" si="143"/>
        <v>14.67</v>
      </c>
      <c r="K388" t="str">
        <f t="shared" si="144"/>
        <v>N/A</v>
      </c>
      <c r="L388" t="str">
        <f t="shared" si="145"/>
        <v>N/A</v>
      </c>
      <c r="M388" t="str">
        <f t="shared" si="146"/>
        <v>N/A</v>
      </c>
      <c r="N388" t="str">
        <f t="shared" si="147"/>
        <v>N/A</v>
      </c>
    </row>
    <row r="389" spans="1:14" x14ac:dyDescent="0.3">
      <c r="A389" s="1">
        <v>4</v>
      </c>
      <c r="B389" t="s">
        <v>128</v>
      </c>
      <c r="C389" t="s">
        <v>984</v>
      </c>
      <c r="I389" t="str">
        <f t="shared" si="142"/>
        <v>N/A</v>
      </c>
      <c r="J389">
        <f t="shared" si="143"/>
        <v>0.91</v>
      </c>
      <c r="K389" t="str">
        <f t="shared" si="144"/>
        <v>N/A</v>
      </c>
      <c r="L389" t="str">
        <f t="shared" si="145"/>
        <v>N/A</v>
      </c>
      <c r="M389" t="str">
        <f t="shared" si="146"/>
        <v>N/A</v>
      </c>
      <c r="N389" t="str">
        <f t="shared" si="147"/>
        <v>N/A</v>
      </c>
    </row>
    <row r="390" spans="1:14" x14ac:dyDescent="0.3">
      <c r="A390" s="1">
        <v>5</v>
      </c>
      <c r="B390" t="s">
        <v>130</v>
      </c>
      <c r="C390" t="s">
        <v>985</v>
      </c>
      <c r="I390" t="str">
        <f t="shared" si="142"/>
        <v>N/A</v>
      </c>
      <c r="J390">
        <f t="shared" si="143"/>
        <v>1.73</v>
      </c>
      <c r="K390" t="str">
        <f t="shared" si="144"/>
        <v>N/A</v>
      </c>
      <c r="L390" t="str">
        <f t="shared" si="145"/>
        <v>N/A</v>
      </c>
      <c r="M390" t="str">
        <f t="shared" si="146"/>
        <v>N/A</v>
      </c>
      <c r="N390" t="str">
        <f t="shared" si="147"/>
        <v>N/A</v>
      </c>
    </row>
    <row r="391" spans="1:14" x14ac:dyDescent="0.3">
      <c r="A391" s="1">
        <v>6</v>
      </c>
      <c r="B391" t="s">
        <v>132</v>
      </c>
      <c r="C391" t="s">
        <v>985</v>
      </c>
      <c r="I391" t="str">
        <f t="shared" si="142"/>
        <v>N/A</v>
      </c>
      <c r="J391">
        <f t="shared" si="143"/>
        <v>1.73</v>
      </c>
      <c r="K391" t="str">
        <f t="shared" si="144"/>
        <v>N/A</v>
      </c>
      <c r="L391" t="str">
        <f t="shared" si="145"/>
        <v>N/A</v>
      </c>
      <c r="M391" t="str">
        <f t="shared" si="146"/>
        <v>N/A</v>
      </c>
      <c r="N391" t="str">
        <f t="shared" si="147"/>
        <v>N/A</v>
      </c>
    </row>
    <row r="392" spans="1:14" x14ac:dyDescent="0.3">
      <c r="A392" s="1">
        <v>7</v>
      </c>
      <c r="B392" t="s">
        <v>134</v>
      </c>
      <c r="I392" t="str">
        <f t="shared" si="142"/>
        <v>N/A</v>
      </c>
      <c r="J392" t="str">
        <f t="shared" si="143"/>
        <v>N/A</v>
      </c>
      <c r="K392" t="str">
        <f t="shared" si="144"/>
        <v>N/A</v>
      </c>
      <c r="L392" t="str">
        <f t="shared" si="145"/>
        <v>N/A</v>
      </c>
      <c r="M392" t="str">
        <f t="shared" si="146"/>
        <v>N/A</v>
      </c>
      <c r="N392" t="str">
        <f t="shared" si="147"/>
        <v>N/A</v>
      </c>
    </row>
    <row r="393" spans="1:14" x14ac:dyDescent="0.3">
      <c r="A393" s="1">
        <v>8</v>
      </c>
      <c r="B393" t="s">
        <v>135</v>
      </c>
      <c r="I393" t="str">
        <f t="shared" ref="I393:I424" si="148">IF(AND(K393&gt; J393, L393&gt; K393, M393&gt; L393, N393&gt; M393), "pos_trend", IF(AND(K393&lt; J393, L393&lt; K393, M393&lt; L393, N393&lt; M393), "neg_trend", "N/A"))</f>
        <v>N/A</v>
      </c>
      <c r="J393" t="str">
        <f t="shared" ref="J393:J399" si="149">IFERROR(IF(TRIM(C393)="-", "N/A", IF(RIGHT(C393,1)=")",IF(RIGHT(C393,2)="T)",-1000000000000*VALUE(MID(C393,2,LEN(C393)-3)),IF(RIGHT(C393,2)="M)",-1000000*VALUE(MID(C393,2,LEN(C393)-3)),IF(RIGHT(C393,2)="B)",-1000000000*VALUE(MID(C393,2,LEN(C393)-3)),IF(RIGHT(C393,2)="k)",-1000*VALUE(MID(C393,2,LEN(C393)-3)),VALUE(SUBSTITUTE(C393,",","")))))),IF(RIGHT(C393,1)="T",1000000000000*VALUE(LEFT(C393,LEN(C393)-1)),IF(RIGHT(C393,1)="M",1000000*VALUE(LEFT(C393,LEN(C393)-1)),IF(RIGHT(C393,1)="B",1000000000*VALUE(LEFT(C393,LEN(C393)-1)),IF(RIGHT(C393,1)="%",0.01*VALUE(LEFT(C393,LEN(C393)-1)),IF(RIGHT(C393,1)="k",1000*VALUE(LEFT(C393,LEN(C393)-1)),VALUE(SUBSTITUTE(C393,",",""))))))))),"N/A")</f>
        <v>N/A</v>
      </c>
      <c r="K393" t="str">
        <f t="shared" ref="K393:K399" si="150">IFERROR(IF(TRIM(D393)="-", "N/A", IF(RIGHT(D393,1)=")",IF(RIGHT(D393,2)="T)",-1000000000000*VALUE(MID(D393,2,LEN(D393)-3)),IF(RIGHT(D393,2)="M)",-1000000*VALUE(MID(D393,2,LEN(D393)-3)),IF(RIGHT(D393,2)="B)",-1000000000*VALUE(MID(D393,2,LEN(D393)-3)),IF(RIGHT(D393,2)="k)",-1000*VALUE(MID(D393,2,LEN(D393)-3)),VALUE(SUBSTITUTE(D393,",","")))))),IF(RIGHT(D393,1)="T",1000000000000*VALUE(LEFT(D393,LEN(D393)-1)),IF(RIGHT(D393,1)="M",1000000*VALUE(LEFT(D393,LEN(D393)-1)),IF(RIGHT(D393,1)="B",1000000000*VALUE(LEFT(D393,LEN(D393)-1)),IF(RIGHT(D393,1)="%",0.01*VALUE(LEFT(D393,LEN(D393)-1)),IF(RIGHT(D393,1)="k",1000*VALUE(LEFT(D393,LEN(D393)-1)),VALUE(SUBSTITUTE(D393,",",""))))))))),"N/A")</f>
        <v>N/A</v>
      </c>
      <c r="L393" t="str">
        <f t="shared" ref="L393:L399" si="151">IFERROR(IF(TRIM(E393)="-", "N/A", IF(RIGHT(E393,1)=")",IF(RIGHT(E393,2)="T)",-1000000000000*VALUE(MID(E393,2,LEN(E393)-3)),IF(RIGHT(E393,2)="M)",-1000000*VALUE(MID(E393,2,LEN(E393)-3)),IF(RIGHT(E393,2)="B)",-1000000000*VALUE(MID(E393,2,LEN(E393)-3)),IF(RIGHT(E393,2)="k)",-1000*VALUE(MID(E393,2,LEN(E393)-3)),VALUE(SUBSTITUTE(E393,",","")))))),IF(RIGHT(E393,1)="T",1000000000000*VALUE(LEFT(E393,LEN(E393)-1)),IF(RIGHT(E393,1)="M",1000000*VALUE(LEFT(E393,LEN(E393)-1)),IF(RIGHT(E393,1)="B",1000000000*VALUE(LEFT(E393,LEN(E393)-1)),IF(RIGHT(E393,1)="%",0.01*VALUE(LEFT(E393,LEN(E393)-1)),IF(RIGHT(E393,1)="k",1000*VALUE(LEFT(E393,LEN(E393)-1)),VALUE(SUBSTITUTE(E393,",",""))))))))),"N/A")</f>
        <v>N/A</v>
      </c>
      <c r="M393" t="str">
        <f t="shared" ref="M393:M399" si="152">IFERROR(IF(TRIM(F393)="-", "N/A", IF(RIGHT(F393,1)=")",IF(RIGHT(F393,2)="T)",-1000000000000*VALUE(MID(F393,2,LEN(F393)-3)),IF(RIGHT(F393,2)="M)",-1000000*VALUE(MID(F393,2,LEN(F393)-3)),IF(RIGHT(F393,2)="B)",-1000000000*VALUE(MID(F393,2,LEN(F393)-3)),IF(RIGHT(F393,2)="k)",-1000*VALUE(MID(F393,2,LEN(F393)-3)),VALUE(SUBSTITUTE(F393,",","")))))),IF(RIGHT(F393,1)="T",1000000000000*VALUE(LEFT(F393,LEN(F393)-1)),IF(RIGHT(F393,1)="M",1000000*VALUE(LEFT(F393,LEN(F393)-1)),IF(RIGHT(F393,1)="B",1000000000*VALUE(LEFT(F393,LEN(F393)-1)),IF(RIGHT(F393,1)="%",0.01*VALUE(LEFT(F393,LEN(F393)-1)),IF(RIGHT(F393,1)="k",1000*VALUE(LEFT(F393,LEN(F393)-1)),VALUE(SUBSTITUTE(F393,",",""))))))))),"N/A")</f>
        <v>N/A</v>
      </c>
      <c r="N393" t="str">
        <f t="shared" ref="N393:N399" si="153">IFERROR(IF(TRIM(G393)="-", "N/A", IF(RIGHT(G393,1)=")",IF(RIGHT(G393,2)="T)",-1000000000000*VALUE(MID(G393,2,LEN(G393)-3)),IF(RIGHT(G393,2)="M)",-1000000*VALUE(MID(G393,2,LEN(G393)-3)),IF(RIGHT(G393,2)="B)",-1000000000*VALUE(MID(G393,2,LEN(G393)-3)),IF(RIGHT(G393,2)="k)",-1000*VALUE(MID(G393,2,LEN(G393)-3)),VALUE(SUBSTITUTE(G393,",","")))))),IF(RIGHT(G393,1)="T",1000000000000*VALUE(LEFT(G393,LEN(G393)-1)),IF(RIGHT(G393,1)="M",1000000*VALUE(LEFT(G393,LEN(G393)-1)),IF(RIGHT(G393,1)="B",1000000000*VALUE(LEFT(G393,LEN(G393)-1)),IF(RIGHT(G393,1)="%",0.01*VALUE(LEFT(G393,LEN(G393)-1)),IF(RIGHT(G393,1)="k",1000*VALUE(LEFT(G393,LEN(G393)-1)),VALUE(SUBSTITUTE(G393,",",""))))))))),"N/A")</f>
        <v>N/A</v>
      </c>
    </row>
    <row r="394" spans="1:14" x14ac:dyDescent="0.3">
      <c r="I394" t="str">
        <f t="shared" si="148"/>
        <v>N/A</v>
      </c>
      <c r="J394" t="str">
        <f t="shared" si="149"/>
        <v>N/A</v>
      </c>
      <c r="K394" t="str">
        <f t="shared" si="150"/>
        <v>N/A</v>
      </c>
      <c r="L394" t="str">
        <f t="shared" si="151"/>
        <v>N/A</v>
      </c>
      <c r="M394" t="str">
        <f t="shared" si="152"/>
        <v>N/A</v>
      </c>
      <c r="N394" t="str">
        <f t="shared" si="153"/>
        <v>N/A</v>
      </c>
    </row>
    <row r="395" spans="1:14" x14ac:dyDescent="0.3">
      <c r="I395" t="str">
        <f t="shared" si="148"/>
        <v>N/A</v>
      </c>
      <c r="J395" t="str">
        <f t="shared" si="149"/>
        <v>N/A</v>
      </c>
      <c r="K395" t="str">
        <f t="shared" si="150"/>
        <v>N/A</v>
      </c>
      <c r="L395" t="str">
        <f t="shared" si="151"/>
        <v>N/A</v>
      </c>
      <c r="M395" t="str">
        <f t="shared" si="152"/>
        <v>N/A</v>
      </c>
      <c r="N395" t="str">
        <f t="shared" si="153"/>
        <v>N/A</v>
      </c>
    </row>
    <row r="396" spans="1:14" x14ac:dyDescent="0.3">
      <c r="A396" s="1">
        <v>0</v>
      </c>
      <c r="B396" t="s">
        <v>123</v>
      </c>
      <c r="C396" t="s">
        <v>986</v>
      </c>
      <c r="I396" t="str">
        <f t="shared" si="148"/>
        <v>N/A</v>
      </c>
      <c r="J396">
        <f t="shared" si="149"/>
        <v>2720000000</v>
      </c>
      <c r="K396" t="str">
        <f t="shared" si="150"/>
        <v>N/A</v>
      </c>
      <c r="L396" t="str">
        <f t="shared" si="151"/>
        <v>N/A</v>
      </c>
      <c r="M396" t="str">
        <f t="shared" si="152"/>
        <v>N/A</v>
      </c>
      <c r="N396" t="str">
        <f t="shared" si="153"/>
        <v>N/A</v>
      </c>
    </row>
    <row r="397" spans="1:14" x14ac:dyDescent="0.3">
      <c r="A397" s="1">
        <v>1</v>
      </c>
      <c r="B397" t="s">
        <v>124</v>
      </c>
      <c r="I397" t="str">
        <f t="shared" si="148"/>
        <v>N/A</v>
      </c>
      <c r="J397" t="str">
        <f t="shared" si="149"/>
        <v>N/A</v>
      </c>
      <c r="K397" t="str">
        <f t="shared" si="150"/>
        <v>N/A</v>
      </c>
      <c r="L397" t="str">
        <f t="shared" si="151"/>
        <v>N/A</v>
      </c>
      <c r="M397" t="str">
        <f t="shared" si="152"/>
        <v>N/A</v>
      </c>
      <c r="N397" t="str">
        <f t="shared" si="153"/>
        <v>N/A</v>
      </c>
    </row>
    <row r="398" spans="1:14" x14ac:dyDescent="0.3">
      <c r="A398" s="1">
        <v>2</v>
      </c>
      <c r="B398" t="s">
        <v>125</v>
      </c>
      <c r="C398" t="s">
        <v>987</v>
      </c>
      <c r="I398" t="str">
        <f t="shared" si="148"/>
        <v>N/A</v>
      </c>
      <c r="J398">
        <f t="shared" si="149"/>
        <v>37.75</v>
      </c>
      <c r="K398" t="str">
        <f t="shared" si="150"/>
        <v>N/A</v>
      </c>
      <c r="L398" t="str">
        <f t="shared" si="151"/>
        <v>N/A</v>
      </c>
      <c r="M398" t="str">
        <f t="shared" si="152"/>
        <v>N/A</v>
      </c>
      <c r="N398" t="str">
        <f t="shared" si="153"/>
        <v>N/A</v>
      </c>
    </row>
    <row r="399" spans="1:14" x14ac:dyDescent="0.3">
      <c r="A399" s="1">
        <v>3</v>
      </c>
      <c r="B399" t="s">
        <v>126</v>
      </c>
      <c r="C399" t="s">
        <v>988</v>
      </c>
      <c r="I399" t="str">
        <f t="shared" si="148"/>
        <v>N/A</v>
      </c>
      <c r="J399">
        <f t="shared" si="149"/>
        <v>11.33</v>
      </c>
      <c r="K399" t="str">
        <f t="shared" si="150"/>
        <v>N/A</v>
      </c>
      <c r="L399" t="str">
        <f t="shared" si="151"/>
        <v>N/A</v>
      </c>
      <c r="M399" t="str">
        <f t="shared" si="152"/>
        <v>N/A</v>
      </c>
      <c r="N399" t="str">
        <f t="shared" si="153"/>
        <v>N/A</v>
      </c>
    </row>
    <row r="400" spans="1:14" x14ac:dyDescent="0.3">
      <c r="A400" s="1">
        <v>4</v>
      </c>
      <c r="B400" t="s">
        <v>128</v>
      </c>
      <c r="C400" t="s">
        <v>989</v>
      </c>
    </row>
    <row r="401" spans="1:3" x14ac:dyDescent="0.3">
      <c r="A401" s="1">
        <v>5</v>
      </c>
      <c r="B401" t="s">
        <v>130</v>
      </c>
    </row>
    <row r="402" spans="1:3" x14ac:dyDescent="0.3">
      <c r="A402" s="1">
        <v>6</v>
      </c>
      <c r="B402" t="s">
        <v>132</v>
      </c>
      <c r="C402" t="s">
        <v>990</v>
      </c>
    </row>
    <row r="403" spans="1:3" x14ac:dyDescent="0.3">
      <c r="A403" s="1">
        <v>7</v>
      </c>
      <c r="B403" t="s">
        <v>134</v>
      </c>
    </row>
    <row r="404" spans="1:3" x14ac:dyDescent="0.3">
      <c r="A404" s="1">
        <v>8</v>
      </c>
      <c r="B404" t="s">
        <v>135</v>
      </c>
    </row>
    <row r="448" spans="52:52" x14ac:dyDescent="0.3">
      <c r="AZ448" t="str">
        <f>"Compile Facts"</f>
        <v>Compile Facts</v>
      </c>
    </row>
    <row r="450" spans="2:53" x14ac:dyDescent="0.3">
      <c r="B450" t="str">
        <f>"ROIC Super Tree"</f>
        <v>ROIC Super Tree</v>
      </c>
      <c r="AZ450" t="str">
        <f t="shared" ref="AZ450:BA453" si="154">I519</f>
        <v>Max SD</v>
      </c>
      <c r="BA450">
        <f t="shared" ca="1" si="154"/>
        <v>9.0713940722776901E-2</v>
      </c>
    </row>
    <row r="451" spans="2:53" x14ac:dyDescent="0.3">
      <c r="AZ451" t="str">
        <f t="shared" si="154"/>
        <v>Max SD Item</v>
      </c>
      <c r="BA451" t="str">
        <f t="shared" ca="1" si="154"/>
        <v>Intangibles / Sales</v>
      </c>
    </row>
    <row r="452" spans="2:53" x14ac:dyDescent="0.3">
      <c r="AK452" t="str">
        <f>"Change in Gross Margin / Sales"</f>
        <v>Change in Gross Margin / Sales</v>
      </c>
      <c r="AZ452" t="str">
        <f t="shared" si="154"/>
        <v>Min SD</v>
      </c>
      <c r="BA452">
        <f t="shared" ca="1" si="154"/>
        <v>2.776260896582723E-3</v>
      </c>
    </row>
    <row r="453" spans="2:53" x14ac:dyDescent="0.3">
      <c r="X453" t="str">
        <f>"Gross Margin"</f>
        <v>Gross Margin</v>
      </c>
      <c r="AK453" t="str">
        <f>K476</f>
        <v>12-13</v>
      </c>
      <c r="AL453" t="str">
        <f>L476</f>
        <v>13-14</v>
      </c>
      <c r="AM453" t="str">
        <f>M476</f>
        <v>14-15</v>
      </c>
      <c r="AN453" t="str">
        <f>N476</f>
        <v>15-16</v>
      </c>
      <c r="AZ453" t="str">
        <f t="shared" si="154"/>
        <v>Min SD Item</v>
      </c>
      <c r="BA453" t="str">
        <f t="shared" ca="1" si="154"/>
        <v>Depreciation / Sales</v>
      </c>
    </row>
    <row r="454" spans="2:53" x14ac:dyDescent="0.3">
      <c r="X454" t="str">
        <f>D476</f>
        <v>2012</v>
      </c>
      <c r="Y454" t="str">
        <f>E476</f>
        <v>2013</v>
      </c>
      <c r="Z454" t="str">
        <f>F476</f>
        <v>2014</v>
      </c>
      <c r="AA454" t="str">
        <f>G476</f>
        <v>2015</v>
      </c>
      <c r="AB454" t="str">
        <f>H476</f>
        <v>2016</v>
      </c>
      <c r="AK454">
        <f ca="1">Y455-X455</f>
        <v>1.5614268977497625E-2</v>
      </c>
      <c r="AL454">
        <f ca="1">Z455-Y455</f>
        <v>-4.4743398106626808E-2</v>
      </c>
      <c r="AM454">
        <f ca="1">AA455-Z455</f>
        <v>-1.4046121593291383E-2</v>
      </c>
      <c r="AN454">
        <f ca="1">AB455-AA455</f>
        <v>1.7927467230940963E-3</v>
      </c>
    </row>
    <row r="455" spans="2:53" x14ac:dyDescent="0.3">
      <c r="X455">
        <f ca="1">IFERROR((INDIRECT("J" &amp; MATCH("Gross Income",B145:B403,0) +144))/(INDIRECT("J" &amp; MATCH("Sales/Revenue",B145:B403,0) +144)), IFERROR((1 - (INDIRECT("J" &amp; MATCH("Cost of Goods Sold*",B145:B403,0) +144))/(INDIRECT("J" &amp; MATCH("Sales/Revenue",B145:B403,0) +144))),(INDIRECT("J" &amp; MATCH("Operating Income",B145:B403,0) +144))/(INDIRECT("J" &amp; MATCH("Sales/Revenue",B145:B403,0) +144))))</f>
        <v>0.51801801801801806</v>
      </c>
      <c r="Y455">
        <f ca="1">IFERROR((INDIRECT("K" &amp; MATCH("Gross Income",B145:B403,0) +144))/(INDIRECT("K" &amp; MATCH("Sales/Revenue",B145:B403,0) +144)), IFERROR((1 - (INDIRECT("K" &amp; MATCH("Cost of Goods Sold*",B145:B403,0) +144))/(INDIRECT("K" &amp; MATCH("Sales/Revenue",B145:B403,0) +144))),(INDIRECT("K" &amp; MATCH("Operating Income",B145:B403,0) +144))/(INDIRECT("K" &amp; MATCH("Sales/Revenue",B145:B403,0) +144))))</f>
        <v>0.53363228699551568</v>
      </c>
      <c r="Z455">
        <f ca="1">IFERROR((INDIRECT("L" &amp; MATCH("Gross Income",B145:B403,0) +144))/(INDIRECT("L" &amp; MATCH("Sales/Revenue",B145:B403,0) +144)), IFERROR((1 - (INDIRECT("L" &amp; MATCH("Cost of Goods Sold*",B145:B403,0) +144))/(INDIRECT("L" &amp; MATCH("Sales/Revenue",B145:B403,0) +144))),(INDIRECT("L" &amp; MATCH("Operating Income",B145:B403,0) +144))/(INDIRECT("L" &amp; MATCH("Sales/Revenue",B145:B403,0) +144))))</f>
        <v>0.48888888888888887</v>
      </c>
      <c r="AA455">
        <f ca="1">IFERROR((INDIRECT("M" &amp; MATCH("Gross Income",B145:B403,0) +144))/(INDIRECT("M" &amp; MATCH("Sales/Revenue",B145:B403,0) +144)), IFERROR((1 - (INDIRECT("M" &amp; MATCH("Cost of Goods Sold*",B145:B403,0) +144))/(INDIRECT("M" &amp; MATCH("Sales/Revenue",B145:B403,0) +144))),(INDIRECT("M" &amp; MATCH("Operating Income",B145:B403,0) +144))/(INDIRECT("M" &amp; MATCH("Sales/Revenue",B145:B403,0) +144))))</f>
        <v>0.47484276729559749</v>
      </c>
      <c r="AB455">
        <f ca="1">IFERROR((INDIRECT("N" &amp; MATCH("Gross Income",B145:B403,0) +144))/(INDIRECT("N" &amp; MATCH("Sales/Revenue",B145:B403,0) +144)), IFERROR((1 - (INDIRECT("N" &amp; MATCH("Cost of Goods Sold*",B145:B403,0) +144))/(INDIRECT("N" &amp; MATCH("Sales/Revenue",B145:B403,0) +144))),(INDIRECT("N" &amp; MATCH("Operating Income",B145:B403,0) +144))/(INDIRECT("N" &amp; MATCH("Sales/Revenue",B145:B403,0) +144))))</f>
        <v>0.47663551401869159</v>
      </c>
      <c r="AK455" t="str">
        <f>"Max " &amp; AK452</f>
        <v>Max Change in Gross Margin / Sales</v>
      </c>
      <c r="AL455">
        <f ca="1">MAX(AK454:AN454)</f>
        <v>1.5614268977497625E-2</v>
      </c>
      <c r="AZ455" t="str">
        <f>"Item"</f>
        <v>Item</v>
      </c>
      <c r="BA455" t="str">
        <f>"Key Driver"</f>
        <v>Key Driver</v>
      </c>
    </row>
    <row r="456" spans="2:53" x14ac:dyDescent="0.3">
      <c r="X456" t="str">
        <f>"Max " &amp; X453</f>
        <v>Max Gross Margin</v>
      </c>
      <c r="Y456">
        <f ca="1">MAX(X455:AB455)</f>
        <v>0.53363228699551568</v>
      </c>
      <c r="AK456" t="str">
        <f>AK455 &amp; " Year"</f>
        <v>Max Change in Gross Margin / Sales Year</v>
      </c>
      <c r="AL456" t="str">
        <f ca="1">IF(MATCH(AL455,AK454:AN454,0)=1,AK453,IF(MATCH(AL455,AK454:AN454,0)=2,AL453,IF(MATCH(AL455,AK454:AN454,0)=3,AM453,AN453)))</f>
        <v>12-13</v>
      </c>
      <c r="AZ456" t="str">
        <f>C528</f>
        <v>Operating Margin</v>
      </c>
      <c r="BA456" t="str">
        <f ca="1">L528</f>
        <v>Depreciation / Sales</v>
      </c>
    </row>
    <row r="457" spans="2:53" x14ac:dyDescent="0.3">
      <c r="X457" t="str">
        <f>X456 &amp; " Year"</f>
        <v>Max Gross Margin Year</v>
      </c>
      <c r="Y457">
        <f ca="1">VALUE(X454)+MATCH(Y456,X455:AB455,0)-1</f>
        <v>2013</v>
      </c>
      <c r="AK457" t="str">
        <f>"Min " &amp; AK452</f>
        <v>Min Change in Gross Margin / Sales</v>
      </c>
      <c r="AL457">
        <f ca="1">MIN(AK454:AN454)</f>
        <v>-4.4743398106626808E-2</v>
      </c>
      <c r="AZ457" t="str">
        <f>C529</f>
        <v>Invested Capital / Sales</v>
      </c>
      <c r="BA457" t="str">
        <f ca="1">L529</f>
        <v>Intangibles / Sales</v>
      </c>
    </row>
    <row r="458" spans="2:53" x14ac:dyDescent="0.3">
      <c r="X458" t="str">
        <f>"Min " &amp; X453</f>
        <v>Min Gross Margin</v>
      </c>
      <c r="Y458">
        <f ca="1">MIN(X455:AB455)</f>
        <v>0.47484276729559749</v>
      </c>
      <c r="AK458" t="str">
        <f>AK457 &amp; " Year"</f>
        <v>Min Change in Gross Margin / Sales Year</v>
      </c>
      <c r="AL458" t="str">
        <f ca="1">IF(MATCH(AL457,AK454:AN454,0)=1,AK453,IF(MATCH(AL457,AK454:AN454,0)=2,AL453,IF(MATCH(AL457,AK454:AN454,0)=3,AM453,AN453)))</f>
        <v>13-14</v>
      </c>
    </row>
    <row r="459" spans="2:53" x14ac:dyDescent="0.3">
      <c r="X459" t="str">
        <f>X458 &amp; " Year"</f>
        <v>Min Gross Margin Year</v>
      </c>
      <c r="Y459">
        <f ca="1">VALUE(X454)+MATCH(Y458,X455:AB455,0)-1</f>
        <v>2015</v>
      </c>
      <c r="AZ459" t="str">
        <f ca="1">C540</f>
        <v>Max ROIC in same year as Max OM
. Min ROIC in same year as Min OM. Min ROIC in same year as Max IC. Min OM in same year as Max Dep. Min IC in same year as Min Op WC. Max IC in same year as Max Intangibles</v>
      </c>
    </row>
    <row r="460" spans="2:53" x14ac:dyDescent="0.3">
      <c r="Q460" t="str">
        <f>"Operating Margin"</f>
        <v>Operating Margin</v>
      </c>
    </row>
    <row r="461" spans="2:53" x14ac:dyDescent="0.3">
      <c r="Q461" t="str">
        <f>D476</f>
        <v>2012</v>
      </c>
      <c r="R461" t="str">
        <f>E476</f>
        <v>2013</v>
      </c>
      <c r="S461" t="str">
        <f>F476</f>
        <v>2014</v>
      </c>
      <c r="T461" t="str">
        <f>G476</f>
        <v>2015</v>
      </c>
      <c r="U461" t="str">
        <f>H476</f>
        <v>2016</v>
      </c>
      <c r="X461" t="str">
        <f>"SGA / Sales"</f>
        <v>SGA / Sales</v>
      </c>
      <c r="AE461" t="str">
        <f>"Change in Operating Margin"</f>
        <v>Change in Operating Margin</v>
      </c>
      <c r="AK461" t="str">
        <f>"Change in SGA / Sales"</f>
        <v>Change in SGA / Sales</v>
      </c>
    </row>
    <row r="462" spans="2:53" x14ac:dyDescent="0.3">
      <c r="Q462">
        <f ca="1">X455-X463-X471</f>
        <v>0.11337837837837839</v>
      </c>
      <c r="R462">
        <f ca="1">Y455-Y463-Y471</f>
        <v>0.1010358744394619</v>
      </c>
      <c r="S462">
        <f ca="1">Z455-Z463-Z471</f>
        <v>6.0888888888888854E-2</v>
      </c>
      <c r="T462">
        <f ca="1">AA455-AA463-AA471</f>
        <v>9.1132075471698146E-2</v>
      </c>
      <c r="U462">
        <f ca="1">AB455-AB463-AB471</f>
        <v>9.5831775700934596E-2</v>
      </c>
      <c r="X462" t="str">
        <f>D476</f>
        <v>2012</v>
      </c>
      <c r="Y462" t="str">
        <f>E476</f>
        <v>2013</v>
      </c>
      <c r="Z462" t="str">
        <f>F476</f>
        <v>2014</v>
      </c>
      <c r="AA462" t="str">
        <f>G476</f>
        <v>2015</v>
      </c>
      <c r="AB462" t="str">
        <f>H476</f>
        <v>2016</v>
      </c>
      <c r="AE462" t="str">
        <f>K476</f>
        <v>12-13</v>
      </c>
      <c r="AF462" t="str">
        <f>L476</f>
        <v>13-14</v>
      </c>
      <c r="AG462" t="str">
        <f>M476</f>
        <v>14-15</v>
      </c>
      <c r="AH462" t="str">
        <f>N476</f>
        <v>15-16</v>
      </c>
      <c r="AK462" t="str">
        <f>K476</f>
        <v>12-13</v>
      </c>
      <c r="AL462" t="str">
        <f>L476</f>
        <v>13-14</v>
      </c>
      <c r="AM462" t="str">
        <f>M476</f>
        <v>14-15</v>
      </c>
      <c r="AN462" t="str">
        <f>N476</f>
        <v>15-16</v>
      </c>
    </row>
    <row r="463" spans="2:53" x14ac:dyDescent="0.3">
      <c r="Q463" t="str">
        <f>"Max " &amp; Q460</f>
        <v>Max Operating Margin</v>
      </c>
      <c r="R463">
        <f ca="1">MAX(Q462:U462)</f>
        <v>0.11337837837837839</v>
      </c>
      <c r="S463" t="str">
        <f>"GM Effect on Max"</f>
        <v>GM Effect on Max</v>
      </c>
      <c r="T463" t="str">
        <f ca="1">IF(R464=Y457,"Max OM in same year as Max GM","Inconclusive Effect")</f>
        <v>Inconclusive Effect</v>
      </c>
      <c r="U463" t="str">
        <f>"Correlation with GM"</f>
        <v>Correlation with GM</v>
      </c>
      <c r="V463">
        <f ca="1">CORREL(Q462:U462,X455:AB455)</f>
        <v>0.47503744803071152</v>
      </c>
      <c r="X463">
        <f ca="1">(INDIRECT("J" &amp; MATCH("SG&amp;A Expense",B145:B403,0) +144))/(INDIRECT("J" &amp; MATCH("Sales/Revenue",B145:B403,0) +144))</f>
        <v>0.37906306306306309</v>
      </c>
      <c r="Y463">
        <f ca="1">(INDIRECT("K" &amp; MATCH("SG&amp;A Expense",B145:B403,0) +144))/(INDIRECT("K" &amp; MATCH("Sales/Revenue",B145:B403,0) +144))</f>
        <v>0.40702690582959639</v>
      </c>
      <c r="Z463">
        <f ca="1">(INDIRECT("L" &amp; MATCH("SG&amp;A Expense",B145:B403,0) +144))/(INDIRECT("L" &amp; MATCH("Sales/Revenue",B145:B403,0) +144))</f>
        <v>0.39629629629629631</v>
      </c>
      <c r="AA463">
        <f ca="1">(INDIRECT("M" &amp; MATCH("SG&amp;A Expense",B145:B403,0) +144))/(INDIRECT("M" &amp; MATCH("Sales/Revenue",B145:B403,0) +144))</f>
        <v>0.35849056603773582</v>
      </c>
      <c r="AB463">
        <f ca="1">(INDIRECT("N" &amp; MATCH("SG&amp;A Expense",B145:B403,0) +144))/(INDIRECT("N" &amp; MATCH("Sales/Revenue",B145:B403,0) +144))</f>
        <v>0.35514018691588783</v>
      </c>
      <c r="AE463">
        <f ca="1">R462-Q462</f>
        <v>-1.2342503938916491E-2</v>
      </c>
      <c r="AF463">
        <f ca="1">S462-R462</f>
        <v>-4.0146985550573042E-2</v>
      </c>
      <c r="AG463">
        <f ca="1">T462-S462</f>
        <v>3.0243186582809292E-2</v>
      </c>
      <c r="AH463">
        <f ca="1">U462-T462</f>
        <v>4.6997002292364504E-3</v>
      </c>
      <c r="AK463">
        <f ca="1">Y463-X463</f>
        <v>2.7963842766533298E-2</v>
      </c>
      <c r="AL463">
        <f ca="1">Z463-Y463</f>
        <v>-1.0730609533300073E-2</v>
      </c>
      <c r="AM463">
        <f ca="1">AA463-Z463</f>
        <v>-3.7805730258560488E-2</v>
      </c>
      <c r="AN463">
        <f ca="1">AB463-AA463</f>
        <v>-3.3503791218479906E-3</v>
      </c>
    </row>
    <row r="464" spans="2:53" x14ac:dyDescent="0.3">
      <c r="Q464" t="str">
        <f>Q463 &amp; " Year"</f>
        <v>Max Operating Margin Year</v>
      </c>
      <c r="R464">
        <f ca="1">VALUE(Q461)+MATCH(R463,Q462:U462,0)-1</f>
        <v>2012</v>
      </c>
      <c r="S464" t="str">
        <f>"SGA Effect on Max"</f>
        <v>SGA Effect on Max</v>
      </c>
      <c r="T464" t="str">
        <f ca="1">IF(R464=Y467,"Max OM in same year as Min SGA","Inconclusive Effect")</f>
        <v>Inconclusive Effect</v>
      </c>
      <c r="U464" t="str">
        <f>"Correlation with SGA"</f>
        <v>Correlation with SGA</v>
      </c>
      <c r="V464">
        <f ca="1">CORREL(Q462:U462,X463:AB463)</f>
        <v>-0.20131913030661316</v>
      </c>
      <c r="X464" t="str">
        <f>"Max " &amp; X461</f>
        <v>Max SGA / Sales</v>
      </c>
      <c r="Y464">
        <f ca="1">MAX(X463:AB463)</f>
        <v>0.40702690582959639</v>
      </c>
      <c r="AE464" t="str">
        <f>"Max " &amp; AE461</f>
        <v>Max Change in Operating Margin</v>
      </c>
      <c r="AF464">
        <f ca="1">MAX(AE463:AH463)</f>
        <v>3.0243186582809292E-2</v>
      </c>
      <c r="AK464" t="str">
        <f>"Max " &amp; AK461</f>
        <v>Max Change in SGA / Sales</v>
      </c>
      <c r="AL464">
        <f ca="1">MAX(AK463:AN463)</f>
        <v>2.7963842766533298E-2</v>
      </c>
    </row>
    <row r="465" spans="4:40" x14ac:dyDescent="0.3">
      <c r="J465" t="str">
        <f>"EOY Pretax ROIC"</f>
        <v>EOY Pretax ROIC</v>
      </c>
      <c r="Q465" t="str">
        <f>"Min " &amp; Q460</f>
        <v>Min Operating Margin</v>
      </c>
      <c r="R465">
        <f ca="1">MIN(Q462:U462)</f>
        <v>6.0888888888888854E-2</v>
      </c>
      <c r="S465" t="str">
        <f>"Dep Effect on Max"</f>
        <v>Dep Effect on Max</v>
      </c>
      <c r="T465" t="str">
        <f ca="1">IF(R464=Y475,"Max OM in same year as Min Depr","Inconclusive Effect")</f>
        <v>Inconclusive Effect</v>
      </c>
      <c r="U465" t="str">
        <f>"Correlation with Dep"</f>
        <v>Correlation with Dep</v>
      </c>
      <c r="V465">
        <f ca="1">CORREL(Q462:U462,X471:AB471)</f>
        <v>-0.88985288043563937</v>
      </c>
      <c r="X465" t="str">
        <f>X464 &amp; " Year"</f>
        <v>Max SGA / Sales Year</v>
      </c>
      <c r="Y465">
        <f ca="1">VALUE(X462)+MATCH(Y464,X463:AB463,0)-1</f>
        <v>2013</v>
      </c>
      <c r="AE465" t="str">
        <f>AE464 &amp; " Year"</f>
        <v>Max Change in Operating Margin Year</v>
      </c>
      <c r="AF465" t="str">
        <f ca="1">IF(MATCH(AF464,AE463:AH463,0)=1,AE462,IF(MATCH(AF464,AE463:AH463,0)=2,AF462,IF(MATCH(AF464,AE463:AH463,0)=3,AG462,AH462)))</f>
        <v>14-15</v>
      </c>
      <c r="AK465" t="str">
        <f>AK464 &amp; " Year"</f>
        <v>Max Change in SGA / Sales Year</v>
      </c>
      <c r="AL465" t="str">
        <f ca="1">IF(MATCH(AL464,AK463:AN463,0)=1,AK462,IF(MATCH(AL464,AK463:AN463,0)=2,AL462,IF(MATCH(AL464,AK463:AN463,0)=3,AM462,AN462)))</f>
        <v>12-13</v>
      </c>
    </row>
    <row r="466" spans="4:40" x14ac:dyDescent="0.3">
      <c r="J466" t="str">
        <f>D476</f>
        <v>2012</v>
      </c>
      <c r="K466" t="str">
        <f>E476</f>
        <v>2013</v>
      </c>
      <c r="L466" t="str">
        <f>F476</f>
        <v>2014</v>
      </c>
      <c r="M466" t="str">
        <f>G476</f>
        <v>2015</v>
      </c>
      <c r="N466" t="str">
        <f>H476</f>
        <v>2016</v>
      </c>
      <c r="Q466" t="str">
        <f>Q465 &amp; " Year"</f>
        <v>Min Operating Margin Year</v>
      </c>
      <c r="R466">
        <f ca="1">VALUE(Q461)+MATCH(R465,Q462:U462,0)-1</f>
        <v>2014</v>
      </c>
      <c r="S466" t="str">
        <f>"GM Effect on Min"</f>
        <v>GM Effect on Min</v>
      </c>
      <c r="T466" t="str">
        <f ca="1">IF(R466=Y459,"Min OM in same year as Min GM","Inconclusive Effect")</f>
        <v>Inconclusive Effect</v>
      </c>
      <c r="X466" t="str">
        <f>"Min " &amp; X461</f>
        <v>Min SGA / Sales</v>
      </c>
      <c r="Y466">
        <f ca="1">MIN(X463:AB463)</f>
        <v>0.35514018691588783</v>
      </c>
      <c r="AE466" t="str">
        <f>"Min " &amp; AE461</f>
        <v>Min Change in Operating Margin</v>
      </c>
      <c r="AF466">
        <f ca="1">MIN(AE463:AH463)</f>
        <v>-4.0146985550573042E-2</v>
      </c>
      <c r="AK466" t="str">
        <f>"Min " &amp; AK461</f>
        <v>Min Change in SGA / Sales</v>
      </c>
      <c r="AL466">
        <f ca="1">MIN(AK463:AN463)</f>
        <v>-3.7805730258560488E-2</v>
      </c>
    </row>
    <row r="467" spans="4:40" x14ac:dyDescent="0.3">
      <c r="J467">
        <f ca="1">Q462*(1/Q490)</f>
        <v>0.17388480908594758</v>
      </c>
      <c r="K467">
        <f ca="1">R462*(1/R490)</f>
        <v>0.15991568069385989</v>
      </c>
      <c r="L467">
        <f ca="1">S462*(1/S490)</f>
        <v>8.6124251520533032E-2</v>
      </c>
      <c r="M467">
        <f ca="1">T462*(1/T490)</f>
        <v>0.15120683717872466</v>
      </c>
      <c r="N467">
        <f ca="1">U462*(1/U490)</f>
        <v>0.14995685852032037</v>
      </c>
      <c r="S467" t="str">
        <f>"SGA Effect on Min"</f>
        <v>SGA Effect on Min</v>
      </c>
      <c r="T467" t="str">
        <f ca="1">IF(R466=Y465,"Min OM in same year as Max SGA","Inconclusive Effect")</f>
        <v>Inconclusive Effect</v>
      </c>
      <c r="X467" t="str">
        <f>X466 &amp; " Year"</f>
        <v>Min SGA / Sales Year</v>
      </c>
      <c r="Y467">
        <f ca="1">VALUE(X462)+MATCH(Y466,X463:AB463,0)-1</f>
        <v>2016</v>
      </c>
      <c r="AE467" t="str">
        <f>AE466 &amp; " Year"</f>
        <v>Min Change in Operating Margin Year</v>
      </c>
      <c r="AF467" t="str">
        <f ca="1">IF(MATCH(AF466,AE463:AH463,0)=1,AE462,IF(MATCH(AF466,AE463:AH463,0)=2,AF462,IF(MATCH(AF466,AE463:AH463,0)=3,AG462,AH462)))</f>
        <v>13-14</v>
      </c>
      <c r="AK467" t="str">
        <f>AK466 &amp; " Year"</f>
        <v>Min Change in SGA / Sales Year</v>
      </c>
      <c r="AL467" t="str">
        <f ca="1">IF(MATCH(AL466,AK463:AN463,0)=1,AK462,IF(MATCH(AL466,AK463:AN463,0)=2,AL462,IF(MATCH(AL466,AK463:AN463,0)=3,AM462,AN462)))</f>
        <v>14-15</v>
      </c>
    </row>
    <row r="468" spans="4:40" x14ac:dyDescent="0.3">
      <c r="J468" t="str">
        <f>"Max " &amp; J465</f>
        <v>Max EOY Pretax ROIC</v>
      </c>
      <c r="K468">
        <f ca="1">MAX(J467:N467)</f>
        <v>0.17388480908594758</v>
      </c>
      <c r="L468" t="str">
        <f>"OM Effect on Max"</f>
        <v>OM Effect on Max</v>
      </c>
      <c r="M468" t="str">
        <f ca="1">IF(K469=R464,"Max ROIC in same year as Max OM","Inconclusive Effect")</f>
        <v>Max ROIC in same year as Max OM</v>
      </c>
      <c r="N468" t="str">
        <f>"Correlation with OM"</f>
        <v>Correlation with OM</v>
      </c>
      <c r="O468">
        <f ca="1">CORREL(J467:N467,Q462:U462)</f>
        <v>0.9845055110807015</v>
      </c>
      <c r="S468" t="str">
        <f>"Dep Effect on Min"</f>
        <v>Dep Effect on Min</v>
      </c>
      <c r="T468" t="str">
        <f ca="1">IF(R466=Y473,"Min OM in same year as Max Dep","Inconclusive Effect")</f>
        <v>Min OM in same year as Max Dep</v>
      </c>
    </row>
    <row r="469" spans="4:40" x14ac:dyDescent="0.3">
      <c r="J469" t="str">
        <f>J468 &amp; " Year"</f>
        <v>Max EOY Pretax ROIC Year</v>
      </c>
      <c r="K469">
        <f ca="1">VALUE(J466)+MATCH(K468,J467:N467,0)-1</f>
        <v>2012</v>
      </c>
      <c r="L469" t="str">
        <f>"IC Effect on Max"</f>
        <v>IC Effect on Max</v>
      </c>
      <c r="M469" t="str">
        <f ca="1">IF(K469=R494,"Max ROIC in same year as Min IC","Inconclusive Effect")</f>
        <v>Inconclusive Effect</v>
      </c>
      <c r="N469" t="str">
        <f>"Correlation with IC"</f>
        <v>Correlation with IC</v>
      </c>
      <c r="O469">
        <f ca="1">CORREL(J467:N467,Q490:U490)</f>
        <v>-0.75696550930193862</v>
      </c>
      <c r="X469" t="str">
        <f>"Depreciation / Sales"</f>
        <v>Depreciation / Sales</v>
      </c>
    </row>
    <row r="470" spans="4:40" x14ac:dyDescent="0.3">
      <c r="J470" t="str">
        <f>"Min " &amp; J465</f>
        <v>Min EOY Pretax ROIC</v>
      </c>
      <c r="K470">
        <f ca="1">MIN(J467:N467)</f>
        <v>8.6124251520533032E-2</v>
      </c>
      <c r="L470" t="str">
        <f>"OM Effect on Min"</f>
        <v>OM Effect on Min</v>
      </c>
      <c r="M470" t="str">
        <f ca="1">IF(K471=R466,"Min ROIC in same year as Min OM","Inconclusive Effect")</f>
        <v>Min ROIC in same year as Min OM</v>
      </c>
      <c r="Q470" t="str">
        <f>"Change in EOY Pretax ROIC"</f>
        <v>Change in EOY Pretax ROIC</v>
      </c>
      <c r="X470" t="str">
        <f>D476</f>
        <v>2012</v>
      </c>
      <c r="Y470" t="str">
        <f>E476</f>
        <v>2013</v>
      </c>
      <c r="Z470" t="str">
        <f>F476</f>
        <v>2014</v>
      </c>
      <c r="AA470" t="str">
        <f>G476</f>
        <v>2015</v>
      </c>
      <c r="AB470" t="str">
        <f>H476</f>
        <v>2016</v>
      </c>
    </row>
    <row r="471" spans="4:40" x14ac:dyDescent="0.3">
      <c r="J471" t="str">
        <f>J470 &amp; " Year"</f>
        <v>Min EOY Pretax ROIC Year</v>
      </c>
      <c r="K471">
        <f ca="1">VALUE(J466)+MATCH(K470,J467:N467,0)-1</f>
        <v>2014</v>
      </c>
      <c r="L471" t="str">
        <f>"IC Effect on Min"</f>
        <v>IC Effect on Min</v>
      </c>
      <c r="M471" t="str">
        <f ca="1">IF(K471=R492,"Min ROIC in same year as Max IC","Inconclusive Effect")</f>
        <v>Min ROIC in same year as Max IC</v>
      </c>
      <c r="Q471" t="str">
        <f>K476</f>
        <v>12-13</v>
      </c>
      <c r="R471" t="str">
        <f>L476</f>
        <v>13-14</v>
      </c>
      <c r="S471" t="str">
        <f>M476</f>
        <v>14-15</v>
      </c>
      <c r="T471" t="str">
        <f>N476</f>
        <v>15-16</v>
      </c>
      <c r="X471">
        <f ca="1">(INDIRECT("J" &amp; MATCH("Depreciation &amp; Amortization Expense",B145:B403,0) +144))/(INDIRECT("J" &amp; MATCH("Sales/Revenue",B145:B403,0) +144))</f>
        <v>2.5576576576576575E-2</v>
      </c>
      <c r="Y471">
        <f ca="1">(INDIRECT("K" &amp; MATCH("Depreciation &amp; Amortization Expense",B145:B403,0) +144))/(INDIRECT("K" &amp; MATCH("Sales/Revenue",B145:B403,0) +144))</f>
        <v>2.55695067264574E-2</v>
      </c>
      <c r="Z471">
        <f ca="1">(INDIRECT("L" &amp; MATCH("Depreciation &amp; Amortization Expense",B145:B403,0) +144))/(INDIRECT("L" &amp; MATCH("Sales/Revenue",B145:B403,0) +144))</f>
        <v>3.1703703703703706E-2</v>
      </c>
      <c r="AA471">
        <f ca="1">(INDIRECT("M" &amp; MATCH("Depreciation &amp; Amortization Expense",B145:B403,0) +144))/(INDIRECT("M" &amp; MATCH("Sales/Revenue",B145:B403,0) +144))</f>
        <v>2.5220125786163523E-2</v>
      </c>
      <c r="AB471">
        <f ca="1">(INDIRECT("N" &amp; MATCH("Depreciation &amp; Amortization Expense",B145:B403,0) +144))/(INDIRECT("N" &amp; MATCH("Sales/Revenue",B145:B403,0) +144))</f>
        <v>2.5663551401869159E-2</v>
      </c>
    </row>
    <row r="472" spans="4:40" x14ac:dyDescent="0.3">
      <c r="Q472">
        <f ca="1">K467-J467</f>
        <v>-1.3969128392087693E-2</v>
      </c>
      <c r="R472">
        <f ca="1">L467-K467</f>
        <v>-7.3791429173326858E-2</v>
      </c>
      <c r="S472">
        <f ca="1">M467-L467</f>
        <v>6.5082585658191625E-2</v>
      </c>
      <c r="T472">
        <f ca="1">N467-M467</f>
        <v>-1.2499786584042882E-3</v>
      </c>
      <c r="X472" t="str">
        <f>"Max " &amp; X469</f>
        <v>Max Depreciation / Sales</v>
      </c>
      <c r="Y472">
        <f ca="1">MAX(X471:AB471)</f>
        <v>3.1703703703703706E-2</v>
      </c>
      <c r="AK472" t="str">
        <f>"Change in Depreciation / Sales"</f>
        <v>Change in Depreciation / Sales</v>
      </c>
    </row>
    <row r="473" spans="4:40" x14ac:dyDescent="0.3">
      <c r="Q473" t="str">
        <f>"Max " &amp; Q470</f>
        <v>Max Change in EOY Pretax ROIC</v>
      </c>
      <c r="R473">
        <f ca="1">MAX(Q472:T472)</f>
        <v>6.5082585658191625E-2</v>
      </c>
      <c r="X473" t="str">
        <f>X472 &amp; " Year"</f>
        <v>Max Depreciation / Sales Year</v>
      </c>
      <c r="Y473">
        <f ca="1">VALUE(X470)+MATCH(Y472,X471:AB471,0)-1</f>
        <v>2014</v>
      </c>
      <c r="AK473" t="str">
        <f>K476</f>
        <v>12-13</v>
      </c>
      <c r="AL473" t="str">
        <f>L476</f>
        <v>13-14</v>
      </c>
      <c r="AM473" t="str">
        <f>M476</f>
        <v>14-15</v>
      </c>
      <c r="AN473" t="str">
        <f>N476</f>
        <v>15-16</v>
      </c>
    </row>
    <row r="474" spans="4:40" x14ac:dyDescent="0.3">
      <c r="Q474" t="str">
        <f>Q473 &amp; " Year"</f>
        <v>Max Change in EOY Pretax ROIC Year</v>
      </c>
      <c r="R474" t="str">
        <f ca="1">IF(MATCH(R473,Q472:T472,0)=1,Q471,IF(MATCH(R473,Q472:T472,0)=2,R471,IF(MATCH(R473,Q472:T472,0)=3,S471,T471)))</f>
        <v>14-15</v>
      </c>
      <c r="X474" t="str">
        <f>"Min " &amp; X469</f>
        <v>Min Depreciation / Sales</v>
      </c>
      <c r="Y474">
        <f ca="1">MIN(X471:AB471)</f>
        <v>2.5220125786163523E-2</v>
      </c>
      <c r="AK474">
        <f ca="1">Y471-X471</f>
        <v>-7.0698501191748808E-6</v>
      </c>
      <c r="AL474">
        <f ca="1">Z471-Y471</f>
        <v>6.1341969772463062E-3</v>
      </c>
      <c r="AM474">
        <f ca="1">AA471-Z471</f>
        <v>-6.4835779175401835E-3</v>
      </c>
      <c r="AN474">
        <f ca="1">AB471-AA471</f>
        <v>4.4342561570563654E-4</v>
      </c>
    </row>
    <row r="475" spans="4:40" x14ac:dyDescent="0.3">
      <c r="D475" t="str">
        <f>"EOY ROIC"</f>
        <v>EOY ROIC</v>
      </c>
      <c r="K475" t="str">
        <f>"Change in EOY ROIC"</f>
        <v>Change in EOY ROIC</v>
      </c>
      <c r="Q475" t="str">
        <f>"Min " &amp; Q470</f>
        <v>Min Change in EOY Pretax ROIC</v>
      </c>
      <c r="R475">
        <f ca="1">MIN(Q472:T472)</f>
        <v>-7.3791429173326858E-2</v>
      </c>
      <c r="X475" t="str">
        <f>X474 &amp; " Year"</f>
        <v>Min Depreciation / Sales Year</v>
      </c>
      <c r="Y475">
        <f ca="1">VALUE(X470)+MATCH(Y474,X471:AB471,0)-1</f>
        <v>2015</v>
      </c>
      <c r="AK475" t="str">
        <f>"Max " &amp; AK472</f>
        <v>Max Change in Depreciation / Sales</v>
      </c>
      <c r="AL475">
        <f ca="1">MAX(AK474:AN474)</f>
        <v>6.1341969772463062E-3</v>
      </c>
    </row>
    <row r="476" spans="4:40" x14ac:dyDescent="0.3">
      <c r="D476" t="str">
        <f>C144</f>
        <v>2012</v>
      </c>
      <c r="E476" t="str">
        <f>D144</f>
        <v>2013</v>
      </c>
      <c r="F476" t="str">
        <f>E144</f>
        <v>2014</v>
      </c>
      <c r="G476" t="str">
        <f>F144</f>
        <v>2015</v>
      </c>
      <c r="H476" t="str">
        <f>G144</f>
        <v>2016</v>
      </c>
      <c r="K476" t="str">
        <f>RIGHT(D476,2) &amp; "-" &amp; RIGHT(E476,2)</f>
        <v>12-13</v>
      </c>
      <c r="L476" t="str">
        <f>RIGHT(E476,2) &amp; "-" &amp; RIGHT(F476,2)</f>
        <v>13-14</v>
      </c>
      <c r="M476" t="str">
        <f>RIGHT(F476,2) &amp; "-" &amp; RIGHT(G476,2)</f>
        <v>14-15</v>
      </c>
      <c r="N476" t="str">
        <f>RIGHT(G476,2) &amp; "-" &amp; RIGHT(H476,2)</f>
        <v>15-16</v>
      </c>
      <c r="Q476" t="str">
        <f>Q475 &amp; " Year"</f>
        <v>Min Change in EOY Pretax ROIC Year</v>
      </c>
      <c r="R476" t="str">
        <f ca="1">IF(MATCH(R475,Q472:T472,0)=1,Q471,IF(MATCH(R475,Q472:T472,0)=2,R471,IF(MATCH(R475,Q472:T472,0)=3,S471,T471)))</f>
        <v>13-14</v>
      </c>
      <c r="AK476" t="str">
        <f>AK475 &amp; " Year"</f>
        <v>Max Change in Depreciation / Sales Year</v>
      </c>
      <c r="AL476" t="str">
        <f ca="1">IF(MATCH(AL475,AK474:AN474,0)=1,AK473,IF(MATCH(AL475,AK474:AN474,0)=2,AL473,IF(MATCH(AL475,AK474:AN474,0)=3,AM473,AN473)))</f>
        <v>13-14</v>
      </c>
    </row>
    <row r="477" spans="4:40" x14ac:dyDescent="0.3">
      <c r="D477">
        <f ca="1">J467*(1-J487)</f>
        <v>0.10868585643402164</v>
      </c>
      <c r="E477">
        <f ca="1">K467*(1-K487)</f>
        <v>0.10433080227794156</v>
      </c>
      <c r="F477">
        <f ca="1">L467*(1-L487)</f>
        <v>5.5361546396477404E-2</v>
      </c>
      <c r="G477">
        <f ca="1">M467*(1-M487)</f>
        <v>9.628509700415129E-2</v>
      </c>
      <c r="H477">
        <f ca="1">N467*(1-N487)</f>
        <v>9.5623071397812578E-2</v>
      </c>
      <c r="K477">
        <f ca="1">E477-D477</f>
        <v>-4.3550541560800765E-3</v>
      </c>
      <c r="L477">
        <f ca="1">F477-E477</f>
        <v>-4.8969255881464155E-2</v>
      </c>
      <c r="M477">
        <f ca="1">G477-F477</f>
        <v>4.0923550607673886E-2</v>
      </c>
      <c r="N477">
        <f ca="1">H477-G477</f>
        <v>-6.6202560633871199E-4</v>
      </c>
      <c r="AK477" t="str">
        <f>"Min " &amp; AK472</f>
        <v>Min Change in Depreciation / Sales</v>
      </c>
      <c r="AL477">
        <f ca="1">MIN(AK474:AN474)</f>
        <v>-6.4835779175401835E-3</v>
      </c>
    </row>
    <row r="478" spans="4:40" x14ac:dyDescent="0.3">
      <c r="D478" t="str">
        <f>"Max " &amp; D475</f>
        <v>Max EOY ROIC</v>
      </c>
      <c r="E478">
        <f ca="1">MAX(D477:H477)</f>
        <v>0.10868585643402164</v>
      </c>
      <c r="F478" t="str">
        <f>"Cash Tax  Effect on Max"</f>
        <v>Cash Tax  Effect on Max</v>
      </c>
      <c r="G478" t="str">
        <f ca="1">IF(E479=K491,"Max ROIC in same year as Min Cash Tax","Inconclusive Effect")</f>
        <v>Inconclusive Effect</v>
      </c>
      <c r="K478" t="str">
        <f>"Max " &amp; K475</f>
        <v>Max Change in EOY ROIC</v>
      </c>
      <c r="L478">
        <f ca="1">MAX(K477:N477)</f>
        <v>4.0923550607673886E-2</v>
      </c>
      <c r="AK478" t="str">
        <f>AK477 &amp; " Year"</f>
        <v>Min Change in Depreciation / Sales Year</v>
      </c>
      <c r="AL478" t="str">
        <f ca="1">IF(MATCH(AL477,AK474:AN474,0)=1,AK473,IF(MATCH(AL477,AK474:AN474,0)=2,AL473,IF(MATCH(AL477,AK474:AN474,0)=3,AM473,AN473)))</f>
        <v>14-15</v>
      </c>
    </row>
    <row r="479" spans="4:40" x14ac:dyDescent="0.3">
      <c r="D479" t="str">
        <f>D478 &amp; " Year"</f>
        <v>Max EOY ROIC Year</v>
      </c>
      <c r="E479">
        <f ca="1">VALUE(D476)+MATCH(E478,D477:H477,0)-1</f>
        <v>2012</v>
      </c>
      <c r="K479" t="str">
        <f>K478 &amp; " Year"</f>
        <v>Max Change in EOY ROIC Year</v>
      </c>
      <c r="L479" t="str">
        <f ca="1">IF(MATCH(L478,K477:N477,0)=1,K476,IF(MATCH(L478,K477:N477,0)=2,L476,IF(MATCH(L478,K477:N477,0)=3,M476,N476)))</f>
        <v>14-15</v>
      </c>
      <c r="Q479" t="str">
        <f>"Change in Cash Tax Rate"</f>
        <v>Change in Cash Tax Rate</v>
      </c>
    </row>
    <row r="480" spans="4:40" x14ac:dyDescent="0.3">
      <c r="D480" t="str">
        <f>"Min " &amp; D475</f>
        <v>Min EOY ROIC</v>
      </c>
      <c r="E480">
        <f ca="1">MIN(D477:H477)</f>
        <v>5.5361546396477404E-2</v>
      </c>
      <c r="F480" t="str">
        <f>"Cash Tax  Effect on Min"</f>
        <v>Cash Tax  Effect on Min</v>
      </c>
      <c r="G480" t="str">
        <f ca="1">IF(E481=K489,"Min ROIC in same year as Max Cash Tax","Inconclusive Effect")</f>
        <v>Inconclusive Effect</v>
      </c>
      <c r="K480" t="str">
        <f>"Min " &amp; K475</f>
        <v>Min Change in EOY ROIC</v>
      </c>
      <c r="L480">
        <f ca="1">MIN(K477:N477)</f>
        <v>-4.8969255881464155E-2</v>
      </c>
      <c r="Q480" t="str">
        <f>K476</f>
        <v>12-13</v>
      </c>
      <c r="R480" t="str">
        <f>L476</f>
        <v>13-14</v>
      </c>
      <c r="S480" t="str">
        <f>M476</f>
        <v>14-15</v>
      </c>
      <c r="T480" t="str">
        <f>N476</f>
        <v>15-16</v>
      </c>
    </row>
    <row r="481" spans="4:40" x14ac:dyDescent="0.3">
      <c r="D481" t="str">
        <f>D480 &amp; " Year"</f>
        <v>Min EOY ROIC Year</v>
      </c>
      <c r="E481">
        <f ca="1">VALUE(D476)+MATCH(E480,D477:H477,0)-1</f>
        <v>2014</v>
      </c>
      <c r="K481" t="str">
        <f>K480 &amp; " Year"</f>
        <v>Min Change in EOY ROIC Year</v>
      </c>
      <c r="L481" t="str">
        <f ca="1">IF(MATCH(L480,K477:N477,0)=1,K476,IF(MATCH(L480,K477:N477,0)=2,L476,IF(MATCH(L480,K477:N477,0)=3,M476,N476)))</f>
        <v>13-14</v>
      </c>
      <c r="Q481">
        <f ca="1">K487-J487</f>
        <v>-2.7366183007063616E-2</v>
      </c>
      <c r="R481">
        <f ca="1">L487-K487</f>
        <v>9.6011431906127265E-3</v>
      </c>
      <c r="S481">
        <f ca="1">M487-L487</f>
        <v>6.0327865869156394E-3</v>
      </c>
      <c r="T481">
        <f ca="1">N487-M487</f>
        <v>-8.9314058816625241E-4</v>
      </c>
      <c r="X481" t="str">
        <f>"Op WC / Sales"</f>
        <v>Op WC / Sales</v>
      </c>
    </row>
    <row r="482" spans="4:40" x14ac:dyDescent="0.3">
      <c r="D482" t="str">
        <f>"Correlation with OM"</f>
        <v>Correlation with OM</v>
      </c>
      <c r="E482">
        <f ca="1">CORREL(D477:H477,Q462:U462)</f>
        <v>0.97671489764290742</v>
      </c>
      <c r="Q482" t="str">
        <f>"Max " &amp; Q479</f>
        <v>Max Change in Cash Tax Rate</v>
      </c>
      <c r="R482">
        <f ca="1">MAX(Q481:T481)</f>
        <v>9.6011431906127265E-3</v>
      </c>
      <c r="X482" t="str">
        <f>D476</f>
        <v>2012</v>
      </c>
      <c r="Y482" t="str">
        <f>E476</f>
        <v>2013</v>
      </c>
      <c r="Z482" t="str">
        <f>F476</f>
        <v>2014</v>
      </c>
      <c r="AA482" t="str">
        <f>G476</f>
        <v>2015</v>
      </c>
      <c r="AB482" t="str">
        <f>H476</f>
        <v>2016</v>
      </c>
      <c r="AK482" t="str">
        <f>"Change in Op WC / Sales"</f>
        <v>Change in Op WC / Sales</v>
      </c>
    </row>
    <row r="483" spans="4:40" x14ac:dyDescent="0.3">
      <c r="D483" t="str">
        <f>"Correlation with IC"</f>
        <v>Correlation with IC</v>
      </c>
      <c r="E483">
        <f ca="1">CORREL(D477:H477,Q490:U490)</f>
        <v>-0.77363665647198465</v>
      </c>
      <c r="Q483" t="str">
        <f>Q482 &amp; " Year"</f>
        <v>Max Change in Cash Tax Rate Year</v>
      </c>
      <c r="R483" t="str">
        <f ca="1">IF(MATCH(R482,Q481:T481,0)=1,Q480,IF(MATCH(R482,Q481:T481,0)=2,R480,IF(MATCH(R482,Q481:T481,0)=3,S480,T480)))</f>
        <v>13-14</v>
      </c>
      <c r="X483">
        <f ca="1">(INDIRECT("J" &amp; MATCH("Total Current Assets",B145:B403,0) +144) - INDIRECT("J" &amp; MATCH("Total Current Liabilities",B145:B403,0) +144))/(INDIRECT("J" &amp; MATCH("Sales/Revenue",B145:B403,0) +144))</f>
        <v>0.43995045045045045</v>
      </c>
      <c r="Y483">
        <f ca="1">(INDIRECT("K" &amp; MATCH("Total Current Assets",B145:B403,0) +144) - INDIRECT("K" &amp; MATCH("Total Current Liabilities",B145:B403,0) +144))/(INDIRECT("K" &amp; MATCH("Sales/Revenue",B145:B403,0) +144))</f>
        <v>0.41924663677130047</v>
      </c>
      <c r="Z483">
        <f ca="1">(INDIRECT("L" &amp; MATCH("Total Current Assets",B145:B403,0) +144) - INDIRECT("L" &amp; MATCH("Total Current Liabilities",B145:B403,0) +144))/(INDIRECT("L" &amp; MATCH("Sales/Revenue",B145:B403,0) +144))</f>
        <v>0.31900370370370368</v>
      </c>
      <c r="AA483">
        <f ca="1">(INDIRECT("M" &amp; MATCH("Total Current Assets",B145:B403,0) +144) - INDIRECT("M" &amp; MATCH("Total Current Liabilities",B145:B403,0) +144))/(INDIRECT("M" &amp; MATCH("Sales/Revenue",B145:B403,0) +144))</f>
        <v>0.27526729559748425</v>
      </c>
      <c r="AB483">
        <f ca="1">(INDIRECT("N" &amp; MATCH("Total Current Assets",B145:B403,0) +144) - INDIRECT("N" &amp; MATCH("Total Current Liabilities",B145:B403,0) +144))/(INDIRECT("N" &amp; MATCH("Sales/Revenue",B145:B403,0) +144))</f>
        <v>0.33200000000000002</v>
      </c>
      <c r="AK483" t="str">
        <f>K476</f>
        <v>12-13</v>
      </c>
      <c r="AL483" t="str">
        <f>L476</f>
        <v>13-14</v>
      </c>
      <c r="AM483" t="str">
        <f>M476</f>
        <v>14-15</v>
      </c>
      <c r="AN483" t="str">
        <f>N476</f>
        <v>15-16</v>
      </c>
    </row>
    <row r="484" spans="4:40" x14ac:dyDescent="0.3">
      <c r="D484" t="str">
        <f>"Correlation with GM"</f>
        <v>Correlation with GM</v>
      </c>
      <c r="E484">
        <f ca="1">CORREL(D477:H477,X455:AB455)</f>
        <v>0.41806843052695186</v>
      </c>
      <c r="Q484" t="str">
        <f>"Min " &amp; Q479</f>
        <v>Min Change in Cash Tax Rate</v>
      </c>
      <c r="R484">
        <f ca="1">MIN(Q481:T481)</f>
        <v>-2.7366183007063616E-2</v>
      </c>
      <c r="X484" t="str">
        <f>"Max " &amp; X481</f>
        <v>Max Op WC / Sales</v>
      </c>
      <c r="Y484">
        <f ca="1">MAX(X483:AB483)</f>
        <v>0.43995045045045045</v>
      </c>
      <c r="AK484">
        <f ca="1">Y483-X483</f>
        <v>-2.0703813679149974E-2</v>
      </c>
      <c r="AL484">
        <f ca="1">Z483-Y483</f>
        <v>-0.1002429330675968</v>
      </c>
      <c r="AM484">
        <f ca="1">AA483-Z483</f>
        <v>-4.3736408106219427E-2</v>
      </c>
      <c r="AN484">
        <f ca="1">AB483-AA483</f>
        <v>5.6732704402515766E-2</v>
      </c>
    </row>
    <row r="485" spans="4:40" x14ac:dyDescent="0.3">
      <c r="D485" t="str">
        <f>"Correlation with SGA"</f>
        <v>Correlation with SGA</v>
      </c>
      <c r="E485">
        <f ca="1">CORREL(D477:H477,X463:AB463)</f>
        <v>-0.23851996866516495</v>
      </c>
      <c r="J485" t="str">
        <f>"Cash Tax Rate"</f>
        <v>Cash Tax Rate</v>
      </c>
      <c r="Q485" t="str">
        <f>Q484 &amp; " Year"</f>
        <v>Min Change in Cash Tax Rate Year</v>
      </c>
      <c r="R485" t="str">
        <f ca="1">IF(MATCH(R484,Q481:T481,0)=1,Q480,IF(MATCH(R484,Q481:T481,0)=2,R480,IF(MATCH(R484,Q481:T481,0)=3,S480,T480)))</f>
        <v>12-13</v>
      </c>
      <c r="X485" t="str">
        <f>X484 &amp; " Year"</f>
        <v>Max Op WC / Sales Year</v>
      </c>
      <c r="Y485">
        <f ca="1">VALUE(X482)+MATCH(Y484,X483:AB483,0)-1</f>
        <v>2012</v>
      </c>
      <c r="AK485" t="str">
        <f>"Max " &amp; AK482</f>
        <v>Max Change in Op WC / Sales</v>
      </c>
      <c r="AL485">
        <f ca="1">MAX(AK484:AN484)</f>
        <v>5.6732704402515766E-2</v>
      </c>
    </row>
    <row r="486" spans="4:40" x14ac:dyDescent="0.3">
      <c r="D486" t="str">
        <f>"Correlation with Dep"</f>
        <v>Correlation with Dep</v>
      </c>
      <c r="E486">
        <f ca="1">CORREL(D477:H477,X471:AB471)</f>
        <v>-0.95873450041036601</v>
      </c>
      <c r="J486" t="str">
        <f>D476</f>
        <v>2012</v>
      </c>
      <c r="K486" t="str">
        <f>E476</f>
        <v>2013</v>
      </c>
      <c r="L486" t="str">
        <f>F476</f>
        <v>2014</v>
      </c>
      <c r="M486" t="str">
        <f>G476</f>
        <v>2015</v>
      </c>
      <c r="N486" t="str">
        <f>H476</f>
        <v>2016</v>
      </c>
      <c r="X486" t="str">
        <f>"Min " &amp; X481</f>
        <v>Min Op WC / Sales</v>
      </c>
      <c r="Y486">
        <f ca="1">MIN(X483:AB483)</f>
        <v>0.27526729559748425</v>
      </c>
      <c r="AK486" t="str">
        <f>AK485 &amp; " Year"</f>
        <v>Max Change in Op WC / Sales Year</v>
      </c>
      <c r="AL486" t="str">
        <f ca="1">IF(MATCH(AL485,AK484:AN484,0)=1,AK483,IF(MATCH(AL485,AK484:AN484,0)=2,AL483,IF(MATCH(AL485,AK484:AN484,0)=3,AM483,AN483)))</f>
        <v>15-16</v>
      </c>
    </row>
    <row r="487" spans="4:40" x14ac:dyDescent="0.3">
      <c r="D487" t="str">
        <f>"Correlation with Op WC"</f>
        <v>Correlation with Op WC</v>
      </c>
      <c r="E487">
        <f ca="1">CORREL(D477:H477,X483:AB483)</f>
        <v>0.52306012734632557</v>
      </c>
      <c r="J487">
        <f ca="1">(INDIRECT("J" &amp; MATCH("Income Tax",B145:B403,0) +144))/(INDIRECT("J" &amp; MATCH("Pretax Income",B145:B403,0) +144))</f>
        <v>0.37495485082713287</v>
      </c>
      <c r="K487">
        <f ca="1">(INDIRECT("K" &amp; MATCH("Income Tax",B145:B403,0) +144))/(INDIRECT("K" &amp; MATCH("Pretax Income",B145:B403,0) +144))</f>
        <v>0.34758866782006925</v>
      </c>
      <c r="L487">
        <f ca="1">(INDIRECT("L" &amp; MATCH("Income Tax",B145:B403,0) +144))/(INDIRECT("L" &amp; MATCH("Pretax Income",B145:B403,0) +144))</f>
        <v>0.35718981101068198</v>
      </c>
      <c r="M487">
        <f ca="1">(INDIRECT("M" &amp; MATCH("Income Tax",B145:B403,0) +144))/(INDIRECT("M" &amp; MATCH("Pretax Income",B145:B403,0) +144))</f>
        <v>0.36322259759759762</v>
      </c>
      <c r="N487">
        <f ca="1">(INDIRECT("N" &amp; MATCH("Income Tax",B145:B403,0) +144))/(INDIRECT("N" &amp; MATCH("Pretax Income",B145:B403,0) +144))</f>
        <v>0.36232945700943137</v>
      </c>
      <c r="X487" t="str">
        <f>X486 &amp; " Year"</f>
        <v>Min Op WC / Sales Year</v>
      </c>
      <c r="Y487">
        <f ca="1">VALUE(X482)+MATCH(Y486,X483:AB483,0)-1</f>
        <v>2015</v>
      </c>
      <c r="AK487" t="str">
        <f>"Min " &amp; AK482</f>
        <v>Min Change in Op WC / Sales</v>
      </c>
      <c r="AL487">
        <f ca="1">MIN(AK484:AN484)</f>
        <v>-0.1002429330675968</v>
      </c>
    </row>
    <row r="488" spans="4:40" x14ac:dyDescent="0.3">
      <c r="D488" t="str">
        <f>"Correlation with PPE"</f>
        <v>Correlation with PPE</v>
      </c>
      <c r="E488">
        <f ca="1">CORREL(D477:H477,X491:AB491)</f>
        <v>0.36336958523081464</v>
      </c>
      <c r="J488" t="str">
        <f>"Max " &amp; J485</f>
        <v>Max Cash Tax Rate</v>
      </c>
      <c r="K488">
        <f ca="1">MAX(J487:N487)</f>
        <v>0.37495485082713287</v>
      </c>
      <c r="Q488" t="str">
        <f>"Invested Capital / Sales"</f>
        <v>Invested Capital / Sales</v>
      </c>
      <c r="AK488" t="str">
        <f>AK487 &amp; " Year"</f>
        <v>Min Change in Op WC / Sales Year</v>
      </c>
      <c r="AL488" t="str">
        <f ca="1">IF(MATCH(AL487,AK484:AN484,0)=1,AK483,IF(MATCH(AL487,AK484:AN484,0)=2,AL483,IF(MATCH(AL487,AK484:AN484,0)=3,AM483,AN483)))</f>
        <v>13-14</v>
      </c>
    </row>
    <row r="489" spans="4:40" x14ac:dyDescent="0.3">
      <c r="D489" t="str">
        <f>"Correlation with Intangibles"</f>
        <v>Correlation with Intangibles</v>
      </c>
      <c r="E489">
        <f ca="1">CORREL(D477:H477,X499:AB499)</f>
        <v>-0.80136209418843896</v>
      </c>
      <c r="J489" t="str">
        <f>J488 &amp; " Year"</f>
        <v>Max Cash Tax Rate Year</v>
      </c>
      <c r="K489">
        <f ca="1">VALUE(J486)+MATCH(K488,J487:N487,0)-1</f>
        <v>2012</v>
      </c>
      <c r="Q489" t="str">
        <f>D476</f>
        <v>2012</v>
      </c>
      <c r="R489" t="str">
        <f>E476</f>
        <v>2013</v>
      </c>
      <c r="S489" t="str">
        <f>F476</f>
        <v>2014</v>
      </c>
      <c r="T489" t="str">
        <f>G476</f>
        <v>2015</v>
      </c>
      <c r="U489" t="str">
        <f>H476</f>
        <v>2016</v>
      </c>
      <c r="X489" t="str">
        <f>"PPE / Sales"</f>
        <v>PPE / Sales</v>
      </c>
    </row>
    <row r="490" spans="4:40" x14ac:dyDescent="0.3">
      <c r="J490" t="str">
        <f>"Min " &amp; J485</f>
        <v>Min Cash Tax Rate</v>
      </c>
      <c r="K490">
        <f ca="1">MIN(J487:N487)</f>
        <v>0.34758866782006925</v>
      </c>
      <c r="Q490">
        <f ca="1">SUM(X483,X491,X499)</f>
        <v>0.65203153153153159</v>
      </c>
      <c r="R490">
        <f ca="1">SUM(Y483,Y491,Y499)</f>
        <v>0.6318071748878924</v>
      </c>
      <c r="S490">
        <f ca="1">SUM(Z483,Z491,Z499)</f>
        <v>0.70698888888888889</v>
      </c>
      <c r="T490">
        <f ca="1">SUM(AA483,AA491,AA499)</f>
        <v>0.60269811320754718</v>
      </c>
      <c r="U490">
        <f ca="1">SUM(AB483,AB491,AB499)</f>
        <v>0.63906230529595021</v>
      </c>
      <c r="X490" t="str">
        <f>D476</f>
        <v>2012</v>
      </c>
      <c r="Y490" t="str">
        <f>E476</f>
        <v>2013</v>
      </c>
      <c r="Z490" t="str">
        <f>F476</f>
        <v>2014</v>
      </c>
      <c r="AA490" t="str">
        <f>G476</f>
        <v>2015</v>
      </c>
      <c r="AB490" t="str">
        <f>H476</f>
        <v>2016</v>
      </c>
      <c r="AE490" t="str">
        <f>"Change in Invested Capital / Sales"</f>
        <v>Change in Invested Capital / Sales</v>
      </c>
      <c r="AK490" t="str">
        <f>"Change in PPE / Sales"</f>
        <v>Change in PPE / Sales</v>
      </c>
    </row>
    <row r="491" spans="4:40" x14ac:dyDescent="0.3">
      <c r="J491" t="str">
        <f>J490 &amp; " Year"</f>
        <v>Min Cash Tax Rate Year</v>
      </c>
      <c r="K491">
        <f ca="1">VALUE(J486)+MATCH(K490,J487:N487,0)-1</f>
        <v>2013</v>
      </c>
      <c r="Q491" t="str">
        <f>"Max " &amp; Q488</f>
        <v>Max Invested Capital / Sales</v>
      </c>
      <c r="R491">
        <f ca="1">MAX(Q490:U490)</f>
        <v>0.70698888888888889</v>
      </c>
      <c r="S491" t="str">
        <f>"Op WC Effect on Max"</f>
        <v>Op WC Effect on Max</v>
      </c>
      <c r="T491" t="str">
        <f ca="1">IF(R492=Y485,"Max IC in same year as Max Op WC","Inconclusive Effect")</f>
        <v>Inconclusive Effect</v>
      </c>
      <c r="U491" t="str">
        <f>"Correlation with Op WC"</f>
        <v>Correlation with Op WC</v>
      </c>
      <c r="V491">
        <f ca="1">CORREL(Q490:U490,X483:AB483)</f>
        <v>9.449421995211528E-2</v>
      </c>
      <c r="X491">
        <f ca="1">(INDIRECT("J" &amp; MATCH("Net Property, Plant &amp; Equipment",B145:B403,0) +144))/(INDIRECT("J" &amp; MATCH("Sales/Revenue",B145:B403,0) +144))</f>
        <v>0.10387387387387387</v>
      </c>
      <c r="Y491">
        <f ca="1">(INDIRECT("K" &amp; MATCH("Net Property, Plant &amp; Equipment",B145:B403,0) +144))/(INDIRECT("K" &amp; MATCH("Sales/Revenue",B145:B403,0) +144))</f>
        <v>0.10371748878923767</v>
      </c>
      <c r="Z491">
        <f ca="1">(INDIRECT("L" &amp; MATCH("Net Property, Plant &amp; Equipment",B145:B403,0) +144))/(INDIRECT("L" &amp; MATCH("Sales/Revenue",B145:B403,0) +144))</f>
        <v>8.1266666666666668E-2</v>
      </c>
      <c r="AA491">
        <f ca="1">(INDIRECT("M" &amp; MATCH("Net Property, Plant &amp; Equipment",B145:B403,0) +144))/(INDIRECT("M" &amp; MATCH("Sales/Revenue",B145:B403,0) +144))</f>
        <v>7.1018867924528301E-2</v>
      </c>
      <c r="AB491">
        <f ca="1">(INDIRECT("N" &amp; MATCH("Net Property, Plant &amp; Equipment",B145:B403,0) +144))/(INDIRECT("N" &amp; MATCH("Sales/Revenue",B145:B403,0) +144))</f>
        <v>6.5816199376947035E-2</v>
      </c>
      <c r="AE491" t="str">
        <f>K476</f>
        <v>12-13</v>
      </c>
      <c r="AF491" t="str">
        <f>L476</f>
        <v>13-14</v>
      </c>
      <c r="AG491" t="str">
        <f>M476</f>
        <v>14-15</v>
      </c>
      <c r="AH491" t="str">
        <f>N476</f>
        <v>15-16</v>
      </c>
      <c r="AK491" t="str">
        <f>K476</f>
        <v>12-13</v>
      </c>
      <c r="AL491" t="str">
        <f>L476</f>
        <v>13-14</v>
      </c>
      <c r="AM491" t="str">
        <f>M476</f>
        <v>14-15</v>
      </c>
      <c r="AN491" t="str">
        <f>N476</f>
        <v>15-16</v>
      </c>
    </row>
    <row r="492" spans="4:40" x14ac:dyDescent="0.3">
      <c r="Q492" t="str">
        <f>Q491 &amp; " Year"</f>
        <v>Max Invested Capital / Sales Year</v>
      </c>
      <c r="R492">
        <f ca="1">VALUE(Q489)+MATCH(R491,Q490:U490,0)-1</f>
        <v>2014</v>
      </c>
      <c r="S492" t="str">
        <f>"PPE Effect on Max"</f>
        <v>PPE Effect on Max</v>
      </c>
      <c r="T492" t="str">
        <f ca="1">IF(R492=Y493,"Max IC in same year as Max PPE","Inconclusive Effect")</f>
        <v>Inconclusive Effect</v>
      </c>
      <c r="U492" t="str">
        <f>"Correlation with PPE"</f>
        <v>Correlation with PPE</v>
      </c>
      <c r="V492">
        <f ca="1">CORREL(Q490:U490,X491:AB491)</f>
        <v>0.1305339562385254</v>
      </c>
      <c r="X492" t="str">
        <f>"Max " &amp; X489</f>
        <v>Max PPE / Sales</v>
      </c>
      <c r="Y492">
        <f ca="1">MAX(X491:AB491)</f>
        <v>0.10387387387387387</v>
      </c>
      <c r="AE492">
        <f ca="1">R490-Q490</f>
        <v>-2.0224356643639196E-2</v>
      </c>
      <c r="AF492">
        <f ca="1">S490-R490</f>
        <v>7.5181714000996491E-2</v>
      </c>
      <c r="AG492">
        <f ca="1">T490-S490</f>
        <v>-0.10429077568134171</v>
      </c>
      <c r="AH492">
        <f ca="1">U490-T490</f>
        <v>3.6364192088403025E-2</v>
      </c>
      <c r="AK492">
        <f ca="1">Y491-X491</f>
        <v>-1.5638508463619583E-4</v>
      </c>
      <c r="AL492">
        <f ca="1">Z491-Y491</f>
        <v>-2.2450822122571004E-2</v>
      </c>
      <c r="AM492">
        <f ca="1">AA491-Z491</f>
        <v>-1.0247798742138367E-2</v>
      </c>
      <c r="AN492">
        <f ca="1">AB491-AA491</f>
        <v>-5.2026685475812656E-3</v>
      </c>
    </row>
    <row r="493" spans="4:40" x14ac:dyDescent="0.3">
      <c r="Q493" t="str">
        <f>"Min " &amp; Q488</f>
        <v>Min Invested Capital / Sales</v>
      </c>
      <c r="R493">
        <f ca="1">MIN(Q490:U490)</f>
        <v>0.60269811320754718</v>
      </c>
      <c r="S493" t="str">
        <f>"Intangibles Effect on Max"</f>
        <v>Intangibles Effect on Max</v>
      </c>
      <c r="T493" t="str">
        <f ca="1">IF(R492=Y501,"Max IC in same year as Max Intangibles","Inconclusive Effect")</f>
        <v>Max IC in same year as Max Intangibles</v>
      </c>
      <c r="U493" t="str">
        <f>"Correlation with Intangibles"</f>
        <v>Correlation with Intangibles</v>
      </c>
      <c r="V493">
        <f ca="1">CORREL(Q490:U490,X499:AB499)</f>
        <v>0.32410968001000207</v>
      </c>
      <c r="X493" t="str">
        <f>X492 &amp; " Year"</f>
        <v>Max PPE / Sales Year</v>
      </c>
      <c r="Y493">
        <f ca="1">VALUE(X490)+MATCH(Y492,X491:AB491,0)-1</f>
        <v>2012</v>
      </c>
      <c r="AE493" t="str">
        <f>"Max " &amp; AE490</f>
        <v>Max Change in Invested Capital / Sales</v>
      </c>
      <c r="AF493">
        <f ca="1">MAX(AE492:AH492)</f>
        <v>7.5181714000996491E-2</v>
      </c>
      <c r="AK493" t="str">
        <f>"Max " &amp; AK490</f>
        <v>Max Change in PPE / Sales</v>
      </c>
      <c r="AL493">
        <f ca="1">MAX(AK492:AN492)</f>
        <v>-1.5638508463619583E-4</v>
      </c>
    </row>
    <row r="494" spans="4:40" x14ac:dyDescent="0.3">
      <c r="Q494" t="str">
        <f>Q493 &amp; " Year"</f>
        <v>Min Invested Capital / Sales Year</v>
      </c>
      <c r="R494">
        <f ca="1">VALUE(Q489)+MATCH(R493,Q490:U490,0)-1</f>
        <v>2015</v>
      </c>
      <c r="S494" t="str">
        <f>"Op WC Effect on Min"</f>
        <v>Op WC Effect on Min</v>
      </c>
      <c r="T494" t="str">
        <f ca="1">IF(R494=Y487,"Min IC in same year as Min Op WC","Inconclusive Effect")</f>
        <v>Min IC in same year as Min Op WC</v>
      </c>
      <c r="X494" t="str">
        <f>"Min " &amp; X489</f>
        <v>Min PPE / Sales</v>
      </c>
      <c r="Y494">
        <f ca="1">MIN(X491:AB491)</f>
        <v>6.5816199376947035E-2</v>
      </c>
      <c r="AE494" t="str">
        <f>AE493 &amp; " Year"</f>
        <v>Max Change in Invested Capital / Sales Year</v>
      </c>
      <c r="AF494" t="str">
        <f ca="1">IF(MATCH(AF493,AE492:AH492,0)=1,AE491,IF(MATCH(AF493,AE492:AH492,0)=2,AF491,IF(MATCH(AF493,AE492:AH492,0)=3,AG491,AH491)))</f>
        <v>13-14</v>
      </c>
      <c r="AK494" t="str">
        <f>AK493 &amp; " Year"</f>
        <v>Max Change in PPE / Sales Year</v>
      </c>
      <c r="AL494" t="str">
        <f ca="1">IF(MATCH(AL493,AK492:AN492,0)=1,AK491,IF(MATCH(AL493,AK492:AN492,0)=2,AL491,IF(MATCH(AL493,AK492:AN492,0)=3,AM491,AN491)))</f>
        <v>12-13</v>
      </c>
    </row>
    <row r="495" spans="4:40" x14ac:dyDescent="0.3">
      <c r="S495" t="str">
        <f>"PPE Effect on Min"</f>
        <v>PPE Effect on Min</v>
      </c>
      <c r="T495" t="str">
        <f ca="1">IF(R494=Y495,"Min IC in same year as Min PPE","Inconclusive Effect")</f>
        <v>Inconclusive Effect</v>
      </c>
      <c r="X495" t="str">
        <f>X494 &amp; " Year"</f>
        <v>Min PPE / Sales Year</v>
      </c>
      <c r="Y495">
        <f ca="1">VALUE(X490)+MATCH(Y494,X491:AB491,0)-1</f>
        <v>2016</v>
      </c>
      <c r="AE495" t="str">
        <f>"Min " &amp; AE490</f>
        <v>Min Change in Invested Capital / Sales</v>
      </c>
      <c r="AF495">
        <f ca="1">MIN(AE492:AH492)</f>
        <v>-0.10429077568134171</v>
      </c>
      <c r="AK495" t="str">
        <f>"Min " &amp; AK490</f>
        <v>Min Change in PPE / Sales</v>
      </c>
      <c r="AL495">
        <f ca="1">MIN(AK492:AN492)</f>
        <v>-2.2450822122571004E-2</v>
      </c>
    </row>
    <row r="496" spans="4:40" x14ac:dyDescent="0.3">
      <c r="S496" t="str">
        <f>"Intangibles Effect on Min"</f>
        <v>Intangibles Effect on Min</v>
      </c>
      <c r="T496" t="str">
        <f ca="1">IF(R494=Y503,"Min IC in same year as Min Intangibles","Inconclusive Effect")</f>
        <v>Inconclusive Effect</v>
      </c>
      <c r="AE496" t="str">
        <f>AE495 &amp; " Year"</f>
        <v>Min Change in Invested Capital / Sales Year</v>
      </c>
      <c r="AF496" t="str">
        <f ca="1">IF(MATCH(AF495,AE492:AH492,0)=1,AE491,IF(MATCH(AF495,AE492:AH492,0)=2,AF491,IF(MATCH(AF495,AE492:AH492,0)=3,AG491,AH491)))</f>
        <v>14-15</v>
      </c>
      <c r="AK496" t="str">
        <f>AK495 &amp; " Year"</f>
        <v>Min Change in PPE / Sales Year</v>
      </c>
      <c r="AL496" t="str">
        <f ca="1">IF(MATCH(AL495,AK492:AN492,0)=1,AK491,IF(MATCH(AL495,AK492:AN492,0)=2,AL491,IF(MATCH(AL495,AK492:AN492,0)=3,AM491,AN491)))</f>
        <v>13-14</v>
      </c>
    </row>
    <row r="497" spans="3:40" x14ac:dyDescent="0.3">
      <c r="X497" t="str">
        <f>"Intangibles / Sales"</f>
        <v>Intangibles / Sales</v>
      </c>
    </row>
    <row r="498" spans="3:40" x14ac:dyDescent="0.3">
      <c r="X498" t="str">
        <f>D476</f>
        <v>2012</v>
      </c>
      <c r="Y498" t="str">
        <f>E476</f>
        <v>2013</v>
      </c>
      <c r="Z498" t="str">
        <f>F476</f>
        <v>2014</v>
      </c>
      <c r="AA498" t="str">
        <f>G476</f>
        <v>2015</v>
      </c>
      <c r="AB498" t="str">
        <f>H476</f>
        <v>2016</v>
      </c>
      <c r="AK498" t="str">
        <f>"Change in Intagibles / Sales"</f>
        <v>Change in Intagibles / Sales</v>
      </c>
    </row>
    <row r="499" spans="3:40" x14ac:dyDescent="0.3">
      <c r="X499">
        <f ca="1">(INDIRECT("J" &amp; MATCH("Intangible Assets",B145:B403,0) +144))/(INDIRECT("J" &amp; MATCH("Sales/Revenue",B145:B403,0) +144))</f>
        <v>0.10820720720720721</v>
      </c>
      <c r="Y499">
        <f ca="1">(INDIRECT("K" &amp; MATCH("Intangible Assets",B145:B403,0) +144))/(INDIRECT("K" &amp; MATCH("Sales/Revenue",B145:B403,0) +144))</f>
        <v>0.10884304932735427</v>
      </c>
      <c r="Z499">
        <f ca="1">(INDIRECT("L" &amp; MATCH("Intangible Assets",B145:B403,0) +144))/(INDIRECT("L" &amp; MATCH("Sales/Revenue",B145:B403,0) +144))</f>
        <v>0.3067185185185185</v>
      </c>
      <c r="AA499">
        <f ca="1">(INDIRECT("M" &amp; MATCH("Intangible Assets",B145:B403,0) +144))/(INDIRECT("M" &amp; MATCH("Sales/Revenue",B145:B403,0) +144))</f>
        <v>0.2564119496855346</v>
      </c>
      <c r="AB499">
        <f ca="1">(INDIRECT("N" &amp; MATCH("Intangible Assets",B145:B403,0) +144))/(INDIRECT("N" &amp; MATCH("Sales/Revenue",B145:B403,0) +144))</f>
        <v>0.24124610591900311</v>
      </c>
      <c r="AK499" t="str">
        <f>K476</f>
        <v>12-13</v>
      </c>
      <c r="AL499" t="str">
        <f>L476</f>
        <v>13-14</v>
      </c>
      <c r="AM499" t="str">
        <f>M476</f>
        <v>14-15</v>
      </c>
      <c r="AN499" t="str">
        <f>N476</f>
        <v>15-16</v>
      </c>
    </row>
    <row r="500" spans="3:40" x14ac:dyDescent="0.3">
      <c r="X500" t="str">
        <f>"Max " &amp; X497</f>
        <v>Max Intangibles / Sales</v>
      </c>
      <c r="Y500">
        <f ca="1">MAX(X499:AB499)</f>
        <v>0.3067185185185185</v>
      </c>
      <c r="AK500">
        <f ca="1">Y499-X499</f>
        <v>6.3584212014705654E-4</v>
      </c>
      <c r="AL500">
        <f ca="1">Z499-Y499</f>
        <v>0.19787546919116422</v>
      </c>
      <c r="AM500">
        <f ca="1">AA499-Z499</f>
        <v>-5.03065688329839E-2</v>
      </c>
      <c r="AN500">
        <f ca="1">AB499-AA499</f>
        <v>-1.5165843766531489E-2</v>
      </c>
    </row>
    <row r="501" spans="3:40" x14ac:dyDescent="0.3">
      <c r="X501" t="str">
        <f>X500 &amp; " Year"</f>
        <v>Max Intangibles / Sales Year</v>
      </c>
      <c r="Y501">
        <f ca="1">VALUE(X498)+MATCH(Y500,X499:AB499,0)-1</f>
        <v>2014</v>
      </c>
      <c r="AK501" t="str">
        <f>"Max " &amp; AK498</f>
        <v>Max Change in Intagibles / Sales</v>
      </c>
      <c r="AL501">
        <f ca="1">MAX(AK500:AN500)</f>
        <v>0.19787546919116422</v>
      </c>
    </row>
    <row r="502" spans="3:40" x14ac:dyDescent="0.3">
      <c r="X502" t="str">
        <f>"Min " &amp; X497</f>
        <v>Min Intangibles / Sales</v>
      </c>
      <c r="Y502">
        <f ca="1">MIN(X499:AB499)</f>
        <v>0.10820720720720721</v>
      </c>
      <c r="AK502" t="str">
        <f>AK501 &amp; " Year"</f>
        <v>Max Change in Intagibles / Sales Year</v>
      </c>
      <c r="AL502" t="str">
        <f ca="1">IF(MATCH(AL501,AK500:AN500,0)=1,AK499,IF(MATCH(AL501,AK500:AN500,0)=2,AL499,IF(MATCH(AL501,AK500:AN500,0)=3,AM499,AN499)))</f>
        <v>13-14</v>
      </c>
    </row>
    <row r="503" spans="3:40" x14ac:dyDescent="0.3">
      <c r="X503" t="str">
        <f>X502 &amp; " Year"</f>
        <v>Min Intangibles / Sales Year</v>
      </c>
      <c r="Y503">
        <f ca="1">VALUE(X498)+MATCH(Y502,X499:AB499,0)-1</f>
        <v>2012</v>
      </c>
      <c r="AK503" t="str">
        <f>"Min " &amp; AK498</f>
        <v>Min Change in Intagibles / Sales</v>
      </c>
      <c r="AL503">
        <f ca="1">MIN(AK500:AN500)</f>
        <v>-5.03065688329839E-2</v>
      </c>
    </row>
    <row r="504" spans="3:40" x14ac:dyDescent="0.3">
      <c r="AK504" t="str">
        <f>AK503 &amp; " Year"</f>
        <v>Min Change in Intagibles / Sales Year</v>
      </c>
      <c r="AL504" t="str">
        <f ca="1">IF(MATCH(AL503,AK500:AN500,0)=1,AK499,IF(MATCH(AL503,AK500:AN500,0)=2,AL499,IF(MATCH(AL503,AK500:AN500,0)=3,AM499,AN499)))</f>
        <v>14-15</v>
      </c>
    </row>
    <row r="507" spans="3:40" x14ac:dyDescent="0.3">
      <c r="D507" t="str">
        <f t="shared" ref="D507:H508" si="155">D476</f>
        <v>2012</v>
      </c>
      <c r="E507" t="str">
        <f t="shared" si="155"/>
        <v>2013</v>
      </c>
      <c r="F507" t="str">
        <f t="shared" si="155"/>
        <v>2014</v>
      </c>
      <c r="G507" t="str">
        <f t="shared" si="155"/>
        <v>2015</v>
      </c>
      <c r="H507" t="str">
        <f t="shared" si="155"/>
        <v>2016</v>
      </c>
      <c r="I507" t="str">
        <f>"Average"</f>
        <v>Average</v>
      </c>
      <c r="J507" t="str">
        <f>"SD"</f>
        <v>SD</v>
      </c>
      <c r="K507" t="str">
        <f>D507</f>
        <v>2012</v>
      </c>
      <c r="L507" t="str">
        <f>E507</f>
        <v>2013</v>
      </c>
      <c r="M507" t="str">
        <f>F507</f>
        <v>2014</v>
      </c>
      <c r="N507" t="str">
        <f>G507</f>
        <v>2015</v>
      </c>
      <c r="O507" t="str">
        <f>H507</f>
        <v>2016</v>
      </c>
      <c r="P507" t="str">
        <f>"Max z Year"</f>
        <v>Max z Year</v>
      </c>
    </row>
    <row r="508" spans="3:40" x14ac:dyDescent="0.3">
      <c r="C508" t="str">
        <f>D475</f>
        <v>EOY ROIC</v>
      </c>
      <c r="D508">
        <f t="shared" ca="1" si="155"/>
        <v>0.10868585643402164</v>
      </c>
      <c r="E508">
        <f t="shared" ca="1" si="155"/>
        <v>0.10433080227794156</v>
      </c>
      <c r="F508">
        <f t="shared" ca="1" si="155"/>
        <v>5.5361546396477404E-2</v>
      </c>
      <c r="G508">
        <f t="shared" ca="1" si="155"/>
        <v>9.628509700415129E-2</v>
      </c>
      <c r="H508">
        <f t="shared" ca="1" si="155"/>
        <v>9.5623071397812578E-2</v>
      </c>
      <c r="I508">
        <f t="shared" ref="I508:I518" ca="1" si="156">AVERAGE(D508:H508)</f>
        <v>9.2057274702080888E-2</v>
      </c>
      <c r="J508">
        <f t="shared" ref="J508:J518" ca="1" si="157">STDEV(D508:H508)</f>
        <v>2.1238615026309412E-2</v>
      </c>
      <c r="K508">
        <f t="shared" ref="K508:K518" ca="1" si="158">(D508-I508)/J508</f>
        <v>0.78294096443398176</v>
      </c>
      <c r="L508">
        <f t="shared" ref="L508:L518" ca="1" si="159">(E508-I508)/J508</f>
        <v>0.57788737922208178</v>
      </c>
      <c r="M508">
        <f t="shared" ref="M508:M518" ca="1" si="160">(F508-I508)/J508</f>
        <v>-1.7277834858886287</v>
      </c>
      <c r="N508">
        <f t="shared" ref="N508:N518" ca="1" si="161">(G508-I508)/J508</f>
        <v>0.19906299430698152</v>
      </c>
      <c r="O508">
        <f t="shared" ref="O508:O518" ca="1" si="162">(H508-I508)/J508</f>
        <v>0.16789214792558493</v>
      </c>
      <c r="P508">
        <f ca="1">K507 + MATCH(IF(MAX(MAX(K508:O508),ABS(MIN(K508:O508)))=ABS(MIN(K508:O508)), MIN(K508:O508),MAX(K508:O508)),K508:O508,0) - 1</f>
        <v>2014</v>
      </c>
    </row>
    <row r="509" spans="3:40" x14ac:dyDescent="0.3">
      <c r="C509" t="str">
        <f>J465</f>
        <v>EOY Pretax ROIC</v>
      </c>
      <c r="D509">
        <f ca="1">J467</f>
        <v>0.17388480908594758</v>
      </c>
      <c r="E509">
        <f ca="1">K467</f>
        <v>0.15991568069385989</v>
      </c>
      <c r="F509">
        <f ca="1">L467</f>
        <v>8.6124251520533032E-2</v>
      </c>
      <c r="G509">
        <f ca="1">M467</f>
        <v>0.15120683717872466</v>
      </c>
      <c r="H509">
        <f ca="1">N467</f>
        <v>0.14995685852032037</v>
      </c>
      <c r="I509">
        <f t="shared" ca="1" si="156"/>
        <v>0.14421768739987711</v>
      </c>
      <c r="J509">
        <f t="shared" ca="1" si="157"/>
        <v>3.3849662829348814E-2</v>
      </c>
      <c r="K509">
        <f t="shared" ca="1" si="158"/>
        <v>0.87643773102366207</v>
      </c>
      <c r="L509">
        <f t="shared" ca="1" si="159"/>
        <v>0.4637562676214334</v>
      </c>
      <c r="M509">
        <f t="shared" ca="1" si="160"/>
        <v>-1.7162190410054865</v>
      </c>
      <c r="N509">
        <f t="shared" ca="1" si="161"/>
        <v>0.20647620078471537</v>
      </c>
      <c r="O509">
        <f t="shared" ca="1" si="162"/>
        <v>0.16954884157567432</v>
      </c>
      <c r="P509">
        <f ca="1">K507 + MATCH(IF(MAX(MAX(K509:O509),ABS(MIN(K509:O509)))=ABS(MIN(K509:O509)), MIN(K509:O509),MAX(K509:O509)),K509:O509,0) - 1</f>
        <v>2014</v>
      </c>
    </row>
    <row r="510" spans="3:40" x14ac:dyDescent="0.3">
      <c r="C510" t="str">
        <f>J485</f>
        <v>Cash Tax Rate</v>
      </c>
      <c r="D510">
        <f ca="1">J487</f>
        <v>0.37495485082713287</v>
      </c>
      <c r="E510">
        <f ca="1">K487</f>
        <v>0.34758866782006925</v>
      </c>
      <c r="F510">
        <f ca="1">L487</f>
        <v>0.35718981101068198</v>
      </c>
      <c r="G510">
        <f ca="1">M487</f>
        <v>0.36322259759759762</v>
      </c>
      <c r="H510">
        <f ca="1">N487</f>
        <v>0.36232945700943137</v>
      </c>
      <c r="I510">
        <f t="shared" ca="1" si="156"/>
        <v>0.36105707685298261</v>
      </c>
      <c r="J510">
        <f t="shared" ca="1" si="157"/>
        <v>9.9474913893822757E-3</v>
      </c>
      <c r="K510">
        <f t="shared" ca="1" si="158"/>
        <v>1.3971134460075461</v>
      </c>
      <c r="L510">
        <f t="shared" ca="1" si="159"/>
        <v>-1.353950308244471</v>
      </c>
      <c r="M510">
        <f t="shared" ca="1" si="160"/>
        <v>-0.38876795072458747</v>
      </c>
      <c r="N510">
        <f t="shared" ca="1" si="161"/>
        <v>0.21769516150840199</v>
      </c>
      <c r="O510">
        <f t="shared" ca="1" si="162"/>
        <v>0.12790965145311609</v>
      </c>
      <c r="P510">
        <f ca="1">K507 + MATCH(IF(MAX(MAX(K510:O510),ABS(MIN(K510:O510)))=ABS(MIN(K510:O510)), MIN(K510:O510),MAX(K510:O510)),K510:O510,0) - 1</f>
        <v>2012</v>
      </c>
    </row>
    <row r="511" spans="3:40" x14ac:dyDescent="0.3">
      <c r="C511" t="str">
        <f>Q460</f>
        <v>Operating Margin</v>
      </c>
      <c r="D511">
        <f ca="1">Q462</f>
        <v>0.11337837837837839</v>
      </c>
      <c r="E511">
        <f ca="1">R462</f>
        <v>0.1010358744394619</v>
      </c>
      <c r="F511">
        <f ca="1">S462</f>
        <v>6.0888888888888854E-2</v>
      </c>
      <c r="G511">
        <f ca="1">T462</f>
        <v>9.1132075471698146E-2</v>
      </c>
      <c r="H511">
        <f ca="1">U462</f>
        <v>9.5831775700934596E-2</v>
      </c>
      <c r="I511">
        <f t="shared" ca="1" si="156"/>
        <v>9.245339857587237E-2</v>
      </c>
      <c r="J511">
        <f t="shared" ca="1" si="157"/>
        <v>1.949994403971992E-2</v>
      </c>
      <c r="K511">
        <f t="shared" ca="1" si="158"/>
        <v>1.0730789667848997</v>
      </c>
      <c r="L511">
        <f t="shared" ca="1" si="159"/>
        <v>0.44012823042505494</v>
      </c>
      <c r="M511">
        <f t="shared" ca="1" si="160"/>
        <v>-1.6186974497305726</v>
      </c>
      <c r="N511">
        <f t="shared" ca="1" si="161"/>
        <v>-6.7760353644235508E-2</v>
      </c>
      <c r="O511">
        <f t="shared" ca="1" si="162"/>
        <v>0.17325060616485494</v>
      </c>
      <c r="P511">
        <f ca="1">K507 + MATCH(IF(MAX(MAX(K511:O511),ABS(MIN(K511:O511)))=ABS(MIN(K511:O511)), MIN(K511:O511),MAX(K511:O511)),K511:O511,0) - 1</f>
        <v>2014</v>
      </c>
    </row>
    <row r="512" spans="3:40" x14ac:dyDescent="0.3">
      <c r="C512" t="str">
        <f>Q488</f>
        <v>Invested Capital / Sales</v>
      </c>
      <c r="D512">
        <f ca="1">Q490</f>
        <v>0.65203153153153159</v>
      </c>
      <c r="E512">
        <f ca="1">R490</f>
        <v>0.6318071748878924</v>
      </c>
      <c r="F512">
        <f ca="1">S490</f>
        <v>0.70698888888888889</v>
      </c>
      <c r="G512">
        <f ca="1">T490</f>
        <v>0.60269811320754718</v>
      </c>
      <c r="H512">
        <f ca="1">U490</f>
        <v>0.63906230529595021</v>
      </c>
      <c r="I512">
        <f t="shared" ca="1" si="156"/>
        <v>0.64651760276236214</v>
      </c>
      <c r="J512">
        <f t="shared" ca="1" si="157"/>
        <v>3.8338315265785163E-2</v>
      </c>
      <c r="K512">
        <f t="shared" ca="1" si="158"/>
        <v>0.14382292834057656</v>
      </c>
      <c r="L512">
        <f t="shared" ca="1" si="159"/>
        <v>-0.38370042534440713</v>
      </c>
      <c r="M512">
        <f t="shared" ca="1" si="160"/>
        <v>1.5773068197520417</v>
      </c>
      <c r="N512">
        <f t="shared" ca="1" si="161"/>
        <v>-1.1429685746760354</v>
      </c>
      <c r="O512">
        <f t="shared" ca="1" si="162"/>
        <v>-0.19446074807218719</v>
      </c>
      <c r="P512">
        <f ca="1">K507 + MATCH(IF(MAX(MAX(K512:O512),ABS(MIN(K512:O512)))=ABS(MIN(K512:O512)), MIN(K512:O512),MAX(K512:O512)),K512:O512,0) - 1</f>
        <v>2014</v>
      </c>
    </row>
    <row r="513" spans="3:16" x14ac:dyDescent="0.3">
      <c r="C513" t="str">
        <f>X453</f>
        <v>Gross Margin</v>
      </c>
      <c r="D513">
        <f ca="1">X455</f>
        <v>0.51801801801801806</v>
      </c>
      <c r="E513">
        <f ca="1">Y455</f>
        <v>0.53363228699551568</v>
      </c>
      <c r="F513">
        <f ca="1">Z455</f>
        <v>0.48888888888888887</v>
      </c>
      <c r="G513">
        <f ca="1">AA455</f>
        <v>0.47484276729559749</v>
      </c>
      <c r="H513">
        <f ca="1">AB455</f>
        <v>0.47663551401869159</v>
      </c>
      <c r="I513">
        <f t="shared" ca="1" si="156"/>
        <v>0.49840349504334236</v>
      </c>
      <c r="J513">
        <f t="shared" ca="1" si="157"/>
        <v>2.6197699870889754E-2</v>
      </c>
      <c r="K513">
        <f t="shared" ca="1" si="158"/>
        <v>0.74871164534833368</v>
      </c>
      <c r="L513">
        <f t="shared" ca="1" si="159"/>
        <v>1.3447284351600155</v>
      </c>
      <c r="M513">
        <f t="shared" ca="1" si="160"/>
        <v>-0.36318479108258983</v>
      </c>
      <c r="N513">
        <f t="shared" ca="1" si="161"/>
        <v>-0.89934337227540251</v>
      </c>
      <c r="O513">
        <f t="shared" ca="1" si="162"/>
        <v>-0.83091191715036106</v>
      </c>
      <c r="P513">
        <f ca="1">K507 + MATCH(IF(MAX(MAX(K513:O513),ABS(MIN(K513:O513)))=ABS(MIN(K513:O513)), MIN(K513:O513),MAX(K513:O513)),K513:O513,0) - 1</f>
        <v>2013</v>
      </c>
    </row>
    <row r="514" spans="3:16" x14ac:dyDescent="0.3">
      <c r="C514" t="str">
        <f>X461</f>
        <v>SGA / Sales</v>
      </c>
      <c r="D514">
        <f ca="1">X463</f>
        <v>0.37906306306306309</v>
      </c>
      <c r="E514">
        <f ca="1">Y463</f>
        <v>0.40702690582959639</v>
      </c>
      <c r="F514">
        <f ca="1">Z463</f>
        <v>0.39629629629629631</v>
      </c>
      <c r="G514">
        <f ca="1">AA463</f>
        <v>0.35849056603773582</v>
      </c>
      <c r="H514">
        <f ca="1">AB463</f>
        <v>0.35514018691588783</v>
      </c>
      <c r="I514">
        <f t="shared" ca="1" si="156"/>
        <v>0.3792034036285159</v>
      </c>
      <c r="J514">
        <f t="shared" ca="1" si="157"/>
        <v>2.2772757790730125E-2</v>
      </c>
      <c r="K514">
        <f t="shared" ca="1" si="158"/>
        <v>-6.1626513021597789E-3</v>
      </c>
      <c r="L514">
        <f t="shared" ca="1" si="159"/>
        <v>1.2217888784820921</v>
      </c>
      <c r="M514">
        <f t="shared" ca="1" si="160"/>
        <v>0.75058509930396933</v>
      </c>
      <c r="N514">
        <f t="shared" ca="1" si="161"/>
        <v>-0.90954454357791659</v>
      </c>
      <c r="O514">
        <f t="shared" ca="1" si="162"/>
        <v>-1.0566667829059875</v>
      </c>
      <c r="P514">
        <f ca="1">K507 + MATCH(IF(MAX(MAX(K514:O514),ABS(MIN(K514:O514)))=ABS(MIN(K514:O514)), MIN(K514:O514),MAX(K514:O514)),K514:O514,0) - 1</f>
        <v>2013</v>
      </c>
    </row>
    <row r="515" spans="3:16" x14ac:dyDescent="0.3">
      <c r="C515" t="str">
        <f>X469</f>
        <v>Depreciation / Sales</v>
      </c>
      <c r="D515">
        <f ca="1">X471</f>
        <v>2.5576576576576575E-2</v>
      </c>
      <c r="E515">
        <f ca="1">Y471</f>
        <v>2.55695067264574E-2</v>
      </c>
      <c r="F515">
        <f ca="1">Z471</f>
        <v>3.1703703703703706E-2</v>
      </c>
      <c r="G515">
        <f ca="1">AA471</f>
        <v>2.5220125786163523E-2</v>
      </c>
      <c r="H515">
        <f ca="1">AB471</f>
        <v>2.5663551401869159E-2</v>
      </c>
      <c r="I515">
        <f t="shared" ca="1" si="156"/>
        <v>2.6746692838954072E-2</v>
      </c>
      <c r="J515">
        <f t="shared" ca="1" si="157"/>
        <v>2.776260896582723E-3</v>
      </c>
      <c r="K515">
        <f t="shared" ca="1" si="158"/>
        <v>-0.42147201072413032</v>
      </c>
      <c r="L515">
        <f t="shared" ca="1" si="159"/>
        <v>-0.42401854737271294</v>
      </c>
      <c r="M515">
        <f t="shared" ca="1" si="160"/>
        <v>1.7854989316210081</v>
      </c>
      <c r="N515">
        <f t="shared" ca="1" si="161"/>
        <v>-0.54986440743720744</v>
      </c>
      <c r="O515">
        <f t="shared" ca="1" si="162"/>
        <v>-0.39014396608695628</v>
      </c>
      <c r="P515">
        <f ca="1">K507 + MATCH(IF(MAX(MAX(K515:O515),ABS(MIN(K515:O515)))=ABS(MIN(K515:O515)), MIN(K515:O515),MAX(K515:O515)),K515:O515,0) - 1</f>
        <v>2014</v>
      </c>
    </row>
    <row r="516" spans="3:16" x14ac:dyDescent="0.3">
      <c r="C516" t="str">
        <f>X481</f>
        <v>Op WC / Sales</v>
      </c>
      <c r="D516">
        <f ca="1">X483</f>
        <v>0.43995045045045045</v>
      </c>
      <c r="E516">
        <f ca="1">Y483</f>
        <v>0.41924663677130047</v>
      </c>
      <c r="F516">
        <f ca="1">Z483</f>
        <v>0.31900370370370368</v>
      </c>
      <c r="G516">
        <f ca="1">AA483</f>
        <v>0.27526729559748425</v>
      </c>
      <c r="H516">
        <f ca="1">AB483</f>
        <v>0.33200000000000002</v>
      </c>
      <c r="I516">
        <f t="shared" ca="1" si="156"/>
        <v>0.35709361730458777</v>
      </c>
      <c r="J516">
        <f t="shared" ca="1" si="157"/>
        <v>6.9828952984161807E-2</v>
      </c>
      <c r="K516">
        <f t="shared" ca="1" si="158"/>
        <v>1.1865684591412358</v>
      </c>
      <c r="L516">
        <f t="shared" ca="1" si="159"/>
        <v>0.89007520248527683</v>
      </c>
      <c r="M516">
        <f t="shared" ca="1" si="160"/>
        <v>-0.54547450553244625</v>
      </c>
      <c r="N516">
        <f t="shared" ca="1" si="161"/>
        <v>-1.1718108064095261</v>
      </c>
      <c r="O516">
        <f t="shared" ca="1" si="162"/>
        <v>-0.3593583496845405</v>
      </c>
      <c r="P516">
        <f ca="1">K507 + MATCH(IF(MAX(MAX(K516:O516),ABS(MIN(K516:O516)))=ABS(MIN(K516:O516)), MIN(K516:O516),MAX(K516:O516)),K516:O516,0) - 1</f>
        <v>2012</v>
      </c>
    </row>
    <row r="517" spans="3:16" x14ac:dyDescent="0.3">
      <c r="C517" t="str">
        <f>X489</f>
        <v>PPE / Sales</v>
      </c>
      <c r="D517">
        <f ca="1">X491</f>
        <v>0.10387387387387387</v>
      </c>
      <c r="E517">
        <f ca="1">Y491</f>
        <v>0.10371748878923767</v>
      </c>
      <c r="F517">
        <f ca="1">Z491</f>
        <v>8.1266666666666668E-2</v>
      </c>
      <c r="G517">
        <f ca="1">AA491</f>
        <v>7.1018867924528301E-2</v>
      </c>
      <c r="H517">
        <f ca="1">AB491</f>
        <v>6.5816199376947035E-2</v>
      </c>
      <c r="I517">
        <f t="shared" ca="1" si="156"/>
        <v>8.5138619326250706E-2</v>
      </c>
      <c r="J517">
        <f t="shared" ca="1" si="157"/>
        <v>1.7915771426516194E-2</v>
      </c>
      <c r="K517">
        <f t="shared" ca="1" si="158"/>
        <v>1.0457408783355036</v>
      </c>
      <c r="L517">
        <f t="shared" ca="1" si="159"/>
        <v>1.0370119723390394</v>
      </c>
      <c r="M517">
        <f t="shared" ca="1" si="160"/>
        <v>-0.21611978448515837</v>
      </c>
      <c r="N517">
        <f t="shared" ca="1" si="161"/>
        <v>-0.78811852783656866</v>
      </c>
      <c r="O517">
        <f t="shared" ca="1" si="162"/>
        <v>-1.0785145383528152</v>
      </c>
      <c r="P517">
        <f ca="1">K507 + MATCH(IF(MAX(MAX(K517:O517),ABS(MIN(K517:O517)))=ABS(MIN(K517:O517)), MIN(K517:O517),MAX(K517:O517)),K517:O517,0) - 1</f>
        <v>2016</v>
      </c>
    </row>
    <row r="518" spans="3:16" x14ac:dyDescent="0.3">
      <c r="C518" t="str">
        <f>X497</f>
        <v>Intangibles / Sales</v>
      </c>
      <c r="D518">
        <f ca="1">X499</f>
        <v>0.10820720720720721</v>
      </c>
      <c r="E518">
        <f ca="1">Y499</f>
        <v>0.10884304932735427</v>
      </c>
      <c r="F518">
        <f ca="1">Z499</f>
        <v>0.3067185185185185</v>
      </c>
      <c r="G518">
        <f ca="1">AA499</f>
        <v>0.2564119496855346</v>
      </c>
      <c r="H518">
        <f ca="1">AB499</f>
        <v>0.24124610591900311</v>
      </c>
      <c r="I518">
        <f t="shared" ca="1" si="156"/>
        <v>0.20428536613152354</v>
      </c>
      <c r="J518">
        <f t="shared" ca="1" si="157"/>
        <v>9.0713940722776901E-2</v>
      </c>
      <c r="K518">
        <f t="shared" ca="1" si="158"/>
        <v>-1.0591333389201176</v>
      </c>
      <c r="L518">
        <f t="shared" ca="1" si="159"/>
        <v>-1.0521240290491001</v>
      </c>
      <c r="M518">
        <f t="shared" ca="1" si="160"/>
        <v>1.1291886513896705</v>
      </c>
      <c r="N518">
        <f t="shared" ca="1" si="161"/>
        <v>0.57462594104814213</v>
      </c>
      <c r="O518">
        <f t="shared" ca="1" si="162"/>
        <v>0.40744277553140507</v>
      </c>
      <c r="P518">
        <f ca="1">K507 + MATCH(IF(MAX(MAX(K518:O518),ABS(MIN(K518:O518)))=ABS(MIN(K518:O518)), MIN(K518:O518),MAX(K518:O518)),K518:O518,0) - 1</f>
        <v>2014</v>
      </c>
    </row>
    <row r="519" spans="3:16" x14ac:dyDescent="0.3">
      <c r="I519" t="str">
        <f>"Max SD"</f>
        <v>Max SD</v>
      </c>
      <c r="J519">
        <f ca="1">MAX(J508:J518)</f>
        <v>9.0713940722776901E-2</v>
      </c>
    </row>
    <row r="520" spans="3:16" x14ac:dyDescent="0.3">
      <c r="I520" t="str">
        <f>"Max SD Item"</f>
        <v>Max SD Item</v>
      </c>
      <c r="J520" t="str">
        <f ca="1">INDIRECT("C" &amp; 507 + MATCH(J519,J508:J518,0))</f>
        <v>Intangibles / Sales</v>
      </c>
    </row>
    <row r="521" spans="3:16" x14ac:dyDescent="0.3">
      <c r="I521" t="str">
        <f>"Min SD"</f>
        <v>Min SD</v>
      </c>
      <c r="J521">
        <f ca="1">MIN(J508:J518)</f>
        <v>2.776260896582723E-3</v>
      </c>
    </row>
    <row r="522" spans="3:16" x14ac:dyDescent="0.3">
      <c r="I522" t="str">
        <f>"Min SD Item"</f>
        <v>Min SD Item</v>
      </c>
      <c r="J522" t="str">
        <f ca="1">INDIRECT("C" &amp; 507 + MATCH(J521,J508:J518,0))</f>
        <v>Depreciation / Sales</v>
      </c>
    </row>
    <row r="523" spans="3:16" x14ac:dyDescent="0.3">
      <c r="C523" t="str">
        <f>"Correlation Analysis"</f>
        <v>Correlation Analysis</v>
      </c>
    </row>
    <row r="524" spans="3:16" x14ac:dyDescent="0.3">
      <c r="D524" t="str">
        <f>C528</f>
        <v>Operating Margin</v>
      </c>
      <c r="E524" t="str">
        <f>C529</f>
        <v>Invested Capital / Sales</v>
      </c>
      <c r="F524" t="str">
        <f>X453</f>
        <v>Gross Margin</v>
      </c>
      <c r="G524" t="str">
        <f>X461</f>
        <v>SGA / Sales</v>
      </c>
      <c r="H524" t="str">
        <f>X469</f>
        <v>Depreciation / Sales</v>
      </c>
      <c r="I524" t="str">
        <f>X481</f>
        <v>Op WC / Sales</v>
      </c>
      <c r="J524" t="str">
        <f>X489</f>
        <v>PPE / Sales</v>
      </c>
      <c r="K524" t="str">
        <f>X497</f>
        <v>Intangibles / Sales</v>
      </c>
      <c r="L524" t="str">
        <f>"Key Driver on correlation basis"</f>
        <v>Key Driver on correlation basis</v>
      </c>
    </row>
    <row r="525" spans="3:16" x14ac:dyDescent="0.3">
      <c r="C525" t="str">
        <f>C508</f>
        <v>EOY ROIC</v>
      </c>
      <c r="D525">
        <f ca="1">E482</f>
        <v>0.97671489764290742</v>
      </c>
      <c r="E525">
        <f ca="1">E483</f>
        <v>-0.77363665647198465</v>
      </c>
      <c r="F525">
        <f ca="1">E484</f>
        <v>0.41806843052695186</v>
      </c>
      <c r="G525">
        <f ca="1">E485</f>
        <v>-0.23851996866516495</v>
      </c>
      <c r="H525">
        <f ca="1">E486</f>
        <v>-0.95873450041036601</v>
      </c>
      <c r="I525">
        <f ca="1">E487</f>
        <v>0.52306012734632557</v>
      </c>
      <c r="J525">
        <f ca="1">E488</f>
        <v>0.36336958523081464</v>
      </c>
      <c r="K525">
        <f ca="1">E489</f>
        <v>-0.80136209418843896</v>
      </c>
    </row>
    <row r="526" spans="3:16" x14ac:dyDescent="0.3">
      <c r="C526" t="str">
        <f>C509</f>
        <v>EOY Pretax ROIC</v>
      </c>
      <c r="D526">
        <f ca="1">O468</f>
        <v>0.9845055110807015</v>
      </c>
      <c r="E526">
        <f ca="1">O469</f>
        <v>-0.75696550930193862</v>
      </c>
    </row>
    <row r="527" spans="3:16" x14ac:dyDescent="0.3">
      <c r="C527" t="str">
        <f>C510</f>
        <v>Cash Tax Rate</v>
      </c>
    </row>
    <row r="528" spans="3:16" x14ac:dyDescent="0.3">
      <c r="C528" t="str">
        <f>C511</f>
        <v>Operating Margin</v>
      </c>
      <c r="F528">
        <f ca="1">V463</f>
        <v>0.47503744803071152</v>
      </c>
      <c r="G528">
        <f ca="1">V464</f>
        <v>-0.20131913030661316</v>
      </c>
      <c r="H528">
        <f ca="1">V465</f>
        <v>-0.88985288043563937</v>
      </c>
      <c r="L528" t="str">
        <f ca="1">INDIRECT(ADDRESS(524,5+MATCH(IF(ABS(MAX(F528:H528))&gt;ABS(MIN(F528:H528)),MAX(F528:H528),MIN(F528:H528)),F528:H528,0)))</f>
        <v>Depreciation / Sales</v>
      </c>
    </row>
    <row r="529" spans="3:12" x14ac:dyDescent="0.3">
      <c r="C529" t="str">
        <f>C512</f>
        <v>Invested Capital / Sales</v>
      </c>
      <c r="I529">
        <f ca="1">V491</f>
        <v>9.449421995211528E-2</v>
      </c>
      <c r="J529">
        <f ca="1">V492</f>
        <v>0.1305339562385254</v>
      </c>
      <c r="K529">
        <f ca="1">V493</f>
        <v>0.32410968001000207</v>
      </c>
      <c r="L529" t="str">
        <f ca="1">INDIRECT(ADDRESS(524,8+MATCH(IF(ABS(MAX(I529:K529))&gt;ABS(MIN(I529:K529)),MAX(I529:K529),MIN(I529:K529)),I529:K529,0)))</f>
        <v>Intangibles / Sales</v>
      </c>
    </row>
    <row r="532" spans="3:12" x14ac:dyDescent="0.3">
      <c r="C532" t="str">
        <f>"Causation Analysis"</f>
        <v>Causation Analysis</v>
      </c>
    </row>
    <row r="533" spans="3:12" x14ac:dyDescent="0.3">
      <c r="D533" t="str">
        <f>C527</f>
        <v>Cash Tax Rate</v>
      </c>
      <c r="E533" t="str">
        <f>C536</f>
        <v>Operating Margin</v>
      </c>
      <c r="F533" t="str">
        <f>C537</f>
        <v>Invested Capital / Sales</v>
      </c>
      <c r="G533" t="str">
        <f t="shared" ref="G533:L533" si="163">F524</f>
        <v>Gross Margin</v>
      </c>
      <c r="H533" t="str">
        <f t="shared" si="163"/>
        <v>SGA / Sales</v>
      </c>
      <c r="I533" t="str">
        <f t="shared" si="163"/>
        <v>Depreciation / Sales</v>
      </c>
      <c r="J533" t="str">
        <f t="shared" si="163"/>
        <v>Op WC / Sales</v>
      </c>
      <c r="K533" t="str">
        <f t="shared" si="163"/>
        <v>PPE / Sales</v>
      </c>
      <c r="L533" t="str">
        <f t="shared" si="163"/>
        <v>Intangibles / Sales</v>
      </c>
    </row>
    <row r="534" spans="3:12" x14ac:dyDescent="0.3">
      <c r="C534" t="str">
        <f>C508</f>
        <v>EOY ROIC</v>
      </c>
      <c r="D534" t="str">
        <f ca="1">IF(AND(G478&lt;&gt;"Inconclusive Effect",G480&lt;&gt;"Inconclusive Effect"),G478 &amp; CHAR(10) &amp; ". " &amp;G480,IF(G478&lt;&gt;"Inconclusive Effect",G478,IF(G480&lt;&gt;"Inconclusive Effect",G480,"Inconclusive Effect")))</f>
        <v>Inconclusive Effect</v>
      </c>
    </row>
    <row r="535" spans="3:12" x14ac:dyDescent="0.3">
      <c r="C535" t="str">
        <f>C509</f>
        <v>EOY Pretax ROIC</v>
      </c>
      <c r="E535" t="str">
        <f ca="1">IF(AND(M468&lt;&gt;"Inconclusive Effect",M470&lt;&gt;"Inconclusive Effect"),M468 &amp; CHAR(10) &amp; ". " &amp;M470,IF(M468&lt;&gt;"Inconclusive Effect",M468,IF(M470&lt;&gt;"Inconclusive Effect",M470,"Inconclusive Effect")))</f>
        <v>Max ROIC in same year as Max OM
. Min ROIC in same year as Min OM</v>
      </c>
      <c r="F535" t="str">
        <f ca="1">IF(AND(M469&lt;&gt;"Inconclusive Effect",M471&lt;&gt;"Inconclusive Effect"),M469 &amp; CHAR(10) &amp; ". " &amp;M471,IF(M469&lt;&gt;"Inconclusive Effect",M469,IF(M471&lt;&gt;"Inconclusive Effect",M471,"Inconclusive Effect")))</f>
        <v>Min ROIC in same year as Max IC</v>
      </c>
    </row>
    <row r="536" spans="3:12" x14ac:dyDescent="0.3">
      <c r="C536" t="str">
        <f>C511</f>
        <v>Operating Margin</v>
      </c>
      <c r="G536" t="str">
        <f ca="1">IF(AND(T463&lt;&gt;"Inconclusive Effect",T466&lt;&gt;"Inconclusive Effect"),T463 &amp; CHAR(10) &amp; ". " &amp;T466,IF(T463&lt;&gt;"Inconclusive Effect",T463,IF(T466&lt;&gt;"Inconclusive Effect",T466,"Inconclusive Effect")))</f>
        <v>Inconclusive Effect</v>
      </c>
      <c r="H536" t="str">
        <f ca="1">IF(AND(T464&lt;&gt;"Inconclusive Effect",T467&lt;&gt;"Inconclusive Effect"),T464 &amp; CHAR(10) &amp; ". " &amp;T467,IF(T464&lt;&gt;"Inconclusive Effect",T464,IF(T467&lt;&gt;"Inconclusive Effect",T467,"Inconclusive Effect")))</f>
        <v>Inconclusive Effect</v>
      </c>
      <c r="I536" t="str">
        <f ca="1">IF(AND(T465&lt;&gt;"Inconclusive Effect",T468&lt;&gt;"Inconclusive Effect"),T465 &amp; CHAR(10) &amp; ". " &amp;T468,IF(T465&lt;&gt;"Inconclusive Effect",T465,IF(T468&lt;&gt;"Inconclusive Effect",T468,"Inconclusive Effect")))</f>
        <v>Min OM in same year as Max Dep</v>
      </c>
    </row>
    <row r="537" spans="3:12" x14ac:dyDescent="0.3">
      <c r="C537" t="str">
        <f>C512</f>
        <v>Invested Capital / Sales</v>
      </c>
      <c r="J537" t="str">
        <f ca="1">IF(AND(T491&lt;&gt;"Inconclusive Effect",T494&lt;&gt;"Inconclusive Effect"),T491 &amp; CHAR(10) &amp; ". " &amp;T494,IF(T491&lt;&gt;"Inconclusive Effect",T491,IF(T494&lt;&gt;"Inconclusive Effect",T494,"Inconclusive Effect")))</f>
        <v>Min IC in same year as Min Op WC</v>
      </c>
      <c r="K537" t="str">
        <f ca="1">IF(AND(T492&lt;&gt;"Inconclusive Effect",T495&lt;&gt;"Inconclusive Effect"),T492 &amp; CHAR(10) &amp; ". " &amp;T495,IF(T492&lt;&gt;"Inconclusive Effect",T492,IF(T495&lt;&gt;"Inconclusive Effect",T495,"Inconclusive Effect")))</f>
        <v>Inconclusive Effect</v>
      </c>
      <c r="L537" t="str">
        <f ca="1">IF(AND(T493&lt;&gt;"Inconclusive Effect",T496&lt;&gt;"Inconclusive Effect"),T493 &amp; CHAR(10) &amp; ". " &amp;T496,IF(T493&lt;&gt;"Inconclusive Effect",T493,IF(T496&lt;&gt;"Inconclusive Effect",T496,"Inconclusive Effect")))</f>
        <v>Max IC in same year as Max Intangibles</v>
      </c>
    </row>
    <row r="538" spans="3:12" x14ac:dyDescent="0.3">
      <c r="C538" t="str">
        <f>"Summary"</f>
        <v>Summary</v>
      </c>
      <c r="D538" t="str">
        <f ca="1">IF(D534&lt;&gt;"Inconclusive Effect",D534,"")</f>
        <v/>
      </c>
      <c r="E538" t="str">
        <f ca="1">IF(E535&lt;&gt;"Inconclusive Effect",E535,"")</f>
        <v>Max ROIC in same year as Max OM
. Min ROIC in same year as Min OM</v>
      </c>
      <c r="F538" t="str">
        <f ca="1">IF(F535&lt;&gt;"Inconclusive Effect",F535,"")</f>
        <v>Min ROIC in same year as Max IC</v>
      </c>
      <c r="G538" t="str">
        <f ca="1">IF(G536&lt;&gt;"Inconclusive Effect",G536,"")</f>
        <v/>
      </c>
      <c r="H538" t="str">
        <f ca="1">IF(H536&lt;&gt;"Inconclusive Effect",H536,"")</f>
        <v/>
      </c>
      <c r="I538" t="str">
        <f ca="1">IF(I536&lt;&gt;"Inconclusive Effect",I536,"")</f>
        <v>Min OM in same year as Max Dep</v>
      </c>
      <c r="J538" t="str">
        <f ca="1">IF(J537&lt;&gt;"Inconclusive Effect",J537,"")</f>
        <v>Min IC in same year as Min Op WC</v>
      </c>
      <c r="K538" t="str">
        <f ca="1">IF(K537&lt;&gt;"Inconclusive Effect",K537,"")</f>
        <v/>
      </c>
      <c r="L538" t="str">
        <f ca="1">IF(L537&lt;&gt;"Inconclusive Effect",L537,"")</f>
        <v>Max IC in same year as Max Intangibles</v>
      </c>
    </row>
    <row r="540" spans="3:12" x14ac:dyDescent="0.3">
      <c r="C540" t="str">
        <f ca="1">_xlfn.TEXTJOIN(". ",TRUE,D538:L538)</f>
        <v>Max ROIC in same year as Max OM
. Min ROIC in same year as Min OM. Min ROIC in same year as Max IC. Min OM in same year as Max Dep. Min IC in same year as Min Op WC. Max IC in same year as Max Intangibles</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H540"/>
  <sheetViews>
    <sheetView topLeftCell="B520" workbookViewId="0">
      <selection activeCell="C542" sqref="C542"/>
    </sheetView>
  </sheetViews>
  <sheetFormatPr defaultRowHeight="14.4" x14ac:dyDescent="0.3"/>
  <cols>
    <col min="1" max="1" width="0" hidden="1" customWidth="1"/>
    <col min="2" max="7" width="20.6640625" customWidth="1"/>
  </cols>
  <sheetData>
    <row r="1" spans="1:16" x14ac:dyDescent="0.3">
      <c r="B1" t="s">
        <v>0</v>
      </c>
      <c r="C1" t="s">
        <v>991</v>
      </c>
      <c r="D1" t="str">
        <f>TRIM(IFERROR(IFERROR(IFERROR(IFERROR(IFERROR(IFERROR(IFERROR(REPLACE(LEFT(C1,FIND("(",C1) - 2), FIND("PLC",UPPER(LEFT(C1,FIND("(",C1) - 2))),3,"" ), REPLACE(LEFT(C1,FIND("(",C1) - 2), FIND(", INC.",UPPER(LEFT(C1,FIND("(",C1) - 2))),6,"" )), REPLACE(LEFT(C1,FIND("(",C1) - 2), FIND("CORPORATION",UPPER(LEFT(C1,FIND("(",C1) - 2))),11,"" )),REPLACE(LEFT(C1,FIND("(",C1) - 2), FIND("CORP.",UPPER(LEFT(C1,FIND("(",C1) - 2))),5,"" )), REPLACE(LEFT(C1,FIND("(",C1) - 2), FIND("COMPANY",UPPER(LEFT(C1,FIND("(",C1) - 2))),7,"" )),REPLACE(LEFT(C1,FIND("(",C1) - 2), FIND("INC.",UPPER(LEFT(C1,FIND("(",C1) - 2))),4,"" )),REPLACE(LEFT(C1,FIND("(",C1) - 2), FIND("CORP",UPPER(LEFT(C1,FIND("(",C1) - 2))),4,"" )),LEFT(C1,FIND("(",C1) - 2)))</f>
        <v>ArcBest</v>
      </c>
    </row>
    <row r="2" spans="1:16" x14ac:dyDescent="0.3">
      <c r="B2" t="s">
        <v>2</v>
      </c>
      <c r="C2" t="s">
        <v>186</v>
      </c>
      <c r="K2" t="str">
        <f>LEFT(C1,FIND("(",C1) - 2)</f>
        <v>ArcBest Corporation</v>
      </c>
    </row>
    <row r="3" spans="1:16" x14ac:dyDescent="0.3">
      <c r="J3">
        <f ca="1">RANDBETWEEN(1,6)</f>
        <v>1</v>
      </c>
      <c r="K3" t="str">
        <f>" is scheduled to report earnings "&amp;IFERROR("between "&amp;LEFT(C20,FIND("-",C20)-2)&amp;" and "&amp;RIGHT(C20,FIND("-",C20)-2),"on "&amp;C20)</f>
        <v xml:space="preserve"> is scheduled to report earnings on Jul 28, 2017</v>
      </c>
      <c r="L3" t="str">
        <f>" is slated to report earnings "&amp;IFERROR("between "&amp;LEFT(C20,FIND("-",C20)-2)&amp;" and "&amp;RIGHT(C20,FIND("-",C20)-2),"on "&amp;C20)</f>
        <v xml:space="preserve"> is slated to report earnings on Jul 28, 2017</v>
      </c>
      <c r="M3" t="str">
        <f>" will report earnings "&amp;IFERROR("between "&amp;LEFT(C20,FIND("-",C20)-2)&amp;" and "&amp;RIGHT(C20,FIND("-",C20)-2),"on "&amp;C20)</f>
        <v xml:space="preserve"> will report earnings on Jul 28, 2017</v>
      </c>
      <c r="N3" t="str">
        <f>" reports earnings "&amp;IFERROR("between "&amp;LEFT(C20,FIND("-",C20)-2)&amp;" and "&amp;RIGHT(C20,FIND("-",C20)-2),"on "&amp;C20)</f>
        <v xml:space="preserve"> reports earnings on Jul 28, 2017</v>
      </c>
      <c r="O3" t="str">
        <f>" plans to report earnings "&amp;IFERROR("between "&amp;LEFT(C20,FIND("-",C20)-2)&amp;" and "&amp;RIGHT(C20,FIND("-",C20)-2),"on "&amp;C20)</f>
        <v xml:space="preserve"> plans to report earnings on Jul 28, 2017</v>
      </c>
      <c r="P3" t="str">
        <f>" is going to report earnings "&amp;IFERROR("between "&amp;LEFT(C20,FIND("-",C20)-2)&amp;" and "&amp;RIGHT(C20,FIND("-",C20)-2),"on "&amp;C20)</f>
        <v xml:space="preserve"> is going to report earnings on Jul 28, 2017</v>
      </c>
    </row>
    <row r="4" spans="1:16" x14ac:dyDescent="0.3">
      <c r="B4" t="s">
        <v>4</v>
      </c>
      <c r="J4">
        <f ca="1">RANDBETWEEN(1,2)</f>
        <v>1</v>
      </c>
      <c r="K4" t="str">
        <f>"The stock is currently trading at " &amp; TEXT(C2,"$####.00") &amp; ", " &amp; IF(C2-C7=0, "at the same price" &amp; " after opening " &amp; IF(C8-C7=0, "at the same price as yesterday's close", IF(C8-C7&gt;0, "up " &amp; IF((C7-C8)/C7*-1 &lt;0.01, "slightly", TEXT((C7-C8)/C7*-1,"##.##%")) &amp; " over yesterday's close", IF((C7-C8)/C7 &lt;0.01, "slightly below", "down " &amp; TEXT((C7-C8)/C7*1,"##.##%") &amp; " from") &amp; " yesterday's close")), IF(C2-C7&gt;0, "up " &amp; TEXT((C7-C2)/C7*-1,"##.##%") &amp; " after opening " &amp; IF(C8-C7=0, "at the same price as yesterday's close", IF(C8-C7&gt;0, "up " &amp; IF((C7-C8)/C7*-1 &lt;0.01, "slightly", TEXT((C7-C8)/C7*-1,"##.##%")) &amp; " over yesterday's close", IF((C7-C8)/C7 &lt;0.01, "slightly below", "down " &amp; TEXT((C7-C8)/C7*1,"##.##%") &amp; " from") &amp; " yesterday's close")), "down " &amp; TEXT((C7-C2)/C7*1,"##.##%") &amp; " after opening " &amp; IF(C8-C7=0, "at the same price as yesterday's close", IF(C8-C7&gt;0, "up " &amp; IF((C7-C8)/C7*-1 &lt;0.01, "slightly", TEXT((C7-C8)/C7*-1,"##.##%")) &amp; " over yesterday's close", IF((C7-C8)/C7 &lt;0.01, "slightly below", "down " &amp; TEXT((C7-C8)/C7*1,"##.##%") &amp; " from") &amp; " yesterday's close")) ))</f>
        <v>The stock is currently trading at $21.50, down 1.83% after opening up slightly over yesterday's close</v>
      </c>
      <c r="L4" t="str">
        <f>"The current stock price is " &amp; TEXT(C2,"$####.00") &amp; ", " &amp; IF(C2-C7=0, "at the same price" &amp; " after opening " &amp; IF(C8-C7=0, "at the same price as yesterday's closing price", IF(C8-C7&gt;0, "up " &amp; IF((C7-C8)/C7*-1 &lt;0.01, "a fraction", TEXT((C7-C8)/C7*-1,"##.##%")) &amp; " over yesterday's closing price", IF((C7-C8)/C7 &lt;0.01, "a bit below", "down " &amp; TEXT((C7-C8)/C7*1,"##.##%") &amp; " from") &amp; " yesterday's closing price")), IF(C2-C7&gt;0, "up " &amp; TEXT((C7-C2)/C7*-1,"##.##%") &amp; " after opening " &amp; IF(C8-C7=0, "at yesterday's closing price", IF(C8-C7&gt;0, "up " &amp; IF((C7-C8)/C7*-1 &lt;0.01, "a fraction", TEXT((C7-C8)/C7*-1,"##.##%")) &amp; " over yesterday's closing price", IF((C7-C8)/C7 &lt;0.01, "a bit below", "down " &amp; TEXT((C7-C8)/C7*1,"##.##%") &amp; " from") &amp; " yesterday's closing price")), "down " &amp; TEXT((C7-C2)/C7*1,"##.##%") &amp; " after opening " &amp; IF(C8-C7=0, "at yesterday's closing price", IF(C8-C7&gt;0, "up " &amp; IF((C7-C8)/C7*-1 &lt;0.01, "a fraction", TEXT((C7-C8)/C7*-1,"##.##%")) &amp; " over yesterday's closing price", IF((C7-C8)/C7 &lt;0.01, "a bit below", "down " &amp; TEXT((C7-C8)/C7*1,"##.##%") &amp; " from") &amp; " yesterday's closing price")) ))</f>
        <v>The current stock price is $21.50, down 1.83% after opening up a fraction over yesterday's closing price</v>
      </c>
    </row>
    <row r="5" spans="1:16" x14ac:dyDescent="0.3">
      <c r="J5">
        <f ca="1">RANDBETWEEN(1,2)</f>
        <v>1</v>
      </c>
      <c r="K5" t="str">
        <f>"The one year target estimate for " &amp; D1 &amp; " is " &amp; TEXT(C23,"$####.00")</f>
        <v>The one year target estimate for ArcBest is $22.29</v>
      </c>
      <c r="L5" t="str">
        <f>D1 &amp; " is expected to be trading at " &amp; TEXT(C23, "$####.00") &amp; ", based on target estimates"</f>
        <v>ArcBest is expected to be trading at $22.29, based on target estimates</v>
      </c>
    </row>
    <row r="6" spans="1:16" x14ac:dyDescent="0.3">
      <c r="K6" t="str">
        <f>" which would be " &amp; IF(OR(LEFT(ABS((C23-C2)/C2*100),1)="8",LEFT(ABS((C23-C2)/C2*100),2)="18"), "an ", "a ")  &amp;TEXT(ABS((C23-C2)/C2),"####.00%")&amp;IF((C23-C2)&gt;0," increase over"," decrease from")&amp;" the current price"</f>
        <v xml:space="preserve"> which would be a 3.67% increase over the current price</v>
      </c>
    </row>
    <row r="7" spans="1:16" x14ac:dyDescent="0.3">
      <c r="A7" s="1">
        <v>0</v>
      </c>
      <c r="B7" t="s">
        <v>5</v>
      </c>
      <c r="C7" t="s">
        <v>992</v>
      </c>
      <c r="K7" t="str">
        <f>"Earnings are expected to " &amp; IF(C28=D28, "remain constant over the next quarter", IF( D28&gt;C28,  "increase by " &amp; TEXT((D28-C28)/C28*100,"##.##") &amp; "% over last quarter", "decrease by " &amp; TEXT((D28-C28)/C28*-100,"##.##") &amp; "% from last quarter")) &amp; " based on the average of " &amp; $C$27 &amp; " analyst estimates (Yahoo Finance)"</f>
        <v>Earnings are expected to increase by 27.08% over last quarter based on the average of 9 analyst estimates (Yahoo Finance)</v>
      </c>
    </row>
    <row r="8" spans="1:16" x14ac:dyDescent="0.3">
      <c r="A8" s="1">
        <v>1</v>
      </c>
      <c r="B8" t="s">
        <v>7</v>
      </c>
      <c r="C8" t="s">
        <v>993</v>
      </c>
      <c r="K8" t="str">
        <f>IF(VALUE(C2)=D12, "The stock is trading at an all-time low",IF(VALUE(C2) =E12,"The stock is trading at an all-time high",IF(VALUE(C2)&lt;D12+(E12-D12)/3, "The stock is trading in the low end of its 52-week range",IF(VALUE(C2)&lt;D12+2*(E12-D12)/3, "The stock is trading near the middle of its 52 week range", "The stock is trading in the high end of its 52-week range"))) )</f>
        <v>The stock is trading in the low end of its 52-week range</v>
      </c>
    </row>
    <row r="9" spans="1:16" x14ac:dyDescent="0.3">
      <c r="A9" s="1">
        <v>2</v>
      </c>
      <c r="B9" t="s">
        <v>9</v>
      </c>
      <c r="C9" t="s">
        <v>994</v>
      </c>
      <c r="K9" t="str">
        <f>"Over the last 4 quarters, there" &amp; IF(4 - COUNTIF(C45:F45,"-*")=1, " has"," have") &amp; " been" &amp; IF(4 - COUNTIF(C45:F45,"-*")=1, " a,","") &amp; " positive earnings surprise" &amp; IF(4 - COUNTIF(C45:F45,"-*")=1, " ","s ") &amp; 4 -COUNTIF(C45:F45,"-*") &amp; IF(4 - COUNTIF(C45:F45,"-*")=1, " time,"," times,") &amp; " and a negative earnings surprise " &amp; COUNTIF(C45:F45,"-*") &amp; IF(COUNTIF(C45:F45,"-*")=1, " time", " times")</f>
        <v>Over the last 4 quarters, there have been positive earnings surprises 2 times, and a negative earnings surprise 2 times</v>
      </c>
    </row>
    <row r="10" spans="1:16" x14ac:dyDescent="0.3">
      <c r="A10" s="1">
        <v>3</v>
      </c>
      <c r="B10" t="s">
        <v>11</v>
      </c>
      <c r="C10" t="s">
        <v>995</v>
      </c>
      <c r="K10" t="str">
        <f>IF(F48=F52,"",IF(F48&gt;F52, "EPS estimates have increased by " &amp; TEXT(F48-F52,"$0.00") &amp; " in the 2 months leading up to the earnings report", "EPS estimates have decreased by " &amp; TEXT(ABS(F48-F52),"$0.00") &amp; " in the 2 months leading up to the earnings report"))</f>
        <v>EPS estimates have decreased by $0.32 in the 2 months leading up to the earnings report</v>
      </c>
    </row>
    <row r="11" spans="1:16" x14ac:dyDescent="0.3">
      <c r="A11" s="1">
        <v>4</v>
      </c>
      <c r="B11" t="s">
        <v>12</v>
      </c>
      <c r="C11" t="s">
        <v>996</v>
      </c>
      <c r="K11" t="str">
        <f>IF(B145="Interest Income",U42, K42)</f>
        <v>ArcBest has managed to increase revenue each year since 2012</v>
      </c>
    </row>
    <row r="12" spans="1:16" x14ac:dyDescent="0.3">
      <c r="A12" s="1">
        <v>5</v>
      </c>
      <c r="B12" t="s">
        <v>14</v>
      </c>
      <c r="C12" t="s">
        <v>997</v>
      </c>
      <c r="D12" t="str">
        <f>LEFT(C12,FIND("-",C12)-2)</f>
        <v>16.95</v>
      </c>
      <c r="E12" t="str">
        <f>TRIM(RIGHT(C12,FIND("-",C12)-1))</f>
        <v>33.95</v>
      </c>
      <c r="K12" t="str">
        <f ca="1">D78</f>
        <v>There are some indications that ArcBest may be overvalued. The company has a higher peg ratio, price/sales than the comparable average</v>
      </c>
    </row>
    <row r="13" spans="1:16" x14ac:dyDescent="0.3">
      <c r="A13" s="1">
        <v>6</v>
      </c>
      <c r="B13" t="s">
        <v>16</v>
      </c>
      <c r="C13" t="s">
        <v>998</v>
      </c>
      <c r="K13" t="str">
        <f ca="1">D89</f>
        <v>There are some indications that ArcBest may be undervalued. The company has a lower trailing p/e, and forward p/e than the comparable average</v>
      </c>
    </row>
    <row r="14" spans="1:16" x14ac:dyDescent="0.3">
      <c r="A14" s="1">
        <v>7</v>
      </c>
      <c r="B14" t="s">
        <v>18</v>
      </c>
      <c r="C14" t="s">
        <v>999</v>
      </c>
    </row>
    <row r="16" spans="1:16" x14ac:dyDescent="0.3">
      <c r="A16" s="1">
        <v>0</v>
      </c>
      <c r="B16" t="s">
        <v>20</v>
      </c>
      <c r="C16" t="s">
        <v>1000</v>
      </c>
    </row>
    <row r="17" spans="1:23" x14ac:dyDescent="0.3">
      <c r="A17" s="1">
        <v>1</v>
      </c>
      <c r="B17" t="s">
        <v>22</v>
      </c>
      <c r="C17" t="s">
        <v>1001</v>
      </c>
      <c r="K17" t="str">
        <f ca="1">K2 &amp; IF(J3=1, K3,IF(J3=2,L3,IF(J3=3,M3,IF(J3=4,N3,IF(J3=5,O3,IF(J3=6,P3)))))) &amp; ". " &amp; IF(J4=1,K4,IF(J4=2,L4)) &amp; ". " &amp; IF(J5=1,K5,IF(J5=2,L5)) &amp; K6 &amp; ". " &amp; K7 &amp; ". " &amp; K8 &amp; ". " &amp; K9 &amp; "."</f>
        <v>ArcBest Corporation is scheduled to report earnings on Jul 28, 2017. The stock is currently trading at $21.50, down 1.83% after opening up slightly over yesterday's close. The one year target estimate for ArcBest is $22.29 which would be a 3.67% increase over the current price. Earnings are expected to increase by 27.08% over last quarter based on the average of 9 analyst estimates (Yahoo Finance). The stock is trading in the low end of its 52-week range. Over the last 4 quarters, there have been positive earnings surprises 2 times, and a negative earnings surprise 2 times.</v>
      </c>
    </row>
    <row r="18" spans="1:23" x14ac:dyDescent="0.3">
      <c r="A18" s="1">
        <v>2</v>
      </c>
      <c r="B18" t="s">
        <v>24</v>
      </c>
      <c r="C18" t="s">
        <v>1002</v>
      </c>
    </row>
    <row r="19" spans="1:23" x14ac:dyDescent="0.3">
      <c r="A19" s="1">
        <v>3</v>
      </c>
      <c r="B19" t="s">
        <v>26</v>
      </c>
      <c r="C19" t="s">
        <v>79</v>
      </c>
    </row>
    <row r="20" spans="1:23" x14ac:dyDescent="0.3">
      <c r="A20" s="1">
        <v>4</v>
      </c>
      <c r="B20" t="s">
        <v>28</v>
      </c>
      <c r="C20" t="s">
        <v>29</v>
      </c>
    </row>
    <row r="21" spans="1:23" x14ac:dyDescent="0.3">
      <c r="A21" s="1">
        <v>5</v>
      </c>
      <c r="B21" t="s">
        <v>30</v>
      </c>
      <c r="C21" t="s">
        <v>1003</v>
      </c>
    </row>
    <row r="22" spans="1:23" x14ac:dyDescent="0.3">
      <c r="A22" s="1">
        <v>6</v>
      </c>
      <c r="B22" t="s">
        <v>32</v>
      </c>
      <c r="C22" t="s">
        <v>1004</v>
      </c>
      <c r="J22">
        <f>IF(K22 &lt;&gt; "",1, 0)</f>
        <v>1</v>
      </c>
      <c r="K22" t="str">
        <f>IF(I145="pos_trend","Revenue","")</f>
        <v>Revenue</v>
      </c>
      <c r="L22" t="str">
        <f t="shared" ref="L22:L38" si="0">IF(EXACT(K22,UPPER(K22)),K22,LOWER(K22))</f>
        <v>revenue</v>
      </c>
      <c r="M22" t="str">
        <f>L22</f>
        <v>revenue</v>
      </c>
      <c r="T22">
        <f>IF(U22 &lt;&gt; "",1, 0)</f>
        <v>0</v>
      </c>
      <c r="U22" t="str">
        <f>IF(AND(B145 = "Interest Income",I145="pos_trend"), "Interest Income","")</f>
        <v/>
      </c>
      <c r="V22" t="str">
        <f t="shared" ref="V22:V38" si="1">IF(EXACT(U22,UPPER(U22)),U22,LOWER(U22))</f>
        <v/>
      </c>
      <c r="W22" t="str">
        <f>V22</f>
        <v/>
      </c>
    </row>
    <row r="23" spans="1:23" x14ac:dyDescent="0.3">
      <c r="A23" s="1">
        <v>7</v>
      </c>
      <c r="B23" t="s">
        <v>34</v>
      </c>
      <c r="C23" t="s">
        <v>1005</v>
      </c>
      <c r="J23">
        <f>IF(K23 &lt;&gt; "",2, 0)</f>
        <v>0</v>
      </c>
      <c r="K23" t="str">
        <f>IF(I146="pos_trend",B146,"")</f>
        <v/>
      </c>
      <c r="L23" t="str">
        <f t="shared" si="0"/>
        <v/>
      </c>
      <c r="M23" t="str">
        <f t="shared" ref="M23:M39" si="2">IF(L23&lt;&gt;"", M22 &amp; ", " &amp; L23,M22)</f>
        <v>revenue</v>
      </c>
      <c r="T23">
        <f>IF(U23 &lt;&gt; "",2, 0)</f>
        <v>0</v>
      </c>
      <c r="U23" t="str">
        <f>IF(I151="pos_trend",B151,"")</f>
        <v/>
      </c>
      <c r="V23" t="str">
        <f t="shared" si="1"/>
        <v/>
      </c>
      <c r="W23" t="str">
        <f t="shared" ref="W23:W39" si="3">IF(V23&lt;&gt;"", W22 &amp; ", " &amp; V23,W22)</f>
        <v/>
      </c>
    </row>
    <row r="24" spans="1:23" x14ac:dyDescent="0.3">
      <c r="J24">
        <f>IF(K24 &lt;&gt; "",3, 0)</f>
        <v>0</v>
      </c>
      <c r="K24" t="str">
        <f>IF(I153="pos_trend",B153,"")</f>
        <v/>
      </c>
      <c r="L24" t="str">
        <f t="shared" si="0"/>
        <v/>
      </c>
      <c r="M24" t="str">
        <f t="shared" si="2"/>
        <v>revenue</v>
      </c>
      <c r="T24">
        <f>IF(U24 &lt;&gt; "",3, 0)</f>
        <v>0</v>
      </c>
      <c r="U24" t="str">
        <f>IF(I161="pos_trend",B161,"")</f>
        <v/>
      </c>
      <c r="V24" t="str">
        <f t="shared" si="1"/>
        <v/>
      </c>
      <c r="W24" t="str">
        <f t="shared" si="3"/>
        <v/>
      </c>
    </row>
    <row r="25" spans="1:23" x14ac:dyDescent="0.3">
      <c r="J25">
        <f>IF(K25 &lt;&gt; "",4, 0)</f>
        <v>0</v>
      </c>
      <c r="K25" t="str">
        <f>IF(I154="pos_trend",B154,"")</f>
        <v/>
      </c>
      <c r="L25" t="str">
        <f t="shared" si="0"/>
        <v/>
      </c>
      <c r="M25" t="str">
        <f t="shared" si="2"/>
        <v>revenue</v>
      </c>
      <c r="T25">
        <f>IF(U25 &lt;&gt; "",4, 0)</f>
        <v>0</v>
      </c>
      <c r="U25" t="str">
        <f>IF(I162="pos_trend",B162,"")</f>
        <v/>
      </c>
      <c r="V25" t="str">
        <f t="shared" si="1"/>
        <v/>
      </c>
      <c r="W25" t="str">
        <f t="shared" si="3"/>
        <v/>
      </c>
    </row>
    <row r="26" spans="1:23" x14ac:dyDescent="0.3">
      <c r="B26" s="1" t="s">
        <v>36</v>
      </c>
      <c r="C26" s="1" t="s">
        <v>37</v>
      </c>
      <c r="D26" s="1" t="s">
        <v>38</v>
      </c>
      <c r="E26" s="1" t="s">
        <v>39</v>
      </c>
      <c r="F26" s="1" t="s">
        <v>40</v>
      </c>
      <c r="J26">
        <f>IF(K26 &lt;&gt; "",5, 0)</f>
        <v>0</v>
      </c>
      <c r="K26" t="str">
        <f>IF(I155="pos_trend",B155,"")</f>
        <v/>
      </c>
      <c r="L26" t="str">
        <f t="shared" si="0"/>
        <v/>
      </c>
      <c r="M26" t="str">
        <f t="shared" si="2"/>
        <v>revenue</v>
      </c>
      <c r="T26">
        <f>IF(U26 &lt;&gt; "",5, 0)</f>
        <v>0</v>
      </c>
      <c r="U26" t="str">
        <f>IF(I167="pos_trend",B167,"")</f>
        <v/>
      </c>
      <c r="V26" t="str">
        <f t="shared" si="1"/>
        <v/>
      </c>
      <c r="W26" t="str">
        <f t="shared" si="3"/>
        <v/>
      </c>
    </row>
    <row r="27" spans="1:23" x14ac:dyDescent="0.3">
      <c r="A27" s="1">
        <v>0</v>
      </c>
      <c r="B27" t="s">
        <v>41</v>
      </c>
      <c r="C27">
        <v>9</v>
      </c>
      <c r="D27">
        <v>10</v>
      </c>
      <c r="E27">
        <v>11</v>
      </c>
      <c r="F27">
        <v>11</v>
      </c>
      <c r="J27">
        <f>IF(K27 &lt;&gt; "",6, 0)</f>
        <v>0</v>
      </c>
      <c r="K27" t="str">
        <f>IF(I172="pos_trend",B172,"")</f>
        <v/>
      </c>
      <c r="L27" t="str">
        <f t="shared" si="0"/>
        <v/>
      </c>
      <c r="M27" t="str">
        <f t="shared" si="2"/>
        <v>revenue</v>
      </c>
      <c r="T27">
        <f>IF(U27 &lt;&gt; "",6, 0)</f>
        <v>0</v>
      </c>
      <c r="U27" t="str">
        <f>IF(I170="pos_trend",B170,"")</f>
        <v/>
      </c>
      <c r="V27" t="str">
        <f t="shared" si="1"/>
        <v/>
      </c>
      <c r="W27" t="str">
        <f t="shared" si="3"/>
        <v/>
      </c>
    </row>
    <row r="28" spans="1:23" x14ac:dyDescent="0.3">
      <c r="A28" s="1">
        <v>1</v>
      </c>
      <c r="B28" t="s">
        <v>42</v>
      </c>
      <c r="C28">
        <v>0.48</v>
      </c>
      <c r="D28">
        <v>0.61</v>
      </c>
      <c r="E28">
        <v>1.19</v>
      </c>
      <c r="F28">
        <v>1.59</v>
      </c>
      <c r="J28">
        <f>IF(K28 &lt;&gt; "",7, 0)</f>
        <v>0</v>
      </c>
      <c r="K28" t="str">
        <f>IF(I173="pos_trend",B173,"")</f>
        <v/>
      </c>
      <c r="L28" t="str">
        <f t="shared" si="0"/>
        <v/>
      </c>
      <c r="M28" t="str">
        <f t="shared" si="2"/>
        <v>revenue</v>
      </c>
      <c r="T28">
        <f>IF(U28 &lt;&gt; "",7, 0)</f>
        <v>0</v>
      </c>
      <c r="U28" t="str">
        <f>IF(I171="pos_trend",B171,"")</f>
        <v/>
      </c>
      <c r="V28" t="str">
        <f t="shared" si="1"/>
        <v/>
      </c>
      <c r="W28" t="str">
        <f t="shared" si="3"/>
        <v/>
      </c>
    </row>
    <row r="29" spans="1:23" x14ac:dyDescent="0.3">
      <c r="A29" s="1">
        <v>2</v>
      </c>
      <c r="B29" t="s">
        <v>43</v>
      </c>
      <c r="C29">
        <v>0.45</v>
      </c>
      <c r="D29">
        <v>0.51</v>
      </c>
      <c r="E29">
        <v>1.1000000000000001</v>
      </c>
      <c r="F29">
        <v>1.25</v>
      </c>
      <c r="J29">
        <f>IF(K29 &lt;&gt; "",8, 0)</f>
        <v>0</v>
      </c>
      <c r="K29" t="str">
        <f>IF(I174="pos_trend",B174,"")</f>
        <v/>
      </c>
      <c r="L29" t="str">
        <f t="shared" si="0"/>
        <v/>
      </c>
      <c r="M29" t="str">
        <f t="shared" si="2"/>
        <v>revenue</v>
      </c>
      <c r="T29">
        <f>IF(U29 &lt;&gt; "",8, 0)</f>
        <v>0</v>
      </c>
      <c r="U29" t="str">
        <f>IF(I172="pos_trend",B172,"")</f>
        <v/>
      </c>
      <c r="V29" t="str">
        <f t="shared" si="1"/>
        <v/>
      </c>
      <c r="W29" t="str">
        <f t="shared" si="3"/>
        <v/>
      </c>
    </row>
    <row r="30" spans="1:23" x14ac:dyDescent="0.3">
      <c r="A30" s="1">
        <v>3</v>
      </c>
      <c r="B30" t="s">
        <v>44</v>
      </c>
      <c r="C30">
        <v>0.51</v>
      </c>
      <c r="D30">
        <v>0.69</v>
      </c>
      <c r="E30">
        <v>1.28</v>
      </c>
      <c r="F30">
        <v>1.8</v>
      </c>
      <c r="J30">
        <f>IF(K30 &lt;&gt; "",9, 0)</f>
        <v>0</v>
      </c>
      <c r="K30" t="str">
        <f>IF(I185="pos_trend",B185,"")</f>
        <v/>
      </c>
      <c r="L30" t="str">
        <f t="shared" si="0"/>
        <v/>
      </c>
      <c r="M30" t="str">
        <f t="shared" si="2"/>
        <v>revenue</v>
      </c>
      <c r="T30">
        <f>IF(U30 &lt;&gt; "",9, 0)</f>
        <v>0</v>
      </c>
      <c r="U30" t="str">
        <f>IF(I178="pos_trend",B178,"")</f>
        <v/>
      </c>
      <c r="V30" t="str">
        <f t="shared" si="1"/>
        <v/>
      </c>
      <c r="W30" t="str">
        <f t="shared" si="3"/>
        <v/>
      </c>
    </row>
    <row r="31" spans="1:23" x14ac:dyDescent="0.3">
      <c r="A31" s="1">
        <v>4</v>
      </c>
      <c r="B31" t="s">
        <v>45</v>
      </c>
      <c r="C31">
        <v>0.38</v>
      </c>
      <c r="D31">
        <v>0.48</v>
      </c>
      <c r="E31">
        <v>0.93</v>
      </c>
      <c r="F31">
        <v>1.19</v>
      </c>
      <c r="J31">
        <f>IF(K31 &lt;&gt; "",10, 0)</f>
        <v>0</v>
      </c>
      <c r="K31" t="str">
        <f>IF(I186="pos_trend",B186,"")</f>
        <v/>
      </c>
      <c r="L31" t="str">
        <f t="shared" si="0"/>
        <v/>
      </c>
      <c r="M31" t="str">
        <f t="shared" si="2"/>
        <v>revenue</v>
      </c>
      <c r="T31">
        <f>IF(U31 &lt;&gt; "",10, 0)</f>
        <v>0</v>
      </c>
      <c r="U31" t="str">
        <f>IF(I199="pos_trend",B199,"")</f>
        <v/>
      </c>
      <c r="V31" t="str">
        <f t="shared" si="1"/>
        <v/>
      </c>
      <c r="W31" t="str">
        <f t="shared" si="3"/>
        <v/>
      </c>
    </row>
    <row r="32" spans="1:23" x14ac:dyDescent="0.3">
      <c r="J32">
        <f>IF(K32 &lt;&gt; "",11, 0)</f>
        <v>0</v>
      </c>
      <c r="K32" t="str">
        <f>IF(I187="pos_trend",B187,"")</f>
        <v/>
      </c>
      <c r="L32" t="str">
        <f t="shared" si="0"/>
        <v/>
      </c>
      <c r="M32" t="str">
        <f t="shared" si="2"/>
        <v>revenue</v>
      </c>
      <c r="T32">
        <f>IF(U32 &lt;&gt; "",11, 0)</f>
        <v>0</v>
      </c>
      <c r="U32" t="str">
        <f>IF(I209="pos_trend",B209,"")</f>
        <v/>
      </c>
      <c r="V32" t="str">
        <f t="shared" si="1"/>
        <v/>
      </c>
      <c r="W32" t="str">
        <f t="shared" si="3"/>
        <v/>
      </c>
    </row>
    <row r="33" spans="1:23" x14ac:dyDescent="0.3">
      <c r="B33" s="1" t="s">
        <v>46</v>
      </c>
      <c r="C33" s="1" t="s">
        <v>37</v>
      </c>
      <c r="D33" s="1" t="s">
        <v>38</v>
      </c>
      <c r="E33" s="1" t="s">
        <v>39</v>
      </c>
      <c r="F33" s="1" t="s">
        <v>40</v>
      </c>
      <c r="J33">
        <f>IF(K33 &lt;&gt; "",12, 0)</f>
        <v>0</v>
      </c>
      <c r="K33" t="str">
        <f>IF(I195="pos_trend",B195,"")</f>
        <v/>
      </c>
      <c r="L33" t="str">
        <f t="shared" si="0"/>
        <v/>
      </c>
      <c r="M33" t="str">
        <f t="shared" si="2"/>
        <v>revenue</v>
      </c>
      <c r="T33">
        <f>IF(U33 &lt;&gt; "",12, 0)</f>
        <v>12</v>
      </c>
      <c r="U33" t="str">
        <f>IF(I231="pos_trend",B231,"")</f>
        <v>Land &amp; Improvements</v>
      </c>
      <c r="V33" t="str">
        <f t="shared" si="1"/>
        <v>land &amp; improvements</v>
      </c>
      <c r="W33" t="str">
        <f t="shared" si="3"/>
        <v>, land &amp; improvements</v>
      </c>
    </row>
    <row r="34" spans="1:23" x14ac:dyDescent="0.3">
      <c r="A34" s="1">
        <v>0</v>
      </c>
      <c r="B34" t="s">
        <v>41</v>
      </c>
      <c r="C34" t="s">
        <v>1006</v>
      </c>
      <c r="D34" t="s">
        <v>1006</v>
      </c>
      <c r="E34" t="s">
        <v>48</v>
      </c>
      <c r="F34" t="s">
        <v>48</v>
      </c>
      <c r="J34">
        <f>IF(K34 &lt;&gt; "",13, 0)</f>
        <v>0</v>
      </c>
      <c r="K34" t="str">
        <f>IF(I196="pos_trend",B196,"")</f>
        <v/>
      </c>
      <c r="L34" t="str">
        <f t="shared" si="0"/>
        <v/>
      </c>
      <c r="M34" t="str">
        <f t="shared" si="2"/>
        <v>revenue</v>
      </c>
      <c r="T34">
        <f>IF(U34 &lt;&gt; "",13, 0)</f>
        <v>0</v>
      </c>
      <c r="U34" t="str">
        <f>IF(I251="pos_trend",B251,"")</f>
        <v/>
      </c>
      <c r="V34" t="str">
        <f t="shared" si="1"/>
        <v/>
      </c>
      <c r="W34" t="str">
        <f t="shared" si="3"/>
        <v>, land &amp; improvements</v>
      </c>
    </row>
    <row r="35" spans="1:23" x14ac:dyDescent="0.3">
      <c r="A35" s="1">
        <v>1</v>
      </c>
      <c r="B35" t="s">
        <v>42</v>
      </c>
      <c r="C35" t="s">
        <v>1007</v>
      </c>
      <c r="D35" t="s">
        <v>1008</v>
      </c>
      <c r="E35" t="s">
        <v>1009</v>
      </c>
      <c r="F35" t="s">
        <v>1010</v>
      </c>
      <c r="J35">
        <f>IF(K35 &lt;&gt; "",14, 0)</f>
        <v>0</v>
      </c>
      <c r="K35" t="str">
        <f>IF(I201="pos_trend",B201,"")</f>
        <v/>
      </c>
      <c r="L35" t="str">
        <f t="shared" si="0"/>
        <v/>
      </c>
      <c r="M35" t="str">
        <f t="shared" si="2"/>
        <v>revenue</v>
      </c>
      <c r="T35">
        <f>IF(U35 &lt;&gt; "",14, 0)</f>
        <v>0</v>
      </c>
      <c r="U35" t="str">
        <f>IF(I279="pos_trend",B279,"")</f>
        <v/>
      </c>
      <c r="V35" t="str">
        <f t="shared" si="1"/>
        <v/>
      </c>
      <c r="W35" t="str">
        <f t="shared" si="3"/>
        <v>, land &amp; improvements</v>
      </c>
    </row>
    <row r="36" spans="1:23" x14ac:dyDescent="0.3">
      <c r="A36" s="1">
        <v>2</v>
      </c>
      <c r="B36" t="s">
        <v>43</v>
      </c>
      <c r="C36" t="s">
        <v>1011</v>
      </c>
      <c r="D36" t="s">
        <v>1012</v>
      </c>
      <c r="E36" t="s">
        <v>1013</v>
      </c>
      <c r="F36" t="s">
        <v>1014</v>
      </c>
      <c r="J36">
        <f>IF(K36 &lt;&gt; "",15, 0)</f>
        <v>0</v>
      </c>
      <c r="K36" t="str">
        <f>IF(I202="pos_trend",B202,"")</f>
        <v/>
      </c>
      <c r="L36" t="str">
        <f t="shared" si="0"/>
        <v/>
      </c>
      <c r="M36" t="str">
        <f t="shared" si="2"/>
        <v>revenue</v>
      </c>
      <c r="T36">
        <f>IF(U36 &lt;&gt; "",15, 0)</f>
        <v>0</v>
      </c>
      <c r="U36" t="str">
        <f>IF(I336="pos_trend",B336,"")</f>
        <v/>
      </c>
      <c r="V36" t="str">
        <f t="shared" si="1"/>
        <v/>
      </c>
      <c r="W36" t="str">
        <f t="shared" si="3"/>
        <v>, land &amp; improvements</v>
      </c>
    </row>
    <row r="37" spans="1:23" x14ac:dyDescent="0.3">
      <c r="A37" s="1">
        <v>3</v>
      </c>
      <c r="B37" t="s">
        <v>44</v>
      </c>
      <c r="C37" t="s">
        <v>1015</v>
      </c>
      <c r="D37" t="s">
        <v>1016</v>
      </c>
      <c r="E37" t="s">
        <v>21</v>
      </c>
      <c r="F37" t="s">
        <v>1017</v>
      </c>
      <c r="J37">
        <f>IF(K37 &lt;&gt; "",16, 0)</f>
        <v>0</v>
      </c>
      <c r="K37" t="str">
        <f>IF(I203="pos_trend",B203,"")</f>
        <v/>
      </c>
      <c r="L37" t="str">
        <f t="shared" si="0"/>
        <v/>
      </c>
      <c r="M37" t="str">
        <f t="shared" si="2"/>
        <v>revenue</v>
      </c>
      <c r="T37">
        <f>IF(U37 &lt;&gt; "",16, 0)</f>
        <v>0</v>
      </c>
      <c r="U37" t="str">
        <f>IF(I235="pos_trend",B235,"")</f>
        <v/>
      </c>
      <c r="V37" t="str">
        <f t="shared" si="1"/>
        <v/>
      </c>
      <c r="W37" t="str">
        <f t="shared" si="3"/>
        <v>, land &amp; improvements</v>
      </c>
    </row>
    <row r="38" spans="1:23" x14ac:dyDescent="0.3">
      <c r="A38" s="1">
        <v>4</v>
      </c>
      <c r="B38" t="s">
        <v>61</v>
      </c>
      <c r="C38" t="s">
        <v>1018</v>
      </c>
      <c r="D38" t="s">
        <v>1019</v>
      </c>
      <c r="E38" t="s">
        <v>261</v>
      </c>
      <c r="F38" t="s">
        <v>1009</v>
      </c>
      <c r="J38">
        <f>IF(K38 &lt;&gt; "",17, 0)</f>
        <v>0</v>
      </c>
      <c r="K38" t="str">
        <f>IF(I351="pos_trend",B351,"")</f>
        <v/>
      </c>
      <c r="L38" t="str">
        <f t="shared" si="0"/>
        <v/>
      </c>
      <c r="M38" t="str">
        <f t="shared" si="2"/>
        <v>revenue</v>
      </c>
      <c r="T38">
        <f>IF(U38 &lt;&gt; "",17, 0)</f>
        <v>0</v>
      </c>
      <c r="U38" t="str">
        <f>IF(I236="pos_trend",B236,"")</f>
        <v/>
      </c>
      <c r="V38" t="str">
        <f t="shared" si="1"/>
        <v/>
      </c>
      <c r="W38" t="str">
        <f t="shared" si="3"/>
        <v>, land &amp; improvements</v>
      </c>
    </row>
    <row r="39" spans="1:23" x14ac:dyDescent="0.3">
      <c r="A39" s="1">
        <v>5</v>
      </c>
      <c r="B39" t="s">
        <v>65</v>
      </c>
      <c r="C39" t="s">
        <v>1020</v>
      </c>
      <c r="D39" t="s">
        <v>1021</v>
      </c>
      <c r="E39" t="s">
        <v>1022</v>
      </c>
      <c r="F39" t="s">
        <v>1023</v>
      </c>
      <c r="K39" t="str">
        <f>IF(I352="pos_trend",B352,"")</f>
        <v/>
      </c>
      <c r="M39" t="str">
        <f t="shared" si="2"/>
        <v>revenue</v>
      </c>
      <c r="W39" t="str">
        <f t="shared" si="3"/>
        <v>, land &amp; improvements</v>
      </c>
    </row>
    <row r="40" spans="1:23" x14ac:dyDescent="0.3">
      <c r="J40">
        <f>MAX(J22:J39)</f>
        <v>1</v>
      </c>
      <c r="K40" t="str">
        <f>VLOOKUP(J40,J22:K39,2,FALSE)</f>
        <v>Revenue</v>
      </c>
      <c r="M40" t="str">
        <f>IF(IFERROR(FIND(",",M39),TRUE)=TRUE,M39,IF(NOT(EXACT(K40,UPPER(K40))),SUBSTITUTE(M39,LOWER(K40),"and "&amp;LOWER(K40)),SUBSTITUTE(M39,K40,"and "&amp;K40)))</f>
        <v>revenue</v>
      </c>
      <c r="T40">
        <f>MAX(T22:T39)</f>
        <v>12</v>
      </c>
      <c r="U40" t="str">
        <f>VLOOKUP(T40,T22:U39,2,FALSE)</f>
        <v>Land &amp; Improvements</v>
      </c>
      <c r="W40" t="str">
        <f>IF(IFERROR(FIND(",",W39),TRUE)=TRUE,W39,IF(NOT(EXACT(U40,UPPER(U40))),SUBSTITUTE(W39,LOWER(U40),"and "&amp;LOWER(U40)),SUBSTITUTE(W39,U40,"and "&amp;U40)))</f>
        <v>, and land &amp; improvements</v>
      </c>
    </row>
    <row r="41" spans="1:23" x14ac:dyDescent="0.3">
      <c r="B41" s="1" t="s">
        <v>70</v>
      </c>
      <c r="C41" s="1" t="s">
        <v>71</v>
      </c>
      <c r="D41" s="1" t="s">
        <v>72</v>
      </c>
      <c r="E41" s="1" t="s">
        <v>73</v>
      </c>
      <c r="F41" s="1" t="s">
        <v>74</v>
      </c>
    </row>
    <row r="42" spans="1:23" x14ac:dyDescent="0.3">
      <c r="A42" s="1">
        <v>0</v>
      </c>
      <c r="B42" t="s">
        <v>75</v>
      </c>
      <c r="C42" t="s">
        <v>1024</v>
      </c>
      <c r="D42" t="s">
        <v>1025</v>
      </c>
      <c r="E42" t="s">
        <v>1026</v>
      </c>
      <c r="F42" t="s">
        <v>1027</v>
      </c>
      <c r="K42" t="str">
        <f>SUBSTITUTE(IF(M40&lt;&gt;"", D1 &amp; " has managed to increase " &amp; M40 &amp; " each year since " &amp; C144, "No positive trends")," , "," ")</f>
        <v>ArcBest has managed to increase revenue each year since 2012</v>
      </c>
      <c r="U42" t="str">
        <f>SUBSTITUTE(IF(W40&lt;&gt;"", D1 &amp; " has managed to increase " &amp; W40 &amp; " each year since " &amp; C144, "No positive trends")," , "," ")</f>
        <v>ArcBest has managed to increase and land &amp; improvements each year since 2012</v>
      </c>
    </row>
    <row r="43" spans="1:23" x14ac:dyDescent="0.3">
      <c r="A43" s="1">
        <v>1</v>
      </c>
      <c r="B43" t="s">
        <v>80</v>
      </c>
      <c r="C43" t="s">
        <v>1028</v>
      </c>
      <c r="D43" t="s">
        <v>1029</v>
      </c>
      <c r="E43" t="s">
        <v>220</v>
      </c>
      <c r="F43" t="s">
        <v>1030</v>
      </c>
    </row>
    <row r="44" spans="1:23" x14ac:dyDescent="0.3">
      <c r="A44" s="1">
        <v>2</v>
      </c>
      <c r="B44" t="s">
        <v>84</v>
      </c>
      <c r="C44" t="s">
        <v>1031</v>
      </c>
      <c r="D44" t="s">
        <v>1032</v>
      </c>
      <c r="E44" t="s">
        <v>86</v>
      </c>
      <c r="F44" t="s">
        <v>1033</v>
      </c>
    </row>
    <row r="45" spans="1:23" x14ac:dyDescent="0.3">
      <c r="A45" s="1">
        <v>3</v>
      </c>
      <c r="B45" t="s">
        <v>89</v>
      </c>
      <c r="C45" t="s">
        <v>1034</v>
      </c>
      <c r="D45" t="s">
        <v>1035</v>
      </c>
      <c r="E45" t="s">
        <v>1036</v>
      </c>
      <c r="F45" t="s">
        <v>1037</v>
      </c>
    </row>
    <row r="47" spans="1:23" x14ac:dyDescent="0.3">
      <c r="B47" s="1" t="s">
        <v>94</v>
      </c>
      <c r="C47" s="1" t="s">
        <v>37</v>
      </c>
      <c r="D47" s="1" t="s">
        <v>38</v>
      </c>
      <c r="E47" s="1" t="s">
        <v>39</v>
      </c>
      <c r="F47" s="1" t="s">
        <v>40</v>
      </c>
    </row>
    <row r="48" spans="1:23" x14ac:dyDescent="0.3">
      <c r="A48" s="1">
        <v>0</v>
      </c>
      <c r="B48" t="s">
        <v>95</v>
      </c>
      <c r="C48">
        <v>0.48</v>
      </c>
      <c r="D48">
        <v>0.61</v>
      </c>
      <c r="E48">
        <v>1.19</v>
      </c>
      <c r="F48">
        <v>1.59</v>
      </c>
    </row>
    <row r="49" spans="1:14" x14ac:dyDescent="0.3">
      <c r="A49" s="1">
        <v>1</v>
      </c>
      <c r="B49" t="s">
        <v>96</v>
      </c>
      <c r="C49">
        <v>0.48</v>
      </c>
      <c r="D49">
        <v>0.61</v>
      </c>
      <c r="E49">
        <v>1.19</v>
      </c>
      <c r="F49">
        <v>1.59</v>
      </c>
    </row>
    <row r="50" spans="1:14" x14ac:dyDescent="0.3">
      <c r="A50" s="1">
        <v>2</v>
      </c>
      <c r="B50" t="s">
        <v>97</v>
      </c>
      <c r="C50">
        <v>0.48</v>
      </c>
      <c r="D50">
        <v>0.62</v>
      </c>
      <c r="E50">
        <v>1.22</v>
      </c>
      <c r="F50">
        <v>1.61</v>
      </c>
    </row>
    <row r="51" spans="1:14" x14ac:dyDescent="0.3">
      <c r="A51" s="1">
        <v>3</v>
      </c>
      <c r="B51" t="s">
        <v>98</v>
      </c>
      <c r="C51">
        <v>0.47</v>
      </c>
      <c r="D51">
        <v>0.61</v>
      </c>
      <c r="E51">
        <v>1.2</v>
      </c>
      <c r="F51">
        <v>1.61</v>
      </c>
    </row>
    <row r="52" spans="1:14" x14ac:dyDescent="0.3">
      <c r="A52" s="1">
        <v>4</v>
      </c>
      <c r="B52" t="s">
        <v>99</v>
      </c>
      <c r="C52">
        <v>0.57999999999999996</v>
      </c>
      <c r="D52">
        <v>0.69</v>
      </c>
      <c r="E52">
        <v>1.52</v>
      </c>
      <c r="F52">
        <v>1.91</v>
      </c>
    </row>
    <row r="54" spans="1:14" x14ac:dyDescent="0.3">
      <c r="B54" s="1" t="s">
        <v>100</v>
      </c>
      <c r="C54" s="1" t="s">
        <v>37</v>
      </c>
      <c r="D54" s="1" t="s">
        <v>38</v>
      </c>
      <c r="E54" s="1" t="s">
        <v>39</v>
      </c>
      <c r="F54" s="1" t="s">
        <v>40</v>
      </c>
    </row>
    <row r="55" spans="1:14" x14ac:dyDescent="0.3">
      <c r="A55" s="1">
        <v>0</v>
      </c>
      <c r="B55" t="s">
        <v>101</v>
      </c>
    </row>
    <row r="56" spans="1:14" x14ac:dyDescent="0.3">
      <c r="A56" s="1">
        <v>1</v>
      </c>
      <c r="B56" t="s">
        <v>102</v>
      </c>
      <c r="C56">
        <v>2</v>
      </c>
      <c r="D56">
        <v>3</v>
      </c>
      <c r="E56">
        <v>3</v>
      </c>
    </row>
    <row r="57" spans="1:14" x14ac:dyDescent="0.3">
      <c r="A57" s="1">
        <v>2</v>
      </c>
      <c r="B57" t="s">
        <v>103</v>
      </c>
    </row>
    <row r="58" spans="1:14" x14ac:dyDescent="0.3">
      <c r="A58" s="1">
        <v>3</v>
      </c>
      <c r="B58" t="s">
        <v>104</v>
      </c>
    </row>
    <row r="60" spans="1:14" x14ac:dyDescent="0.3">
      <c r="B60" s="1" t="s">
        <v>105</v>
      </c>
      <c r="C60" s="1" t="s">
        <v>1038</v>
      </c>
      <c r="D60" s="1" t="s">
        <v>107</v>
      </c>
      <c r="E60" s="1" t="s">
        <v>108</v>
      </c>
      <c r="F60" s="1" t="s">
        <v>109</v>
      </c>
      <c r="I60" t="str">
        <f t="shared" ref="I60:I91" si="4">IF(AND(K60&gt; J60, L60&gt; K60, M60&gt; L60, N60&gt; M60), "pos_trend", IF(AND(K60&lt; J60, L60&lt; K60, M60&lt; L60, N60&lt; M60), "neg_trend", "N/A"))</f>
        <v>N/A</v>
      </c>
      <c r="J60" t="str">
        <f t="shared" ref="J60:J91" si="5">IFERROR(IF(TRIM(C60)="-", "N/A", IF(RIGHT(C60,1)=")",IF(RIGHT(C60,2)="T)",-1000000000000*VALUE(MID(C60,2,LEN(C60)-3)),IF(RIGHT(C60,2)="M)",-1000000*VALUE(MID(C60,2,LEN(C60)-3)),IF(RIGHT(C60,2)="B)",-1000000000*VALUE(MID(C60,2,LEN(C60)-3)),IF(RIGHT(C60,2)="k)",-1000*VALUE(MID(C60,2,LEN(C60)-3)),VALUE(SUBSTITUTE(C60,",","")))))),IF(RIGHT(C60,1)="T",1000000000000*VALUE(LEFT(C60,LEN(C60)-1)),IF(RIGHT(C60,1)="M",1000000*VALUE(LEFT(C60,LEN(C60)-1)),IF(RIGHT(C60,1)="B",1000000000*VALUE(LEFT(C60,LEN(C60)-1)),IF(RIGHT(C60,1)="%",0.01*VALUE(LEFT(C60,LEN(C60)-1)),IF(RIGHT(C60,1)="k",1000*VALUE(LEFT(C60,LEN(C60)-1)),VALUE(SUBSTITUTE(C60,",",""))))))))),"N/A")</f>
        <v>N/A</v>
      </c>
      <c r="K60" t="str">
        <f t="shared" ref="K60:K91" si="6">IFERROR(IF(TRIM(D60)="-", "N/A", IF(RIGHT(D60,1)=")",IF(RIGHT(D60,2)="T)",-1000000000000*VALUE(MID(D60,2,LEN(D60)-3)),IF(RIGHT(D60,2)="M)",-1000000*VALUE(MID(D60,2,LEN(D60)-3)),IF(RIGHT(D60,2)="B)",-1000000000*VALUE(MID(D60,2,LEN(D60)-3)),IF(RIGHT(D60,2)="k)",-1000*VALUE(MID(D60,2,LEN(D60)-3)),VALUE(SUBSTITUTE(D60,",","")))))),IF(RIGHT(D60,1)="T",1000000000000*VALUE(LEFT(D60,LEN(D60)-1)),IF(RIGHT(D60,1)="M",1000000*VALUE(LEFT(D60,LEN(D60)-1)),IF(RIGHT(D60,1)="B",1000000000*VALUE(LEFT(D60,LEN(D60)-1)),IF(RIGHT(D60,1)="%",0.01*VALUE(LEFT(D60,LEN(D60)-1)),IF(RIGHT(D60,1)="k",1000*VALUE(LEFT(D60,LEN(D60)-1)),VALUE(SUBSTITUTE(D60,",",""))))))))),"N/A")</f>
        <v>N/A</v>
      </c>
      <c r="L60" t="str">
        <f t="shared" ref="L60:L91" si="7">IFERROR(IF(TRIM(E60)="-", "N/A", IF(RIGHT(E60,1)=")",IF(RIGHT(E60,2)="T)",-1000000000000*VALUE(MID(E60,2,LEN(E60)-3)),IF(RIGHT(E60,2)="M)",-1000000*VALUE(MID(E60,2,LEN(E60)-3)),IF(RIGHT(E60,2)="B)",-1000000000*VALUE(MID(E60,2,LEN(E60)-3)),IF(RIGHT(E60,2)="k)",-1000*VALUE(MID(E60,2,LEN(E60)-3)),VALUE(SUBSTITUTE(E60,",","")))))),IF(RIGHT(E60,1)="T",1000000000000*VALUE(LEFT(E60,LEN(E60)-1)),IF(RIGHT(E60,1)="M",1000000*VALUE(LEFT(E60,LEN(E60)-1)),IF(RIGHT(E60,1)="B",1000000000*VALUE(LEFT(E60,LEN(E60)-1)),IF(RIGHT(E60,1)="%",0.01*VALUE(LEFT(E60,LEN(E60)-1)),IF(RIGHT(E60,1)="k",1000*VALUE(LEFT(E60,LEN(E60)-1)),VALUE(SUBSTITUTE(E60,",",""))))))))),"N/A")</f>
        <v>N/A</v>
      </c>
      <c r="M60" t="str">
        <f t="shared" ref="M60:M91" si="8">IFERROR(IF(TRIM(F60)="-", "N/A", IF(RIGHT(F60,1)=")",IF(RIGHT(F60,2)="T)",-1000000000000*VALUE(MID(F60,2,LEN(F60)-3)),IF(RIGHT(F60,2)="M)",-1000000*VALUE(MID(F60,2,LEN(F60)-3)),IF(RIGHT(F60,2)="B)",-1000000000*VALUE(MID(F60,2,LEN(F60)-3)),IF(RIGHT(F60,2)="k)",-1000*VALUE(MID(F60,2,LEN(F60)-3)),VALUE(SUBSTITUTE(F60,",","")))))),IF(RIGHT(F60,1)="T",1000000000000*VALUE(LEFT(F60,LEN(F60)-1)),IF(RIGHT(F60,1)="M",1000000*VALUE(LEFT(F60,LEN(F60)-1)),IF(RIGHT(F60,1)="B",1000000000*VALUE(LEFT(F60,LEN(F60)-1)),IF(RIGHT(F60,1)="%",0.01*VALUE(LEFT(F60,LEN(F60)-1)),IF(RIGHT(F60,1)="k",1000*VALUE(LEFT(F60,LEN(F60)-1)),VALUE(SUBSTITUTE(F60,",",""))))))))),"N/A")</f>
        <v>N/A</v>
      </c>
      <c r="N60" t="str">
        <f t="shared" ref="N60:N91" si="9">IFERROR(IF(TRIM(G60)="-", "N/A", IF(RIGHT(G60,1)=")",IF(RIGHT(G60,2)="T)",-1000000000000*VALUE(MID(G60,2,LEN(G60)-3)),IF(RIGHT(G60,2)="M)",-1000000*VALUE(MID(G60,2,LEN(G60)-3)),IF(RIGHT(G60,2)="B)",-1000000000*VALUE(MID(G60,2,LEN(G60)-3)),IF(RIGHT(G60,2)="k)",-1000*VALUE(MID(G60,2,LEN(G60)-3)),VALUE(SUBSTITUTE(G60,",","")))))),IF(RIGHT(G60,1)="T",1000000000000*VALUE(LEFT(G60,LEN(G60)-1)),IF(RIGHT(G60,1)="M",1000000*VALUE(LEFT(G60,LEN(G60)-1)),IF(RIGHT(G60,1)="B",1000000000*VALUE(LEFT(G60,LEN(G60)-1)),IF(RIGHT(G60,1)="%",0.01*VALUE(LEFT(G60,LEN(G60)-1)),IF(RIGHT(G60,1)="k",1000*VALUE(LEFT(G60,LEN(G60)-1)),VALUE(SUBSTITUTE(G60,",",""))))))))),"N/A")</f>
        <v>N/A</v>
      </c>
    </row>
    <row r="61" spans="1:14" x14ac:dyDescent="0.3">
      <c r="A61" s="1">
        <v>0</v>
      </c>
      <c r="B61" t="s">
        <v>110</v>
      </c>
      <c r="C61" t="s">
        <v>1039</v>
      </c>
      <c r="F61">
        <v>0.18</v>
      </c>
      <c r="I61" t="str">
        <f t="shared" si="4"/>
        <v>N/A</v>
      </c>
      <c r="J61">
        <f t="shared" si="5"/>
        <v>0.26300000000000001</v>
      </c>
      <c r="K61" t="str">
        <f t="shared" si="6"/>
        <v>N/A</v>
      </c>
      <c r="L61" t="str">
        <f t="shared" si="7"/>
        <v>N/A</v>
      </c>
      <c r="M61">
        <f t="shared" si="8"/>
        <v>0.18</v>
      </c>
      <c r="N61" t="str">
        <f t="shared" si="9"/>
        <v>N/A</v>
      </c>
    </row>
    <row r="62" spans="1:14" x14ac:dyDescent="0.3">
      <c r="A62" s="1">
        <v>1</v>
      </c>
      <c r="B62" t="s">
        <v>112</v>
      </c>
      <c r="C62" t="s">
        <v>1040</v>
      </c>
      <c r="F62">
        <v>0.24</v>
      </c>
      <c r="I62" t="str">
        <f t="shared" si="4"/>
        <v>N/A</v>
      </c>
      <c r="J62">
        <f t="shared" si="5"/>
        <v>0.27100000000000002</v>
      </c>
      <c r="K62" t="str">
        <f t="shared" si="6"/>
        <v>N/A</v>
      </c>
      <c r="L62" t="str">
        <f t="shared" si="7"/>
        <v>N/A</v>
      </c>
      <c r="M62">
        <f t="shared" si="8"/>
        <v>0.24</v>
      </c>
      <c r="N62" t="str">
        <f t="shared" si="9"/>
        <v>N/A</v>
      </c>
    </row>
    <row r="63" spans="1:14" x14ac:dyDescent="0.3">
      <c r="A63" s="1">
        <v>2</v>
      </c>
      <c r="B63" t="s">
        <v>114</v>
      </c>
      <c r="C63" t="s">
        <v>1041</v>
      </c>
      <c r="F63">
        <v>0.08</v>
      </c>
      <c r="I63" t="str">
        <f t="shared" si="4"/>
        <v>N/A</v>
      </c>
      <c r="J63">
        <f t="shared" si="5"/>
        <v>0.28000000000000003</v>
      </c>
      <c r="K63" t="str">
        <f t="shared" si="6"/>
        <v>N/A</v>
      </c>
      <c r="L63" t="str">
        <f t="shared" si="7"/>
        <v>N/A</v>
      </c>
      <c r="M63">
        <f t="shared" si="8"/>
        <v>0.08</v>
      </c>
      <c r="N63" t="str">
        <f t="shared" si="9"/>
        <v>N/A</v>
      </c>
    </row>
    <row r="64" spans="1:14" x14ac:dyDescent="0.3">
      <c r="A64" s="1">
        <v>3</v>
      </c>
      <c r="B64" t="s">
        <v>116</v>
      </c>
      <c r="C64" t="s">
        <v>1042</v>
      </c>
      <c r="F64">
        <v>0.12</v>
      </c>
      <c r="I64" t="str">
        <f t="shared" si="4"/>
        <v>N/A</v>
      </c>
      <c r="J64">
        <f t="shared" si="5"/>
        <v>0.33600000000000002</v>
      </c>
      <c r="K64" t="str">
        <f t="shared" si="6"/>
        <v>N/A</v>
      </c>
      <c r="L64" t="str">
        <f t="shared" si="7"/>
        <v>N/A</v>
      </c>
      <c r="M64">
        <f t="shared" si="8"/>
        <v>0.12</v>
      </c>
      <c r="N64" t="str">
        <f t="shared" si="9"/>
        <v>N/A</v>
      </c>
    </row>
    <row r="65" spans="1:14" x14ac:dyDescent="0.3">
      <c r="A65" s="1">
        <v>4</v>
      </c>
      <c r="B65" t="s">
        <v>118</v>
      </c>
      <c r="C65" t="s">
        <v>1043</v>
      </c>
      <c r="F65">
        <v>0.1</v>
      </c>
      <c r="I65" t="str">
        <f t="shared" si="4"/>
        <v>N/A</v>
      </c>
      <c r="J65">
        <f t="shared" si="5"/>
        <v>7.9000000000000001E-2</v>
      </c>
      <c r="K65" t="str">
        <f t="shared" si="6"/>
        <v>N/A</v>
      </c>
      <c r="L65" t="str">
        <f t="shared" si="7"/>
        <v>N/A</v>
      </c>
      <c r="M65">
        <f t="shared" si="8"/>
        <v>0.1</v>
      </c>
      <c r="N65" t="str">
        <f t="shared" si="9"/>
        <v>N/A</v>
      </c>
    </row>
    <row r="66" spans="1:14" x14ac:dyDescent="0.3">
      <c r="A66" s="1">
        <v>5</v>
      </c>
      <c r="B66" t="s">
        <v>120</v>
      </c>
      <c r="C66" t="s">
        <v>1044</v>
      </c>
      <c r="I66" t="str">
        <f t="shared" si="4"/>
        <v>N/A</v>
      </c>
      <c r="J66">
        <f t="shared" si="5"/>
        <v>0.12509999999999999</v>
      </c>
      <c r="K66" t="str">
        <f t="shared" si="6"/>
        <v>N/A</v>
      </c>
      <c r="L66" t="str">
        <f t="shared" si="7"/>
        <v>N/A</v>
      </c>
      <c r="M66" t="str">
        <f t="shared" si="8"/>
        <v>N/A</v>
      </c>
      <c r="N66" t="str">
        <f t="shared" si="9"/>
        <v>N/A</v>
      </c>
    </row>
    <row r="67" spans="1:14" x14ac:dyDescent="0.3">
      <c r="D67" t="s">
        <v>122</v>
      </c>
      <c r="E67" t="str">
        <f>C1</f>
        <v>ArcBest Corporation (ARCB)</v>
      </c>
      <c r="I67" t="str">
        <f t="shared" si="4"/>
        <v>N/A</v>
      </c>
      <c r="J67" t="str">
        <f t="shared" si="5"/>
        <v>N/A</v>
      </c>
      <c r="K67" t="str">
        <f t="shared" si="6"/>
        <v>N/A</v>
      </c>
      <c r="L67" t="str">
        <f t="shared" si="7"/>
        <v>N/A</v>
      </c>
      <c r="M67" t="str">
        <f t="shared" si="8"/>
        <v>N/A</v>
      </c>
      <c r="N67" t="str">
        <f t="shared" si="9"/>
        <v>N/A</v>
      </c>
    </row>
    <row r="68" spans="1:14" x14ac:dyDescent="0.3">
      <c r="A68" s="1">
        <v>0</v>
      </c>
      <c r="B68" t="s">
        <v>123</v>
      </c>
      <c r="C68" t="s">
        <v>1000</v>
      </c>
      <c r="D68">
        <f ca="1">IFERROR(AVERAGE(VALUE(INDIRECT("J"&amp;(MATCH(B68,B69:B500,0)+68))),VALUE(INDIRECT("J"&amp;(MATCH(B68,B69:B500,0)+79))),VALUE(INDIRECT("J"&amp;(MATCH(B68,B69:B500,0)+90))),VALUE(INDIRECT("J"&amp;(MATCH(B68,B69:B500,0)+101)))),"")</f>
        <v>436075000</v>
      </c>
      <c r="E68" t="str">
        <f t="shared" ref="E68:E76" ca="1" si="10">IFERROR(IF(AND(C68&lt;&gt;"",D68&lt;&gt;0),IF(VALUE(J68)&gt;VALUE(K68),"above average","below average"),"no data"),"no data")</f>
        <v>above average</v>
      </c>
      <c r="I68" t="str">
        <f t="shared" ca="1" si="4"/>
        <v>N/A</v>
      </c>
      <c r="J68">
        <f t="shared" si="5"/>
        <v>555470000</v>
      </c>
      <c r="K68">
        <f t="shared" ca="1" si="6"/>
        <v>436075000</v>
      </c>
      <c r="L68" t="str">
        <f t="shared" ca="1" si="7"/>
        <v>N/A</v>
      </c>
      <c r="M68" t="str">
        <f t="shared" si="8"/>
        <v>N/A</v>
      </c>
      <c r="N68" t="str">
        <f t="shared" si="9"/>
        <v>N/A</v>
      </c>
    </row>
    <row r="69" spans="1:14" x14ac:dyDescent="0.3">
      <c r="A69" s="1">
        <v>1</v>
      </c>
      <c r="B69" t="s">
        <v>124</v>
      </c>
      <c r="D69" t="str">
        <f ca="1">IFERROR(AVERAGE(VALUE(INDIRECT("J"&amp;(MATCH(B69,B70:B501,0)+69))),VALUE(INDIRECT("J"&amp;(MATCH(B69,B70:B501,0)+80))),VALUE(INDIRECT("J"&amp;(MATCH(B69,B70:B501,0)+91))),VALUE(INDIRECT("J"&amp;(MATCH(B69,B70:B501,0)+102)))),"")</f>
        <v/>
      </c>
      <c r="E69" t="str">
        <f t="shared" ca="1" si="10"/>
        <v>no data</v>
      </c>
      <c r="I69" t="str">
        <f t="shared" ca="1" si="4"/>
        <v>N/A</v>
      </c>
      <c r="J69" t="str">
        <f t="shared" si="5"/>
        <v>N/A</v>
      </c>
      <c r="K69" t="str">
        <f t="shared" ca="1" si="6"/>
        <v>N/A</v>
      </c>
      <c r="L69" t="str">
        <f t="shared" ca="1" si="7"/>
        <v>N/A</v>
      </c>
      <c r="M69" t="str">
        <f t="shared" si="8"/>
        <v>N/A</v>
      </c>
      <c r="N69" t="str">
        <f t="shared" si="9"/>
        <v>N/A</v>
      </c>
    </row>
    <row r="70" spans="1:14" x14ac:dyDescent="0.3">
      <c r="A70" s="1">
        <v>2</v>
      </c>
      <c r="B70" t="s">
        <v>125</v>
      </c>
      <c r="C70" t="s">
        <v>1002</v>
      </c>
      <c r="D70">
        <f ca="1">IFERROR(AVERAGE(VALUE(INDIRECT("J"&amp;(MATCH(B70,B71:B502,0)+70))),VALUE(INDIRECT("J"&amp;(MATCH(B70,B71:B502,0)+81))),VALUE(INDIRECT("J"&amp;(MATCH(B70,B71:B502,0)+92))),VALUE(INDIRECT("J"&amp;(MATCH(B70,B71:B502,0)+103)))),"")</f>
        <v>39.622500000000002</v>
      </c>
      <c r="E70" t="str">
        <f t="shared" ca="1" si="10"/>
        <v>below average</v>
      </c>
      <c r="F70" t="str">
        <f t="shared" ref="F70:F76" ca="1" si="11">IF(E70="above average",LOWER(TRIM(IF(ISNUMBER(VALUE(RIGHT(B70,1))),REPLACE(B70,LEN(B70),1,""),B70))),"")</f>
        <v/>
      </c>
      <c r="G70" t="str">
        <f ca="1">IFERROR(LEFT(F70,FIND("(",F70) - 2),F70)</f>
        <v/>
      </c>
      <c r="I70" t="str">
        <f t="shared" ca="1" si="4"/>
        <v>N/A</v>
      </c>
      <c r="J70">
        <f t="shared" si="5"/>
        <v>32.67</v>
      </c>
      <c r="K70">
        <f t="shared" ca="1" si="6"/>
        <v>39.622500000000002</v>
      </c>
      <c r="L70" t="str">
        <f t="shared" ca="1" si="7"/>
        <v>N/A</v>
      </c>
      <c r="M70" t="str">
        <f t="shared" ca="1" si="8"/>
        <v>N/A</v>
      </c>
      <c r="N70" t="str">
        <f t="shared" ca="1" si="9"/>
        <v>N/A</v>
      </c>
    </row>
    <row r="71" spans="1:14" x14ac:dyDescent="0.3">
      <c r="A71" s="1">
        <v>3</v>
      </c>
      <c r="B71" t="s">
        <v>126</v>
      </c>
      <c r="C71" t="s">
        <v>1045</v>
      </c>
      <c r="D71">
        <f ca="1">IFERROR(AVERAGE(VALUE(INDIRECT("J"&amp;(MATCH(B71,B72:B503,0)+71))),VALUE(INDIRECT("J"&amp;(MATCH(B71,B72:B503,0)+82))),VALUE(INDIRECT("J"&amp;(MATCH(B71,B72:B503,0)+93))),VALUE(INDIRECT("J"&amp;(MATCH(B71,B72:B503,0)+104)))),"")</f>
        <v>16.622500000000002</v>
      </c>
      <c r="E71" t="str">
        <f t="shared" ca="1" si="10"/>
        <v>below average</v>
      </c>
      <c r="F71" t="str">
        <f t="shared" ca="1" si="11"/>
        <v/>
      </c>
      <c r="G71" t="str">
        <f t="shared" ref="G71:G76" ca="1" si="12">IF(F71&lt;&gt;"", G70 &amp; ", " &amp; IFERROR(LEFT(F71,FIND("(",F71) - 2),F71),G70)</f>
        <v/>
      </c>
      <c r="I71" t="str">
        <f t="shared" ca="1" si="4"/>
        <v>N/A</v>
      </c>
      <c r="J71">
        <f t="shared" si="5"/>
        <v>13.52</v>
      </c>
      <c r="K71">
        <f t="shared" ca="1" si="6"/>
        <v>16.622499999999999</v>
      </c>
      <c r="L71" t="str">
        <f t="shared" ca="1" si="7"/>
        <v>N/A</v>
      </c>
      <c r="M71" t="str">
        <f t="shared" ca="1" si="8"/>
        <v>N/A</v>
      </c>
      <c r="N71" t="str">
        <f t="shared" ca="1" si="9"/>
        <v>N/A</v>
      </c>
    </row>
    <row r="72" spans="1:14" x14ac:dyDescent="0.3">
      <c r="A72" s="1">
        <v>4</v>
      </c>
      <c r="B72" t="s">
        <v>128</v>
      </c>
      <c r="C72" t="s">
        <v>1046</v>
      </c>
      <c r="D72">
        <f ca="1">IFERROR(AVERAGE(VALUE(INDIRECT("J"&amp;(MATCH(B72,B73:B504,0)+72))),VALUE(INDIRECT("J"&amp;(MATCH(B72,B73:B504,0)+83))),VALUE(INDIRECT("J"&amp;(MATCH(B72,B73:B504,0)+94))),VALUE(INDIRECT("J"&amp;(MATCH(B72,B73:B504,0)+105)))),"")</f>
        <v>1.0325000000000002</v>
      </c>
      <c r="E72" t="str">
        <f t="shared" ca="1" si="10"/>
        <v>above average</v>
      </c>
      <c r="F72" t="str">
        <f t="shared" ca="1" si="11"/>
        <v>peg ratio (5 yr expected)</v>
      </c>
      <c r="G72" t="str">
        <f t="shared" ca="1" si="12"/>
        <v>, peg ratio</v>
      </c>
      <c r="I72" t="str">
        <f t="shared" ca="1" si="4"/>
        <v>N/A</v>
      </c>
      <c r="J72">
        <f t="shared" si="5"/>
        <v>2.3199999999999998</v>
      </c>
      <c r="K72">
        <f t="shared" ca="1" si="6"/>
        <v>1.0325</v>
      </c>
      <c r="L72" t="str">
        <f t="shared" ca="1" si="7"/>
        <v>N/A</v>
      </c>
      <c r="M72" t="str">
        <f t="shared" ca="1" si="8"/>
        <v>N/A</v>
      </c>
      <c r="N72" t="str">
        <f t="shared" ca="1" si="9"/>
        <v>N/A</v>
      </c>
    </row>
    <row r="73" spans="1:14" x14ac:dyDescent="0.3">
      <c r="A73" s="1">
        <v>5</v>
      </c>
      <c r="B73" t="s">
        <v>130</v>
      </c>
      <c r="C73" t="s">
        <v>1047</v>
      </c>
      <c r="D73">
        <f ca="1">IFERROR(AVERAGE(VALUE(INDIRECT("J"&amp;(MATCH(B73,B74:B505,0)+73))),VALUE(INDIRECT("J"&amp;(MATCH(B73,B74:B505,0)+84))),VALUE(INDIRECT("J"&amp;(MATCH(B73,B74:B505,0)+95))),VALUE(INDIRECT("J"&amp;(MATCH(B73,B74:B505,0)+106)))),"")</f>
        <v>0.17249999999999999</v>
      </c>
      <c r="E73" t="str">
        <f t="shared" ca="1" si="10"/>
        <v>above average</v>
      </c>
      <c r="F73" t="str">
        <f t="shared" ca="1" si="11"/>
        <v>price/sales (ttm)</v>
      </c>
      <c r="G73" t="str">
        <f t="shared" ca="1" si="12"/>
        <v>, peg ratio, price/sales</v>
      </c>
      <c r="I73" t="str">
        <f t="shared" ca="1" si="4"/>
        <v>N/A</v>
      </c>
      <c r="J73">
        <f t="shared" si="5"/>
        <v>0.2</v>
      </c>
      <c r="K73">
        <f t="shared" ca="1" si="6"/>
        <v>0.17249999999999999</v>
      </c>
      <c r="L73" t="str">
        <f t="shared" ca="1" si="7"/>
        <v>N/A</v>
      </c>
      <c r="M73" t="str">
        <f t="shared" ca="1" si="8"/>
        <v>N/A</v>
      </c>
      <c r="N73" t="str">
        <f t="shared" ca="1" si="9"/>
        <v>N/A</v>
      </c>
    </row>
    <row r="74" spans="1:14" x14ac:dyDescent="0.3">
      <c r="A74" s="1">
        <v>6</v>
      </c>
      <c r="B74" t="s">
        <v>132</v>
      </c>
      <c r="C74" t="s">
        <v>1048</v>
      </c>
      <c r="D74" t="str">
        <f ca="1">IFERROR(AVERAGE(VALUE(INDIRECT("J"&amp;(MATCH(B74,B75:B506,0)+74))),VALUE(INDIRECT("J"&amp;(MATCH(B74,B75:B506,0)+85))),VALUE(INDIRECT("J"&amp;(MATCH(B74,B75:B506,0)+96))),VALUE(INDIRECT("J"&amp;(MATCH(B74,B75:B506,0)+107)))),"")</f>
        <v/>
      </c>
      <c r="E74" t="str">
        <f t="shared" ca="1" si="10"/>
        <v>no data</v>
      </c>
      <c r="F74" t="str">
        <f t="shared" ca="1" si="11"/>
        <v/>
      </c>
      <c r="G74" t="str">
        <f t="shared" ca="1" si="12"/>
        <v>, peg ratio, price/sales</v>
      </c>
      <c r="I74" t="str">
        <f t="shared" ca="1" si="4"/>
        <v>N/A</v>
      </c>
      <c r="J74">
        <f t="shared" si="5"/>
        <v>0.93</v>
      </c>
      <c r="K74" t="str">
        <f t="shared" ca="1" si="6"/>
        <v>N/A</v>
      </c>
      <c r="L74" t="str">
        <f t="shared" ca="1" si="7"/>
        <v>N/A</v>
      </c>
      <c r="M74" t="str">
        <f t="shared" ca="1" si="8"/>
        <v>N/A</v>
      </c>
      <c r="N74" t="str">
        <f t="shared" ca="1" si="9"/>
        <v>N/A</v>
      </c>
    </row>
    <row r="75" spans="1:14" x14ac:dyDescent="0.3">
      <c r="A75" s="1">
        <v>7</v>
      </c>
      <c r="B75" t="s">
        <v>134</v>
      </c>
      <c r="D75" t="str">
        <f ca="1">IFERROR(AVERAGE(VALUE(INDIRECT("J"&amp;(MATCH(B75,B76:B507,0)+75))),VALUE(INDIRECT("J"&amp;(MATCH(B75,B76:B507,0)+86))),VALUE(INDIRECT("J"&amp;(MATCH(B75,B76:B507,0)+97))),VALUE(INDIRECT("J"&amp;(MATCH(B75,B76:B507,0)+108)))),"")</f>
        <v/>
      </c>
      <c r="E75" t="str">
        <f t="shared" ca="1" si="10"/>
        <v>no data</v>
      </c>
      <c r="F75" t="str">
        <f t="shared" ca="1" si="11"/>
        <v/>
      </c>
      <c r="G75" t="str">
        <f t="shared" ca="1" si="12"/>
        <v>, peg ratio, price/sales</v>
      </c>
      <c r="I75" t="str">
        <f t="shared" ca="1" si="4"/>
        <v>N/A</v>
      </c>
      <c r="J75" t="str">
        <f t="shared" si="5"/>
        <v>N/A</v>
      </c>
      <c r="K75" t="str">
        <f t="shared" ca="1" si="6"/>
        <v>N/A</v>
      </c>
      <c r="L75" t="str">
        <f t="shared" ca="1" si="7"/>
        <v>N/A</v>
      </c>
      <c r="M75" t="str">
        <f t="shared" ca="1" si="8"/>
        <v>N/A</v>
      </c>
      <c r="N75" t="str">
        <f t="shared" ca="1" si="9"/>
        <v>N/A</v>
      </c>
    </row>
    <row r="76" spans="1:14" x14ac:dyDescent="0.3">
      <c r="A76" s="1">
        <v>8</v>
      </c>
      <c r="B76" t="s">
        <v>135</v>
      </c>
      <c r="D76" t="str">
        <f ca="1">IFERROR(AVERAGE(VALUE(INDIRECT("J"&amp;(MATCH(B76,B77:B508,0)+76))),VALUE(INDIRECT("J"&amp;(MATCH(B76,B77:B508,0)+87))),VALUE(INDIRECT("J"&amp;(MATCH(B76,B77:B508,0)+98))),VALUE(INDIRECT("J"&amp;(MATCH(B76,B77:B508,0)+109)))),"")</f>
        <v/>
      </c>
      <c r="E76" t="str">
        <f t="shared" ca="1" si="10"/>
        <v>no data</v>
      </c>
      <c r="F76" t="str">
        <f t="shared" ca="1" si="11"/>
        <v/>
      </c>
      <c r="G76" t="str">
        <f t="shared" ca="1" si="12"/>
        <v>, peg ratio, price/sales</v>
      </c>
      <c r="I76" t="str">
        <f t="shared" ca="1" si="4"/>
        <v>N/A</v>
      </c>
      <c r="J76" t="str">
        <f t="shared" si="5"/>
        <v>N/A</v>
      </c>
      <c r="K76" t="str">
        <f t="shared" ca="1" si="6"/>
        <v>N/A</v>
      </c>
      <c r="L76" t="str">
        <f t="shared" ca="1" si="7"/>
        <v>N/A</v>
      </c>
      <c r="M76" t="str">
        <f t="shared" ca="1" si="8"/>
        <v>N/A</v>
      </c>
      <c r="N76" t="str">
        <f t="shared" ca="1" si="9"/>
        <v>N/A</v>
      </c>
    </row>
    <row r="77" spans="1:14" x14ac:dyDescent="0.3">
      <c r="F77" t="str">
        <f ca="1">IF(F76="",IF(F75="",IF(F74="",IF(F73="",IF(F72="",IF(F71="",IFERROR(LEFT(F70,FIND("(",F70) - 2),F70),IFERROR(LEFT(F71,FIND("(",F71) - 2),F71)),IFERROR(LEFT(F72,FIND("(",F72) - 2),F72)),IFERROR(LEFT(F73,FIND("(",F73) - 2),F73)),IFERROR(LEFT(F74,FIND("(",F74) - 2),F74)),IFERROR(LEFT(F75,FIND("(",F75) - 2),F75)),IFERROR(LEFT(F76,FIND("(",F76) - 2),F76))</f>
        <v>price/sales</v>
      </c>
      <c r="G77" t="str">
        <f ca="1">TRIM(IF(LEFT(G76,1)=",",REPLACE(G76,1,1,""),SUBSTITUTE(G76,F77, "and " &amp; F77)))</f>
        <v>peg ratio, price/sales</v>
      </c>
      <c r="I77" t="str">
        <f t="shared" ca="1" si="4"/>
        <v>N/A</v>
      </c>
      <c r="J77" t="str">
        <f t="shared" si="5"/>
        <v>N/A</v>
      </c>
      <c r="K77" t="str">
        <f t="shared" si="6"/>
        <v>N/A</v>
      </c>
      <c r="L77" t="str">
        <f t="shared" si="7"/>
        <v>N/A</v>
      </c>
      <c r="M77" t="str">
        <f t="shared" ca="1" si="8"/>
        <v>N/A</v>
      </c>
      <c r="N77" t="str">
        <f t="shared" ca="1" si="9"/>
        <v>N/A</v>
      </c>
    </row>
    <row r="78" spans="1:14" x14ac:dyDescent="0.3">
      <c r="A78" s="1">
        <v>0</v>
      </c>
      <c r="B78" t="s">
        <v>136</v>
      </c>
      <c r="C78" t="s">
        <v>137</v>
      </c>
      <c r="D78" t="str">
        <f ca="1">IF(COUNTIF(E70:E76,"=above average")&gt;0,"There are some indications that "&amp;D1&amp;" may be overvalued. The company has a higher " &amp; G77 &amp; " than the comparable average", "Inconclusive")</f>
        <v>There are some indications that ArcBest may be overvalued. The company has a higher peg ratio, price/sales than the comparable average</v>
      </c>
      <c r="I78" t="str">
        <f t="shared" ca="1" si="4"/>
        <v>N/A</v>
      </c>
      <c r="J78" t="str">
        <f t="shared" si="5"/>
        <v>N/A</v>
      </c>
      <c r="K78" t="str">
        <f t="shared" ca="1" si="6"/>
        <v>N/A</v>
      </c>
      <c r="L78" t="str">
        <f t="shared" si="7"/>
        <v>N/A</v>
      </c>
      <c r="M78" t="str">
        <f t="shared" si="8"/>
        <v>N/A</v>
      </c>
      <c r="N78" t="str">
        <f t="shared" si="9"/>
        <v>N/A</v>
      </c>
    </row>
    <row r="79" spans="1:14" x14ac:dyDescent="0.3">
      <c r="A79" s="1">
        <v>1</v>
      </c>
      <c r="B79" t="s">
        <v>138</v>
      </c>
      <c r="C79" t="s">
        <v>139</v>
      </c>
      <c r="I79" t="str">
        <f t="shared" si="4"/>
        <v>N/A</v>
      </c>
      <c r="J79" t="str">
        <f t="shared" si="5"/>
        <v>N/A</v>
      </c>
      <c r="K79" t="str">
        <f t="shared" si="6"/>
        <v>N/A</v>
      </c>
      <c r="L79" t="str">
        <f t="shared" si="7"/>
        <v>N/A</v>
      </c>
      <c r="M79" t="str">
        <f t="shared" si="8"/>
        <v>N/A</v>
      </c>
      <c r="N79" t="str">
        <f t="shared" si="9"/>
        <v>N/A</v>
      </c>
    </row>
    <row r="80" spans="1:14" x14ac:dyDescent="0.3">
      <c r="I80" t="str">
        <f t="shared" si="4"/>
        <v>N/A</v>
      </c>
      <c r="J80" t="str">
        <f t="shared" si="5"/>
        <v>N/A</v>
      </c>
      <c r="K80" t="str">
        <f t="shared" si="6"/>
        <v>N/A</v>
      </c>
      <c r="L80" t="str">
        <f t="shared" si="7"/>
        <v>N/A</v>
      </c>
      <c r="M80" t="str">
        <f t="shared" si="8"/>
        <v>N/A</v>
      </c>
      <c r="N80" t="str">
        <f t="shared" si="9"/>
        <v>N/A</v>
      </c>
    </row>
    <row r="81" spans="1:14" x14ac:dyDescent="0.3">
      <c r="A81" s="1">
        <v>0</v>
      </c>
      <c r="B81" t="s">
        <v>140</v>
      </c>
      <c r="C81" t="s">
        <v>1049</v>
      </c>
      <c r="F81" t="str">
        <f t="shared" ref="F81:F87" ca="1" si="13">IF(E70="below average",LOWER(TRIM(IF(ISNUMBER(VALUE(RIGHT(B70,1))),REPLACE(B70,LEN(B70),1,""),B70))),"")</f>
        <v>trailing p/e</v>
      </c>
      <c r="G81" t="str">
        <f ca="1">IFERROR(LEFT(F81,FIND("(",F81) - 2),F81)</f>
        <v>trailing p/e</v>
      </c>
      <c r="I81" t="str">
        <f t="shared" ca="1" si="4"/>
        <v>N/A</v>
      </c>
      <c r="J81">
        <f t="shared" si="5"/>
        <v>6.3E-3</v>
      </c>
      <c r="K81" t="str">
        <f t="shared" si="6"/>
        <v>N/A</v>
      </c>
      <c r="L81" t="str">
        <f t="shared" si="7"/>
        <v>N/A</v>
      </c>
      <c r="M81" t="str">
        <f t="shared" ca="1" si="8"/>
        <v>N/A</v>
      </c>
      <c r="N81" t="str">
        <f t="shared" ca="1" si="9"/>
        <v>N/A</v>
      </c>
    </row>
    <row r="82" spans="1:14" x14ac:dyDescent="0.3">
      <c r="A82" s="1">
        <v>1</v>
      </c>
      <c r="B82" t="s">
        <v>142</v>
      </c>
      <c r="C82" t="s">
        <v>1050</v>
      </c>
      <c r="F82" t="str">
        <f t="shared" ca="1" si="13"/>
        <v>forward p/e</v>
      </c>
      <c r="G82" t="str">
        <f t="shared" ref="G82:G87" ca="1" si="14">IF(F82&lt;&gt;"", G81 &amp; ", " &amp; IFERROR(LEFT(F82,FIND("(",F82) - 2),F82),G81)</f>
        <v>trailing p/e, forward p/e</v>
      </c>
      <c r="I82" t="str">
        <f t="shared" ca="1" si="4"/>
        <v>N/A</v>
      </c>
      <c r="J82">
        <f t="shared" si="5"/>
        <v>1.3600000000000001E-2</v>
      </c>
      <c r="K82" t="str">
        <f t="shared" si="6"/>
        <v>N/A</v>
      </c>
      <c r="L82" t="str">
        <f t="shared" si="7"/>
        <v>N/A</v>
      </c>
      <c r="M82" t="str">
        <f t="shared" ca="1" si="8"/>
        <v>N/A</v>
      </c>
      <c r="N82" t="str">
        <f t="shared" ca="1" si="9"/>
        <v>N/A</v>
      </c>
    </row>
    <row r="83" spans="1:14" x14ac:dyDescent="0.3">
      <c r="F83" t="str">
        <f t="shared" ca="1" si="13"/>
        <v/>
      </c>
      <c r="G83" t="str">
        <f t="shared" ca="1" si="14"/>
        <v>trailing p/e, forward p/e</v>
      </c>
      <c r="I83" t="str">
        <f t="shared" ca="1" si="4"/>
        <v>N/A</v>
      </c>
      <c r="J83" t="str">
        <f t="shared" si="5"/>
        <v>N/A</v>
      </c>
      <c r="K83" t="str">
        <f t="shared" si="6"/>
        <v>N/A</v>
      </c>
      <c r="L83" t="str">
        <f t="shared" si="7"/>
        <v>N/A</v>
      </c>
      <c r="M83" t="str">
        <f t="shared" ca="1" si="8"/>
        <v>N/A</v>
      </c>
      <c r="N83" t="str">
        <f t="shared" ca="1" si="9"/>
        <v>N/A</v>
      </c>
    </row>
    <row r="84" spans="1:14" x14ac:dyDescent="0.3">
      <c r="A84" s="1">
        <v>0</v>
      </c>
      <c r="B84" t="s">
        <v>144</v>
      </c>
      <c r="C84" t="s">
        <v>1051</v>
      </c>
      <c r="F84" t="str">
        <f t="shared" ca="1" si="13"/>
        <v/>
      </c>
      <c r="G84" t="str">
        <f t="shared" ca="1" si="14"/>
        <v>trailing p/e, forward p/e</v>
      </c>
      <c r="I84" t="str">
        <f t="shared" ca="1" si="4"/>
        <v>N/A</v>
      </c>
      <c r="J84">
        <f t="shared" si="5"/>
        <v>1.8600000000000002E-2</v>
      </c>
      <c r="K84" t="str">
        <f t="shared" si="6"/>
        <v>N/A</v>
      </c>
      <c r="L84" t="str">
        <f t="shared" si="7"/>
        <v>N/A</v>
      </c>
      <c r="M84" t="str">
        <f t="shared" ca="1" si="8"/>
        <v>N/A</v>
      </c>
      <c r="N84" t="str">
        <f t="shared" ca="1" si="9"/>
        <v>N/A</v>
      </c>
    </row>
    <row r="85" spans="1:14" x14ac:dyDescent="0.3">
      <c r="A85" s="1">
        <v>1</v>
      </c>
      <c r="B85" t="s">
        <v>146</v>
      </c>
      <c r="C85" t="s">
        <v>1052</v>
      </c>
      <c r="F85" t="str">
        <f t="shared" ca="1" si="13"/>
        <v/>
      </c>
      <c r="G85" t="str">
        <f t="shared" ca="1" si="14"/>
        <v>trailing p/e, forward p/e</v>
      </c>
      <c r="I85" t="str">
        <f t="shared" ca="1" si="4"/>
        <v>N/A</v>
      </c>
      <c r="J85">
        <f t="shared" si="5"/>
        <v>2.9700000000000004E-2</v>
      </c>
      <c r="K85" t="str">
        <f t="shared" si="6"/>
        <v>N/A</v>
      </c>
      <c r="L85" t="str">
        <f t="shared" si="7"/>
        <v>N/A</v>
      </c>
      <c r="M85" t="str">
        <f t="shared" ca="1" si="8"/>
        <v>N/A</v>
      </c>
      <c r="N85" t="str">
        <f t="shared" ca="1" si="9"/>
        <v>N/A</v>
      </c>
    </row>
    <row r="86" spans="1:14" x14ac:dyDescent="0.3">
      <c r="F86" t="str">
        <f t="shared" ca="1" si="13"/>
        <v/>
      </c>
      <c r="G86" t="str">
        <f t="shared" ca="1" si="14"/>
        <v>trailing p/e, forward p/e</v>
      </c>
      <c r="I86" t="str">
        <f t="shared" ca="1" si="4"/>
        <v>N/A</v>
      </c>
      <c r="J86" t="str">
        <f t="shared" si="5"/>
        <v>N/A</v>
      </c>
      <c r="K86" t="str">
        <f t="shared" si="6"/>
        <v>N/A</v>
      </c>
      <c r="L86" t="str">
        <f t="shared" si="7"/>
        <v>N/A</v>
      </c>
      <c r="M86" t="str">
        <f t="shared" ca="1" si="8"/>
        <v>N/A</v>
      </c>
      <c r="N86" t="str">
        <f t="shared" ca="1" si="9"/>
        <v>N/A</v>
      </c>
    </row>
    <row r="87" spans="1:14" x14ac:dyDescent="0.3">
      <c r="A87" s="1">
        <v>0</v>
      </c>
      <c r="B87" t="s">
        <v>148</v>
      </c>
      <c r="C87" t="s">
        <v>1053</v>
      </c>
      <c r="F87" t="str">
        <f t="shared" ca="1" si="13"/>
        <v/>
      </c>
      <c r="G87" t="str">
        <f t="shared" ca="1" si="14"/>
        <v>trailing p/e, forward p/e</v>
      </c>
      <c r="I87" t="str">
        <f t="shared" ca="1" si="4"/>
        <v>N/A</v>
      </c>
      <c r="J87">
        <f t="shared" si="5"/>
        <v>2730000000</v>
      </c>
      <c r="K87" t="str">
        <f t="shared" si="6"/>
        <v>N/A</v>
      </c>
      <c r="L87" t="str">
        <f t="shared" si="7"/>
        <v>N/A</v>
      </c>
      <c r="M87" t="str">
        <f t="shared" ca="1" si="8"/>
        <v>N/A</v>
      </c>
      <c r="N87" t="str">
        <f t="shared" ca="1" si="9"/>
        <v>N/A</v>
      </c>
    </row>
    <row r="88" spans="1:14" x14ac:dyDescent="0.3">
      <c r="A88" s="1">
        <v>1</v>
      </c>
      <c r="B88" t="s">
        <v>150</v>
      </c>
      <c r="C88" t="s">
        <v>1054</v>
      </c>
      <c r="F88" t="str">
        <f ca="1">IF(F87="",IF(F86="",IF(F85="",IF(F84="",IF(F83="",IF(F82="",IFERROR(LEFT(F81,FIND("(",F81) - 2),F81),IFERROR(LEFT(F82,FIND("(",F82) - 2),F82)),IFERROR(LEFT(F83,FIND("(",F83) - 2),F83)),IFERROR(LEFT(F84,FIND("(",F84) - 2),F84)),IFERROR(LEFT(F85,FIND("(",F85) - 2),F85)),IFERROR(LEFT(F86,FIND("(",F86) - 2),F86)),IFERROR(LEFT(F87,FIND("(",F87) - 2),F87))</f>
        <v>forward p/e</v>
      </c>
      <c r="G88" t="str">
        <f ca="1">TRIM(IF(LEFT(G87,1)=",",REPLACE(G87,1,1,""),SUBSTITUTE(G87,F88, "and " &amp; F88)))</f>
        <v>trailing p/e, and forward p/e</v>
      </c>
      <c r="I88" t="str">
        <f t="shared" ca="1" si="4"/>
        <v>N/A</v>
      </c>
      <c r="J88">
        <f t="shared" si="5"/>
        <v>106.15</v>
      </c>
      <c r="K88" t="str">
        <f t="shared" si="6"/>
        <v>N/A</v>
      </c>
      <c r="L88" t="str">
        <f t="shared" si="7"/>
        <v>N/A</v>
      </c>
      <c r="M88" t="str">
        <f t="shared" ca="1" si="8"/>
        <v>N/A</v>
      </c>
      <c r="N88" t="str">
        <f t="shared" ca="1" si="9"/>
        <v>N/A</v>
      </c>
    </row>
    <row r="89" spans="1:14" x14ac:dyDescent="0.3">
      <c r="A89" s="1">
        <v>2</v>
      </c>
      <c r="B89" t="s">
        <v>152</v>
      </c>
      <c r="C89" t="s">
        <v>1055</v>
      </c>
      <c r="D89" t="str">
        <f ca="1">IF(COUNTIF(E70:E76,"=below average")&gt;0,"There are some indications that "&amp;D1&amp;" may be undervalued. The company has a lower " &amp; G88 &amp; " than the comparable average", "Inconclusive")</f>
        <v>There are some indications that ArcBest may be undervalued. The company has a lower trailing p/e, and forward p/e than the comparable average</v>
      </c>
      <c r="I89" t="str">
        <f t="shared" ca="1" si="4"/>
        <v>N/A</v>
      </c>
      <c r="J89">
        <f t="shared" si="5"/>
        <v>4.8000000000000001E-2</v>
      </c>
      <c r="K89" t="str">
        <f t="shared" ca="1" si="6"/>
        <v>N/A</v>
      </c>
      <c r="L89" t="str">
        <f t="shared" si="7"/>
        <v>N/A</v>
      </c>
      <c r="M89" t="str">
        <f t="shared" si="8"/>
        <v>N/A</v>
      </c>
      <c r="N89" t="str">
        <f t="shared" si="9"/>
        <v>N/A</v>
      </c>
    </row>
    <row r="90" spans="1:14" x14ac:dyDescent="0.3">
      <c r="A90" s="1">
        <v>3</v>
      </c>
      <c r="B90" t="s">
        <v>154</v>
      </c>
      <c r="C90" t="s">
        <v>261</v>
      </c>
      <c r="I90" t="str">
        <f t="shared" si="4"/>
        <v>N/A</v>
      </c>
      <c r="J90">
        <f t="shared" si="5"/>
        <v>2700000000</v>
      </c>
      <c r="K90" t="str">
        <f t="shared" si="6"/>
        <v>N/A</v>
      </c>
      <c r="L90" t="str">
        <f t="shared" si="7"/>
        <v>N/A</v>
      </c>
      <c r="M90" t="str">
        <f t="shared" si="8"/>
        <v>N/A</v>
      </c>
      <c r="N90" t="str">
        <f t="shared" si="9"/>
        <v>N/A</v>
      </c>
    </row>
    <row r="91" spans="1:14" x14ac:dyDescent="0.3">
      <c r="A91" s="1">
        <v>4</v>
      </c>
      <c r="B91" t="s">
        <v>156</v>
      </c>
      <c r="C91" t="s">
        <v>1056</v>
      </c>
      <c r="I91" t="str">
        <f t="shared" si="4"/>
        <v>N/A</v>
      </c>
      <c r="J91">
        <f t="shared" si="5"/>
        <v>136290000</v>
      </c>
      <c r="K91" t="str">
        <f t="shared" si="6"/>
        <v>N/A</v>
      </c>
      <c r="L91" t="str">
        <f t="shared" si="7"/>
        <v>N/A</v>
      </c>
      <c r="M91" t="str">
        <f t="shared" si="8"/>
        <v>N/A</v>
      </c>
      <c r="N91" t="str">
        <f t="shared" si="9"/>
        <v>N/A</v>
      </c>
    </row>
    <row r="92" spans="1:14" x14ac:dyDescent="0.3">
      <c r="A92" s="1">
        <v>5</v>
      </c>
      <c r="B92" t="s">
        <v>158</v>
      </c>
      <c r="C92" t="s">
        <v>1057</v>
      </c>
      <c r="I92" t="str">
        <f t="shared" ref="I92:I123" si="15">IF(AND(K92&gt; J92, L92&gt; K92, M92&gt; L92, N92&gt; M92), "pos_trend", IF(AND(K92&lt; J92, L92&lt; K92, M92&lt; L92, N92&lt; M92), "neg_trend", "N/A"))</f>
        <v>N/A</v>
      </c>
      <c r="J92">
        <f t="shared" ref="J92:J123" si="16">IFERROR(IF(TRIM(C92)="-", "N/A", IF(RIGHT(C92,1)=")",IF(RIGHT(C92,2)="T)",-1000000000000*VALUE(MID(C92,2,LEN(C92)-3)),IF(RIGHT(C92,2)="M)",-1000000*VALUE(MID(C92,2,LEN(C92)-3)),IF(RIGHT(C92,2)="B)",-1000000000*VALUE(MID(C92,2,LEN(C92)-3)),IF(RIGHT(C92,2)="k)",-1000*VALUE(MID(C92,2,LEN(C92)-3)),VALUE(SUBSTITUTE(C92,",","")))))),IF(RIGHT(C92,1)="T",1000000000000*VALUE(LEFT(C92,LEN(C92)-1)),IF(RIGHT(C92,1)="M",1000000*VALUE(LEFT(C92,LEN(C92)-1)),IF(RIGHT(C92,1)="B",1000000000*VALUE(LEFT(C92,LEN(C92)-1)),IF(RIGHT(C92,1)="%",0.01*VALUE(LEFT(C92,LEN(C92)-1)),IF(RIGHT(C92,1)="k",1000*VALUE(LEFT(C92,LEN(C92)-1)),VALUE(SUBSTITUTE(C92,",",""))))))))),"N/A")</f>
        <v>17210000</v>
      </c>
      <c r="K92" t="str">
        <f t="shared" ref="K92:K123" si="17">IFERROR(IF(TRIM(D92)="-", "N/A", IF(RIGHT(D92,1)=")",IF(RIGHT(D92,2)="T)",-1000000000000*VALUE(MID(D92,2,LEN(D92)-3)),IF(RIGHT(D92,2)="M)",-1000000*VALUE(MID(D92,2,LEN(D92)-3)),IF(RIGHT(D92,2)="B)",-1000000000*VALUE(MID(D92,2,LEN(D92)-3)),IF(RIGHT(D92,2)="k)",-1000*VALUE(MID(D92,2,LEN(D92)-3)),VALUE(SUBSTITUTE(D92,",","")))))),IF(RIGHT(D92,1)="T",1000000000000*VALUE(LEFT(D92,LEN(D92)-1)),IF(RIGHT(D92,1)="M",1000000*VALUE(LEFT(D92,LEN(D92)-1)),IF(RIGHT(D92,1)="B",1000000000*VALUE(LEFT(D92,LEN(D92)-1)),IF(RIGHT(D92,1)="%",0.01*VALUE(LEFT(D92,LEN(D92)-1)),IF(RIGHT(D92,1)="k",1000*VALUE(LEFT(D92,LEN(D92)-1)),VALUE(SUBSTITUTE(D92,",",""))))))))),"N/A")</f>
        <v>N/A</v>
      </c>
      <c r="L92" t="str">
        <f t="shared" ref="L92:L123" si="18">IFERROR(IF(TRIM(E92)="-", "N/A", IF(RIGHT(E92,1)=")",IF(RIGHT(E92,2)="T)",-1000000000000*VALUE(MID(E92,2,LEN(E92)-3)),IF(RIGHT(E92,2)="M)",-1000000*VALUE(MID(E92,2,LEN(E92)-3)),IF(RIGHT(E92,2)="B)",-1000000000*VALUE(MID(E92,2,LEN(E92)-3)),IF(RIGHT(E92,2)="k)",-1000*VALUE(MID(E92,2,LEN(E92)-3)),VALUE(SUBSTITUTE(E92,",","")))))),IF(RIGHT(E92,1)="T",1000000000000*VALUE(LEFT(E92,LEN(E92)-1)),IF(RIGHT(E92,1)="M",1000000*VALUE(LEFT(E92,LEN(E92)-1)),IF(RIGHT(E92,1)="B",1000000000*VALUE(LEFT(E92,LEN(E92)-1)),IF(RIGHT(E92,1)="%",0.01*VALUE(LEFT(E92,LEN(E92)-1)),IF(RIGHT(E92,1)="k",1000*VALUE(LEFT(E92,LEN(E92)-1)),VALUE(SUBSTITUTE(E92,",",""))))))))),"N/A")</f>
        <v>N/A</v>
      </c>
      <c r="M92" t="str">
        <f t="shared" ref="M92:M123" si="19">IFERROR(IF(TRIM(F92)="-", "N/A", IF(RIGHT(F92,1)=")",IF(RIGHT(F92,2)="T)",-1000000000000*VALUE(MID(F92,2,LEN(F92)-3)),IF(RIGHT(F92,2)="M)",-1000000*VALUE(MID(F92,2,LEN(F92)-3)),IF(RIGHT(F92,2)="B)",-1000000000*VALUE(MID(F92,2,LEN(F92)-3)),IF(RIGHT(F92,2)="k)",-1000*VALUE(MID(F92,2,LEN(F92)-3)),VALUE(SUBSTITUTE(F92,",","")))))),IF(RIGHT(F92,1)="T",1000000000000*VALUE(LEFT(F92,LEN(F92)-1)),IF(RIGHT(F92,1)="M",1000000*VALUE(LEFT(F92,LEN(F92)-1)),IF(RIGHT(F92,1)="B",1000000000*VALUE(LEFT(F92,LEN(F92)-1)),IF(RIGHT(F92,1)="%",0.01*VALUE(LEFT(F92,LEN(F92)-1)),IF(RIGHT(F92,1)="k",1000*VALUE(LEFT(F92,LEN(F92)-1)),VALUE(SUBSTITUTE(F92,",",""))))))))),"N/A")</f>
        <v>N/A</v>
      </c>
      <c r="N92" t="str">
        <f t="shared" ref="N92:N123" si="20">IFERROR(IF(TRIM(G92)="-", "N/A", IF(RIGHT(G92,1)=")",IF(RIGHT(G92,2)="T)",-1000000000000*VALUE(MID(G92,2,LEN(G92)-3)),IF(RIGHT(G92,2)="M)",-1000000*VALUE(MID(G92,2,LEN(G92)-3)),IF(RIGHT(G92,2)="B)",-1000000000*VALUE(MID(G92,2,LEN(G92)-3)),IF(RIGHT(G92,2)="k)",-1000*VALUE(MID(G92,2,LEN(G92)-3)),VALUE(SUBSTITUTE(G92,",","")))))),IF(RIGHT(G92,1)="T",1000000000000*VALUE(LEFT(G92,LEN(G92)-1)),IF(RIGHT(G92,1)="M",1000000*VALUE(LEFT(G92,LEN(G92)-1)),IF(RIGHT(G92,1)="B",1000000000*VALUE(LEFT(G92,LEN(G92)-1)),IF(RIGHT(G92,1)="%",0.01*VALUE(LEFT(G92,LEN(G92)-1)),IF(RIGHT(G92,1)="k",1000*VALUE(LEFT(G92,LEN(G92)-1)),VALUE(SUBSTITUTE(G92,",",""))))))))),"N/A")</f>
        <v>N/A</v>
      </c>
    </row>
    <row r="93" spans="1:14" x14ac:dyDescent="0.3">
      <c r="A93" s="1">
        <v>6</v>
      </c>
      <c r="B93" t="s">
        <v>160</v>
      </c>
      <c r="C93" t="s">
        <v>79</v>
      </c>
      <c r="I93" t="str">
        <f t="shared" si="15"/>
        <v>N/A</v>
      </c>
      <c r="J93">
        <f t="shared" si="16"/>
        <v>0.66</v>
      </c>
      <c r="K93" t="str">
        <f t="shared" si="17"/>
        <v>N/A</v>
      </c>
      <c r="L93" t="str">
        <f t="shared" si="18"/>
        <v>N/A</v>
      </c>
      <c r="M93" t="str">
        <f t="shared" si="19"/>
        <v>N/A</v>
      </c>
      <c r="N93" t="str">
        <f t="shared" si="20"/>
        <v>N/A</v>
      </c>
    </row>
    <row r="94" spans="1:14" x14ac:dyDescent="0.3">
      <c r="A94" s="1">
        <v>7</v>
      </c>
      <c r="B94" t="s">
        <v>161</v>
      </c>
      <c r="I94" t="str">
        <f t="shared" si="15"/>
        <v>N/A</v>
      </c>
      <c r="J94" t="str">
        <f t="shared" si="16"/>
        <v>N/A</v>
      </c>
      <c r="K94" t="str">
        <f t="shared" si="17"/>
        <v>N/A</v>
      </c>
      <c r="L94" t="str">
        <f t="shared" si="18"/>
        <v>N/A</v>
      </c>
      <c r="M94" t="str">
        <f t="shared" si="19"/>
        <v>N/A</v>
      </c>
      <c r="N94" t="str">
        <f t="shared" si="20"/>
        <v>N/A</v>
      </c>
    </row>
    <row r="95" spans="1:14" x14ac:dyDescent="0.3">
      <c r="I95" t="str">
        <f t="shared" si="15"/>
        <v>N/A</v>
      </c>
      <c r="J95" t="str">
        <f t="shared" si="16"/>
        <v>N/A</v>
      </c>
      <c r="K95" t="str">
        <f t="shared" si="17"/>
        <v>N/A</v>
      </c>
      <c r="L95" t="str">
        <f t="shared" si="18"/>
        <v>N/A</v>
      </c>
      <c r="M95" t="str">
        <f t="shared" si="19"/>
        <v>N/A</v>
      </c>
      <c r="N95" t="str">
        <f t="shared" si="20"/>
        <v>N/A</v>
      </c>
    </row>
    <row r="96" spans="1:14" x14ac:dyDescent="0.3">
      <c r="A96" s="1">
        <v>0</v>
      </c>
      <c r="B96" t="s">
        <v>163</v>
      </c>
      <c r="C96" t="s">
        <v>1058</v>
      </c>
      <c r="I96" t="str">
        <f t="shared" si="15"/>
        <v>N/A</v>
      </c>
      <c r="J96">
        <f t="shared" si="16"/>
        <v>139240000</v>
      </c>
      <c r="K96" t="str">
        <f t="shared" si="17"/>
        <v>N/A</v>
      </c>
      <c r="L96" t="str">
        <f t="shared" si="18"/>
        <v>N/A</v>
      </c>
      <c r="M96" t="str">
        <f t="shared" si="19"/>
        <v>N/A</v>
      </c>
      <c r="N96" t="str">
        <f t="shared" si="20"/>
        <v>N/A</v>
      </c>
    </row>
    <row r="97" spans="1:14" x14ac:dyDescent="0.3">
      <c r="A97" s="1">
        <v>1</v>
      </c>
      <c r="B97" t="s">
        <v>165</v>
      </c>
      <c r="C97" t="s">
        <v>1059</v>
      </c>
      <c r="I97" t="str">
        <f t="shared" si="15"/>
        <v>N/A</v>
      </c>
      <c r="J97">
        <f t="shared" si="16"/>
        <v>5.39</v>
      </c>
      <c r="K97" t="str">
        <f t="shared" si="17"/>
        <v>N/A</v>
      </c>
      <c r="L97" t="str">
        <f t="shared" si="18"/>
        <v>N/A</v>
      </c>
      <c r="M97" t="str">
        <f t="shared" si="19"/>
        <v>N/A</v>
      </c>
      <c r="N97" t="str">
        <f t="shared" si="20"/>
        <v>N/A</v>
      </c>
    </row>
    <row r="98" spans="1:14" x14ac:dyDescent="0.3">
      <c r="A98" s="1">
        <v>2</v>
      </c>
      <c r="B98" t="s">
        <v>167</v>
      </c>
      <c r="C98" t="s">
        <v>1060</v>
      </c>
      <c r="I98" t="str">
        <f t="shared" si="15"/>
        <v>N/A</v>
      </c>
      <c r="J98">
        <f t="shared" si="16"/>
        <v>227390000</v>
      </c>
      <c r="K98" t="str">
        <f t="shared" si="17"/>
        <v>N/A</v>
      </c>
      <c r="L98" t="str">
        <f t="shared" si="18"/>
        <v>N/A</v>
      </c>
      <c r="M98" t="str">
        <f t="shared" si="19"/>
        <v>N/A</v>
      </c>
      <c r="N98" t="str">
        <f t="shared" si="20"/>
        <v>N/A</v>
      </c>
    </row>
    <row r="99" spans="1:14" x14ac:dyDescent="0.3">
      <c r="A99" s="1">
        <v>3</v>
      </c>
      <c r="B99" t="s">
        <v>169</v>
      </c>
      <c r="C99" t="s">
        <v>1061</v>
      </c>
      <c r="I99" t="str">
        <f t="shared" si="15"/>
        <v>N/A</v>
      </c>
      <c r="J99">
        <f t="shared" si="16"/>
        <v>38.43</v>
      </c>
      <c r="K99" t="str">
        <f t="shared" si="17"/>
        <v>N/A</v>
      </c>
      <c r="L99" t="str">
        <f t="shared" si="18"/>
        <v>N/A</v>
      </c>
      <c r="M99" t="str">
        <f t="shared" si="19"/>
        <v>N/A</v>
      </c>
      <c r="N99" t="str">
        <f t="shared" si="20"/>
        <v>N/A</v>
      </c>
    </row>
    <row r="100" spans="1:14" x14ac:dyDescent="0.3">
      <c r="A100" s="1">
        <v>4</v>
      </c>
      <c r="B100" t="s">
        <v>171</v>
      </c>
      <c r="C100" t="s">
        <v>1062</v>
      </c>
      <c r="I100" t="str">
        <f t="shared" si="15"/>
        <v>N/A</v>
      </c>
      <c r="J100">
        <f t="shared" si="16"/>
        <v>1.22</v>
      </c>
      <c r="K100" t="str">
        <f t="shared" si="17"/>
        <v>N/A</v>
      </c>
      <c r="L100" t="str">
        <f t="shared" si="18"/>
        <v>N/A</v>
      </c>
      <c r="M100" t="str">
        <f t="shared" si="19"/>
        <v>N/A</v>
      </c>
      <c r="N100" t="str">
        <f t="shared" si="20"/>
        <v>N/A</v>
      </c>
    </row>
    <row r="101" spans="1:14" x14ac:dyDescent="0.3">
      <c r="A101" s="1">
        <v>5</v>
      </c>
      <c r="B101" t="s">
        <v>173</v>
      </c>
      <c r="C101" t="s">
        <v>1063</v>
      </c>
      <c r="I101" t="str">
        <f t="shared" si="15"/>
        <v>N/A</v>
      </c>
      <c r="J101">
        <f t="shared" si="16"/>
        <v>23.09</v>
      </c>
      <c r="K101" t="str">
        <f t="shared" si="17"/>
        <v>N/A</v>
      </c>
      <c r="L101" t="str">
        <f t="shared" si="18"/>
        <v>N/A</v>
      </c>
      <c r="M101" t="str">
        <f t="shared" si="19"/>
        <v>N/A</v>
      </c>
      <c r="N101" t="str">
        <f t="shared" si="20"/>
        <v>N/A</v>
      </c>
    </row>
    <row r="102" spans="1:14" x14ac:dyDescent="0.3">
      <c r="I102" t="str">
        <f t="shared" si="15"/>
        <v>N/A</v>
      </c>
      <c r="J102" t="str">
        <f t="shared" si="16"/>
        <v>N/A</v>
      </c>
      <c r="K102" t="str">
        <f t="shared" si="17"/>
        <v>N/A</v>
      </c>
      <c r="L102" t="str">
        <f t="shared" si="18"/>
        <v>N/A</v>
      </c>
      <c r="M102" t="str">
        <f t="shared" si="19"/>
        <v>N/A</v>
      </c>
      <c r="N102" t="str">
        <f t="shared" si="20"/>
        <v>N/A</v>
      </c>
    </row>
    <row r="103" spans="1:14" x14ac:dyDescent="0.3">
      <c r="A103" s="1">
        <v>0</v>
      </c>
      <c r="B103" t="s">
        <v>175</v>
      </c>
      <c r="C103" t="s">
        <v>1064</v>
      </c>
      <c r="I103" t="str">
        <f t="shared" si="15"/>
        <v>N/A</v>
      </c>
      <c r="J103">
        <f t="shared" si="16"/>
        <v>99680000</v>
      </c>
      <c r="K103" t="str">
        <f t="shared" si="17"/>
        <v>N/A</v>
      </c>
      <c r="L103" t="str">
        <f t="shared" si="18"/>
        <v>N/A</v>
      </c>
      <c r="M103" t="str">
        <f t="shared" si="19"/>
        <v>N/A</v>
      </c>
      <c r="N103" t="str">
        <f t="shared" si="20"/>
        <v>N/A</v>
      </c>
    </row>
    <row r="104" spans="1:14" x14ac:dyDescent="0.3">
      <c r="A104" s="1">
        <v>1</v>
      </c>
      <c r="B104" t="s">
        <v>177</v>
      </c>
      <c r="C104" t="s">
        <v>1065</v>
      </c>
      <c r="I104" t="str">
        <f t="shared" si="15"/>
        <v>N/A</v>
      </c>
      <c r="J104">
        <f t="shared" si="16"/>
        <v>62930000</v>
      </c>
      <c r="K104" t="str">
        <f t="shared" si="17"/>
        <v>N/A</v>
      </c>
      <c r="L104" t="str">
        <f t="shared" si="18"/>
        <v>N/A</v>
      </c>
      <c r="M104" t="str">
        <f t="shared" si="19"/>
        <v>N/A</v>
      </c>
      <c r="N104" t="str">
        <f t="shared" si="20"/>
        <v>N/A</v>
      </c>
    </row>
    <row r="105" spans="1:14" x14ac:dyDescent="0.3">
      <c r="I105" t="str">
        <f t="shared" si="15"/>
        <v>N/A</v>
      </c>
      <c r="J105" t="str">
        <f t="shared" si="16"/>
        <v>N/A</v>
      </c>
      <c r="K105" t="str">
        <f t="shared" si="17"/>
        <v>N/A</v>
      </c>
      <c r="L105" t="str">
        <f t="shared" si="18"/>
        <v>N/A</v>
      </c>
      <c r="M105" t="str">
        <f t="shared" si="19"/>
        <v>N/A</v>
      </c>
      <c r="N105" t="str">
        <f t="shared" si="20"/>
        <v>N/A</v>
      </c>
    </row>
    <row r="106" spans="1:14" x14ac:dyDescent="0.3">
      <c r="A106" s="1">
        <v>0</v>
      </c>
      <c r="B106" t="s">
        <v>22</v>
      </c>
      <c r="C106" t="s">
        <v>1001</v>
      </c>
      <c r="I106" t="str">
        <f t="shared" si="15"/>
        <v>N/A</v>
      </c>
      <c r="J106">
        <f t="shared" si="16"/>
        <v>2.23</v>
      </c>
      <c r="K106" t="str">
        <f t="shared" si="17"/>
        <v>N/A</v>
      </c>
      <c r="L106" t="str">
        <f t="shared" si="18"/>
        <v>N/A</v>
      </c>
      <c r="M106" t="str">
        <f t="shared" si="19"/>
        <v>N/A</v>
      </c>
      <c r="N106" t="str">
        <f t="shared" si="20"/>
        <v>N/A</v>
      </c>
    </row>
    <row r="107" spans="1:14" x14ac:dyDescent="0.3">
      <c r="A107" s="1">
        <v>1</v>
      </c>
      <c r="B107" t="s">
        <v>179</v>
      </c>
      <c r="C107" t="s">
        <v>1066</v>
      </c>
      <c r="I107" t="str">
        <f t="shared" si="15"/>
        <v>N/A</v>
      </c>
      <c r="J107">
        <f t="shared" si="16"/>
        <v>0.22070000000000001</v>
      </c>
      <c r="K107" t="str">
        <f t="shared" si="17"/>
        <v>N/A</v>
      </c>
      <c r="L107" t="str">
        <f t="shared" si="18"/>
        <v>N/A</v>
      </c>
      <c r="M107" t="str">
        <f t="shared" si="19"/>
        <v>N/A</v>
      </c>
      <c r="N107" t="str">
        <f t="shared" si="20"/>
        <v>N/A</v>
      </c>
    </row>
    <row r="108" spans="1:14" x14ac:dyDescent="0.3">
      <c r="A108" s="1">
        <v>2</v>
      </c>
      <c r="B108" t="s">
        <v>181</v>
      </c>
      <c r="C108" t="s">
        <v>182</v>
      </c>
      <c r="I108" t="str">
        <f t="shared" si="15"/>
        <v>N/A</v>
      </c>
      <c r="J108">
        <f t="shared" si="16"/>
        <v>0.14180000000000001</v>
      </c>
      <c r="K108" t="str">
        <f t="shared" si="17"/>
        <v>N/A</v>
      </c>
      <c r="L108" t="str">
        <f t="shared" si="18"/>
        <v>N/A</v>
      </c>
      <c r="M108" t="str">
        <f t="shared" si="19"/>
        <v>N/A</v>
      </c>
      <c r="N108" t="str">
        <f t="shared" si="20"/>
        <v>N/A</v>
      </c>
    </row>
    <row r="109" spans="1:14" x14ac:dyDescent="0.3">
      <c r="A109" s="1">
        <v>3</v>
      </c>
      <c r="B109" t="s">
        <v>183</v>
      </c>
      <c r="C109" t="s">
        <v>1067</v>
      </c>
      <c r="I109" t="str">
        <f t="shared" si="15"/>
        <v>N/A</v>
      </c>
      <c r="J109">
        <f t="shared" si="16"/>
        <v>33.950000000000003</v>
      </c>
      <c r="K109" t="str">
        <f t="shared" si="17"/>
        <v>N/A</v>
      </c>
      <c r="L109" t="str">
        <f t="shared" si="18"/>
        <v>N/A</v>
      </c>
      <c r="M109" t="str">
        <f t="shared" si="19"/>
        <v>N/A</v>
      </c>
      <c r="N109" t="str">
        <f t="shared" si="20"/>
        <v>N/A</v>
      </c>
    </row>
    <row r="110" spans="1:14" x14ac:dyDescent="0.3">
      <c r="A110" s="1">
        <v>4</v>
      </c>
      <c r="B110" t="s">
        <v>185</v>
      </c>
      <c r="C110" t="s">
        <v>1068</v>
      </c>
      <c r="I110" t="str">
        <f t="shared" si="15"/>
        <v>N/A</v>
      </c>
      <c r="J110">
        <f t="shared" si="16"/>
        <v>16.95</v>
      </c>
      <c r="K110" t="str">
        <f t="shared" si="17"/>
        <v>N/A</v>
      </c>
      <c r="L110" t="str">
        <f t="shared" si="18"/>
        <v>N/A</v>
      </c>
      <c r="M110" t="str">
        <f t="shared" si="19"/>
        <v>N/A</v>
      </c>
      <c r="N110" t="str">
        <f t="shared" si="20"/>
        <v>N/A</v>
      </c>
    </row>
    <row r="111" spans="1:14" x14ac:dyDescent="0.3">
      <c r="A111" s="1">
        <v>5</v>
      </c>
      <c r="B111" t="s">
        <v>187</v>
      </c>
      <c r="C111" t="s">
        <v>1069</v>
      </c>
      <c r="I111" t="str">
        <f t="shared" si="15"/>
        <v>N/A</v>
      </c>
      <c r="J111">
        <f t="shared" si="16"/>
        <v>20.91</v>
      </c>
      <c r="K111" t="str">
        <f t="shared" si="17"/>
        <v>N/A</v>
      </c>
      <c r="L111" t="str">
        <f t="shared" si="18"/>
        <v>N/A</v>
      </c>
      <c r="M111" t="str">
        <f t="shared" si="19"/>
        <v>N/A</v>
      </c>
      <c r="N111" t="str">
        <f t="shared" si="20"/>
        <v>N/A</v>
      </c>
    </row>
    <row r="112" spans="1:14" x14ac:dyDescent="0.3">
      <c r="A112" s="1">
        <v>6</v>
      </c>
      <c r="B112" t="s">
        <v>189</v>
      </c>
      <c r="C112" t="s">
        <v>1070</v>
      </c>
      <c r="I112" t="str">
        <f t="shared" si="15"/>
        <v>N/A</v>
      </c>
      <c r="J112">
        <f t="shared" si="16"/>
        <v>24.94</v>
      </c>
      <c r="K112" t="str">
        <f t="shared" si="17"/>
        <v>N/A</v>
      </c>
      <c r="L112" t="str">
        <f t="shared" si="18"/>
        <v>N/A</v>
      </c>
      <c r="M112" t="str">
        <f t="shared" si="19"/>
        <v>N/A</v>
      </c>
      <c r="N112" t="str">
        <f t="shared" si="20"/>
        <v>N/A</v>
      </c>
    </row>
    <row r="113" spans="1:14" x14ac:dyDescent="0.3">
      <c r="I113" t="str">
        <f t="shared" si="15"/>
        <v>N/A</v>
      </c>
      <c r="J113" t="str">
        <f t="shared" si="16"/>
        <v>N/A</v>
      </c>
      <c r="K113" t="str">
        <f t="shared" si="17"/>
        <v>N/A</v>
      </c>
      <c r="L113" t="str">
        <f t="shared" si="18"/>
        <v>N/A</v>
      </c>
      <c r="M113" t="str">
        <f t="shared" si="19"/>
        <v>N/A</v>
      </c>
      <c r="N113" t="str">
        <f t="shared" si="20"/>
        <v>N/A</v>
      </c>
    </row>
    <row r="114" spans="1:14" x14ac:dyDescent="0.3">
      <c r="A114" s="1">
        <v>0</v>
      </c>
      <c r="B114" t="s">
        <v>191</v>
      </c>
      <c r="C114" t="s">
        <v>1071</v>
      </c>
      <c r="I114" t="str">
        <f t="shared" si="15"/>
        <v>N/A</v>
      </c>
      <c r="J114">
        <f t="shared" si="16"/>
        <v>262060</v>
      </c>
      <c r="K114" t="str">
        <f t="shared" si="17"/>
        <v>N/A</v>
      </c>
      <c r="L114" t="str">
        <f t="shared" si="18"/>
        <v>N/A</v>
      </c>
      <c r="M114" t="str">
        <f t="shared" si="19"/>
        <v>N/A</v>
      </c>
      <c r="N114" t="str">
        <f t="shared" si="20"/>
        <v>N/A</v>
      </c>
    </row>
    <row r="115" spans="1:14" x14ac:dyDescent="0.3">
      <c r="A115" s="1">
        <v>1</v>
      </c>
      <c r="B115" t="s">
        <v>193</v>
      </c>
      <c r="C115" t="s">
        <v>1072</v>
      </c>
      <c r="I115" t="str">
        <f t="shared" si="15"/>
        <v>N/A</v>
      </c>
      <c r="J115">
        <f t="shared" si="16"/>
        <v>188760</v>
      </c>
      <c r="K115" t="str">
        <f t="shared" si="17"/>
        <v>N/A</v>
      </c>
      <c r="L115" t="str">
        <f t="shared" si="18"/>
        <v>N/A</v>
      </c>
      <c r="M115" t="str">
        <f t="shared" si="19"/>
        <v>N/A</v>
      </c>
      <c r="N115" t="str">
        <f t="shared" si="20"/>
        <v>N/A</v>
      </c>
    </row>
    <row r="116" spans="1:14" x14ac:dyDescent="0.3">
      <c r="A116" s="1">
        <v>2</v>
      </c>
      <c r="B116" t="s">
        <v>195</v>
      </c>
      <c r="C116" t="s">
        <v>1073</v>
      </c>
      <c r="I116" t="str">
        <f t="shared" si="15"/>
        <v>N/A</v>
      </c>
      <c r="J116">
        <f t="shared" si="16"/>
        <v>25840000</v>
      </c>
      <c r="K116" t="str">
        <f t="shared" si="17"/>
        <v>N/A</v>
      </c>
      <c r="L116" t="str">
        <f t="shared" si="18"/>
        <v>N/A</v>
      </c>
      <c r="M116" t="str">
        <f t="shared" si="19"/>
        <v>N/A</v>
      </c>
      <c r="N116" t="str">
        <f t="shared" si="20"/>
        <v>N/A</v>
      </c>
    </row>
    <row r="117" spans="1:14" x14ac:dyDescent="0.3">
      <c r="A117" s="1">
        <v>3</v>
      </c>
      <c r="B117" t="s">
        <v>197</v>
      </c>
      <c r="C117" t="s">
        <v>1074</v>
      </c>
      <c r="I117" t="str">
        <f t="shared" si="15"/>
        <v>N/A</v>
      </c>
      <c r="J117">
        <f t="shared" si="16"/>
        <v>25090000</v>
      </c>
      <c r="K117" t="str">
        <f t="shared" si="17"/>
        <v>N/A</v>
      </c>
      <c r="L117" t="str">
        <f t="shared" si="18"/>
        <v>N/A</v>
      </c>
      <c r="M117" t="str">
        <f t="shared" si="19"/>
        <v>N/A</v>
      </c>
      <c r="N117" t="str">
        <f t="shared" si="20"/>
        <v>N/A</v>
      </c>
    </row>
    <row r="118" spans="1:14" x14ac:dyDescent="0.3">
      <c r="A118" s="1">
        <v>4</v>
      </c>
      <c r="B118" t="s">
        <v>199</v>
      </c>
      <c r="C118" t="s">
        <v>1023</v>
      </c>
      <c r="I118" t="str">
        <f t="shared" si="15"/>
        <v>N/A</v>
      </c>
      <c r="J118">
        <f t="shared" si="16"/>
        <v>5.5E-2</v>
      </c>
      <c r="K118" t="str">
        <f t="shared" si="17"/>
        <v>N/A</v>
      </c>
      <c r="L118" t="str">
        <f t="shared" si="18"/>
        <v>N/A</v>
      </c>
      <c r="M118" t="str">
        <f t="shared" si="19"/>
        <v>N/A</v>
      </c>
      <c r="N118" t="str">
        <f t="shared" si="20"/>
        <v>N/A</v>
      </c>
    </row>
    <row r="119" spans="1:14" x14ac:dyDescent="0.3">
      <c r="A119" s="1">
        <v>5</v>
      </c>
      <c r="B119" t="s">
        <v>201</v>
      </c>
      <c r="C119" t="s">
        <v>1075</v>
      </c>
      <c r="I119" t="str">
        <f t="shared" si="15"/>
        <v>N/A</v>
      </c>
      <c r="J119">
        <f t="shared" si="16"/>
        <v>0.94599999999999995</v>
      </c>
      <c r="K119" t="str">
        <f t="shared" si="17"/>
        <v>N/A</v>
      </c>
      <c r="L119" t="str">
        <f t="shared" si="18"/>
        <v>N/A</v>
      </c>
      <c r="M119" t="str">
        <f t="shared" si="19"/>
        <v>N/A</v>
      </c>
      <c r="N119" t="str">
        <f t="shared" si="20"/>
        <v>N/A</v>
      </c>
    </row>
    <row r="120" spans="1:14" x14ac:dyDescent="0.3">
      <c r="A120" s="1">
        <v>6</v>
      </c>
      <c r="B120" t="s">
        <v>203</v>
      </c>
      <c r="C120" t="s">
        <v>1076</v>
      </c>
      <c r="I120" t="str">
        <f t="shared" si="15"/>
        <v>N/A</v>
      </c>
      <c r="J120">
        <f t="shared" si="16"/>
        <v>722270</v>
      </c>
      <c r="K120" t="str">
        <f t="shared" si="17"/>
        <v>N/A</v>
      </c>
      <c r="L120" t="str">
        <f t="shared" si="18"/>
        <v>N/A</v>
      </c>
      <c r="M120" t="str">
        <f t="shared" si="19"/>
        <v>N/A</v>
      </c>
      <c r="N120" t="str">
        <f t="shared" si="20"/>
        <v>N/A</v>
      </c>
    </row>
    <row r="121" spans="1:14" x14ac:dyDescent="0.3">
      <c r="A121" s="1">
        <v>7</v>
      </c>
      <c r="B121" t="s">
        <v>205</v>
      </c>
      <c r="C121" t="s">
        <v>1077</v>
      </c>
      <c r="I121" t="str">
        <f t="shared" si="15"/>
        <v>N/A</v>
      </c>
      <c r="J121">
        <f t="shared" si="16"/>
        <v>1.55</v>
      </c>
      <c r="K121" t="str">
        <f t="shared" si="17"/>
        <v>N/A</v>
      </c>
      <c r="L121" t="str">
        <f t="shared" si="18"/>
        <v>N/A</v>
      </c>
      <c r="M121" t="str">
        <f t="shared" si="19"/>
        <v>N/A</v>
      </c>
      <c r="N121" t="str">
        <f t="shared" si="20"/>
        <v>N/A</v>
      </c>
    </row>
    <row r="122" spans="1:14" x14ac:dyDescent="0.3">
      <c r="A122" s="1">
        <v>8</v>
      </c>
      <c r="B122" t="s">
        <v>207</v>
      </c>
      <c r="C122" t="s">
        <v>1078</v>
      </c>
      <c r="I122" t="str">
        <f t="shared" si="15"/>
        <v>N/A</v>
      </c>
      <c r="J122">
        <f t="shared" si="16"/>
        <v>3.27E-2</v>
      </c>
      <c r="K122" t="str">
        <f t="shared" si="17"/>
        <v>N/A</v>
      </c>
      <c r="L122" t="str">
        <f t="shared" si="18"/>
        <v>N/A</v>
      </c>
      <c r="M122" t="str">
        <f t="shared" si="19"/>
        <v>N/A</v>
      </c>
      <c r="N122" t="str">
        <f t="shared" si="20"/>
        <v>N/A</v>
      </c>
    </row>
    <row r="123" spans="1:14" x14ac:dyDescent="0.3">
      <c r="A123" s="1">
        <v>9</v>
      </c>
      <c r="B123" t="s">
        <v>209</v>
      </c>
      <c r="C123" t="s">
        <v>1079</v>
      </c>
      <c r="I123" t="str">
        <f t="shared" si="15"/>
        <v>N/A</v>
      </c>
      <c r="J123">
        <f t="shared" si="16"/>
        <v>320450</v>
      </c>
      <c r="K123" t="str">
        <f t="shared" si="17"/>
        <v>N/A</v>
      </c>
      <c r="L123" t="str">
        <f t="shared" si="18"/>
        <v>N/A</v>
      </c>
      <c r="M123" t="str">
        <f t="shared" si="19"/>
        <v>N/A</v>
      </c>
      <c r="N123" t="str">
        <f t="shared" si="20"/>
        <v>N/A</v>
      </c>
    </row>
    <row r="124" spans="1:14" x14ac:dyDescent="0.3">
      <c r="I124" t="str">
        <f t="shared" ref="I124:I155" si="21">IF(AND(K124&gt; J124, L124&gt; K124, M124&gt; L124, N124&gt; M124), "pos_trend", IF(AND(K124&lt; J124, L124&lt; K124, M124&lt; L124, N124&lt; M124), "neg_trend", "N/A"))</f>
        <v>N/A</v>
      </c>
      <c r="J124" t="str">
        <f t="shared" ref="J124:J156" si="22">IFERROR(IF(TRIM(C124)="-", "N/A", IF(RIGHT(C124,1)=")",IF(RIGHT(C124,2)="T)",-1000000000000*VALUE(MID(C124,2,LEN(C124)-3)),IF(RIGHT(C124,2)="M)",-1000000*VALUE(MID(C124,2,LEN(C124)-3)),IF(RIGHT(C124,2)="B)",-1000000000*VALUE(MID(C124,2,LEN(C124)-3)),IF(RIGHT(C124,2)="k)",-1000*VALUE(MID(C124,2,LEN(C124)-3)),VALUE(SUBSTITUTE(C124,",","")))))),IF(RIGHT(C124,1)="T",1000000000000*VALUE(LEFT(C124,LEN(C124)-1)),IF(RIGHT(C124,1)="M",1000000*VALUE(LEFT(C124,LEN(C124)-1)),IF(RIGHT(C124,1)="B",1000000000*VALUE(LEFT(C124,LEN(C124)-1)),IF(RIGHT(C124,1)="%",0.01*VALUE(LEFT(C124,LEN(C124)-1)),IF(RIGHT(C124,1)="k",1000*VALUE(LEFT(C124,LEN(C124)-1)),VALUE(SUBSTITUTE(C124,",",""))))))))),"N/A")</f>
        <v>N/A</v>
      </c>
      <c r="K124" t="str">
        <f t="shared" ref="K124:K156" si="23">IFERROR(IF(TRIM(D124)="-", "N/A", IF(RIGHT(D124,1)=")",IF(RIGHT(D124,2)="T)",-1000000000000*VALUE(MID(D124,2,LEN(D124)-3)),IF(RIGHT(D124,2)="M)",-1000000*VALUE(MID(D124,2,LEN(D124)-3)),IF(RIGHT(D124,2)="B)",-1000000000*VALUE(MID(D124,2,LEN(D124)-3)),IF(RIGHT(D124,2)="k)",-1000*VALUE(MID(D124,2,LEN(D124)-3)),VALUE(SUBSTITUTE(D124,",","")))))),IF(RIGHT(D124,1)="T",1000000000000*VALUE(LEFT(D124,LEN(D124)-1)),IF(RIGHT(D124,1)="M",1000000*VALUE(LEFT(D124,LEN(D124)-1)),IF(RIGHT(D124,1)="B",1000000000*VALUE(LEFT(D124,LEN(D124)-1)),IF(RIGHT(D124,1)="%",0.01*VALUE(LEFT(D124,LEN(D124)-1)),IF(RIGHT(D124,1)="k",1000*VALUE(LEFT(D124,LEN(D124)-1)),VALUE(SUBSTITUTE(D124,",",""))))))))),"N/A")</f>
        <v>N/A</v>
      </c>
      <c r="L124" t="str">
        <f t="shared" ref="L124:L156" si="24">IFERROR(IF(TRIM(E124)="-", "N/A", IF(RIGHT(E124,1)=")",IF(RIGHT(E124,2)="T)",-1000000000000*VALUE(MID(E124,2,LEN(E124)-3)),IF(RIGHT(E124,2)="M)",-1000000*VALUE(MID(E124,2,LEN(E124)-3)),IF(RIGHT(E124,2)="B)",-1000000000*VALUE(MID(E124,2,LEN(E124)-3)),IF(RIGHT(E124,2)="k)",-1000*VALUE(MID(E124,2,LEN(E124)-3)),VALUE(SUBSTITUTE(E124,",","")))))),IF(RIGHT(E124,1)="T",1000000000000*VALUE(LEFT(E124,LEN(E124)-1)),IF(RIGHT(E124,1)="M",1000000*VALUE(LEFT(E124,LEN(E124)-1)),IF(RIGHT(E124,1)="B",1000000000*VALUE(LEFT(E124,LEN(E124)-1)),IF(RIGHT(E124,1)="%",0.01*VALUE(LEFT(E124,LEN(E124)-1)),IF(RIGHT(E124,1)="k",1000*VALUE(LEFT(E124,LEN(E124)-1)),VALUE(SUBSTITUTE(E124,",",""))))))))),"N/A")</f>
        <v>N/A</v>
      </c>
      <c r="M124" t="str">
        <f t="shared" ref="M124:M156" si="25">IFERROR(IF(TRIM(F124)="-", "N/A", IF(RIGHT(F124,1)=")",IF(RIGHT(F124,2)="T)",-1000000000000*VALUE(MID(F124,2,LEN(F124)-3)),IF(RIGHT(F124,2)="M)",-1000000*VALUE(MID(F124,2,LEN(F124)-3)),IF(RIGHT(F124,2)="B)",-1000000000*VALUE(MID(F124,2,LEN(F124)-3)),IF(RIGHT(F124,2)="k)",-1000*VALUE(MID(F124,2,LEN(F124)-3)),VALUE(SUBSTITUTE(F124,",","")))))),IF(RIGHT(F124,1)="T",1000000000000*VALUE(LEFT(F124,LEN(F124)-1)),IF(RIGHT(F124,1)="M",1000000*VALUE(LEFT(F124,LEN(F124)-1)),IF(RIGHT(F124,1)="B",1000000000*VALUE(LEFT(F124,LEN(F124)-1)),IF(RIGHT(F124,1)="%",0.01*VALUE(LEFT(F124,LEN(F124)-1)),IF(RIGHT(F124,1)="k",1000*VALUE(LEFT(F124,LEN(F124)-1)),VALUE(SUBSTITUTE(F124,",",""))))))))),"N/A")</f>
        <v>N/A</v>
      </c>
      <c r="N124" t="str">
        <f t="shared" ref="N124:N156" si="26">IFERROR(IF(TRIM(G124)="-", "N/A", IF(RIGHT(G124,1)=")",IF(RIGHT(G124,2)="T)",-1000000000000*VALUE(MID(G124,2,LEN(G124)-3)),IF(RIGHT(G124,2)="M)",-1000000*VALUE(MID(G124,2,LEN(G124)-3)),IF(RIGHT(G124,2)="B)",-1000000000*VALUE(MID(G124,2,LEN(G124)-3)),IF(RIGHT(G124,2)="k)",-1000*VALUE(MID(G124,2,LEN(G124)-3)),VALUE(SUBSTITUTE(G124,",","")))))),IF(RIGHT(G124,1)="T",1000000000000*VALUE(LEFT(G124,LEN(G124)-1)),IF(RIGHT(G124,1)="M",1000000*VALUE(LEFT(G124,LEN(G124)-1)),IF(RIGHT(G124,1)="B",1000000000*VALUE(LEFT(G124,LEN(G124)-1)),IF(RIGHT(G124,1)="%",0.01*VALUE(LEFT(G124,LEN(G124)-1)),IF(RIGHT(G124,1)="k",1000*VALUE(LEFT(G124,LEN(G124)-1)),VALUE(SUBSTITUTE(G124,",",""))))))))),"N/A")</f>
        <v>N/A</v>
      </c>
    </row>
    <row r="125" spans="1:14" x14ac:dyDescent="0.3">
      <c r="A125" s="1">
        <v>0</v>
      </c>
      <c r="B125" t="s">
        <v>211</v>
      </c>
      <c r="C125" t="s">
        <v>1080</v>
      </c>
      <c r="I125" t="str">
        <f t="shared" si="21"/>
        <v>N/A</v>
      </c>
      <c r="J125">
        <f t="shared" si="22"/>
        <v>0.32</v>
      </c>
      <c r="K125" t="str">
        <f t="shared" si="23"/>
        <v>N/A</v>
      </c>
      <c r="L125" t="str">
        <f t="shared" si="24"/>
        <v>N/A</v>
      </c>
      <c r="M125" t="str">
        <f t="shared" si="25"/>
        <v>N/A</v>
      </c>
      <c r="N125" t="str">
        <f t="shared" si="26"/>
        <v>N/A</v>
      </c>
    </row>
    <row r="126" spans="1:14" x14ac:dyDescent="0.3">
      <c r="A126" s="1">
        <v>1</v>
      </c>
      <c r="B126" t="s">
        <v>213</v>
      </c>
      <c r="C126" t="s">
        <v>1081</v>
      </c>
      <c r="I126" t="str">
        <f t="shared" si="21"/>
        <v>N/A</v>
      </c>
      <c r="J126">
        <f t="shared" si="22"/>
        <v>1.4499999999999999E-2</v>
      </c>
      <c r="K126" t="str">
        <f t="shared" si="23"/>
        <v>N/A</v>
      </c>
      <c r="L126" t="str">
        <f t="shared" si="24"/>
        <v>N/A</v>
      </c>
      <c r="M126" t="str">
        <f t="shared" si="25"/>
        <v>N/A</v>
      </c>
      <c r="N126" t="str">
        <f t="shared" si="26"/>
        <v>N/A</v>
      </c>
    </row>
    <row r="127" spans="1:14" x14ac:dyDescent="0.3">
      <c r="A127" s="1">
        <v>2</v>
      </c>
      <c r="B127" t="s">
        <v>215</v>
      </c>
      <c r="C127" t="s">
        <v>1080</v>
      </c>
      <c r="I127" t="str">
        <f t="shared" si="21"/>
        <v>N/A</v>
      </c>
      <c r="J127">
        <f t="shared" si="22"/>
        <v>0.32</v>
      </c>
      <c r="K127" t="str">
        <f t="shared" si="23"/>
        <v>N/A</v>
      </c>
      <c r="L127" t="str">
        <f t="shared" si="24"/>
        <v>N/A</v>
      </c>
      <c r="M127" t="str">
        <f t="shared" si="25"/>
        <v>N/A</v>
      </c>
      <c r="N127" t="str">
        <f t="shared" si="26"/>
        <v>N/A</v>
      </c>
    </row>
    <row r="128" spans="1:14" x14ac:dyDescent="0.3">
      <c r="A128" s="1">
        <v>3</v>
      </c>
      <c r="B128" t="s">
        <v>217</v>
      </c>
      <c r="C128" t="s">
        <v>1082</v>
      </c>
      <c r="I128" t="str">
        <f t="shared" si="21"/>
        <v>N/A</v>
      </c>
      <c r="J128">
        <f t="shared" si="22"/>
        <v>1.46E-2</v>
      </c>
      <c r="K128" t="str">
        <f t="shared" si="23"/>
        <v>N/A</v>
      </c>
      <c r="L128" t="str">
        <f t="shared" si="24"/>
        <v>N/A</v>
      </c>
      <c r="M128" t="str">
        <f t="shared" si="25"/>
        <v>N/A</v>
      </c>
      <c r="N128" t="str">
        <f t="shared" si="26"/>
        <v>N/A</v>
      </c>
    </row>
    <row r="129" spans="1:60" x14ac:dyDescent="0.3">
      <c r="A129" s="1">
        <v>4</v>
      </c>
      <c r="B129" t="s">
        <v>219</v>
      </c>
      <c r="C129" t="s">
        <v>984</v>
      </c>
      <c r="I129" t="str">
        <f t="shared" si="21"/>
        <v>N/A</v>
      </c>
      <c r="J129">
        <f t="shared" si="22"/>
        <v>0.91</v>
      </c>
      <c r="K129" t="str">
        <f t="shared" si="23"/>
        <v>N/A</v>
      </c>
      <c r="L129" t="str">
        <f t="shared" si="24"/>
        <v>N/A</v>
      </c>
      <c r="M129" t="str">
        <f t="shared" si="25"/>
        <v>N/A</v>
      </c>
      <c r="N129" t="str">
        <f t="shared" si="26"/>
        <v>N/A</v>
      </c>
    </row>
    <row r="130" spans="1:60" x14ac:dyDescent="0.3">
      <c r="A130" s="1">
        <v>5</v>
      </c>
      <c r="B130" t="s">
        <v>221</v>
      </c>
      <c r="C130" t="s">
        <v>1083</v>
      </c>
      <c r="I130" t="str">
        <f t="shared" si="21"/>
        <v>N/A</v>
      </c>
      <c r="J130">
        <f t="shared" si="22"/>
        <v>0.48479999999999995</v>
      </c>
      <c r="K130" t="str">
        <f t="shared" si="23"/>
        <v>N/A</v>
      </c>
      <c r="L130" t="str">
        <f t="shared" si="24"/>
        <v>N/A</v>
      </c>
      <c r="M130" t="str">
        <f t="shared" si="25"/>
        <v>N/A</v>
      </c>
      <c r="N130" t="str">
        <f t="shared" si="26"/>
        <v>N/A</v>
      </c>
    </row>
    <row r="131" spans="1:60" x14ac:dyDescent="0.3">
      <c r="A131" s="1">
        <v>6</v>
      </c>
      <c r="B131" t="s">
        <v>223</v>
      </c>
      <c r="C131" t="s">
        <v>1084</v>
      </c>
      <c r="I131" t="str">
        <f t="shared" si="21"/>
        <v>N/A</v>
      </c>
      <c r="J131" t="str">
        <f t="shared" si="22"/>
        <v>N/A</v>
      </c>
      <c r="K131" t="str">
        <f t="shared" si="23"/>
        <v>N/A</v>
      </c>
      <c r="L131" t="str">
        <f t="shared" si="24"/>
        <v>N/A</v>
      </c>
      <c r="M131" t="str">
        <f t="shared" si="25"/>
        <v>N/A</v>
      </c>
      <c r="N131" t="str">
        <f t="shared" si="26"/>
        <v>N/A</v>
      </c>
    </row>
    <row r="132" spans="1:60" x14ac:dyDescent="0.3">
      <c r="A132" s="1">
        <v>7</v>
      </c>
      <c r="B132" t="s">
        <v>225</v>
      </c>
      <c r="C132" t="s">
        <v>1085</v>
      </c>
      <c r="I132" t="str">
        <f t="shared" si="21"/>
        <v>N/A</v>
      </c>
      <c r="J132" t="str">
        <f t="shared" si="22"/>
        <v>N/A</v>
      </c>
      <c r="K132" t="str">
        <f t="shared" si="23"/>
        <v>N/A</v>
      </c>
      <c r="L132" t="str">
        <f t="shared" si="24"/>
        <v>N/A</v>
      </c>
      <c r="M132" t="str">
        <f t="shared" si="25"/>
        <v>N/A</v>
      </c>
      <c r="N132" t="str">
        <f t="shared" si="26"/>
        <v>N/A</v>
      </c>
    </row>
    <row r="133" spans="1:60" x14ac:dyDescent="0.3">
      <c r="A133" s="1">
        <v>8</v>
      </c>
      <c r="B133" t="s">
        <v>227</v>
      </c>
      <c r="I133" t="str">
        <f t="shared" si="21"/>
        <v>N/A</v>
      </c>
      <c r="J133" t="str">
        <f t="shared" si="22"/>
        <v>N/A</v>
      </c>
      <c r="K133" t="str">
        <f t="shared" si="23"/>
        <v>N/A</v>
      </c>
      <c r="L133" t="str">
        <f t="shared" si="24"/>
        <v>N/A</v>
      </c>
      <c r="M133" t="str">
        <f t="shared" si="25"/>
        <v>N/A</v>
      </c>
      <c r="N133" t="str">
        <f t="shared" si="26"/>
        <v>N/A</v>
      </c>
    </row>
    <row r="134" spans="1:60" x14ac:dyDescent="0.3">
      <c r="A134" s="1">
        <v>9</v>
      </c>
      <c r="B134" t="s">
        <v>229</v>
      </c>
      <c r="I134" t="str">
        <f t="shared" si="21"/>
        <v>N/A</v>
      </c>
      <c r="J134" t="str">
        <f t="shared" si="22"/>
        <v>N/A</v>
      </c>
      <c r="K134" t="str">
        <f t="shared" si="23"/>
        <v>N/A</v>
      </c>
      <c r="L134" t="str">
        <f t="shared" si="24"/>
        <v>N/A</v>
      </c>
      <c r="M134" t="str">
        <f t="shared" si="25"/>
        <v>N/A</v>
      </c>
      <c r="N134" t="str">
        <f t="shared" si="26"/>
        <v>N/A</v>
      </c>
    </row>
    <row r="135" spans="1:60" x14ac:dyDescent="0.3">
      <c r="I135" t="str">
        <f t="shared" si="21"/>
        <v>N/A</v>
      </c>
      <c r="J135" t="str">
        <f t="shared" si="22"/>
        <v>N/A</v>
      </c>
      <c r="K135" t="str">
        <f t="shared" si="23"/>
        <v>N/A</v>
      </c>
      <c r="L135" t="str">
        <f t="shared" si="24"/>
        <v>N/A</v>
      </c>
      <c r="M135" t="str">
        <f t="shared" si="25"/>
        <v>N/A</v>
      </c>
      <c r="N135" t="str">
        <f t="shared" si="26"/>
        <v>N/A</v>
      </c>
    </row>
    <row r="136" spans="1:60" x14ac:dyDescent="0.3">
      <c r="I136" t="str">
        <f t="shared" si="21"/>
        <v>N/A</v>
      </c>
      <c r="J136" t="str">
        <f t="shared" si="22"/>
        <v>N/A</v>
      </c>
      <c r="K136" t="str">
        <f t="shared" si="23"/>
        <v>N/A</v>
      </c>
      <c r="L136" t="str">
        <f t="shared" si="24"/>
        <v>N/A</v>
      </c>
      <c r="M136" t="str">
        <f t="shared" si="25"/>
        <v>N/A</v>
      </c>
      <c r="N136" t="str">
        <f t="shared" si="26"/>
        <v>N/A</v>
      </c>
    </row>
    <row r="137" spans="1:60" x14ac:dyDescent="0.3">
      <c r="B137" s="1" t="s">
        <v>231</v>
      </c>
      <c r="C137" s="1" t="s">
        <v>232</v>
      </c>
      <c r="D137" s="1" t="s">
        <v>233</v>
      </c>
      <c r="E137" s="1" t="s">
        <v>234</v>
      </c>
      <c r="F137" s="1" t="s">
        <v>235</v>
      </c>
      <c r="I137" t="str">
        <f t="shared" si="21"/>
        <v>N/A</v>
      </c>
      <c r="J137" t="str">
        <f t="shared" si="22"/>
        <v>N/A</v>
      </c>
      <c r="K137" t="str">
        <f t="shared" si="23"/>
        <v>N/A</v>
      </c>
      <c r="L137" t="str">
        <f t="shared" si="24"/>
        <v>N/A</v>
      </c>
      <c r="M137" t="str">
        <f t="shared" si="25"/>
        <v>N/A</v>
      </c>
      <c r="N137" t="str">
        <f t="shared" si="26"/>
        <v>N/A</v>
      </c>
    </row>
    <row r="138" spans="1:60" x14ac:dyDescent="0.3">
      <c r="A138" s="1">
        <v>0</v>
      </c>
      <c r="B138" t="s">
        <v>1086</v>
      </c>
      <c r="C138" t="s">
        <v>1087</v>
      </c>
      <c r="D138" t="s">
        <v>1088</v>
      </c>
      <c r="F138">
        <v>54</v>
      </c>
      <c r="I138" t="str">
        <f t="shared" si="21"/>
        <v>N/A</v>
      </c>
      <c r="J138" t="str">
        <f t="shared" si="22"/>
        <v>N/A</v>
      </c>
      <c r="K138">
        <f t="shared" si="23"/>
        <v>1120000</v>
      </c>
      <c r="L138" t="str">
        <f t="shared" si="24"/>
        <v>N/A</v>
      </c>
      <c r="M138">
        <f t="shared" si="25"/>
        <v>54</v>
      </c>
      <c r="N138" t="str">
        <f t="shared" si="26"/>
        <v>N/A</v>
      </c>
    </row>
    <row r="139" spans="1:60" x14ac:dyDescent="0.3">
      <c r="A139" s="1">
        <v>1</v>
      </c>
      <c r="B139" t="s">
        <v>1089</v>
      </c>
      <c r="C139" t="s">
        <v>1090</v>
      </c>
      <c r="D139" t="s">
        <v>1091</v>
      </c>
      <c r="F139">
        <v>51</v>
      </c>
      <c r="I139" t="str">
        <f t="shared" si="21"/>
        <v>N/A</v>
      </c>
      <c r="J139" t="str">
        <f t="shared" si="22"/>
        <v>N/A</v>
      </c>
      <c r="K139">
        <f t="shared" si="23"/>
        <v>453480</v>
      </c>
      <c r="L139" t="str">
        <f t="shared" si="24"/>
        <v>N/A</v>
      </c>
      <c r="M139">
        <f t="shared" si="25"/>
        <v>51</v>
      </c>
      <c r="N139" t="str">
        <f t="shared" si="26"/>
        <v>N/A</v>
      </c>
    </row>
    <row r="140" spans="1:60" x14ac:dyDescent="0.3">
      <c r="A140" s="1">
        <v>2</v>
      </c>
      <c r="B140" t="s">
        <v>1092</v>
      </c>
      <c r="C140" t="s">
        <v>1093</v>
      </c>
      <c r="D140" t="s">
        <v>1094</v>
      </c>
      <c r="F140">
        <v>55</v>
      </c>
      <c r="I140" t="str">
        <f t="shared" si="21"/>
        <v>N/A</v>
      </c>
      <c r="J140" t="str">
        <f t="shared" si="22"/>
        <v>N/A</v>
      </c>
      <c r="K140">
        <f t="shared" si="23"/>
        <v>621990</v>
      </c>
      <c r="L140" t="str">
        <f t="shared" si="24"/>
        <v>N/A</v>
      </c>
      <c r="M140">
        <f t="shared" si="25"/>
        <v>55</v>
      </c>
      <c r="N140" t="str">
        <f t="shared" si="26"/>
        <v>N/A</v>
      </c>
    </row>
    <row r="141" spans="1:60" x14ac:dyDescent="0.3">
      <c r="A141" s="1">
        <v>3</v>
      </c>
      <c r="B141" t="s">
        <v>1095</v>
      </c>
      <c r="C141" t="s">
        <v>1096</v>
      </c>
      <c r="D141" t="s">
        <v>1097</v>
      </c>
      <c r="F141">
        <v>50</v>
      </c>
      <c r="I141" t="str">
        <f t="shared" si="21"/>
        <v>N/A</v>
      </c>
      <c r="J141" t="str">
        <f t="shared" si="22"/>
        <v>N/A</v>
      </c>
      <c r="K141">
        <f t="shared" si="23"/>
        <v>559230</v>
      </c>
      <c r="L141" t="str">
        <f t="shared" si="24"/>
        <v>N/A</v>
      </c>
      <c r="M141">
        <f t="shared" si="25"/>
        <v>50</v>
      </c>
      <c r="N141" t="str">
        <f t="shared" si="26"/>
        <v>N/A</v>
      </c>
    </row>
    <row r="142" spans="1:60" x14ac:dyDescent="0.3">
      <c r="A142" s="1">
        <v>4</v>
      </c>
      <c r="B142" t="s">
        <v>1098</v>
      </c>
      <c r="C142" t="s">
        <v>1099</v>
      </c>
      <c r="F142">
        <v>47</v>
      </c>
      <c r="I142" t="str">
        <f t="shared" si="21"/>
        <v>N/A</v>
      </c>
      <c r="J142" t="str">
        <f t="shared" si="22"/>
        <v>N/A</v>
      </c>
      <c r="K142" t="str">
        <f t="shared" si="23"/>
        <v>N/A</v>
      </c>
      <c r="L142" t="str">
        <f t="shared" si="24"/>
        <v>N/A</v>
      </c>
      <c r="M142">
        <f t="shared" si="25"/>
        <v>47</v>
      </c>
      <c r="N142" t="str">
        <f t="shared" si="26"/>
        <v>N/A</v>
      </c>
    </row>
    <row r="143" spans="1:60" x14ac:dyDescent="0.3">
      <c r="I143" t="str">
        <f t="shared" si="21"/>
        <v>N/A</v>
      </c>
      <c r="J143" t="str">
        <f t="shared" si="22"/>
        <v>N/A</v>
      </c>
      <c r="K143" t="str">
        <f t="shared" si="23"/>
        <v>N/A</v>
      </c>
      <c r="L143" t="str">
        <f t="shared" si="24"/>
        <v>N/A</v>
      </c>
      <c r="M143" t="str">
        <f t="shared" si="25"/>
        <v>N/A</v>
      </c>
      <c r="N143" t="str">
        <f t="shared" si="26"/>
        <v>N/A</v>
      </c>
      <c r="V143" t="str">
        <f>"z-score"</f>
        <v>z-score</v>
      </c>
    </row>
    <row r="144" spans="1:60" x14ac:dyDescent="0.3">
      <c r="B144" s="1" t="s">
        <v>251</v>
      </c>
      <c r="C144" s="1" t="s">
        <v>252</v>
      </c>
      <c r="D144" s="1" t="s">
        <v>253</v>
      </c>
      <c r="E144" s="1" t="s">
        <v>254</v>
      </c>
      <c r="F144" s="1" t="s">
        <v>255</v>
      </c>
      <c r="G144" s="1" t="s">
        <v>256</v>
      </c>
      <c r="H144" s="1" t="s">
        <v>257</v>
      </c>
      <c r="I144" t="str">
        <f t="shared" si="21"/>
        <v>pos_trend</v>
      </c>
      <c r="J144">
        <f t="shared" si="22"/>
        <v>2012</v>
      </c>
      <c r="K144">
        <f t="shared" si="23"/>
        <v>2013</v>
      </c>
      <c r="L144">
        <f t="shared" si="24"/>
        <v>2014</v>
      </c>
      <c r="M144">
        <f t="shared" si="25"/>
        <v>2015</v>
      </c>
      <c r="N144">
        <f t="shared" si="26"/>
        <v>2016</v>
      </c>
      <c r="P144" t="str">
        <f>"Max"</f>
        <v>Max</v>
      </c>
      <c r="Q144" t="str">
        <f>"Max Year"</f>
        <v>Max Year</v>
      </c>
      <c r="R144" t="str">
        <f>"Min"</f>
        <v>Min</v>
      </c>
      <c r="S144" t="str">
        <f>"Min Year"</f>
        <v>Min Year</v>
      </c>
      <c r="T144" t="str">
        <f>"Average"</f>
        <v>Average</v>
      </c>
      <c r="U144" t="str">
        <f>"SD"</f>
        <v>SD</v>
      </c>
      <c r="V144">
        <f>J144</f>
        <v>2012</v>
      </c>
      <c r="W144">
        <f>K144</f>
        <v>2013</v>
      </c>
      <c r="X144">
        <f>L144</f>
        <v>2014</v>
      </c>
      <c r="Y144">
        <f>M144</f>
        <v>2015</v>
      </c>
      <c r="Z144">
        <f>N144</f>
        <v>2016</v>
      </c>
      <c r="AA144" t="str">
        <f>"Max z"</f>
        <v>Max z</v>
      </c>
      <c r="AB144" t="str">
        <f>"Max z Year"</f>
        <v>Max z Year</v>
      </c>
      <c r="AC144" t="str">
        <f>"Direction"</f>
        <v>Direction</v>
      </c>
      <c r="AE144" t="str">
        <f>"Trendline"</f>
        <v>Trendline</v>
      </c>
      <c r="AF144" t="str">
        <f>"Correlation"</f>
        <v>Correlation</v>
      </c>
      <c r="AZ144" t="str">
        <f>"Max/Min inequality check"</f>
        <v>Max/Min inequality check</v>
      </c>
      <c r="BA144" t="str">
        <f>"If most recent year is max"</f>
        <v>If most recent year is max</v>
      </c>
      <c r="BC144" t="str">
        <f>"If most recent year is min"</f>
        <v>If most recent year is min</v>
      </c>
      <c r="BE144" t="str">
        <f>"Trend direction"</f>
        <v>Trend direction</v>
      </c>
      <c r="BF144" t="str">
        <f>"If trend matched by max or min in most recent year"</f>
        <v>If trend matched by max or min in most recent year</v>
      </c>
      <c r="BG144" t="str">
        <f>"If 5 years of increasing"</f>
        <v>If 5 years of increasing</v>
      </c>
      <c r="BH144" t="str">
        <f>"If correlation &gt; .8"</f>
        <v>If correlation &gt; .8</v>
      </c>
    </row>
    <row r="145" spans="1:60" x14ac:dyDescent="0.3">
      <c r="A145" s="1">
        <v>0</v>
      </c>
      <c r="B145" t="s">
        <v>258</v>
      </c>
      <c r="C145" t="s">
        <v>1100</v>
      </c>
      <c r="D145" t="s">
        <v>1101</v>
      </c>
      <c r="E145" t="s">
        <v>1102</v>
      </c>
      <c r="F145" t="s">
        <v>1103</v>
      </c>
      <c r="G145" t="s">
        <v>261</v>
      </c>
      <c r="I145" t="str">
        <f t="shared" si="21"/>
        <v>pos_trend</v>
      </c>
      <c r="J145">
        <f t="shared" si="22"/>
        <v>2069999999.9999998</v>
      </c>
      <c r="K145">
        <f t="shared" si="23"/>
        <v>2300000000</v>
      </c>
      <c r="L145">
        <f t="shared" si="24"/>
        <v>2610000000</v>
      </c>
      <c r="M145">
        <f t="shared" si="25"/>
        <v>2670000000</v>
      </c>
      <c r="N145">
        <f t="shared" si="26"/>
        <v>2700000000</v>
      </c>
      <c r="P145">
        <f t="shared" ref="P145:P208" si="27">MAX(J145:N145)</f>
        <v>2700000000</v>
      </c>
      <c r="Q145">
        <f>IFERROR(J144+MATCH(P145,J145:N145,0)-1,"")</f>
        <v>2016</v>
      </c>
      <c r="R145">
        <f t="shared" ref="R145:R208" si="28">IF(Q145="","",MIN(J145:N145))</f>
        <v>2069999999.9999998</v>
      </c>
      <c r="S145">
        <f>IFERROR(J144+MATCH(R145,J145:N145,0)-1,"")</f>
        <v>2012</v>
      </c>
      <c r="T145">
        <f t="shared" ref="T145:T208" si="29">IFERROR(AVERAGE(J145:N145),"")</f>
        <v>2470000000</v>
      </c>
      <c r="U145">
        <f t="shared" ref="U145:U208" si="30">IFERROR(STDEV(J145:N145),"")</f>
        <v>274499544.62621617</v>
      </c>
      <c r="V145">
        <f t="shared" ref="V145:V208" si="31">IFERROR(IF(C145="-","",IF(ISBLANK(B145),"",IF(OR(ISNUMBER(FIND("Growth",B145)),ISNUMBER(FIND("Margin",B145))),"",(J145-T145)/U145))),"")</f>
        <v>-1.4571973171929193</v>
      </c>
      <c r="W145">
        <f t="shared" ref="W145:W208" si="32">IFERROR(IF(OR(D145="-",ISBLANK(D145)),"",(K145-T145)/U145),"")</f>
        <v>-0.61930885980699035</v>
      </c>
      <c r="X145">
        <f t="shared" ref="X145:X208" si="33">IFERROR(IF(OR(E145="-",ISBLANK(E145)),"",(L145-T145)/U145),"")</f>
        <v>0.51001906101752148</v>
      </c>
      <c r="Y145">
        <f t="shared" ref="Y145:Y208" si="34">IFERROR(IF(OR(F145="-",ISBLANK(F145)),"",(M145-T145)/U145),"")</f>
        <v>0.72859865859645923</v>
      </c>
      <c r="Z145">
        <f t="shared" ref="Z145:Z208" si="35">IFERROR(IF(OR(G145="-",ISBLANK(G145)),"",(N145-T145)/U145),"")</f>
        <v>0.8378884573859281</v>
      </c>
      <c r="AA145">
        <f t="shared" ref="AA145:AA208" si="36">IF(MAX(MAX(V145:Z145),ABS(MIN(V145:Z145)))=ABS(MIN(V145:Z145)),MIN(V145:Z145),MAX(V145:Z145))</f>
        <v>-1.4571973171929193</v>
      </c>
      <c r="AB145">
        <f>IFERROR(V144+MATCH(AA145,V145:Z145,0)-1,"")</f>
        <v>2012</v>
      </c>
      <c r="AC145" t="str">
        <f t="shared" ref="AC145:AC208" si="37">IF(AB145&lt;&gt;"",IF(S145=AB145,"Low",IF(AB145=Q145,"High","")),"")</f>
        <v>Low</v>
      </c>
      <c r="AE145">
        <f>IF(ISNUMBER(MATCH("N/A",J145:N145,0)),"",IFERROR((5 * SUMPRODUCT(J144:N144,J145:N145) - PRODUCT(SUM(J144:N144),SUM(J145:N145))) / ((5 * SUM((J144^2)+(K144^2)+(L144^2)+(M144^2)+(N144^2))) - SUM(J144:N144)^2),""))</f>
        <v>163000000</v>
      </c>
      <c r="AF145">
        <f>IFERROR(CORREL(J144:N144,J145:N145),"")</f>
        <v>0.93889273898310421</v>
      </c>
      <c r="AZ145">
        <f t="shared" ref="AZ145:AZ208" si="38">IF(Q145=S145,0,1)</f>
        <v>1</v>
      </c>
      <c r="BA145" t="str">
        <f>IF(AZ145=1,IF(Q145="","",IF(Q145=N144,"Yes","No")),"")</f>
        <v>Yes</v>
      </c>
      <c r="BB145">
        <f t="shared" ref="BB145:BB208" si="39">IF(BA145="Yes",P145,"")</f>
        <v>2700000000</v>
      </c>
      <c r="BC145" t="str">
        <f>IF(AZ145=1,IF(S145="","",IF(S145=N144,"Yes","No")),"")</f>
        <v>No</v>
      </c>
      <c r="BD145" t="str">
        <f t="shared" ref="BD145:BD208" si="40">IF(BC145="Yes",R145,"")</f>
        <v/>
      </c>
      <c r="BE145" t="str">
        <f t="shared" ref="BE145:BE208" si="41">IFERROR(IF(SIGN(AE145)=1,"Increasing",IF(SIGN(AE145)=-1,"Decreasing","")),"")</f>
        <v>Increasing</v>
      </c>
      <c r="BF145" t="str">
        <f t="shared" ref="BF145:BF208" si="42">IF(OR(AND(BE145="Increasing",BA145="Yes"),AND(BE145="Decreasing",BC145="Yes")),"Yes","No")</f>
        <v>Yes</v>
      </c>
      <c r="BG145" t="str">
        <f t="shared" ref="BG145:BG208" si="43">IF(I145="pos_trend","Yes","No")</f>
        <v>Yes</v>
      </c>
      <c r="BH145" t="str">
        <f t="shared" ref="BH145:BH208" si="44">IF(AF145&lt;&gt;"",IF(ABS(AF145)&gt;0.8,"Yes","No"),"")</f>
        <v>Yes</v>
      </c>
    </row>
    <row r="146" spans="1:60" x14ac:dyDescent="0.3">
      <c r="A146" s="1">
        <v>1</v>
      </c>
      <c r="B146" t="s">
        <v>263</v>
      </c>
      <c r="C146" t="s">
        <v>264</v>
      </c>
      <c r="D146" t="s">
        <v>1104</v>
      </c>
      <c r="E146" t="s">
        <v>1105</v>
      </c>
      <c r="F146" t="s">
        <v>1106</v>
      </c>
      <c r="G146" t="s">
        <v>1107</v>
      </c>
      <c r="I146" t="str">
        <f t="shared" si="21"/>
        <v>N/A</v>
      </c>
      <c r="J146" t="str">
        <f t="shared" si="22"/>
        <v>N/A</v>
      </c>
      <c r="K146">
        <f t="shared" si="23"/>
        <v>0.113</v>
      </c>
      <c r="L146">
        <f t="shared" si="24"/>
        <v>0.13619999999999999</v>
      </c>
      <c r="M146">
        <f t="shared" si="25"/>
        <v>2.07E-2</v>
      </c>
      <c r="N146">
        <f t="shared" si="26"/>
        <v>1.2500000000000001E-2</v>
      </c>
      <c r="P146">
        <f t="shared" si="27"/>
        <v>0.13619999999999999</v>
      </c>
      <c r="Q146">
        <f>IFERROR(J144+MATCH(P146,J146:N146,0)-1,"")</f>
        <v>2014</v>
      </c>
      <c r="R146">
        <f t="shared" si="28"/>
        <v>1.2500000000000001E-2</v>
      </c>
      <c r="S146">
        <f>IFERROR(J144+MATCH(R146,J146:N146,0)-1,"")</f>
        <v>2016</v>
      </c>
      <c r="T146">
        <f t="shared" si="29"/>
        <v>7.0599999999999996E-2</v>
      </c>
      <c r="U146">
        <f t="shared" si="30"/>
        <v>6.3157844590623347E-2</v>
      </c>
      <c r="V146" t="str">
        <f t="shared" si="31"/>
        <v/>
      </c>
      <c r="W146">
        <f t="shared" si="32"/>
        <v>0.67133386636020309</v>
      </c>
      <c r="X146">
        <f t="shared" si="33"/>
        <v>1.0386674913497478</v>
      </c>
      <c r="Y146">
        <f t="shared" si="34"/>
        <v>-0.79008396064561615</v>
      </c>
      <c r="Z146">
        <f t="shared" si="35"/>
        <v>-0.91991739706433462</v>
      </c>
      <c r="AA146">
        <f t="shared" si="36"/>
        <v>1.0386674913497478</v>
      </c>
      <c r="AB146">
        <f>IFERROR(V144+MATCH(AA146,V146:Z146,0)-1,"")</f>
        <v>2014</v>
      </c>
      <c r="AC146" t="str">
        <f t="shared" si="37"/>
        <v>High</v>
      </c>
      <c r="AE146" t="str">
        <f>IF(ISNUMBER(MATCH("N/A",J146:N146,0)),"",IFERROR((5 * SUMPRODUCT(J144:N144,J146:N146) - PRODUCT(SUM(J144:N144),SUM(J146:N146))) / ((5 * SUM((J144^2)+(K144^2)+(L144^2)+(M144^2)+(N144^2))) - SUM(J144:N144)^2),""))</f>
        <v/>
      </c>
      <c r="AF146">
        <f>IFERROR(CORREL(J144:N144,J146:N146),"")</f>
        <v>-0.85237976155183026</v>
      </c>
      <c r="AZ146">
        <f t="shared" si="38"/>
        <v>1</v>
      </c>
      <c r="BA146" t="str">
        <f>IF(AZ146=1,IF(Q146="","",IF(Q146=N144,"Yes","No")),"")</f>
        <v>No</v>
      </c>
      <c r="BB146" t="str">
        <f t="shared" si="39"/>
        <v/>
      </c>
      <c r="BC146" t="str">
        <f>IF(AZ146=1,IF(S146="","",IF(S146=N144,"Yes","No")),"")</f>
        <v>Yes</v>
      </c>
      <c r="BD146">
        <f t="shared" si="40"/>
        <v>1.2500000000000001E-2</v>
      </c>
      <c r="BE146" t="str">
        <f t="shared" si="41"/>
        <v/>
      </c>
      <c r="BF146" t="str">
        <f t="shared" si="42"/>
        <v>No</v>
      </c>
      <c r="BG146" t="str">
        <f t="shared" si="43"/>
        <v>No</v>
      </c>
      <c r="BH146" t="str">
        <f t="shared" si="44"/>
        <v>Yes</v>
      </c>
    </row>
    <row r="147" spans="1:60" x14ac:dyDescent="0.3">
      <c r="A147" s="1">
        <v>2</v>
      </c>
      <c r="B147" t="s">
        <v>269</v>
      </c>
      <c r="C147" t="s">
        <v>1108</v>
      </c>
      <c r="D147" t="s">
        <v>1109</v>
      </c>
      <c r="E147" t="s">
        <v>1110</v>
      </c>
      <c r="F147" t="s">
        <v>1111</v>
      </c>
      <c r="G147" t="s">
        <v>1112</v>
      </c>
      <c r="I147" t="str">
        <f t="shared" si="21"/>
        <v>pos_trend</v>
      </c>
      <c r="J147">
        <f t="shared" si="22"/>
        <v>2080000000</v>
      </c>
      <c r="K147">
        <f t="shared" si="23"/>
        <v>2280000000</v>
      </c>
      <c r="L147">
        <f t="shared" si="24"/>
        <v>2540000000</v>
      </c>
      <c r="M147">
        <f t="shared" si="25"/>
        <v>2590000000</v>
      </c>
      <c r="N147">
        <f t="shared" si="26"/>
        <v>2660000000</v>
      </c>
      <c r="P147">
        <f t="shared" si="27"/>
        <v>2660000000</v>
      </c>
      <c r="Q147">
        <f>IFERROR(J144+MATCH(P147,J147:N147,0)-1,"")</f>
        <v>2016</v>
      </c>
      <c r="R147">
        <f t="shared" si="28"/>
        <v>2080000000</v>
      </c>
      <c r="S147">
        <f>IFERROR(J144+MATCH(R147,J147:N147,0)-1,"")</f>
        <v>2012</v>
      </c>
      <c r="T147">
        <f t="shared" si="29"/>
        <v>2430000000</v>
      </c>
      <c r="U147">
        <f t="shared" si="30"/>
        <v>242693221.99023193</v>
      </c>
      <c r="V147">
        <f t="shared" si="31"/>
        <v>-1.4421498760030762</v>
      </c>
      <c r="W147">
        <f t="shared" si="32"/>
        <v>-0.6180642325727469</v>
      </c>
      <c r="X147">
        <f t="shared" si="33"/>
        <v>0.45324710388668105</v>
      </c>
      <c r="Y147">
        <f t="shared" si="34"/>
        <v>0.6592685147442634</v>
      </c>
      <c r="Z147">
        <f t="shared" si="35"/>
        <v>0.9476984899448786</v>
      </c>
      <c r="AA147">
        <f t="shared" si="36"/>
        <v>-1.4421498760030762</v>
      </c>
      <c r="AB147">
        <f>IFERROR(V144+MATCH(AA147,V147:Z147,0)-1,"")</f>
        <v>2012</v>
      </c>
      <c r="AC147" t="str">
        <f t="shared" si="37"/>
        <v>Low</v>
      </c>
      <c r="AE147">
        <f>IF(ISNUMBER(MATCH("N/A",J147:N147,0)),"",IFERROR((5 * SUMPRODUCT(J144:N144,J147:N147) - PRODUCT(SUM(J144:N144),SUM(J147:N147))) / ((5 * SUM((J144^2)+(K144^2)+(L144^2)+(M144^2)+(N144^2))) - SUM(J144:N144)^2),""))</f>
        <v>147000000</v>
      </c>
      <c r="AF147">
        <f>IFERROR(CORREL(J144:N144,J147:N147),"")</f>
        <v>0.95770045045481644</v>
      </c>
      <c r="AZ147">
        <f t="shared" si="38"/>
        <v>1</v>
      </c>
      <c r="BA147" t="str">
        <f>IF(AZ147=1,IF(Q147="","",IF(Q147=N144,"Yes","No")),"")</f>
        <v>Yes</v>
      </c>
      <c r="BB147">
        <f t="shared" si="39"/>
        <v>2660000000</v>
      </c>
      <c r="BC147" t="str">
        <f>IF(AZ147=1,IF(S147="","",IF(S147=N144,"Yes","No")),"")</f>
        <v>No</v>
      </c>
      <c r="BD147" t="str">
        <f t="shared" si="40"/>
        <v/>
      </c>
      <c r="BE147" t="str">
        <f t="shared" si="41"/>
        <v>Increasing</v>
      </c>
      <c r="BF147" t="str">
        <f t="shared" si="42"/>
        <v>Yes</v>
      </c>
      <c r="BG147" t="str">
        <f t="shared" si="43"/>
        <v>Yes</v>
      </c>
      <c r="BH147" t="str">
        <f t="shared" si="44"/>
        <v>Yes</v>
      </c>
    </row>
    <row r="148" spans="1:60" x14ac:dyDescent="0.3">
      <c r="A148" s="1">
        <v>3</v>
      </c>
      <c r="B148" t="s">
        <v>275</v>
      </c>
      <c r="C148" t="s">
        <v>1113</v>
      </c>
      <c r="D148" t="s">
        <v>1114</v>
      </c>
      <c r="E148" t="s">
        <v>1115</v>
      </c>
      <c r="F148" t="s">
        <v>1116</v>
      </c>
      <c r="G148" t="s">
        <v>1117</v>
      </c>
      <c r="I148" t="str">
        <f t="shared" si="21"/>
        <v>pos_trend</v>
      </c>
      <c r="J148">
        <f t="shared" si="22"/>
        <v>2000000000</v>
      </c>
      <c r="K148">
        <f t="shared" si="23"/>
        <v>2190000000</v>
      </c>
      <c r="L148">
        <f t="shared" si="24"/>
        <v>2460000000</v>
      </c>
      <c r="M148">
        <f t="shared" si="25"/>
        <v>2500000000</v>
      </c>
      <c r="N148">
        <f t="shared" si="26"/>
        <v>2560000000</v>
      </c>
      <c r="P148">
        <f t="shared" si="27"/>
        <v>2560000000</v>
      </c>
      <c r="Q148">
        <f>IFERROR(J144+MATCH(P148,J148:N148,0)-1,"")</f>
        <v>2016</v>
      </c>
      <c r="R148">
        <f t="shared" si="28"/>
        <v>2000000000</v>
      </c>
      <c r="S148">
        <f>IFERROR(J144+MATCH(R148,J148:N148,0)-1,"")</f>
        <v>2012</v>
      </c>
      <c r="T148">
        <f t="shared" si="29"/>
        <v>2342000000</v>
      </c>
      <c r="U148">
        <f t="shared" si="30"/>
        <v>237949574.49005872</v>
      </c>
      <c r="V148">
        <f t="shared" si="31"/>
        <v>-1.4372793090003546</v>
      </c>
      <c r="W148">
        <f t="shared" si="32"/>
        <v>-0.63879080400015764</v>
      </c>
      <c r="X148">
        <f t="shared" si="33"/>
        <v>0.49590338731591183</v>
      </c>
      <c r="Y148">
        <f t="shared" si="34"/>
        <v>0.66400623047384799</v>
      </c>
      <c r="Z148">
        <f t="shared" si="35"/>
        <v>0.91616049521075238</v>
      </c>
      <c r="AA148">
        <f t="shared" si="36"/>
        <v>-1.4372793090003546</v>
      </c>
      <c r="AB148">
        <f>IFERROR(V144+MATCH(AA148,V148:Z148,0)-1,"")</f>
        <v>2012</v>
      </c>
      <c r="AC148" t="str">
        <f t="shared" si="37"/>
        <v>Low</v>
      </c>
      <c r="AE148">
        <f>IF(ISNUMBER(MATCH("N/A",J148:N148,0)),"",IFERROR((5 * SUMPRODUCT(J144:N144,J148:N148) - PRODUCT(SUM(J144:N144),SUM(J148:N148))) / ((5 * SUM((J144^2)+(K144^2)+(L144^2)+(M144^2)+(N144^2))) - SUM(J144:N144)^2),""))</f>
        <v>143000000</v>
      </c>
      <c r="AF148">
        <f>IFERROR(CORREL(J144:N144,J148:N148),"")</f>
        <v>0.95021330963332096</v>
      </c>
      <c r="AZ148">
        <f t="shared" si="38"/>
        <v>1</v>
      </c>
      <c r="BA148" t="str">
        <f>IF(AZ148=1,IF(Q148="","",IF(Q148=N144,"Yes","No")),"")</f>
        <v>Yes</v>
      </c>
      <c r="BB148">
        <f t="shared" si="39"/>
        <v>2560000000</v>
      </c>
      <c r="BC148" t="str">
        <f>IF(AZ148=1,IF(S148="","",IF(S148=N144,"Yes","No")),"")</f>
        <v>No</v>
      </c>
      <c r="BD148" t="str">
        <f t="shared" si="40"/>
        <v/>
      </c>
      <c r="BE148" t="str">
        <f t="shared" si="41"/>
        <v>Increasing</v>
      </c>
      <c r="BF148" t="str">
        <f t="shared" si="42"/>
        <v>Yes</v>
      </c>
      <c r="BG148" t="str">
        <f t="shared" si="43"/>
        <v>Yes</v>
      </c>
      <c r="BH148" t="str">
        <f t="shared" si="44"/>
        <v>Yes</v>
      </c>
    </row>
    <row r="149" spans="1:60" x14ac:dyDescent="0.3">
      <c r="A149" s="1">
        <v>4</v>
      </c>
      <c r="B149" t="s">
        <v>281</v>
      </c>
      <c r="C149" t="s">
        <v>1118</v>
      </c>
      <c r="D149" t="s">
        <v>1119</v>
      </c>
      <c r="E149" t="s">
        <v>1120</v>
      </c>
      <c r="F149" t="s">
        <v>1121</v>
      </c>
      <c r="G149" t="s">
        <v>1122</v>
      </c>
      <c r="I149" t="str">
        <f t="shared" si="21"/>
        <v>N/A</v>
      </c>
      <c r="J149">
        <f t="shared" si="22"/>
        <v>85490000</v>
      </c>
      <c r="K149">
        <f t="shared" si="23"/>
        <v>88390000</v>
      </c>
      <c r="L149">
        <f t="shared" si="24"/>
        <v>86220000</v>
      </c>
      <c r="M149">
        <f t="shared" si="25"/>
        <v>93040000</v>
      </c>
      <c r="N149">
        <f t="shared" si="26"/>
        <v>103050000</v>
      </c>
      <c r="P149">
        <f t="shared" si="27"/>
        <v>103050000</v>
      </c>
      <c r="Q149">
        <f>IFERROR(J144+MATCH(P149,J149:N149,0)-1,"")</f>
        <v>2016</v>
      </c>
      <c r="R149">
        <f t="shared" si="28"/>
        <v>85490000</v>
      </c>
      <c r="S149">
        <f>IFERROR(J144+MATCH(R149,J149:N149,0)-1,"")</f>
        <v>2012</v>
      </c>
      <c r="T149">
        <f t="shared" si="29"/>
        <v>91238000</v>
      </c>
      <c r="U149">
        <f t="shared" si="30"/>
        <v>7230170.8140264573</v>
      </c>
      <c r="V149">
        <f t="shared" si="31"/>
        <v>-0.79500196438636539</v>
      </c>
      <c r="W149">
        <f t="shared" si="32"/>
        <v>-0.39390493990472664</v>
      </c>
      <c r="X149">
        <f t="shared" si="33"/>
        <v>-0.69403616167202187</v>
      </c>
      <c r="Y149">
        <f t="shared" si="34"/>
        <v>0.24923339245376311</v>
      </c>
      <c r="Z149">
        <f t="shared" si="35"/>
        <v>1.6337096735093508</v>
      </c>
      <c r="AA149">
        <f t="shared" si="36"/>
        <v>1.6337096735093508</v>
      </c>
      <c r="AB149">
        <f>IFERROR(V144+MATCH(AA149,V149:Z149,0)-1,"")</f>
        <v>2016</v>
      </c>
      <c r="AC149" t="str">
        <f t="shared" si="37"/>
        <v>High</v>
      </c>
      <c r="AE149">
        <f>IF(ISNUMBER(MATCH("N/A",J149:N149,0)),"",IFERROR((5 * SUMPRODUCT(J144:N144,J149:N149) - PRODUCT(SUM(J144:N144),SUM(J149:N149))) / ((5 * SUM((J144^2)+(K144^2)+(L144^2)+(M144^2)+(N144^2))) - SUM(J144:N144)^2),""))</f>
        <v>3977000</v>
      </c>
      <c r="AF149">
        <f>IFERROR(CORREL(J144:N144,J149:N149),"")</f>
        <v>0.86971515459161775</v>
      </c>
      <c r="AZ149">
        <f t="shared" si="38"/>
        <v>1</v>
      </c>
      <c r="BA149" t="str">
        <f>IF(AZ149=1,IF(Q149="","",IF(Q149=N144,"Yes","No")),"")</f>
        <v>Yes</v>
      </c>
      <c r="BB149">
        <f t="shared" si="39"/>
        <v>103050000</v>
      </c>
      <c r="BC149" t="str">
        <f>IF(AZ149=1,IF(S149="","",IF(S149=N144,"Yes","No")),"")</f>
        <v>No</v>
      </c>
      <c r="BD149" t="str">
        <f t="shared" si="40"/>
        <v/>
      </c>
      <c r="BE149" t="str">
        <f t="shared" si="41"/>
        <v>Increasing</v>
      </c>
      <c r="BF149" t="str">
        <f t="shared" si="42"/>
        <v>Yes</v>
      </c>
      <c r="BG149" t="str">
        <f t="shared" si="43"/>
        <v>No</v>
      </c>
      <c r="BH149" t="str">
        <f t="shared" si="44"/>
        <v>Yes</v>
      </c>
    </row>
    <row r="150" spans="1:60" x14ac:dyDescent="0.3">
      <c r="A150" s="1">
        <v>5</v>
      </c>
      <c r="B150" t="s">
        <v>287</v>
      </c>
      <c r="C150" t="s">
        <v>1123</v>
      </c>
      <c r="D150" t="s">
        <v>1124</v>
      </c>
      <c r="E150" t="s">
        <v>1125</v>
      </c>
      <c r="F150" t="s">
        <v>1126</v>
      </c>
      <c r="G150" t="s">
        <v>1127</v>
      </c>
      <c r="I150" t="str">
        <f t="shared" si="21"/>
        <v>N/A</v>
      </c>
      <c r="J150">
        <f t="shared" si="22"/>
        <v>83230000</v>
      </c>
      <c r="K150">
        <f t="shared" si="23"/>
        <v>84220000</v>
      </c>
      <c r="L150">
        <f t="shared" si="24"/>
        <v>81870000</v>
      </c>
      <c r="M150">
        <f t="shared" si="25"/>
        <v>89040000</v>
      </c>
      <c r="N150">
        <f t="shared" si="26"/>
        <v>98810000</v>
      </c>
      <c r="P150">
        <f t="shared" si="27"/>
        <v>98810000</v>
      </c>
      <c r="Q150">
        <f>IFERROR(J144+MATCH(P150,J150:N150,0)-1,"")</f>
        <v>2016</v>
      </c>
      <c r="R150">
        <f t="shared" si="28"/>
        <v>81870000</v>
      </c>
      <c r="S150">
        <f>IFERROR(J144+MATCH(R150,J150:N150,0)-1,"")</f>
        <v>2014</v>
      </c>
      <c r="T150">
        <f t="shared" si="29"/>
        <v>87434000</v>
      </c>
      <c r="U150">
        <f t="shared" si="30"/>
        <v>6909307.4906245125</v>
      </c>
      <c r="V150">
        <f t="shared" si="31"/>
        <v>-0.60845461078473617</v>
      </c>
      <c r="W150">
        <f t="shared" si="32"/>
        <v>-0.46516962870174644</v>
      </c>
      <c r="X150">
        <f t="shared" si="33"/>
        <v>-0.80529054576742909</v>
      </c>
      <c r="Y150">
        <f t="shared" si="34"/>
        <v>0.2324400820457389</v>
      </c>
      <c r="Z150">
        <f t="shared" si="35"/>
        <v>1.6464747032081728</v>
      </c>
      <c r="AA150">
        <f t="shared" si="36"/>
        <v>1.6464747032081728</v>
      </c>
      <c r="AB150">
        <f>IFERROR(V144+MATCH(AA150,V150:Z150,0)-1,"")</f>
        <v>2016</v>
      </c>
      <c r="AC150" t="str">
        <f t="shared" si="37"/>
        <v>High</v>
      </c>
      <c r="AE150">
        <f>IF(ISNUMBER(MATCH("N/A",J150:N150,0)),"",IFERROR((5 * SUMPRODUCT(J144:N144,J150:N150) - PRODUCT(SUM(J144:N144),SUM(J150:N150))) / ((5 * SUM((J144^2)+(K144^2)+(L144^2)+(M144^2)+(N144^2))) - SUM(J144:N144)^2),""))</f>
        <v>3598000</v>
      </c>
      <c r="AF150">
        <f>IFERROR(CORREL(J144:N144,J150:N150),"")</f>
        <v>0.82337303968052333</v>
      </c>
      <c r="AZ150">
        <f t="shared" si="38"/>
        <v>1</v>
      </c>
      <c r="BA150" t="str">
        <f>IF(AZ150=1,IF(Q150="","",IF(Q150=N144,"Yes","No")),"")</f>
        <v>Yes</v>
      </c>
      <c r="BB150">
        <f t="shared" si="39"/>
        <v>98810000</v>
      </c>
      <c r="BC150" t="str">
        <f>IF(AZ150=1,IF(S150="","",IF(S150=N144,"Yes","No")),"")</f>
        <v>No</v>
      </c>
      <c r="BD150" t="str">
        <f t="shared" si="40"/>
        <v/>
      </c>
      <c r="BE150" t="str">
        <f t="shared" si="41"/>
        <v>Increasing</v>
      </c>
      <c r="BF150" t="str">
        <f t="shared" si="42"/>
        <v>Yes</v>
      </c>
      <c r="BG150" t="str">
        <f t="shared" si="43"/>
        <v>No</v>
      </c>
      <c r="BH150" t="str">
        <f t="shared" si="44"/>
        <v>Yes</v>
      </c>
    </row>
    <row r="151" spans="1:60" x14ac:dyDescent="0.3">
      <c r="A151" s="1">
        <v>6</v>
      </c>
      <c r="B151" t="s">
        <v>293</v>
      </c>
      <c r="C151" t="s">
        <v>1128</v>
      </c>
      <c r="D151" t="s">
        <v>1129</v>
      </c>
      <c r="E151" t="s">
        <v>1130</v>
      </c>
      <c r="F151" t="s">
        <v>1131</v>
      </c>
      <c r="G151" t="s">
        <v>1132</v>
      </c>
      <c r="I151" t="str">
        <f t="shared" si="21"/>
        <v>N/A</v>
      </c>
      <c r="J151">
        <f t="shared" si="22"/>
        <v>2260000</v>
      </c>
      <c r="K151">
        <f t="shared" si="23"/>
        <v>4170000</v>
      </c>
      <c r="L151">
        <f t="shared" si="24"/>
        <v>4350000</v>
      </c>
      <c r="M151">
        <f t="shared" si="25"/>
        <v>4000000</v>
      </c>
      <c r="N151">
        <f t="shared" si="26"/>
        <v>4240000</v>
      </c>
      <c r="P151">
        <f t="shared" si="27"/>
        <v>4350000</v>
      </c>
      <c r="Q151">
        <f>IFERROR(J144+MATCH(P151,J151:N151,0)-1,"")</f>
        <v>2014</v>
      </c>
      <c r="R151">
        <f t="shared" si="28"/>
        <v>2260000</v>
      </c>
      <c r="S151">
        <f>IFERROR(J144+MATCH(R151,J151:N151,0)-1,"")</f>
        <v>2012</v>
      </c>
      <c r="T151">
        <f t="shared" si="29"/>
        <v>3804000</v>
      </c>
      <c r="U151">
        <f t="shared" si="30"/>
        <v>872427.64742985996</v>
      </c>
      <c r="V151">
        <f t="shared" si="31"/>
        <v>-1.7697742667240861</v>
      </c>
      <c r="W151">
        <f t="shared" si="32"/>
        <v>0.41951902954728987</v>
      </c>
      <c r="X151">
        <f t="shared" si="33"/>
        <v>0.62583986375087508</v>
      </c>
      <c r="Y151">
        <f t="shared" si="34"/>
        <v>0.22466046391057051</v>
      </c>
      <c r="Z151">
        <f t="shared" si="35"/>
        <v>0.49975490951535073</v>
      </c>
      <c r="AA151">
        <f t="shared" si="36"/>
        <v>-1.7697742667240861</v>
      </c>
      <c r="AB151">
        <f>IFERROR(V144+MATCH(AA151,V151:Z151,0)-1,"")</f>
        <v>2012</v>
      </c>
      <c r="AC151" t="str">
        <f t="shared" si="37"/>
        <v>Low</v>
      </c>
      <c r="AE151">
        <f>IF(ISNUMBER(MATCH("N/A",J151:N151,0)),"",IFERROR((5 * SUMPRODUCT(J144:N144,J151:N151) - PRODUCT(SUM(J144:N144),SUM(J151:N151))) / ((5 * SUM((J144^2)+(K144^2)+(L144^2)+(M144^2)+(N144^2))) - SUM(J144:N144)^2),""))</f>
        <v>379000</v>
      </c>
      <c r="AF151">
        <f>IFERROR(CORREL(J144:N144,J151:N151),"")</f>
        <v>0.686878296861959</v>
      </c>
      <c r="AZ151">
        <f t="shared" si="38"/>
        <v>1</v>
      </c>
      <c r="BA151" t="str">
        <f>IF(AZ151=1,IF(Q151="","",IF(Q151=N144,"Yes","No")),"")</f>
        <v>No</v>
      </c>
      <c r="BB151" t="str">
        <f t="shared" si="39"/>
        <v/>
      </c>
      <c r="BC151" t="str">
        <f>IF(AZ151=1,IF(S151="","",IF(S151=N144,"Yes","No")),"")</f>
        <v>No</v>
      </c>
      <c r="BD151" t="str">
        <f t="shared" si="40"/>
        <v/>
      </c>
      <c r="BE151" t="str">
        <f t="shared" si="41"/>
        <v>Increasing</v>
      </c>
      <c r="BF151" t="str">
        <f t="shared" si="42"/>
        <v>No</v>
      </c>
      <c r="BG151" t="str">
        <f t="shared" si="43"/>
        <v>No</v>
      </c>
      <c r="BH151" t="str">
        <f t="shared" si="44"/>
        <v>No</v>
      </c>
    </row>
    <row r="152" spans="1:60" x14ac:dyDescent="0.3">
      <c r="A152" s="1">
        <v>7</v>
      </c>
      <c r="B152" t="s">
        <v>298</v>
      </c>
      <c r="C152" t="s">
        <v>264</v>
      </c>
      <c r="D152" t="s">
        <v>1133</v>
      </c>
      <c r="E152" t="s">
        <v>1134</v>
      </c>
      <c r="F152" t="s">
        <v>1135</v>
      </c>
      <c r="G152" t="s">
        <v>1136</v>
      </c>
      <c r="I152" t="str">
        <f t="shared" si="21"/>
        <v>N/A</v>
      </c>
      <c r="J152" t="str">
        <f t="shared" si="22"/>
        <v>N/A</v>
      </c>
      <c r="K152">
        <f t="shared" si="23"/>
        <v>9.6400000000000013E-2</v>
      </c>
      <c r="L152">
        <f t="shared" si="24"/>
        <v>0.11570000000000001</v>
      </c>
      <c r="M152">
        <f t="shared" si="25"/>
        <v>1.89E-2</v>
      </c>
      <c r="N152">
        <f t="shared" si="26"/>
        <v>2.7300000000000001E-2</v>
      </c>
      <c r="P152">
        <f t="shared" si="27"/>
        <v>0.11570000000000001</v>
      </c>
      <c r="Q152">
        <f>IFERROR(J144+MATCH(P152,J152:N152,0)-1,"")</f>
        <v>2014</v>
      </c>
      <c r="R152">
        <f t="shared" si="28"/>
        <v>1.89E-2</v>
      </c>
      <c r="S152">
        <f>IFERROR(J144+MATCH(R152,J152:N152,0)-1,"")</f>
        <v>2015</v>
      </c>
      <c r="T152">
        <f t="shared" si="29"/>
        <v>6.4575000000000007E-2</v>
      </c>
      <c r="U152">
        <f t="shared" si="30"/>
        <v>4.8656029088558657E-2</v>
      </c>
      <c r="V152" t="str">
        <f t="shared" si="31"/>
        <v/>
      </c>
      <c r="W152">
        <f t="shared" si="32"/>
        <v>0.65408132550388443</v>
      </c>
      <c r="X152">
        <f t="shared" si="33"/>
        <v>1.0507433705070255</v>
      </c>
      <c r="Y152">
        <f t="shared" si="34"/>
        <v>-0.93873258577815943</v>
      </c>
      <c r="Z152">
        <f t="shared" si="35"/>
        <v>-0.7660921102327507</v>
      </c>
      <c r="AA152">
        <f t="shared" si="36"/>
        <v>1.0507433705070255</v>
      </c>
      <c r="AB152">
        <f>IFERROR(V144+MATCH(AA152,V152:Z152,0)-1,"")</f>
        <v>2014</v>
      </c>
      <c r="AC152" t="str">
        <f t="shared" si="37"/>
        <v>High</v>
      </c>
      <c r="AE152" t="str">
        <f>IF(ISNUMBER(MATCH("N/A",J152:N152,0)),"",IFERROR((5 * SUMPRODUCT(J144:N144,J152:N152) - PRODUCT(SUM(J144:N144),SUM(J152:N152))) / ((5 * SUM((J144^2)+(K144^2)+(L144^2)+(M144^2)+(N144^2))) - SUM(J144:N144)^2),""))</f>
        <v/>
      </c>
      <c r="AF152">
        <f>IFERROR(CORREL(J144:N144,J152:N152),"")</f>
        <v>-0.80687104807916876</v>
      </c>
      <c r="AZ152">
        <f t="shared" si="38"/>
        <v>1</v>
      </c>
      <c r="BA152" t="str">
        <f>IF(AZ152=1,IF(Q152="","",IF(Q152=N144,"Yes","No")),"")</f>
        <v>No</v>
      </c>
      <c r="BB152" t="str">
        <f t="shared" si="39"/>
        <v/>
      </c>
      <c r="BC152" t="str">
        <f>IF(AZ152=1,IF(S152="","",IF(S152=N144,"Yes","No")),"")</f>
        <v>No</v>
      </c>
      <c r="BD152" t="str">
        <f t="shared" si="40"/>
        <v/>
      </c>
      <c r="BE152" t="str">
        <f t="shared" si="41"/>
        <v/>
      </c>
      <c r="BF152" t="str">
        <f t="shared" si="42"/>
        <v>No</v>
      </c>
      <c r="BG152" t="str">
        <f t="shared" si="43"/>
        <v>No</v>
      </c>
      <c r="BH152" t="str">
        <f t="shared" si="44"/>
        <v>Yes</v>
      </c>
    </row>
    <row r="153" spans="1:60" x14ac:dyDescent="0.3">
      <c r="A153" s="1">
        <v>8</v>
      </c>
      <c r="B153" t="s">
        <v>303</v>
      </c>
      <c r="C153" t="s">
        <v>1137</v>
      </c>
      <c r="D153" t="s">
        <v>1138</v>
      </c>
      <c r="E153" t="s">
        <v>1139</v>
      </c>
      <c r="F153" t="s">
        <v>1140</v>
      </c>
      <c r="G153" t="s">
        <v>1141</v>
      </c>
      <c r="I153" t="str">
        <f t="shared" si="21"/>
        <v>N/A</v>
      </c>
      <c r="J153">
        <f t="shared" si="22"/>
        <v>-14570000</v>
      </c>
      <c r="K153">
        <f t="shared" si="23"/>
        <v>18490000</v>
      </c>
      <c r="L153">
        <f t="shared" si="24"/>
        <v>67770000</v>
      </c>
      <c r="M153">
        <f t="shared" si="25"/>
        <v>73760000</v>
      </c>
      <c r="N153">
        <f t="shared" si="26"/>
        <v>36370000</v>
      </c>
      <c r="P153">
        <f t="shared" si="27"/>
        <v>73760000</v>
      </c>
      <c r="Q153">
        <f>IFERROR(J144+MATCH(P153,J153:N153,0)-1,"")</f>
        <v>2015</v>
      </c>
      <c r="R153">
        <f t="shared" si="28"/>
        <v>-14570000</v>
      </c>
      <c r="S153">
        <f>IFERROR(J144+MATCH(R153,J153:N153,0)-1,"")</f>
        <v>2012</v>
      </c>
      <c r="T153">
        <f t="shared" si="29"/>
        <v>36364000</v>
      </c>
      <c r="U153">
        <f t="shared" si="30"/>
        <v>36395569.510587409</v>
      </c>
      <c r="V153">
        <f t="shared" si="31"/>
        <v>-1.3994560515170229</v>
      </c>
      <c r="W153">
        <f t="shared" si="32"/>
        <v>-0.49110373159020038</v>
      </c>
      <c r="X153">
        <f t="shared" si="33"/>
        <v>0.86290722805873521</v>
      </c>
      <c r="Y153">
        <f t="shared" si="34"/>
        <v>1.0274876998180114</v>
      </c>
      <c r="Z153">
        <f t="shared" si="35"/>
        <v>1.648552304767373E-4</v>
      </c>
      <c r="AA153">
        <f t="shared" si="36"/>
        <v>-1.3994560515170229</v>
      </c>
      <c r="AB153">
        <f>IFERROR(V144+MATCH(AA153,V153:Z153,0)-1,"")</f>
        <v>2012</v>
      </c>
      <c r="AC153" t="str">
        <f t="shared" si="37"/>
        <v>Low</v>
      </c>
      <c r="AE153">
        <f>IF(ISNUMBER(MATCH("N/A",J153:N153,0)),"",IFERROR((5 * SUMPRODUCT(J144:N144,J153:N153) - PRODUCT(SUM(J144:N144),SUM(J153:N153))) / ((5 * SUM((J144^2)+(K144^2)+(L144^2)+(M144^2)+(N144^2))) - SUM(J144:N144)^2),""))</f>
        <v>15715000</v>
      </c>
      <c r="AF153">
        <f>IFERROR(CORREL(J144:N144,J153:N153),"")</f>
        <v>0.68270938053448826</v>
      </c>
      <c r="AZ153">
        <f t="shared" si="38"/>
        <v>1</v>
      </c>
      <c r="BA153" t="str">
        <f>IF(AZ153=1,IF(Q153="","",IF(Q153=N144,"Yes","No")),"")</f>
        <v>No</v>
      </c>
      <c r="BB153" t="str">
        <f t="shared" si="39"/>
        <v/>
      </c>
      <c r="BC153" t="str">
        <f>IF(AZ153=1,IF(S153="","",IF(S153=N144,"Yes","No")),"")</f>
        <v>No</v>
      </c>
      <c r="BD153" t="str">
        <f t="shared" si="40"/>
        <v/>
      </c>
      <c r="BE153" t="str">
        <f t="shared" si="41"/>
        <v>Increasing</v>
      </c>
      <c r="BF153" t="str">
        <f t="shared" si="42"/>
        <v>No</v>
      </c>
      <c r="BG153" t="str">
        <f t="shared" si="43"/>
        <v>No</v>
      </c>
      <c r="BH153" t="str">
        <f t="shared" si="44"/>
        <v>No</v>
      </c>
    </row>
    <row r="154" spans="1:60" x14ac:dyDescent="0.3">
      <c r="A154" s="1">
        <v>9</v>
      </c>
      <c r="B154" t="s">
        <v>309</v>
      </c>
      <c r="C154" t="s">
        <v>264</v>
      </c>
      <c r="D154" t="s">
        <v>1142</v>
      </c>
      <c r="E154" t="s">
        <v>1143</v>
      </c>
      <c r="F154" t="s">
        <v>1144</v>
      </c>
      <c r="G154" t="s">
        <v>1145</v>
      </c>
      <c r="I154" t="str">
        <f t="shared" si="21"/>
        <v>N/A</v>
      </c>
      <c r="J154" t="str">
        <f t="shared" si="22"/>
        <v>N/A</v>
      </c>
      <c r="K154">
        <f t="shared" si="23"/>
        <v>2.2694999999999999</v>
      </c>
      <c r="L154">
        <f t="shared" si="24"/>
        <v>2.6643000000000003</v>
      </c>
      <c r="M154">
        <f t="shared" si="25"/>
        <v>8.8400000000000006E-2</v>
      </c>
      <c r="N154">
        <f t="shared" si="26"/>
        <v>-0.50700000000000001</v>
      </c>
      <c r="P154">
        <f t="shared" si="27"/>
        <v>2.6643000000000003</v>
      </c>
      <c r="Q154">
        <f>IFERROR(J144+MATCH(P154,J154:N154,0)-1,"")</f>
        <v>2014</v>
      </c>
      <c r="R154">
        <f t="shared" si="28"/>
        <v>-0.50700000000000001</v>
      </c>
      <c r="S154">
        <f>IFERROR(J144+MATCH(R154,J154:N154,0)-1,"")</f>
        <v>2016</v>
      </c>
      <c r="T154">
        <f t="shared" si="29"/>
        <v>1.1288</v>
      </c>
      <c r="U154">
        <f t="shared" si="30"/>
        <v>1.5723899579938814</v>
      </c>
      <c r="V154" t="str">
        <f t="shared" si="31"/>
        <v/>
      </c>
      <c r="W154">
        <f t="shared" si="32"/>
        <v>0.72545617211607671</v>
      </c>
      <c r="X154">
        <f t="shared" si="33"/>
        <v>0.97653892547053234</v>
      </c>
      <c r="Y154">
        <f t="shared" si="34"/>
        <v>-0.66166792449335177</v>
      </c>
      <c r="Z154">
        <f t="shared" si="35"/>
        <v>-1.0403271730932573</v>
      </c>
      <c r="AA154">
        <f t="shared" si="36"/>
        <v>-1.0403271730932573</v>
      </c>
      <c r="AB154">
        <f>IFERROR(V144+MATCH(AA154,V154:Z154,0)-1,"")</f>
        <v>2016</v>
      </c>
      <c r="AC154" t="str">
        <f t="shared" si="37"/>
        <v>Low</v>
      </c>
      <c r="AE154" t="str">
        <f>IF(ISNUMBER(MATCH("N/A",J154:N154,0)),"",IFERROR((5 * SUMPRODUCT(J144:N144,J154:N154) - PRODUCT(SUM(J144:N144),SUM(J154:N154))) / ((5 * SUM((J144^2)+(K144^2)+(L144^2)+(M144^2)+(N144^2))) - SUM(J144:N144)^2),""))</f>
        <v/>
      </c>
      <c r="AF154">
        <f>IFERROR(CORREL(J144:N144,J154:N154),"")</f>
        <v>-0.89537654381905174</v>
      </c>
      <c r="AZ154">
        <f t="shared" si="38"/>
        <v>1</v>
      </c>
      <c r="BA154" t="str">
        <f>IF(AZ154=1,IF(Q154="","",IF(Q154=N144,"Yes","No")),"")</f>
        <v>No</v>
      </c>
      <c r="BB154" t="str">
        <f t="shared" si="39"/>
        <v/>
      </c>
      <c r="BC154" t="str">
        <f>IF(AZ154=1,IF(S154="","",IF(S154=N144,"Yes","No")),"")</f>
        <v>Yes</v>
      </c>
      <c r="BD154">
        <f t="shared" si="40"/>
        <v>-0.50700000000000001</v>
      </c>
      <c r="BE154" t="str">
        <f t="shared" si="41"/>
        <v/>
      </c>
      <c r="BF154" t="str">
        <f t="shared" si="42"/>
        <v>No</v>
      </c>
      <c r="BG154" t="str">
        <f t="shared" si="43"/>
        <v>No</v>
      </c>
      <c r="BH154" t="str">
        <f t="shared" si="44"/>
        <v>Yes</v>
      </c>
    </row>
    <row r="155" spans="1:60" x14ac:dyDescent="0.3">
      <c r="A155" s="1">
        <v>10</v>
      </c>
      <c r="B155" t="s">
        <v>314</v>
      </c>
      <c r="C155" t="s">
        <v>264</v>
      </c>
      <c r="D155" t="s">
        <v>264</v>
      </c>
      <c r="E155" t="s">
        <v>264</v>
      </c>
      <c r="F155" t="s">
        <v>264</v>
      </c>
      <c r="G155" t="s">
        <v>1146</v>
      </c>
      <c r="I155" t="str">
        <f t="shared" si="21"/>
        <v>N/A</v>
      </c>
      <c r="J155" t="str">
        <f t="shared" si="22"/>
        <v>N/A</v>
      </c>
      <c r="K155" t="str">
        <f t="shared" si="23"/>
        <v>N/A</v>
      </c>
      <c r="L155" t="str">
        <f t="shared" si="24"/>
        <v>N/A</v>
      </c>
      <c r="M155" t="str">
        <f t="shared" si="25"/>
        <v>N/A</v>
      </c>
      <c r="N155">
        <f t="shared" si="26"/>
        <v>1.3500000000000002E-2</v>
      </c>
      <c r="P155">
        <f t="shared" si="27"/>
        <v>1.3500000000000002E-2</v>
      </c>
      <c r="Q155">
        <f>IFERROR(J144+MATCH(P155,J155:N155,0)-1,"")</f>
        <v>2016</v>
      </c>
      <c r="R155">
        <f t="shared" si="28"/>
        <v>1.3500000000000002E-2</v>
      </c>
      <c r="S155">
        <f>IFERROR(J144+MATCH(R155,J155:N155,0)-1,"")</f>
        <v>2016</v>
      </c>
      <c r="T155">
        <f t="shared" si="29"/>
        <v>1.3500000000000002E-2</v>
      </c>
      <c r="U155" t="str">
        <f t="shared" si="30"/>
        <v/>
      </c>
      <c r="V155" t="str">
        <f t="shared" si="31"/>
        <v/>
      </c>
      <c r="W155" t="str">
        <f t="shared" si="32"/>
        <v/>
      </c>
      <c r="X155" t="str">
        <f t="shared" si="33"/>
        <v/>
      </c>
      <c r="Y155" t="str">
        <f t="shared" si="34"/>
        <v/>
      </c>
      <c r="Z155" t="str">
        <f t="shared" si="35"/>
        <v/>
      </c>
      <c r="AA155">
        <f t="shared" si="36"/>
        <v>0</v>
      </c>
      <c r="AB155" t="str">
        <f>IFERROR(V144+MATCH(AA155,V155:Z155,0)-1,"")</f>
        <v/>
      </c>
      <c r="AC155" t="str">
        <f t="shared" si="37"/>
        <v/>
      </c>
      <c r="AE155" t="str">
        <f>IF(ISNUMBER(MATCH("N/A",J155:N155,0)),"",IFERROR((5 * SUMPRODUCT(J144:N144,J155:N155) - PRODUCT(SUM(J144:N144),SUM(J155:N155))) / ((5 * SUM((J144^2)+(K144^2)+(L144^2)+(M144^2)+(N144^2))) - SUM(J144:N144)^2),""))</f>
        <v/>
      </c>
      <c r="AF155" t="str">
        <f>IFERROR(CORREL(J144:N144,J155:N155),"")</f>
        <v/>
      </c>
      <c r="AZ155">
        <f t="shared" si="38"/>
        <v>0</v>
      </c>
      <c r="BA155" t="str">
        <f>IF(AZ155=1,IF(Q155="","",IF(Q155=N144,"Yes","No")),"")</f>
        <v/>
      </c>
      <c r="BB155" t="str">
        <f t="shared" si="39"/>
        <v/>
      </c>
      <c r="BC155" t="str">
        <f>IF(AZ155=1,IF(S155="","",IF(S155=N144,"Yes","No")),"")</f>
        <v/>
      </c>
      <c r="BD155" t="str">
        <f t="shared" si="40"/>
        <v/>
      </c>
      <c r="BE155" t="str">
        <f t="shared" si="41"/>
        <v/>
      </c>
      <c r="BF155" t="str">
        <f t="shared" si="42"/>
        <v>No</v>
      </c>
      <c r="BG155" t="str">
        <f t="shared" si="43"/>
        <v>No</v>
      </c>
      <c r="BH155" t="str">
        <f t="shared" si="44"/>
        <v/>
      </c>
    </row>
    <row r="156" spans="1:60" x14ac:dyDescent="0.3">
      <c r="I156" t="str">
        <f t="shared" ref="I156:I187" si="45">IF(AND(K156&gt; J156, L156&gt; K156, M156&gt; L156, N156&gt; M156), "pos_trend", IF(AND(K156&lt; J156, L156&lt; K156, M156&lt; L156, N156&lt; M156), "neg_trend", "N/A"))</f>
        <v>N/A</v>
      </c>
      <c r="J156" t="str">
        <f t="shared" si="22"/>
        <v>N/A</v>
      </c>
      <c r="K156" t="str">
        <f t="shared" si="23"/>
        <v>N/A</v>
      </c>
      <c r="L156" t="str">
        <f t="shared" si="24"/>
        <v>N/A</v>
      </c>
      <c r="M156" t="str">
        <f t="shared" si="25"/>
        <v>N/A</v>
      </c>
      <c r="N156" t="str">
        <f t="shared" si="26"/>
        <v>N/A</v>
      </c>
      <c r="P156">
        <f t="shared" si="27"/>
        <v>0</v>
      </c>
      <c r="Q156" t="str">
        <f>IFERROR(J144+MATCH(P156,J156:N156,0)-1,"")</f>
        <v/>
      </c>
      <c r="R156" t="str">
        <f t="shared" si="28"/>
        <v/>
      </c>
      <c r="S156" t="str">
        <f>IFERROR(J144+MATCH(R156,J156:N156,0)-1,"")</f>
        <v/>
      </c>
      <c r="T156" t="str">
        <f t="shared" si="29"/>
        <v/>
      </c>
      <c r="U156" t="str">
        <f t="shared" si="30"/>
        <v/>
      </c>
      <c r="V156" t="str">
        <f t="shared" si="31"/>
        <v/>
      </c>
      <c r="W156" t="str">
        <f t="shared" si="32"/>
        <v/>
      </c>
      <c r="X156" t="str">
        <f t="shared" si="33"/>
        <v/>
      </c>
      <c r="Y156" t="str">
        <f t="shared" si="34"/>
        <v/>
      </c>
      <c r="Z156" t="str">
        <f t="shared" si="35"/>
        <v/>
      </c>
      <c r="AA156">
        <f t="shared" si="36"/>
        <v>0</v>
      </c>
      <c r="AB156" t="str">
        <f>IFERROR(V144+MATCH(AA156,V156:Z156,0)-1,"")</f>
        <v/>
      </c>
      <c r="AC156" t="str">
        <f t="shared" si="37"/>
        <v/>
      </c>
      <c r="AE156" t="str">
        <f>IF(ISNUMBER(MATCH("N/A",J156:N156,0)),"",IFERROR((5 * SUMPRODUCT(J144:N144,J156:N156) - PRODUCT(SUM(J144:N144),SUM(J156:N156))) / ((5 * SUM((J144^2)+(K144^2)+(L144^2)+(M144^2)+(N144^2))) - SUM(J144:N144)^2),""))</f>
        <v/>
      </c>
      <c r="AF156" t="str">
        <f>IFERROR(CORREL(J144:N144,J156:N156),"")</f>
        <v/>
      </c>
      <c r="AZ156">
        <f t="shared" si="38"/>
        <v>0</v>
      </c>
      <c r="BA156" t="str">
        <f>IF(AZ156=1,IF(Q156="","",IF(Q156=N144,"Yes","No")),"")</f>
        <v/>
      </c>
      <c r="BB156" t="str">
        <f t="shared" si="39"/>
        <v/>
      </c>
      <c r="BC156" t="str">
        <f>IF(AZ156=1,IF(S156="","",IF(S156=N144,"Yes","No")),"")</f>
        <v/>
      </c>
      <c r="BD156" t="str">
        <f t="shared" si="40"/>
        <v/>
      </c>
      <c r="BE156" t="str">
        <f t="shared" si="41"/>
        <v/>
      </c>
      <c r="BF156" t="str">
        <f t="shared" si="42"/>
        <v>No</v>
      </c>
      <c r="BG156" t="str">
        <f t="shared" si="43"/>
        <v>No</v>
      </c>
      <c r="BH156" t="str">
        <f t="shared" si="44"/>
        <v/>
      </c>
    </row>
    <row r="157" spans="1:60" x14ac:dyDescent="0.3">
      <c r="B157" s="1" t="s">
        <v>316</v>
      </c>
      <c r="C157" s="1" t="s">
        <v>252</v>
      </c>
      <c r="D157" s="1" t="s">
        <v>253</v>
      </c>
      <c r="E157" s="1" t="s">
        <v>254</v>
      </c>
      <c r="F157" s="1" t="s">
        <v>255</v>
      </c>
      <c r="G157" s="1" t="s">
        <v>256</v>
      </c>
      <c r="H157" s="1" t="s">
        <v>257</v>
      </c>
      <c r="P157">
        <f t="shared" si="27"/>
        <v>0</v>
      </c>
      <c r="Q157" t="str">
        <f>IFERROR(J144+MATCH(P157,J157:N157,0)-1,"")</f>
        <v/>
      </c>
      <c r="R157" t="str">
        <f t="shared" si="28"/>
        <v/>
      </c>
      <c r="S157" t="str">
        <f>IFERROR(J144+MATCH(R157,J157:N157,0)-1,"")</f>
        <v/>
      </c>
      <c r="T157" t="str">
        <f t="shared" si="29"/>
        <v/>
      </c>
      <c r="U157" t="str">
        <f t="shared" si="30"/>
        <v/>
      </c>
      <c r="V157" t="str">
        <f t="shared" si="31"/>
        <v/>
      </c>
      <c r="W157" t="str">
        <f t="shared" si="32"/>
        <v/>
      </c>
      <c r="X157" t="str">
        <f t="shared" si="33"/>
        <v/>
      </c>
      <c r="Y157" t="str">
        <f t="shared" si="34"/>
        <v/>
      </c>
      <c r="Z157" t="str">
        <f t="shared" si="35"/>
        <v/>
      </c>
      <c r="AA157">
        <f t="shared" si="36"/>
        <v>0</v>
      </c>
      <c r="AB157" t="str">
        <f>IFERROR(V144+MATCH(AA157,V157:Z157,0)-1,"")</f>
        <v/>
      </c>
      <c r="AC157" t="str">
        <f t="shared" si="37"/>
        <v/>
      </c>
      <c r="AE157">
        <f>IF(ISNUMBER(MATCH("N/A",J157:N157,0)),"",IFERROR((5 * SUMPRODUCT(J144:N144,J157:N157) - PRODUCT(SUM(J144:N144),SUM(J157:N157))) / ((5 * SUM((J144^2)+(K144^2)+(L144^2)+(M144^2)+(N144^2))) - SUM(J144:N144)^2),""))</f>
        <v>0</v>
      </c>
      <c r="AF157" t="str">
        <f>IFERROR(CORREL(J144:N144,J157:N157),"")</f>
        <v/>
      </c>
      <c r="AZ157">
        <f t="shared" si="38"/>
        <v>0</v>
      </c>
      <c r="BA157" t="str">
        <f>IF(AZ157=1,IF(Q157="","",IF(Q157=N144,"Yes","No")),"")</f>
        <v/>
      </c>
      <c r="BB157" t="str">
        <f t="shared" si="39"/>
        <v/>
      </c>
      <c r="BC157" t="str">
        <f>IF(AZ157=1,IF(S157="","",IF(S157=N144,"Yes","No")),"")</f>
        <v/>
      </c>
      <c r="BD157" t="str">
        <f t="shared" si="40"/>
        <v/>
      </c>
      <c r="BE157" t="str">
        <f t="shared" si="41"/>
        <v/>
      </c>
      <c r="BF157" t="str">
        <f t="shared" si="42"/>
        <v>No</v>
      </c>
      <c r="BG157" t="str">
        <f t="shared" si="43"/>
        <v>No</v>
      </c>
      <c r="BH157" t="str">
        <f t="shared" si="44"/>
        <v/>
      </c>
    </row>
    <row r="158" spans="1:60" x14ac:dyDescent="0.3">
      <c r="A158" s="1">
        <v>0</v>
      </c>
      <c r="B158" t="s">
        <v>317</v>
      </c>
      <c r="C158" t="s">
        <v>264</v>
      </c>
      <c r="D158" t="s">
        <v>264</v>
      </c>
      <c r="E158" t="s">
        <v>264</v>
      </c>
      <c r="F158" t="s">
        <v>264</v>
      </c>
      <c r="G158" t="s">
        <v>264</v>
      </c>
      <c r="I158" t="str">
        <f t="shared" ref="I158:I204" si="46">IF(AND(K158&gt; J158, L158&gt; K158, M158&gt; L158, N158&gt; M158), "pos_trend", IF(AND(K158&lt; J158, L158&lt; K158, M158&lt; L158, N158&lt; M158), "neg_trend", "N/A"))</f>
        <v>N/A</v>
      </c>
      <c r="J158" t="str">
        <f>IFERROR(IF(TRIM(C158)="-", "0", IF(RIGHT(C158,1)=")",IF(RIGHT(C158,2)="T)",-1000000000000*VALUE(MID(C158,2,LEN(C158)-3)),IF(RIGHT(C158,2)="M)",-1000000*VALUE(MID(C158,2,LEN(C158)-3)),IF(RIGHT(C158,2)="B)",-1000000000*VALUE(MID(C158,2,LEN(C158)-3)),IF(RIGHT(C158,2)="k)",-1000*VALUE(MID(C158,2,LEN(C158)-3)),VALUE(SUBSTITUTE(C158,",","")))))),IF(RIGHT(C158,1)="T",1000000000000*VALUE(LEFT(C158,LEN(C158)-1)),IF(RIGHT(C158,1)="M",1000000*VALUE(LEFT(C158,LEN(C158)-1)),IF(RIGHT(C158,1)="B",1000000000*VALUE(LEFT(C158,LEN(C158)-1)),IF(RIGHT(C158,1)="%",0.01*VALUE(LEFT(C158,LEN(C158)-1)),IF(RIGHT(C158,1)="k",1000*VALUE(LEFT(C158,LEN(C158)-1)),VALUE(SUBSTITUTE(C158,",",""))))))))),"N/A")</f>
        <v>0</v>
      </c>
      <c r="K158" t="str">
        <f>IFERROR(IF(TRIM(D158)="-", "0", IF(RIGHT(D158,1)=")",IF(RIGHT(D158,2)="T)",-1000000000000*VALUE(MID(D158,2,LEN(D158)-3)),IF(RIGHT(D158,2)="M)",-1000000*VALUE(MID(D158,2,LEN(D158)-3)),IF(RIGHT(D158,2)="B)",-1000000000*VALUE(MID(D158,2,LEN(D158)-3)),IF(RIGHT(D158,2)="k)",-1000*VALUE(MID(D158,2,LEN(D158)-3)),VALUE(SUBSTITUTE(D158,",","")))))),IF(RIGHT(D158,1)="T",1000000000000*VALUE(LEFT(D158,LEN(D158)-1)),IF(RIGHT(D158,1)="M",1000000*VALUE(LEFT(D158,LEN(D158)-1)),IF(RIGHT(D158,1)="B",1000000000*VALUE(LEFT(D158,LEN(D158)-1)),IF(RIGHT(D158,1)="%",0.01*VALUE(LEFT(D158,LEN(D158)-1)),IF(RIGHT(D158,1)="k",1000*VALUE(LEFT(D158,LEN(D158)-1)),VALUE(SUBSTITUTE(D158,",",""))))))))),"N/A")</f>
        <v>0</v>
      </c>
      <c r="L158" t="str">
        <f>IFERROR(IF(TRIM(E158)="-", "0", IF(RIGHT(E158,1)=")",IF(RIGHT(E158,2)="T)",-1000000000000*VALUE(MID(E158,2,LEN(E158)-3)),IF(RIGHT(E158,2)="M)",-1000000*VALUE(MID(E158,2,LEN(E158)-3)),IF(RIGHT(E158,2)="B)",-1000000000*VALUE(MID(E158,2,LEN(E158)-3)),IF(RIGHT(E158,2)="k)",-1000*VALUE(MID(E158,2,LEN(E158)-3)),VALUE(SUBSTITUTE(E158,",","")))))),IF(RIGHT(E158,1)="T",1000000000000*VALUE(LEFT(E158,LEN(E158)-1)),IF(RIGHT(E158,1)="M",1000000*VALUE(LEFT(E158,LEN(E158)-1)),IF(RIGHT(E158,1)="B",1000000000*VALUE(LEFT(E158,LEN(E158)-1)),IF(RIGHT(E158,1)="%",0.01*VALUE(LEFT(E158,LEN(E158)-1)),IF(RIGHT(E158,1)="k",1000*VALUE(LEFT(E158,LEN(E158)-1)),VALUE(SUBSTITUTE(E158,",",""))))))))),"N/A")</f>
        <v>0</v>
      </c>
      <c r="M158" t="str">
        <f>IFERROR(IF(TRIM(F158)="-", "0", IF(RIGHT(F158,1)=")",IF(RIGHT(F158,2)="T)",-1000000000000*VALUE(MID(F158,2,LEN(F158)-3)),IF(RIGHT(F158,2)="M)",-1000000*VALUE(MID(F158,2,LEN(F158)-3)),IF(RIGHT(F158,2)="B)",-1000000000*VALUE(MID(F158,2,LEN(F158)-3)),IF(RIGHT(F158,2)="k)",-1000*VALUE(MID(F158,2,LEN(F158)-3)),VALUE(SUBSTITUTE(F158,",","")))))),IF(RIGHT(F158,1)="T",1000000000000*VALUE(LEFT(F158,LEN(F158)-1)),IF(RIGHT(F158,1)="M",1000000*VALUE(LEFT(F158,LEN(F158)-1)),IF(RIGHT(F158,1)="B",1000000000*VALUE(LEFT(F158,LEN(F158)-1)),IF(RIGHT(F158,1)="%",0.01*VALUE(LEFT(F158,LEN(F158)-1)),IF(RIGHT(F158,1)="k",1000*VALUE(LEFT(F158,LEN(F158)-1)),VALUE(SUBSTITUTE(F158,",",""))))))))),"N/A")</f>
        <v>0</v>
      </c>
      <c r="N158" t="str">
        <f>IFERROR(IF(TRIM(G158)="-", "0", IF(RIGHT(G158,1)=")",IF(RIGHT(G158,2)="T)",-1000000000000*VALUE(MID(G158,2,LEN(G158)-3)),IF(RIGHT(G158,2)="M)",-1000000*VALUE(MID(G158,2,LEN(G158)-3)),IF(RIGHT(G158,2)="B)",-1000000000*VALUE(MID(G158,2,LEN(G158)-3)),IF(RIGHT(G158,2)="k)",-1000*VALUE(MID(G158,2,LEN(G158)-3)),VALUE(SUBSTITUTE(G158,",","")))))),IF(RIGHT(G158,1)="T",1000000000000*VALUE(LEFT(G158,LEN(G158)-1)),IF(RIGHT(G158,1)="M",1000000*VALUE(LEFT(G158,LEN(G158)-1)),IF(RIGHT(G158,1)="B",1000000000*VALUE(LEFT(G158,LEN(G158)-1)),IF(RIGHT(G158,1)="%",0.01*VALUE(LEFT(G158,LEN(G158)-1)),IF(RIGHT(G158,1)="k",1000*VALUE(LEFT(G158,LEN(G158)-1)),VALUE(SUBSTITUTE(G158,",",""))))))))),"N/A")</f>
        <v>0</v>
      </c>
      <c r="P158">
        <f t="shared" si="27"/>
        <v>0</v>
      </c>
      <c r="Q158" t="str">
        <f>IFERROR(J144+MATCH(P158,J158:N158,0)-1,"")</f>
        <v/>
      </c>
      <c r="R158" t="str">
        <f t="shared" si="28"/>
        <v/>
      </c>
      <c r="S158" t="str">
        <f>IFERROR(J144+MATCH(R158,J158:N158,0)-1,"")</f>
        <v/>
      </c>
      <c r="T158" t="str">
        <f t="shared" si="29"/>
        <v/>
      </c>
      <c r="U158" t="str">
        <f t="shared" si="30"/>
        <v/>
      </c>
      <c r="V158" t="str">
        <f t="shared" si="31"/>
        <v/>
      </c>
      <c r="W158" t="str">
        <f t="shared" si="32"/>
        <v/>
      </c>
      <c r="X158" t="str">
        <f t="shared" si="33"/>
        <v/>
      </c>
      <c r="Y158" t="str">
        <f t="shared" si="34"/>
        <v/>
      </c>
      <c r="Z158" t="str">
        <f t="shared" si="35"/>
        <v/>
      </c>
      <c r="AA158">
        <f t="shared" si="36"/>
        <v>0</v>
      </c>
      <c r="AB158" t="str">
        <f>IFERROR(V144+MATCH(AA158,V158:Z158,0)-1,"")</f>
        <v/>
      </c>
      <c r="AC158" t="str">
        <f t="shared" si="37"/>
        <v/>
      </c>
      <c r="AE158">
        <f>IF(ISNUMBER(MATCH("N/A",J158:N158,0)),"",IFERROR((5 * SUMPRODUCT(J144:N144,J158:N158) - PRODUCT(SUM(J144:N144),SUM(J158:N158))) / ((5 * SUM((J144^2)+(K144^2)+(L144^2)+(M144^2)+(N144^2))) - SUM(J144:N144)^2),""))</f>
        <v>0</v>
      </c>
      <c r="AF158" t="str">
        <f>IFERROR(CORREL(J144:N144,J158:N158),"")</f>
        <v/>
      </c>
      <c r="AZ158">
        <f t="shared" si="38"/>
        <v>0</v>
      </c>
      <c r="BA158" t="str">
        <f>IF(AZ158=1,IF(Q158="","",IF(Q158=N144,"Yes","No")),"")</f>
        <v/>
      </c>
      <c r="BB158" t="str">
        <f t="shared" si="39"/>
        <v/>
      </c>
      <c r="BC158" t="str">
        <f>IF(AZ158=1,IF(S158="","",IF(S158=N144,"Yes","No")),"")</f>
        <v/>
      </c>
      <c r="BD158" t="str">
        <f t="shared" si="40"/>
        <v/>
      </c>
      <c r="BE158" t="str">
        <f t="shared" si="41"/>
        <v/>
      </c>
      <c r="BF158" t="str">
        <f t="shared" si="42"/>
        <v>No</v>
      </c>
      <c r="BG158" t="str">
        <f t="shared" si="43"/>
        <v>No</v>
      </c>
      <c r="BH158" t="str">
        <f t="shared" si="44"/>
        <v/>
      </c>
    </row>
    <row r="159" spans="1:60" x14ac:dyDescent="0.3">
      <c r="A159" s="1">
        <v>1</v>
      </c>
      <c r="B159" t="s">
        <v>321</v>
      </c>
      <c r="C159" t="s">
        <v>264</v>
      </c>
      <c r="D159" t="s">
        <v>264</v>
      </c>
      <c r="E159" t="s">
        <v>264</v>
      </c>
      <c r="F159" t="s">
        <v>264</v>
      </c>
      <c r="G159" t="s">
        <v>264</v>
      </c>
      <c r="I159" t="str">
        <f t="shared" si="46"/>
        <v>N/A</v>
      </c>
      <c r="J159" t="str">
        <f t="shared" ref="J159:J204" si="47">IFERROR(IF(TRIM(C159)="-", "N/A", IF(RIGHT(C159,1)=")",IF(RIGHT(C159,2)="T)",-1000000000000*VALUE(MID(C159,2,LEN(C159)-3)),IF(RIGHT(C159,2)="M)",-1000000*VALUE(MID(C159,2,LEN(C159)-3)),IF(RIGHT(C159,2)="B)",-1000000000*VALUE(MID(C159,2,LEN(C159)-3)),IF(RIGHT(C159,2)="k)",-1000*VALUE(MID(C159,2,LEN(C159)-3)),VALUE(SUBSTITUTE(C159,",","")))))),IF(RIGHT(C159,1)="T",1000000000000*VALUE(LEFT(C159,LEN(C159)-1)),IF(RIGHT(C159,1)="M",1000000*VALUE(LEFT(C159,LEN(C159)-1)),IF(RIGHT(C159,1)="B",1000000000*VALUE(LEFT(C159,LEN(C159)-1)),IF(RIGHT(C159,1)="%",0.01*VALUE(LEFT(C159,LEN(C159)-1)),IF(RIGHT(C159,1)="k",1000*VALUE(LEFT(C159,LEN(C159)-1)),VALUE(SUBSTITUTE(C159,",",""))))))))),"N/A")</f>
        <v>N/A</v>
      </c>
      <c r="K159" t="str">
        <f t="shared" ref="K159:K204" si="48">IFERROR(IF(TRIM(D159)="-", "N/A", IF(RIGHT(D159,1)=")",IF(RIGHT(D159,2)="T)",-1000000000000*VALUE(MID(D159,2,LEN(D159)-3)),IF(RIGHT(D159,2)="M)",-1000000*VALUE(MID(D159,2,LEN(D159)-3)),IF(RIGHT(D159,2)="B)",-1000000000*VALUE(MID(D159,2,LEN(D159)-3)),IF(RIGHT(D159,2)="k)",-1000*VALUE(MID(D159,2,LEN(D159)-3)),VALUE(SUBSTITUTE(D159,",","")))))),IF(RIGHT(D159,1)="T",1000000000000*VALUE(LEFT(D159,LEN(D159)-1)),IF(RIGHT(D159,1)="M",1000000*VALUE(LEFT(D159,LEN(D159)-1)),IF(RIGHT(D159,1)="B",1000000000*VALUE(LEFT(D159,LEN(D159)-1)),IF(RIGHT(D159,1)="%",0.01*VALUE(LEFT(D159,LEN(D159)-1)),IF(RIGHT(D159,1)="k",1000*VALUE(LEFT(D159,LEN(D159)-1)),VALUE(SUBSTITUTE(D159,",",""))))))))),"N/A")</f>
        <v>N/A</v>
      </c>
      <c r="L159" t="str">
        <f t="shared" ref="L159:L204" si="49">IFERROR(IF(TRIM(E159)="-", "N/A", IF(RIGHT(E159,1)=")",IF(RIGHT(E159,2)="T)",-1000000000000*VALUE(MID(E159,2,LEN(E159)-3)),IF(RIGHT(E159,2)="M)",-1000000*VALUE(MID(E159,2,LEN(E159)-3)),IF(RIGHT(E159,2)="B)",-1000000000*VALUE(MID(E159,2,LEN(E159)-3)),IF(RIGHT(E159,2)="k)",-1000*VALUE(MID(E159,2,LEN(E159)-3)),VALUE(SUBSTITUTE(E159,",","")))))),IF(RIGHT(E159,1)="T",1000000000000*VALUE(LEFT(E159,LEN(E159)-1)),IF(RIGHT(E159,1)="M",1000000*VALUE(LEFT(E159,LEN(E159)-1)),IF(RIGHT(E159,1)="B",1000000000*VALUE(LEFT(E159,LEN(E159)-1)),IF(RIGHT(E159,1)="%",0.01*VALUE(LEFT(E159,LEN(E159)-1)),IF(RIGHT(E159,1)="k",1000*VALUE(LEFT(E159,LEN(E159)-1)),VALUE(SUBSTITUTE(E159,",",""))))))))),"N/A")</f>
        <v>N/A</v>
      </c>
      <c r="M159" t="str">
        <f t="shared" ref="M159:M204" si="50">IFERROR(IF(TRIM(F159)="-", "N/A", IF(RIGHT(F159,1)=")",IF(RIGHT(F159,2)="T)",-1000000000000*VALUE(MID(F159,2,LEN(F159)-3)),IF(RIGHT(F159,2)="M)",-1000000*VALUE(MID(F159,2,LEN(F159)-3)),IF(RIGHT(F159,2)="B)",-1000000000*VALUE(MID(F159,2,LEN(F159)-3)),IF(RIGHT(F159,2)="k)",-1000*VALUE(MID(F159,2,LEN(F159)-3)),VALUE(SUBSTITUTE(F159,",","")))))),IF(RIGHT(F159,1)="T",1000000000000*VALUE(LEFT(F159,LEN(F159)-1)),IF(RIGHT(F159,1)="M",1000000*VALUE(LEFT(F159,LEN(F159)-1)),IF(RIGHT(F159,1)="B",1000000000*VALUE(LEFT(F159,LEN(F159)-1)),IF(RIGHT(F159,1)="%",0.01*VALUE(LEFT(F159,LEN(F159)-1)),IF(RIGHT(F159,1)="k",1000*VALUE(LEFT(F159,LEN(F159)-1)),VALUE(SUBSTITUTE(F159,",",""))))))))),"N/A")</f>
        <v>N/A</v>
      </c>
      <c r="N159" t="str">
        <f t="shared" ref="N159:N204" si="51">IFERROR(IF(TRIM(G159)="-", "N/A", IF(RIGHT(G159,1)=")",IF(RIGHT(G159,2)="T)",-1000000000000*VALUE(MID(G159,2,LEN(G159)-3)),IF(RIGHT(G159,2)="M)",-1000000*VALUE(MID(G159,2,LEN(G159)-3)),IF(RIGHT(G159,2)="B)",-1000000000*VALUE(MID(G159,2,LEN(G159)-3)),IF(RIGHT(G159,2)="k)",-1000*VALUE(MID(G159,2,LEN(G159)-3)),VALUE(SUBSTITUTE(G159,",","")))))),IF(RIGHT(G159,1)="T",1000000000000*VALUE(LEFT(G159,LEN(G159)-1)),IF(RIGHT(G159,1)="M",1000000*VALUE(LEFT(G159,LEN(G159)-1)),IF(RIGHT(G159,1)="B",1000000000*VALUE(LEFT(G159,LEN(G159)-1)),IF(RIGHT(G159,1)="%",0.01*VALUE(LEFT(G159,LEN(G159)-1)),IF(RIGHT(G159,1)="k",1000*VALUE(LEFT(G159,LEN(G159)-1)),VALUE(SUBSTITUTE(G159,",",""))))))))),"N/A")</f>
        <v>N/A</v>
      </c>
      <c r="P159">
        <f t="shared" si="27"/>
        <v>0</v>
      </c>
      <c r="Q159" t="str">
        <f>IFERROR(J144+MATCH(P159,J159:N159,0)-1,"")</f>
        <v/>
      </c>
      <c r="R159" t="str">
        <f t="shared" si="28"/>
        <v/>
      </c>
      <c r="S159" t="str">
        <f>IFERROR(J144+MATCH(R159,J159:N159,0)-1,"")</f>
        <v/>
      </c>
      <c r="T159" t="str">
        <f t="shared" si="29"/>
        <v/>
      </c>
      <c r="U159" t="str">
        <f t="shared" si="30"/>
        <v/>
      </c>
      <c r="V159" t="str">
        <f t="shared" si="31"/>
        <v/>
      </c>
      <c r="W159" t="str">
        <f t="shared" si="32"/>
        <v/>
      </c>
      <c r="X159" t="str">
        <f t="shared" si="33"/>
        <v/>
      </c>
      <c r="Y159" t="str">
        <f t="shared" si="34"/>
        <v/>
      </c>
      <c r="Z159" t="str">
        <f t="shared" si="35"/>
        <v/>
      </c>
      <c r="AA159">
        <f t="shared" si="36"/>
        <v>0</v>
      </c>
      <c r="AB159" t="str">
        <f>IFERROR(V144+MATCH(AA159,V159:Z159,0)-1,"")</f>
        <v/>
      </c>
      <c r="AC159" t="str">
        <f t="shared" si="37"/>
        <v/>
      </c>
      <c r="AE159" t="str">
        <f>IF(ISNUMBER(MATCH("N/A",J159:N159,0)),"",IFERROR((5 * SUMPRODUCT(J144:N144,J159:N159) - PRODUCT(SUM(J144:N144),SUM(J159:N159))) / ((5 * SUM((J144^2)+(K144^2)+(L144^2)+(M144^2)+(N144^2))) - SUM(J144:N144)^2),""))</f>
        <v/>
      </c>
      <c r="AF159" t="str">
        <f>IFERROR(CORREL(J144:N144,J159:N159),"")</f>
        <v/>
      </c>
      <c r="AZ159">
        <f t="shared" si="38"/>
        <v>0</v>
      </c>
      <c r="BA159" t="str">
        <f>IF(AZ159=1,IF(Q159="","",IF(Q159=N144,"Yes","No")),"")</f>
        <v/>
      </c>
      <c r="BB159" t="str">
        <f t="shared" si="39"/>
        <v/>
      </c>
      <c r="BC159" t="str">
        <f>IF(AZ159=1,IF(S159="","",IF(S159=N144,"Yes","No")),"")</f>
        <v/>
      </c>
      <c r="BD159" t="str">
        <f t="shared" si="40"/>
        <v/>
      </c>
      <c r="BE159" t="str">
        <f t="shared" si="41"/>
        <v/>
      </c>
      <c r="BF159" t="str">
        <f t="shared" si="42"/>
        <v>No</v>
      </c>
      <c r="BG159" t="str">
        <f t="shared" si="43"/>
        <v>No</v>
      </c>
      <c r="BH159" t="str">
        <f t="shared" si="44"/>
        <v/>
      </c>
    </row>
    <row r="160" spans="1:60" x14ac:dyDescent="0.3">
      <c r="A160" s="1">
        <v>2</v>
      </c>
      <c r="B160" t="s">
        <v>322</v>
      </c>
      <c r="C160" t="s">
        <v>264</v>
      </c>
      <c r="D160" t="s">
        <v>264</v>
      </c>
      <c r="E160" t="s">
        <v>264</v>
      </c>
      <c r="F160" t="s">
        <v>264</v>
      </c>
      <c r="G160" t="s">
        <v>264</v>
      </c>
      <c r="I160" t="str">
        <f t="shared" si="46"/>
        <v>N/A</v>
      </c>
      <c r="J160" t="str">
        <f t="shared" si="47"/>
        <v>N/A</v>
      </c>
      <c r="K160" t="str">
        <f t="shared" si="48"/>
        <v>N/A</v>
      </c>
      <c r="L160" t="str">
        <f t="shared" si="49"/>
        <v>N/A</v>
      </c>
      <c r="M160" t="str">
        <f t="shared" si="50"/>
        <v>N/A</v>
      </c>
      <c r="N160" t="str">
        <f t="shared" si="51"/>
        <v>N/A</v>
      </c>
      <c r="P160">
        <f t="shared" si="27"/>
        <v>0</v>
      </c>
      <c r="Q160" t="str">
        <f>IFERROR(J144+MATCH(P160,J160:N160,0)-1,"")</f>
        <v/>
      </c>
      <c r="R160" t="str">
        <f t="shared" si="28"/>
        <v/>
      </c>
      <c r="S160" t="str">
        <f>IFERROR(J144+MATCH(R160,J160:N160,0)-1,"")</f>
        <v/>
      </c>
      <c r="T160" t="str">
        <f t="shared" si="29"/>
        <v/>
      </c>
      <c r="U160" t="str">
        <f t="shared" si="30"/>
        <v/>
      </c>
      <c r="V160" t="str">
        <f t="shared" si="31"/>
        <v/>
      </c>
      <c r="W160" t="str">
        <f t="shared" si="32"/>
        <v/>
      </c>
      <c r="X160" t="str">
        <f t="shared" si="33"/>
        <v/>
      </c>
      <c r="Y160" t="str">
        <f t="shared" si="34"/>
        <v/>
      </c>
      <c r="Z160" t="str">
        <f t="shared" si="35"/>
        <v/>
      </c>
      <c r="AA160">
        <f t="shared" si="36"/>
        <v>0</v>
      </c>
      <c r="AB160" t="str">
        <f>IFERROR(V144+MATCH(AA160,V160:Z160,0)-1,"")</f>
        <v/>
      </c>
      <c r="AC160" t="str">
        <f t="shared" si="37"/>
        <v/>
      </c>
      <c r="AE160" t="str">
        <f>IF(ISNUMBER(MATCH("N/A",J160:N160,0)),"",IFERROR((5 * SUMPRODUCT(J144:N144,J160:N160) - PRODUCT(SUM(J144:N144),SUM(J160:N160))) / ((5 * SUM((J144^2)+(K144^2)+(L144^2)+(M144^2)+(N144^2))) - SUM(J144:N144)^2),""))</f>
        <v/>
      </c>
      <c r="AF160" t="str">
        <f>IFERROR(CORREL(J144:N144,J160:N160),"")</f>
        <v/>
      </c>
      <c r="AZ160">
        <f t="shared" si="38"/>
        <v>0</v>
      </c>
      <c r="BA160" t="str">
        <f>IF(AZ160=1,IF(Q160="","",IF(Q160=N144,"Yes","No")),"")</f>
        <v/>
      </c>
      <c r="BB160" t="str">
        <f t="shared" si="39"/>
        <v/>
      </c>
      <c r="BC160" t="str">
        <f>IF(AZ160=1,IF(S160="","",IF(S160=N144,"Yes","No")),"")</f>
        <v/>
      </c>
      <c r="BD160" t="str">
        <f t="shared" si="40"/>
        <v/>
      </c>
      <c r="BE160" t="str">
        <f t="shared" si="41"/>
        <v/>
      </c>
      <c r="BF160" t="str">
        <f t="shared" si="42"/>
        <v>No</v>
      </c>
      <c r="BG160" t="str">
        <f t="shared" si="43"/>
        <v>No</v>
      </c>
      <c r="BH160" t="str">
        <f t="shared" si="44"/>
        <v/>
      </c>
    </row>
    <row r="161" spans="1:60" x14ac:dyDescent="0.3">
      <c r="A161" s="1">
        <v>3</v>
      </c>
      <c r="B161" t="s">
        <v>323</v>
      </c>
      <c r="C161" t="s">
        <v>264</v>
      </c>
      <c r="D161" t="s">
        <v>264</v>
      </c>
      <c r="E161" t="s">
        <v>264</v>
      </c>
      <c r="F161" t="s">
        <v>264</v>
      </c>
      <c r="G161" t="s">
        <v>264</v>
      </c>
      <c r="I161" t="str">
        <f t="shared" si="46"/>
        <v>N/A</v>
      </c>
      <c r="J161" t="str">
        <f t="shared" si="47"/>
        <v>N/A</v>
      </c>
      <c r="K161" t="str">
        <f t="shared" si="48"/>
        <v>N/A</v>
      </c>
      <c r="L161" t="str">
        <f t="shared" si="49"/>
        <v>N/A</v>
      </c>
      <c r="M161" t="str">
        <f t="shared" si="50"/>
        <v>N/A</v>
      </c>
      <c r="N161" t="str">
        <f t="shared" si="51"/>
        <v>N/A</v>
      </c>
      <c r="P161">
        <f t="shared" si="27"/>
        <v>0</v>
      </c>
      <c r="Q161" t="str">
        <f>IFERROR(J144+MATCH(P161,J161:N161,0)-1,"")</f>
        <v/>
      </c>
      <c r="R161" t="str">
        <f t="shared" si="28"/>
        <v/>
      </c>
      <c r="S161" t="str">
        <f>IFERROR(J144+MATCH(R161,J161:N161,0)-1,"")</f>
        <v/>
      </c>
      <c r="T161" t="str">
        <f t="shared" si="29"/>
        <v/>
      </c>
      <c r="U161" t="str">
        <f t="shared" si="30"/>
        <v/>
      </c>
      <c r="V161" t="str">
        <f t="shared" si="31"/>
        <v/>
      </c>
      <c r="W161" t="str">
        <f t="shared" si="32"/>
        <v/>
      </c>
      <c r="X161" t="str">
        <f t="shared" si="33"/>
        <v/>
      </c>
      <c r="Y161" t="str">
        <f t="shared" si="34"/>
        <v/>
      </c>
      <c r="Z161" t="str">
        <f t="shared" si="35"/>
        <v/>
      </c>
      <c r="AA161">
        <f t="shared" si="36"/>
        <v>0</v>
      </c>
      <c r="AB161" t="str">
        <f>IFERROR(V144+MATCH(AA161,V161:Z161,0)-1,"")</f>
        <v/>
      </c>
      <c r="AC161" t="str">
        <f t="shared" si="37"/>
        <v/>
      </c>
      <c r="AE161" t="str">
        <f>IF(ISNUMBER(MATCH("N/A",J161:N161,0)),"",IFERROR((5 * SUMPRODUCT(J144:N144,J161:N161) - PRODUCT(SUM(J144:N144),SUM(J161:N161))) / ((5 * SUM((J144^2)+(K144^2)+(L144^2)+(M144^2)+(N144^2))) - SUM(J144:N144)^2),""))</f>
        <v/>
      </c>
      <c r="AF161" t="str">
        <f>IFERROR(CORREL(J144:N144,J161:N161),"")</f>
        <v/>
      </c>
      <c r="AZ161">
        <f t="shared" si="38"/>
        <v>0</v>
      </c>
      <c r="BA161" t="str">
        <f>IF(AZ161=1,IF(Q161="","",IF(Q161=N144,"Yes","No")),"")</f>
        <v/>
      </c>
      <c r="BB161" t="str">
        <f t="shared" si="39"/>
        <v/>
      </c>
      <c r="BC161" t="str">
        <f>IF(AZ161=1,IF(S161="","",IF(S161=N144,"Yes","No")),"")</f>
        <v/>
      </c>
      <c r="BD161" t="str">
        <f t="shared" si="40"/>
        <v/>
      </c>
      <c r="BE161" t="str">
        <f t="shared" si="41"/>
        <v/>
      </c>
      <c r="BF161" t="str">
        <f t="shared" si="42"/>
        <v>No</v>
      </c>
      <c r="BG161" t="str">
        <f t="shared" si="43"/>
        <v>No</v>
      </c>
      <c r="BH161" t="str">
        <f t="shared" si="44"/>
        <v/>
      </c>
    </row>
    <row r="162" spans="1:60" x14ac:dyDescent="0.3">
      <c r="A162" s="1">
        <v>4</v>
      </c>
      <c r="B162" t="s">
        <v>328</v>
      </c>
      <c r="C162" t="s">
        <v>264</v>
      </c>
      <c r="D162" t="s">
        <v>264</v>
      </c>
      <c r="E162" t="s">
        <v>264</v>
      </c>
      <c r="F162" t="s">
        <v>264</v>
      </c>
      <c r="G162" t="s">
        <v>264</v>
      </c>
      <c r="I162" t="str">
        <f t="shared" si="46"/>
        <v>N/A</v>
      </c>
      <c r="J162" t="str">
        <f t="shared" si="47"/>
        <v>N/A</v>
      </c>
      <c r="K162" t="str">
        <f t="shared" si="48"/>
        <v>N/A</v>
      </c>
      <c r="L162" t="str">
        <f t="shared" si="49"/>
        <v>N/A</v>
      </c>
      <c r="M162" t="str">
        <f t="shared" si="50"/>
        <v>N/A</v>
      </c>
      <c r="N162" t="str">
        <f t="shared" si="51"/>
        <v>N/A</v>
      </c>
      <c r="P162">
        <f t="shared" si="27"/>
        <v>0</v>
      </c>
      <c r="Q162" t="str">
        <f>IFERROR(J144+MATCH(P162,J162:N162,0)-1,"")</f>
        <v/>
      </c>
      <c r="R162" t="str">
        <f t="shared" si="28"/>
        <v/>
      </c>
      <c r="S162" t="str">
        <f>IFERROR(J144+MATCH(R162,J162:N162,0)-1,"")</f>
        <v/>
      </c>
      <c r="T162" t="str">
        <f t="shared" si="29"/>
        <v/>
      </c>
      <c r="U162" t="str">
        <f t="shared" si="30"/>
        <v/>
      </c>
      <c r="V162" t="str">
        <f t="shared" si="31"/>
        <v/>
      </c>
      <c r="W162" t="str">
        <f t="shared" si="32"/>
        <v/>
      </c>
      <c r="X162" t="str">
        <f t="shared" si="33"/>
        <v/>
      </c>
      <c r="Y162" t="str">
        <f t="shared" si="34"/>
        <v/>
      </c>
      <c r="Z162" t="str">
        <f t="shared" si="35"/>
        <v/>
      </c>
      <c r="AA162">
        <f t="shared" si="36"/>
        <v>0</v>
      </c>
      <c r="AB162" t="str">
        <f>IFERROR(V144+MATCH(AA162,V162:Z162,0)-1,"")</f>
        <v/>
      </c>
      <c r="AC162" t="str">
        <f t="shared" si="37"/>
        <v/>
      </c>
      <c r="AE162" t="str">
        <f>IF(ISNUMBER(MATCH("N/A",J162:N162,0)),"",IFERROR((5 * SUMPRODUCT(J144:N144,J162:N162) - PRODUCT(SUM(J144:N144),SUM(J162:N162))) / ((5 * SUM((J144^2)+(K144^2)+(L144^2)+(M144^2)+(N144^2))) - SUM(J144:N144)^2),""))</f>
        <v/>
      </c>
      <c r="AF162" t="str">
        <f>IFERROR(CORREL(J144:N144,J162:N162),"")</f>
        <v/>
      </c>
      <c r="AZ162">
        <f t="shared" si="38"/>
        <v>0</v>
      </c>
      <c r="BA162" t="str">
        <f>IF(AZ162=1,IF(Q162="","",IF(Q162=N144,"Yes","No")),"")</f>
        <v/>
      </c>
      <c r="BB162" t="str">
        <f t="shared" si="39"/>
        <v/>
      </c>
      <c r="BC162" t="str">
        <f>IF(AZ162=1,IF(S162="","",IF(S162=N144,"Yes","No")),"")</f>
        <v/>
      </c>
      <c r="BD162" t="str">
        <f t="shared" si="40"/>
        <v/>
      </c>
      <c r="BE162" t="str">
        <f t="shared" si="41"/>
        <v/>
      </c>
      <c r="BF162" t="str">
        <f t="shared" si="42"/>
        <v>No</v>
      </c>
      <c r="BG162" t="str">
        <f t="shared" si="43"/>
        <v>No</v>
      </c>
      <c r="BH162" t="str">
        <f t="shared" si="44"/>
        <v/>
      </c>
    </row>
    <row r="163" spans="1:60" x14ac:dyDescent="0.3">
      <c r="A163" s="1">
        <v>5</v>
      </c>
      <c r="B163" t="s">
        <v>331</v>
      </c>
      <c r="C163" t="s">
        <v>264</v>
      </c>
      <c r="D163" t="s">
        <v>264</v>
      </c>
      <c r="E163" t="s">
        <v>264</v>
      </c>
      <c r="F163" t="s">
        <v>264</v>
      </c>
      <c r="G163" t="s">
        <v>1147</v>
      </c>
      <c r="I163" t="str">
        <f t="shared" si="46"/>
        <v>N/A</v>
      </c>
      <c r="J163" t="str">
        <f t="shared" si="47"/>
        <v>N/A</v>
      </c>
      <c r="K163" t="str">
        <f t="shared" si="48"/>
        <v>N/A</v>
      </c>
      <c r="L163" t="str">
        <f t="shared" si="49"/>
        <v>N/A</v>
      </c>
      <c r="M163" t="str">
        <f t="shared" si="50"/>
        <v>N/A</v>
      </c>
      <c r="N163">
        <f t="shared" si="51"/>
        <v>10380000</v>
      </c>
      <c r="P163">
        <f t="shared" si="27"/>
        <v>10380000</v>
      </c>
      <c r="Q163">
        <f>IFERROR(J144+MATCH(P163,J163:N163,0)-1,"")</f>
        <v>2016</v>
      </c>
      <c r="R163">
        <f t="shared" si="28"/>
        <v>10380000</v>
      </c>
      <c r="S163">
        <f>IFERROR(J144+MATCH(R163,J163:N163,0)-1,"")</f>
        <v>2016</v>
      </c>
      <c r="T163">
        <f t="shared" si="29"/>
        <v>10380000</v>
      </c>
      <c r="U163" t="str">
        <f t="shared" si="30"/>
        <v/>
      </c>
      <c r="V163" t="str">
        <f t="shared" si="31"/>
        <v/>
      </c>
      <c r="W163" t="str">
        <f t="shared" si="32"/>
        <v/>
      </c>
      <c r="X163" t="str">
        <f t="shared" si="33"/>
        <v/>
      </c>
      <c r="Y163" t="str">
        <f t="shared" si="34"/>
        <v/>
      </c>
      <c r="Z163" t="str">
        <f t="shared" si="35"/>
        <v/>
      </c>
      <c r="AA163">
        <f t="shared" si="36"/>
        <v>0</v>
      </c>
      <c r="AB163" t="str">
        <f>IFERROR(V144+MATCH(AA163,V163:Z163,0)-1,"")</f>
        <v/>
      </c>
      <c r="AC163" t="str">
        <f t="shared" si="37"/>
        <v/>
      </c>
      <c r="AE163" t="str">
        <f>IF(ISNUMBER(MATCH("N/A",J163:N163,0)),"",IFERROR((5 * SUMPRODUCT(J144:N144,J163:N163) - PRODUCT(SUM(J144:N144),SUM(J163:N163))) / ((5 * SUM((J144^2)+(K144^2)+(L144^2)+(M144^2)+(N144^2))) - SUM(J144:N144)^2),""))</f>
        <v/>
      </c>
      <c r="AF163" t="str">
        <f>IFERROR(CORREL(J144:N144,J163:N163),"")</f>
        <v/>
      </c>
      <c r="AZ163">
        <f t="shared" si="38"/>
        <v>0</v>
      </c>
      <c r="BA163" t="str">
        <f>IF(AZ163=1,IF(Q163="","",IF(Q163=N144,"Yes","No")),"")</f>
        <v/>
      </c>
      <c r="BB163" t="str">
        <f t="shared" si="39"/>
        <v/>
      </c>
      <c r="BC163" t="str">
        <f>IF(AZ163=1,IF(S163="","",IF(S163=N144,"Yes","No")),"")</f>
        <v/>
      </c>
      <c r="BD163" t="str">
        <f t="shared" si="40"/>
        <v/>
      </c>
      <c r="BE163" t="str">
        <f t="shared" si="41"/>
        <v/>
      </c>
      <c r="BF163" t="str">
        <f t="shared" si="42"/>
        <v>No</v>
      </c>
      <c r="BG163" t="str">
        <f t="shared" si="43"/>
        <v>No</v>
      </c>
      <c r="BH163" t="str">
        <f t="shared" si="44"/>
        <v/>
      </c>
    </row>
    <row r="164" spans="1:60" x14ac:dyDescent="0.3">
      <c r="A164" s="1">
        <v>6</v>
      </c>
      <c r="B164" t="s">
        <v>336</v>
      </c>
      <c r="C164" t="s">
        <v>264</v>
      </c>
      <c r="D164" t="s">
        <v>264</v>
      </c>
      <c r="E164" t="s">
        <v>264</v>
      </c>
      <c r="F164" t="s">
        <v>264</v>
      </c>
      <c r="G164" t="s">
        <v>1148</v>
      </c>
      <c r="I164" t="str">
        <f t="shared" si="46"/>
        <v>N/A</v>
      </c>
      <c r="J164" t="str">
        <f t="shared" si="47"/>
        <v>N/A</v>
      </c>
      <c r="K164" t="str">
        <f t="shared" si="48"/>
        <v>N/A</v>
      </c>
      <c r="L164" t="str">
        <f t="shared" si="49"/>
        <v>N/A</v>
      </c>
      <c r="M164" t="str">
        <f t="shared" si="50"/>
        <v>N/A</v>
      </c>
      <c r="N164">
        <f t="shared" si="51"/>
        <v>25990000</v>
      </c>
      <c r="P164">
        <f t="shared" si="27"/>
        <v>25990000</v>
      </c>
      <c r="Q164">
        <f>IFERROR(J144+MATCH(P164,J164:N164,0)-1,"")</f>
        <v>2016</v>
      </c>
      <c r="R164">
        <f t="shared" si="28"/>
        <v>25990000</v>
      </c>
      <c r="S164">
        <f>IFERROR(J144+MATCH(R164,J164:N164,0)-1,"")</f>
        <v>2016</v>
      </c>
      <c r="T164">
        <f t="shared" si="29"/>
        <v>25990000</v>
      </c>
      <c r="U164" t="str">
        <f t="shared" si="30"/>
        <v/>
      </c>
      <c r="V164" t="str">
        <f t="shared" si="31"/>
        <v/>
      </c>
      <c r="W164" t="str">
        <f t="shared" si="32"/>
        <v/>
      </c>
      <c r="X164" t="str">
        <f t="shared" si="33"/>
        <v/>
      </c>
      <c r="Y164" t="str">
        <f t="shared" si="34"/>
        <v/>
      </c>
      <c r="Z164" t="str">
        <f t="shared" si="35"/>
        <v/>
      </c>
      <c r="AA164">
        <f t="shared" si="36"/>
        <v>0</v>
      </c>
      <c r="AB164" t="str">
        <f>IFERROR(V144+MATCH(AA164,V164:Z164,0)-1,"")</f>
        <v/>
      </c>
      <c r="AC164" t="str">
        <f t="shared" si="37"/>
        <v/>
      </c>
      <c r="AE164" t="str">
        <f>IF(ISNUMBER(MATCH("N/A",J164:N164,0)),"",IFERROR((5 * SUMPRODUCT(J144:N144,J164:N164) - PRODUCT(SUM(J144:N144),SUM(J164:N164))) / ((5 * SUM((J144^2)+(K144^2)+(L144^2)+(M144^2)+(N144^2))) - SUM(J144:N144)^2),""))</f>
        <v/>
      </c>
      <c r="AF164" t="str">
        <f>IFERROR(CORREL(J144:N144,J164:N164),"")</f>
        <v/>
      </c>
      <c r="AZ164">
        <f t="shared" si="38"/>
        <v>0</v>
      </c>
      <c r="BA164" t="str">
        <f>IF(AZ164=1,IF(Q164="","",IF(Q164=N144,"Yes","No")),"")</f>
        <v/>
      </c>
      <c r="BB164" t="str">
        <f t="shared" si="39"/>
        <v/>
      </c>
      <c r="BC164" t="str">
        <f>IF(AZ164=1,IF(S164="","",IF(S164=N144,"Yes","No")),"")</f>
        <v/>
      </c>
      <c r="BD164" t="str">
        <f t="shared" si="40"/>
        <v/>
      </c>
      <c r="BE164" t="str">
        <f t="shared" si="41"/>
        <v/>
      </c>
      <c r="BF164" t="str">
        <f t="shared" si="42"/>
        <v>No</v>
      </c>
      <c r="BG164" t="str">
        <f t="shared" si="43"/>
        <v>No</v>
      </c>
      <c r="BH164" t="str">
        <f t="shared" si="44"/>
        <v/>
      </c>
    </row>
    <row r="165" spans="1:60" x14ac:dyDescent="0.3">
      <c r="A165" s="1">
        <v>7</v>
      </c>
      <c r="B165" t="s">
        <v>341</v>
      </c>
      <c r="C165" t="s">
        <v>1149</v>
      </c>
      <c r="D165" t="s">
        <v>1150</v>
      </c>
      <c r="E165" t="s">
        <v>1151</v>
      </c>
      <c r="F165" t="s">
        <v>1152</v>
      </c>
      <c r="G165" t="s">
        <v>1153</v>
      </c>
      <c r="I165" t="str">
        <f t="shared" si="46"/>
        <v>N/A</v>
      </c>
      <c r="J165">
        <f t="shared" si="47"/>
        <v>2040000</v>
      </c>
      <c r="K165">
        <f t="shared" si="48"/>
        <v>4470000</v>
      </c>
      <c r="L165">
        <f t="shared" si="49"/>
        <v>5180000</v>
      </c>
      <c r="M165">
        <f t="shared" si="50"/>
        <v>2089999.9999999998</v>
      </c>
      <c r="N165">
        <f t="shared" si="51"/>
        <v>5920000</v>
      </c>
      <c r="P165">
        <f t="shared" si="27"/>
        <v>5920000</v>
      </c>
      <c r="Q165">
        <f>IFERROR(J144+MATCH(P165,J165:N165,0)-1,"")</f>
        <v>2016</v>
      </c>
      <c r="R165">
        <f t="shared" si="28"/>
        <v>2040000</v>
      </c>
      <c r="S165">
        <f>IFERROR(J144+MATCH(R165,J165:N165,0)-1,"")</f>
        <v>2012</v>
      </c>
      <c r="T165">
        <f t="shared" si="29"/>
        <v>3940000</v>
      </c>
      <c r="U165">
        <f t="shared" si="30"/>
        <v>1786854.7786543819</v>
      </c>
      <c r="V165">
        <f t="shared" si="31"/>
        <v>-1.0633208824227025</v>
      </c>
      <c r="W165">
        <f t="shared" si="32"/>
        <v>0.29661056193896435</v>
      </c>
      <c r="X165">
        <f t="shared" si="33"/>
        <v>0.69395678642323744</v>
      </c>
      <c r="Y165">
        <f t="shared" si="34"/>
        <v>-1.0353387539378947</v>
      </c>
      <c r="Z165">
        <f t="shared" si="35"/>
        <v>1.1080922879983952</v>
      </c>
      <c r="AA165">
        <f t="shared" si="36"/>
        <v>1.1080922879983952</v>
      </c>
      <c r="AB165">
        <f>IFERROR(V144+MATCH(AA165,V165:Z165,0)-1,"")</f>
        <v>2016</v>
      </c>
      <c r="AC165" t="str">
        <f t="shared" si="37"/>
        <v>High</v>
      </c>
      <c r="AE165">
        <f>IF(ISNUMBER(MATCH("N/A",J165:N165,0)),"",IFERROR((5 * SUMPRODUCT(J144:N144,J165:N165) - PRODUCT(SUM(J144:N144),SUM(J165:N165))) / ((5 * SUM((J144^2)+(K144^2)+(L144^2)+(M144^2)+(N144^2))) - SUM(J144:N144)^2),""))</f>
        <v>538000</v>
      </c>
      <c r="AF165">
        <f>IFERROR(CORREL(J144:N144,J165:N165),"")</f>
        <v>0.47606145767810576</v>
      </c>
      <c r="AZ165">
        <f t="shared" si="38"/>
        <v>1</v>
      </c>
      <c r="BA165" t="str">
        <f>IF(AZ165=1,IF(Q165="","",IF(Q165=N144,"Yes","No")),"")</f>
        <v>Yes</v>
      </c>
      <c r="BB165">
        <f t="shared" si="39"/>
        <v>5920000</v>
      </c>
      <c r="BC165" t="str">
        <f>IF(AZ165=1,IF(S165="","",IF(S165=N144,"Yes","No")),"")</f>
        <v>No</v>
      </c>
      <c r="BD165" t="str">
        <f t="shared" si="40"/>
        <v/>
      </c>
      <c r="BE165" t="str">
        <f t="shared" si="41"/>
        <v>Increasing</v>
      </c>
      <c r="BF165" t="str">
        <f t="shared" si="42"/>
        <v>Yes</v>
      </c>
      <c r="BG165" t="str">
        <f t="shared" si="43"/>
        <v>No</v>
      </c>
      <c r="BH165" t="str">
        <f t="shared" si="44"/>
        <v>No</v>
      </c>
    </row>
    <row r="166" spans="1:60" x14ac:dyDescent="0.3">
      <c r="A166" s="1">
        <v>8</v>
      </c>
      <c r="B166" t="s">
        <v>347</v>
      </c>
      <c r="C166" t="s">
        <v>1154</v>
      </c>
      <c r="D166" t="s">
        <v>1155</v>
      </c>
      <c r="E166" t="s">
        <v>1156</v>
      </c>
      <c r="F166" t="s">
        <v>1157</v>
      </c>
      <c r="G166" t="s">
        <v>1158</v>
      </c>
      <c r="I166" t="str">
        <f t="shared" si="46"/>
        <v>N/A</v>
      </c>
      <c r="J166">
        <f t="shared" si="47"/>
        <v>808000</v>
      </c>
      <c r="K166">
        <f t="shared" si="48"/>
        <v>681000</v>
      </c>
      <c r="L166">
        <f t="shared" si="49"/>
        <v>851000</v>
      </c>
      <c r="M166">
        <f t="shared" si="50"/>
        <v>1280000</v>
      </c>
      <c r="N166">
        <f t="shared" si="51"/>
        <v>1520000</v>
      </c>
      <c r="P166">
        <f t="shared" si="27"/>
        <v>1520000</v>
      </c>
      <c r="Q166">
        <f>IFERROR(J144+MATCH(P166,J166:N166,0)-1,"")</f>
        <v>2016</v>
      </c>
      <c r="R166">
        <f t="shared" si="28"/>
        <v>681000</v>
      </c>
      <c r="S166">
        <f>IFERROR(J144+MATCH(R166,J166:N166,0)-1,"")</f>
        <v>2013</v>
      </c>
      <c r="T166">
        <f t="shared" si="29"/>
        <v>1028000</v>
      </c>
      <c r="U166">
        <f t="shared" si="30"/>
        <v>355565.04327619157</v>
      </c>
      <c r="V166">
        <f t="shared" si="31"/>
        <v>-0.61873348958297636</v>
      </c>
      <c r="W166">
        <f t="shared" si="32"/>
        <v>-0.97591145856951267</v>
      </c>
      <c r="X166">
        <f t="shared" si="33"/>
        <v>-0.49779921661903093</v>
      </c>
      <c r="Y166">
        <f t="shared" si="34"/>
        <v>0.70873108806777285</v>
      </c>
      <c r="Z166">
        <f t="shared" si="35"/>
        <v>1.3837130767037471</v>
      </c>
      <c r="AA166">
        <f t="shared" si="36"/>
        <v>1.3837130767037471</v>
      </c>
      <c r="AB166">
        <f>IFERROR(V144+MATCH(AA166,V166:Z166,0)-1,"")</f>
        <v>2016</v>
      </c>
      <c r="AC166" t="str">
        <f t="shared" si="37"/>
        <v>High</v>
      </c>
      <c r="AE166">
        <f>IF(ISNUMBER(MATCH("N/A",J166:N166,0)),"",IFERROR((5 * SUMPRODUCT(J144:N144,J166:N166) - PRODUCT(SUM(J144:N144),SUM(J166:N166))) / ((5 * SUM((J144^2)+(K144^2)+(L144^2)+(M144^2)+(N144^2))) - SUM(J144:N144)^2),""))</f>
        <v>202300</v>
      </c>
      <c r="AF166">
        <f>IFERROR(CORREL(J144:N144,J166:N166),"")</f>
        <v>0.89959457875495108</v>
      </c>
      <c r="AZ166">
        <f t="shared" si="38"/>
        <v>1</v>
      </c>
      <c r="BA166" t="str">
        <f>IF(AZ166=1,IF(Q166="","",IF(Q166=N144,"Yes","No")),"")</f>
        <v>Yes</v>
      </c>
      <c r="BB166">
        <f t="shared" si="39"/>
        <v>1520000</v>
      </c>
      <c r="BC166" t="str">
        <f>IF(AZ166=1,IF(S166="","",IF(S166=N144,"Yes","No")),"")</f>
        <v>No</v>
      </c>
      <c r="BD166" t="str">
        <f t="shared" si="40"/>
        <v/>
      </c>
      <c r="BE166" t="str">
        <f t="shared" si="41"/>
        <v>Increasing</v>
      </c>
      <c r="BF166" t="str">
        <f t="shared" si="42"/>
        <v>Yes</v>
      </c>
      <c r="BG166" t="str">
        <f t="shared" si="43"/>
        <v>No</v>
      </c>
      <c r="BH166" t="str">
        <f t="shared" si="44"/>
        <v>Yes</v>
      </c>
    </row>
    <row r="167" spans="1:60" x14ac:dyDescent="0.3">
      <c r="A167" s="1">
        <v>9</v>
      </c>
      <c r="B167" t="s">
        <v>353</v>
      </c>
      <c r="C167" t="s">
        <v>264</v>
      </c>
      <c r="D167" t="s">
        <v>264</v>
      </c>
      <c r="E167" t="s">
        <v>264</v>
      </c>
      <c r="F167" t="s">
        <v>264</v>
      </c>
      <c r="G167" t="s">
        <v>264</v>
      </c>
      <c r="I167" t="str">
        <f t="shared" si="46"/>
        <v>N/A</v>
      </c>
      <c r="J167" t="str">
        <f t="shared" si="47"/>
        <v>N/A</v>
      </c>
      <c r="K167" t="str">
        <f t="shared" si="48"/>
        <v>N/A</v>
      </c>
      <c r="L167" t="str">
        <f t="shared" si="49"/>
        <v>N/A</v>
      </c>
      <c r="M167" t="str">
        <f t="shared" si="50"/>
        <v>N/A</v>
      </c>
      <c r="N167" t="str">
        <f t="shared" si="51"/>
        <v>N/A</v>
      </c>
      <c r="P167">
        <f t="shared" si="27"/>
        <v>0</v>
      </c>
      <c r="Q167" t="str">
        <f>IFERROR(J144+MATCH(P167,J167:N167,0)-1,"")</f>
        <v/>
      </c>
      <c r="R167" t="str">
        <f t="shared" si="28"/>
        <v/>
      </c>
      <c r="S167" t="str">
        <f>IFERROR(J144+MATCH(R167,J167:N167,0)-1,"")</f>
        <v/>
      </c>
      <c r="T167" t="str">
        <f t="shared" si="29"/>
        <v/>
      </c>
      <c r="U167" t="str">
        <f t="shared" si="30"/>
        <v/>
      </c>
      <c r="V167" t="str">
        <f t="shared" si="31"/>
        <v/>
      </c>
      <c r="W167" t="str">
        <f t="shared" si="32"/>
        <v/>
      </c>
      <c r="X167" t="str">
        <f t="shared" si="33"/>
        <v/>
      </c>
      <c r="Y167" t="str">
        <f t="shared" si="34"/>
        <v/>
      </c>
      <c r="Z167" t="str">
        <f t="shared" si="35"/>
        <v/>
      </c>
      <c r="AA167">
        <f t="shared" si="36"/>
        <v>0</v>
      </c>
      <c r="AB167" t="str">
        <f>IFERROR(V144+MATCH(AA167,V167:Z167,0)-1,"")</f>
        <v/>
      </c>
      <c r="AC167" t="str">
        <f t="shared" si="37"/>
        <v/>
      </c>
      <c r="AE167" t="str">
        <f>IF(ISNUMBER(MATCH("N/A",J167:N167,0)),"",IFERROR((5 * SUMPRODUCT(J144:N144,J167:N167) - PRODUCT(SUM(J144:N144),SUM(J167:N167))) / ((5 * SUM((J144^2)+(K144^2)+(L144^2)+(M144^2)+(N144^2))) - SUM(J144:N144)^2),""))</f>
        <v/>
      </c>
      <c r="AF167" t="str">
        <f>IFERROR(CORREL(J144:N144,J167:N167),"")</f>
        <v/>
      </c>
      <c r="AZ167">
        <f t="shared" si="38"/>
        <v>0</v>
      </c>
      <c r="BA167" t="str">
        <f>IF(AZ167=1,IF(Q167="","",IF(Q167=N144,"Yes","No")),"")</f>
        <v/>
      </c>
      <c r="BB167" t="str">
        <f t="shared" si="39"/>
        <v/>
      </c>
      <c r="BC167" t="str">
        <f>IF(AZ167=1,IF(S167="","",IF(S167=N144,"Yes","No")),"")</f>
        <v/>
      </c>
      <c r="BD167" t="str">
        <f t="shared" si="40"/>
        <v/>
      </c>
      <c r="BE167" t="str">
        <f t="shared" si="41"/>
        <v/>
      </c>
      <c r="BF167" t="str">
        <f t="shared" si="42"/>
        <v>No</v>
      </c>
      <c r="BG167" t="str">
        <f t="shared" si="43"/>
        <v>No</v>
      </c>
      <c r="BH167" t="str">
        <f t="shared" si="44"/>
        <v/>
      </c>
    </row>
    <row r="168" spans="1:60" x14ac:dyDescent="0.3">
      <c r="A168" s="1">
        <v>10</v>
      </c>
      <c r="B168" t="s">
        <v>354</v>
      </c>
      <c r="C168" t="s">
        <v>1159</v>
      </c>
      <c r="D168" t="s">
        <v>1160</v>
      </c>
      <c r="E168" t="s">
        <v>1161</v>
      </c>
      <c r="F168" t="s">
        <v>1162</v>
      </c>
      <c r="G168" t="s">
        <v>1163</v>
      </c>
      <c r="I168" t="str">
        <f t="shared" si="46"/>
        <v>N/A</v>
      </c>
      <c r="J168">
        <f t="shared" si="47"/>
        <v>5270000</v>
      </c>
      <c r="K168">
        <f t="shared" si="48"/>
        <v>4179999.9999999995</v>
      </c>
      <c r="L168">
        <f t="shared" si="49"/>
        <v>3190000</v>
      </c>
      <c r="M168">
        <f t="shared" si="50"/>
        <v>4400000</v>
      </c>
      <c r="N168">
        <f t="shared" si="51"/>
        <v>5150000</v>
      </c>
      <c r="P168">
        <f t="shared" si="27"/>
        <v>5270000</v>
      </c>
      <c r="Q168">
        <f>IFERROR(J144+MATCH(P168,J168:N168,0)-1,"")</f>
        <v>2012</v>
      </c>
      <c r="R168">
        <f t="shared" si="28"/>
        <v>3190000</v>
      </c>
      <c r="S168">
        <f>IFERROR(J144+MATCH(R168,J168:N168,0)-1,"")</f>
        <v>2014</v>
      </c>
      <c r="T168">
        <f t="shared" si="29"/>
        <v>4438000</v>
      </c>
      <c r="U168">
        <f t="shared" si="30"/>
        <v>840339.21722123621</v>
      </c>
      <c r="V168">
        <f t="shared" si="31"/>
        <v>0.99007636791150644</v>
      </c>
      <c r="W168">
        <f t="shared" si="32"/>
        <v>-0.30701887370332825</v>
      </c>
      <c r="X168">
        <f t="shared" si="33"/>
        <v>-1.4851145518672597</v>
      </c>
      <c r="Y168">
        <f t="shared" si="34"/>
        <v>-4.5219834111342845E-2</v>
      </c>
      <c r="Z168">
        <f t="shared" si="35"/>
        <v>0.84727689177042376</v>
      </c>
      <c r="AA168">
        <f t="shared" si="36"/>
        <v>-1.4851145518672597</v>
      </c>
      <c r="AB168">
        <f>IFERROR(V144+MATCH(AA168,V168:Z168,0)-1,"")</f>
        <v>2014</v>
      </c>
      <c r="AC168" t="str">
        <f t="shared" si="37"/>
        <v>Low</v>
      </c>
      <c r="AE168">
        <f>IF(ISNUMBER(MATCH("N/A",J168:N168,0)),"",IFERROR((5 * SUMPRODUCT(J144:N144,J168:N168) - PRODUCT(SUM(J144:N144),SUM(J168:N168))) / ((5 * SUM((J144^2)+(K144^2)+(L144^2)+(M144^2)+(N144^2))) - SUM(J144:N144)^2),""))</f>
        <v>-2000</v>
      </c>
      <c r="AF168">
        <f>IFERROR(CORREL(J144:N144,J168:N168),"")</f>
        <v>-3.7630966107056888E-3</v>
      </c>
      <c r="AZ168">
        <f t="shared" si="38"/>
        <v>1</v>
      </c>
      <c r="BA168" t="str">
        <f>IF(AZ168=1,IF(Q168="","",IF(Q168=N144,"Yes","No")),"")</f>
        <v>No</v>
      </c>
      <c r="BB168" t="str">
        <f t="shared" si="39"/>
        <v/>
      </c>
      <c r="BC168" t="str">
        <f>IF(AZ168=1,IF(S168="","",IF(S168=N144,"Yes","No")),"")</f>
        <v>No</v>
      </c>
      <c r="BD168" t="str">
        <f t="shared" si="40"/>
        <v/>
      </c>
      <c r="BE168" t="str">
        <f t="shared" si="41"/>
        <v>Decreasing</v>
      </c>
      <c r="BF168" t="str">
        <f t="shared" si="42"/>
        <v>No</v>
      </c>
      <c r="BG168" t="str">
        <f t="shared" si="43"/>
        <v>No</v>
      </c>
      <c r="BH168" t="str">
        <f t="shared" si="44"/>
        <v>No</v>
      </c>
    </row>
    <row r="169" spans="1:60" x14ac:dyDescent="0.3">
      <c r="A169" s="1">
        <v>11</v>
      </c>
      <c r="B169" t="s">
        <v>360</v>
      </c>
      <c r="C169" t="s">
        <v>264</v>
      </c>
      <c r="D169" t="s">
        <v>1164</v>
      </c>
      <c r="E169" t="s">
        <v>1165</v>
      </c>
      <c r="F169" t="s">
        <v>620</v>
      </c>
      <c r="G169" t="s">
        <v>1166</v>
      </c>
      <c r="I169" t="str">
        <f t="shared" si="46"/>
        <v>N/A</v>
      </c>
      <c r="J169" t="str">
        <f t="shared" si="47"/>
        <v>N/A</v>
      </c>
      <c r="K169">
        <f t="shared" si="48"/>
        <v>-0.20670000000000002</v>
      </c>
      <c r="L169">
        <f t="shared" si="49"/>
        <v>-0.2374</v>
      </c>
      <c r="M169">
        <f t="shared" si="50"/>
        <v>0.37930000000000003</v>
      </c>
      <c r="N169">
        <f t="shared" si="51"/>
        <v>0.17050000000000001</v>
      </c>
      <c r="P169">
        <f t="shared" si="27"/>
        <v>0.37930000000000003</v>
      </c>
      <c r="Q169">
        <f>IFERROR(J144+MATCH(P169,J169:N169,0)-1,"")</f>
        <v>2015</v>
      </c>
      <c r="R169">
        <f t="shared" si="28"/>
        <v>-0.2374</v>
      </c>
      <c r="S169">
        <f>IFERROR(J144+MATCH(R169,J169:N169,0)-1,"")</f>
        <v>2014</v>
      </c>
      <c r="T169">
        <f t="shared" si="29"/>
        <v>2.6424999999999997E-2</v>
      </c>
      <c r="U169">
        <f t="shared" si="30"/>
        <v>0.2995715092706025</v>
      </c>
      <c r="V169" t="str">
        <f t="shared" si="31"/>
        <v/>
      </c>
      <c r="W169">
        <f t="shared" si="32"/>
        <v>-0.77819483090235586</v>
      </c>
      <c r="X169">
        <f t="shared" si="33"/>
        <v>-0.88067453624799563</v>
      </c>
      <c r="Y169">
        <f t="shared" si="34"/>
        <v>1.1779324437733782</v>
      </c>
      <c r="Z169">
        <f t="shared" si="35"/>
        <v>0.4809369233769733</v>
      </c>
      <c r="AA169">
        <f t="shared" si="36"/>
        <v>1.1779324437733782</v>
      </c>
      <c r="AB169">
        <f>IFERROR(V144+MATCH(AA169,V169:Z169,0)-1,"")</f>
        <v>2015</v>
      </c>
      <c r="AC169" t="str">
        <f t="shared" si="37"/>
        <v>High</v>
      </c>
      <c r="AE169" t="str">
        <f>IF(ISNUMBER(MATCH("N/A",J169:N169,0)),"",IFERROR((5 * SUMPRODUCT(J144:N144,J169:N169) - PRODUCT(SUM(J144:N144),SUM(J169:N169))) / ((5 * SUM((J144^2)+(K144^2)+(L144^2)+(M144^2)+(N144^2))) - SUM(J144:N144)^2),""))</f>
        <v/>
      </c>
      <c r="AF169">
        <f>IFERROR(CORREL(J144:N144,J169:N169),"")</f>
        <v>0.75342464983411461</v>
      </c>
      <c r="AZ169">
        <f t="shared" si="38"/>
        <v>1</v>
      </c>
      <c r="BA169" t="str">
        <f>IF(AZ169=1,IF(Q169="","",IF(Q169=N144,"Yes","No")),"")</f>
        <v>No</v>
      </c>
      <c r="BB169" t="str">
        <f t="shared" si="39"/>
        <v/>
      </c>
      <c r="BC169" t="str">
        <f>IF(AZ169=1,IF(S169="","",IF(S169=N144,"Yes","No")),"")</f>
        <v>No</v>
      </c>
      <c r="BD169" t="str">
        <f t="shared" si="40"/>
        <v/>
      </c>
      <c r="BE169" t="str">
        <f t="shared" si="41"/>
        <v/>
      </c>
      <c r="BF169" t="str">
        <f t="shared" si="42"/>
        <v>No</v>
      </c>
      <c r="BG169" t="str">
        <f t="shared" si="43"/>
        <v>No</v>
      </c>
      <c r="BH169" t="str">
        <f t="shared" si="44"/>
        <v>No</v>
      </c>
    </row>
    <row r="170" spans="1:60" x14ac:dyDescent="0.3">
      <c r="A170" s="1">
        <v>12</v>
      </c>
      <c r="B170" t="s">
        <v>365</v>
      </c>
      <c r="C170" t="s">
        <v>1167</v>
      </c>
      <c r="D170" t="s">
        <v>1168</v>
      </c>
      <c r="E170" t="s">
        <v>1169</v>
      </c>
      <c r="F170" t="s">
        <v>1170</v>
      </c>
      <c r="G170" t="s">
        <v>1171</v>
      </c>
      <c r="I170" t="str">
        <f t="shared" si="46"/>
        <v>N/A</v>
      </c>
      <c r="J170">
        <f t="shared" si="47"/>
        <v>5370000</v>
      </c>
      <c r="K170">
        <f t="shared" si="48"/>
        <v>4280000</v>
      </c>
      <c r="L170">
        <f t="shared" si="49"/>
        <v>3290000</v>
      </c>
      <c r="M170">
        <f t="shared" si="50"/>
        <v>4600000</v>
      </c>
      <c r="N170">
        <f t="shared" si="51"/>
        <v>5850000</v>
      </c>
      <c r="P170">
        <f t="shared" si="27"/>
        <v>5850000</v>
      </c>
      <c r="Q170">
        <f>IFERROR(J144+MATCH(P170,J170:N170,0)-1,"")</f>
        <v>2016</v>
      </c>
      <c r="R170">
        <f t="shared" si="28"/>
        <v>3290000</v>
      </c>
      <c r="S170">
        <f>IFERROR(J144+MATCH(R170,J170:N170,0)-1,"")</f>
        <v>2014</v>
      </c>
      <c r="T170">
        <f t="shared" si="29"/>
        <v>4678000</v>
      </c>
      <c r="U170">
        <f t="shared" si="30"/>
        <v>992909.86499278981</v>
      </c>
      <c r="V170">
        <f t="shared" si="31"/>
        <v>0.69694140867965404</v>
      </c>
      <c r="W170">
        <f t="shared" si="32"/>
        <v>-0.40084202406719982</v>
      </c>
      <c r="X170">
        <f t="shared" si="33"/>
        <v>-1.3979113804152599</v>
      </c>
      <c r="Y170">
        <f t="shared" si="34"/>
        <v>-7.855697959105927E-2</v>
      </c>
      <c r="Z170">
        <f t="shared" si="35"/>
        <v>1.1803689753938649</v>
      </c>
      <c r="AA170">
        <f t="shared" si="36"/>
        <v>-1.3979113804152599</v>
      </c>
      <c r="AB170">
        <f>IFERROR(V144+MATCH(AA170,V170:Z170,0)-1,"")</f>
        <v>2014</v>
      </c>
      <c r="AC170" t="str">
        <f t="shared" si="37"/>
        <v>Low</v>
      </c>
      <c r="AE170">
        <f>IF(ISNUMBER(MATCH("N/A",J170:N170,0)),"",IFERROR((5 * SUMPRODUCT(J144:N144,J170:N170) - PRODUCT(SUM(J144:N144),SUM(J170:N170))) / ((5 * SUM((J144^2)+(K144^2)+(L144^2)+(M144^2)+(N144^2))) - SUM(J144:N144)^2),""))</f>
        <v>128000</v>
      </c>
      <c r="AF170">
        <f>IFERROR(CORREL(J144:N144,J170:N170),"")</f>
        <v>0.20383095927065437</v>
      </c>
      <c r="AZ170">
        <f t="shared" si="38"/>
        <v>1</v>
      </c>
      <c r="BA170" t="str">
        <f>IF(AZ170=1,IF(Q170="","",IF(Q170=N144,"Yes","No")),"")</f>
        <v>Yes</v>
      </c>
      <c r="BB170">
        <f t="shared" si="39"/>
        <v>5850000</v>
      </c>
      <c r="BC170" t="str">
        <f>IF(AZ170=1,IF(S170="","",IF(S170=N144,"Yes","No")),"")</f>
        <v>No</v>
      </c>
      <c r="BD170" t="str">
        <f t="shared" si="40"/>
        <v/>
      </c>
      <c r="BE170" t="str">
        <f t="shared" si="41"/>
        <v>Increasing</v>
      </c>
      <c r="BF170" t="str">
        <f t="shared" si="42"/>
        <v>Yes</v>
      </c>
      <c r="BG170" t="str">
        <f t="shared" si="43"/>
        <v>No</v>
      </c>
      <c r="BH170" t="str">
        <f t="shared" si="44"/>
        <v>No</v>
      </c>
    </row>
    <row r="171" spans="1:60" x14ac:dyDescent="0.3">
      <c r="A171" s="1">
        <v>13</v>
      </c>
      <c r="B171" t="s">
        <v>366</v>
      </c>
      <c r="C171" t="s">
        <v>1172</v>
      </c>
      <c r="D171" t="s">
        <v>1172</v>
      </c>
      <c r="E171" t="s">
        <v>1172</v>
      </c>
      <c r="F171" t="s">
        <v>1173</v>
      </c>
      <c r="G171" t="s">
        <v>1174</v>
      </c>
      <c r="I171" t="str">
        <f t="shared" si="46"/>
        <v>N/A</v>
      </c>
      <c r="J171">
        <f t="shared" si="47"/>
        <v>100000</v>
      </c>
      <c r="K171">
        <f t="shared" si="48"/>
        <v>100000</v>
      </c>
      <c r="L171">
        <f t="shared" si="49"/>
        <v>100000</v>
      </c>
      <c r="M171">
        <f t="shared" si="50"/>
        <v>200000</v>
      </c>
      <c r="N171">
        <f t="shared" si="51"/>
        <v>700000</v>
      </c>
      <c r="P171">
        <f t="shared" si="27"/>
        <v>700000</v>
      </c>
      <c r="Q171">
        <f>IFERROR(J144+MATCH(P171,J171:N171,0)-1,"")</f>
        <v>2016</v>
      </c>
      <c r="R171">
        <f t="shared" si="28"/>
        <v>100000</v>
      </c>
      <c r="S171">
        <f>IFERROR(J144+MATCH(R171,J171:N171,0)-1,"")</f>
        <v>2012</v>
      </c>
      <c r="T171">
        <f t="shared" si="29"/>
        <v>240000</v>
      </c>
      <c r="U171">
        <f t="shared" si="30"/>
        <v>260768.09620810594</v>
      </c>
      <c r="V171">
        <f t="shared" si="31"/>
        <v>-0.53687549219315933</v>
      </c>
      <c r="W171">
        <f t="shared" si="32"/>
        <v>-0.53687549219315933</v>
      </c>
      <c r="X171">
        <f t="shared" si="33"/>
        <v>-0.53687549219315933</v>
      </c>
      <c r="Y171">
        <f t="shared" si="34"/>
        <v>-0.1533929977694741</v>
      </c>
      <c r="Z171">
        <f t="shared" si="35"/>
        <v>1.7640194743489521</v>
      </c>
      <c r="AA171">
        <f t="shared" si="36"/>
        <v>1.7640194743489521</v>
      </c>
      <c r="AB171">
        <f>IFERROR(V144+MATCH(AA171,V171:Z171,0)-1,"")</f>
        <v>2016</v>
      </c>
      <c r="AC171" t="str">
        <f t="shared" si="37"/>
        <v>High</v>
      </c>
      <c r="AE171">
        <f>IF(ISNUMBER(MATCH("N/A",J171:N171,0)),"",IFERROR((5 * SUMPRODUCT(J144:N144,J171:N171) - PRODUCT(SUM(J144:N144),SUM(J171:N171))) / ((5 * SUM((J144^2)+(K144^2)+(L144^2)+(M144^2)+(N144^2))) - SUM(J144:N144)^2),""))</f>
        <v>130000</v>
      </c>
      <c r="AF171">
        <f>IFERROR(CORREL(J144:N144,J171:N171),"")</f>
        <v>0.78824078136808218</v>
      </c>
      <c r="AZ171">
        <f t="shared" si="38"/>
        <v>1</v>
      </c>
      <c r="BA171" t="str">
        <f>IF(AZ171=1,IF(Q171="","",IF(Q171=N144,"Yes","No")),"")</f>
        <v>Yes</v>
      </c>
      <c r="BB171">
        <f t="shared" si="39"/>
        <v>700000</v>
      </c>
      <c r="BC171" t="str">
        <f>IF(AZ171=1,IF(S171="","",IF(S171=N144,"Yes","No")),"")</f>
        <v>No</v>
      </c>
      <c r="BD171" t="str">
        <f t="shared" si="40"/>
        <v/>
      </c>
      <c r="BE171" t="str">
        <f t="shared" si="41"/>
        <v>Increasing</v>
      </c>
      <c r="BF171" t="str">
        <f t="shared" si="42"/>
        <v>Yes</v>
      </c>
      <c r="BG171" t="str">
        <f t="shared" si="43"/>
        <v>No</v>
      </c>
      <c r="BH171" t="str">
        <f t="shared" si="44"/>
        <v>No</v>
      </c>
    </row>
    <row r="172" spans="1:60" x14ac:dyDescent="0.3">
      <c r="A172" s="1">
        <v>14</v>
      </c>
      <c r="B172" t="s">
        <v>367</v>
      </c>
      <c r="C172" t="s">
        <v>1175</v>
      </c>
      <c r="D172" t="s">
        <v>1176</v>
      </c>
      <c r="E172" t="s">
        <v>1177</v>
      </c>
      <c r="F172" t="s">
        <v>1178</v>
      </c>
      <c r="G172" t="s">
        <v>1179</v>
      </c>
      <c r="I172" t="str">
        <f t="shared" si="46"/>
        <v>N/A</v>
      </c>
      <c r="J172">
        <f t="shared" si="47"/>
        <v>-16990000</v>
      </c>
      <c r="K172">
        <f t="shared" si="48"/>
        <v>19460000</v>
      </c>
      <c r="L172">
        <f t="shared" si="49"/>
        <v>70610000</v>
      </c>
      <c r="M172">
        <f t="shared" si="50"/>
        <v>72730000</v>
      </c>
      <c r="N172">
        <f t="shared" si="51"/>
        <v>28290000</v>
      </c>
      <c r="P172">
        <f t="shared" si="27"/>
        <v>72730000</v>
      </c>
      <c r="Q172">
        <f>IFERROR(J144+MATCH(P172,J172:N172,0)-1,"")</f>
        <v>2015</v>
      </c>
      <c r="R172">
        <f t="shared" si="28"/>
        <v>-16990000</v>
      </c>
      <c r="S172">
        <f>IFERROR(J144+MATCH(R172,J172:N172,0)-1,"")</f>
        <v>2012</v>
      </c>
      <c r="T172">
        <f t="shared" si="29"/>
        <v>34820000</v>
      </c>
      <c r="U172">
        <f t="shared" si="30"/>
        <v>37686001.379822724</v>
      </c>
      <c r="V172">
        <f t="shared" si="31"/>
        <v>-1.3747810354785832</v>
      </c>
      <c r="W172">
        <f t="shared" si="32"/>
        <v>-0.40757839615809766</v>
      </c>
      <c r="X172">
        <f t="shared" si="33"/>
        <v>0.94968950511056738</v>
      </c>
      <c r="Y172">
        <f t="shared" si="34"/>
        <v>1.0059438149969715</v>
      </c>
      <c r="Z172">
        <f t="shared" si="35"/>
        <v>-0.17327388847085792</v>
      </c>
      <c r="AA172">
        <f t="shared" si="36"/>
        <v>-1.3747810354785832</v>
      </c>
      <c r="AB172">
        <f>IFERROR(V144+MATCH(AA172,V172:Z172,0)-1,"")</f>
        <v>2012</v>
      </c>
      <c r="AC172" t="str">
        <f t="shared" si="37"/>
        <v>Low</v>
      </c>
      <c r="AE172">
        <f>IF(ISNUMBER(MATCH("N/A",J172:N172,0)),"",IFERROR((5 * SUMPRODUCT(J144:N144,J172:N172) - PRODUCT(SUM(J144:N144),SUM(J172:N172))) / ((5 * SUM((J144^2)+(K144^2)+(L144^2)+(M144^2)+(N144^2))) - SUM(J144:N144)^2),""))</f>
        <v>14383000</v>
      </c>
      <c r="AF172">
        <f>IFERROR(CORREL(J144:N144,J172:N172),"")</f>
        <v>0.60344740647589179</v>
      </c>
      <c r="AZ172">
        <f t="shared" si="38"/>
        <v>1</v>
      </c>
      <c r="BA172" t="str">
        <f>IF(AZ172=1,IF(Q172="","",IF(Q172=N144,"Yes","No")),"")</f>
        <v>No</v>
      </c>
      <c r="BB172" t="str">
        <f t="shared" si="39"/>
        <v/>
      </c>
      <c r="BC172" t="str">
        <f>IF(AZ172=1,IF(S172="","",IF(S172=N144,"Yes","No")),"")</f>
        <v>No</v>
      </c>
      <c r="BD172" t="str">
        <f t="shared" si="40"/>
        <v/>
      </c>
      <c r="BE172" t="str">
        <f t="shared" si="41"/>
        <v>Increasing</v>
      </c>
      <c r="BF172" t="str">
        <f t="shared" si="42"/>
        <v>No</v>
      </c>
      <c r="BG172" t="str">
        <f t="shared" si="43"/>
        <v>No</v>
      </c>
      <c r="BH172" t="str">
        <f t="shared" si="44"/>
        <v>No</v>
      </c>
    </row>
    <row r="173" spans="1:60" x14ac:dyDescent="0.3">
      <c r="A173" s="1">
        <v>15</v>
      </c>
      <c r="B173" t="s">
        <v>373</v>
      </c>
      <c r="C173" t="s">
        <v>264</v>
      </c>
      <c r="D173" t="s">
        <v>1180</v>
      </c>
      <c r="E173" t="s">
        <v>1181</v>
      </c>
      <c r="F173" t="s">
        <v>1182</v>
      </c>
      <c r="G173" t="s">
        <v>1183</v>
      </c>
      <c r="I173" t="str">
        <f t="shared" si="46"/>
        <v>N/A</v>
      </c>
      <c r="J173" t="str">
        <f t="shared" si="47"/>
        <v>N/A</v>
      </c>
      <c r="K173">
        <f t="shared" si="48"/>
        <v>2.1453000000000002</v>
      </c>
      <c r="L173">
        <f t="shared" si="49"/>
        <v>2.6283999999999996</v>
      </c>
      <c r="M173">
        <f t="shared" si="50"/>
        <v>3.0099999999999998E-2</v>
      </c>
      <c r="N173">
        <f t="shared" si="51"/>
        <v>-0.61109999999999998</v>
      </c>
      <c r="P173">
        <f t="shared" si="27"/>
        <v>2.6283999999999996</v>
      </c>
      <c r="Q173">
        <f>IFERROR(J144+MATCH(P173,J173:N173,0)-1,"")</f>
        <v>2014</v>
      </c>
      <c r="R173">
        <f t="shared" si="28"/>
        <v>-0.61109999999999998</v>
      </c>
      <c r="S173">
        <f>IFERROR(J144+MATCH(R173,J173:N173,0)-1,"")</f>
        <v>2016</v>
      </c>
      <c r="T173">
        <f t="shared" si="29"/>
        <v>1.0481750000000001</v>
      </c>
      <c r="U173">
        <f t="shared" si="30"/>
        <v>1.5801333854562192</v>
      </c>
      <c r="V173" t="str">
        <f t="shared" si="31"/>
        <v/>
      </c>
      <c r="W173">
        <f t="shared" si="32"/>
        <v>0.69432429571965282</v>
      </c>
      <c r="X173">
        <f t="shared" si="33"/>
        <v>1.0000579789938138</v>
      </c>
      <c r="Y173">
        <f t="shared" si="34"/>
        <v>-0.64429687352378762</v>
      </c>
      <c r="Z173">
        <f t="shared" si="35"/>
        <v>-1.0500854011896792</v>
      </c>
      <c r="AA173">
        <f t="shared" si="36"/>
        <v>-1.0500854011896792</v>
      </c>
      <c r="AB173">
        <f>IFERROR(V144+MATCH(AA173,V173:Z173,0)-1,"")</f>
        <v>2016</v>
      </c>
      <c r="AC173" t="str">
        <f t="shared" si="37"/>
        <v>Low</v>
      </c>
      <c r="AE173" t="str">
        <f>IF(ISNUMBER(MATCH("N/A",J173:N173,0)),"",IFERROR((5 * SUMPRODUCT(J144:N144,J173:N173) - PRODUCT(SUM(J144:N144),SUM(J173:N173))) / ((5 * SUM((J144^2)+(K144^2)+(L144^2)+(M144^2)+(N144^2))) - SUM(J144:N144)^2),""))</f>
        <v/>
      </c>
      <c r="AF173">
        <f>IFERROR(CORREL(J144:N144,J173:N173),"")</f>
        <v>-0.88789226914445762</v>
      </c>
      <c r="AZ173">
        <f t="shared" si="38"/>
        <v>1</v>
      </c>
      <c r="BA173" t="str">
        <f>IF(AZ173=1,IF(Q173="","",IF(Q173=N144,"Yes","No")),"")</f>
        <v>No</v>
      </c>
      <c r="BB173" t="str">
        <f t="shared" si="39"/>
        <v/>
      </c>
      <c r="BC173" t="str">
        <f>IF(AZ173=1,IF(S173="","",IF(S173=N144,"Yes","No")),"")</f>
        <v>Yes</v>
      </c>
      <c r="BD173">
        <f t="shared" si="40"/>
        <v>-0.61109999999999998</v>
      </c>
      <c r="BE173" t="str">
        <f t="shared" si="41"/>
        <v/>
      </c>
      <c r="BF173" t="str">
        <f t="shared" si="42"/>
        <v>No</v>
      </c>
      <c r="BG173" t="str">
        <f t="shared" si="43"/>
        <v>No</v>
      </c>
      <c r="BH173" t="str">
        <f t="shared" si="44"/>
        <v>Yes</v>
      </c>
    </row>
    <row r="174" spans="1:60" x14ac:dyDescent="0.3">
      <c r="A174" s="1">
        <v>16</v>
      </c>
      <c r="B174" t="s">
        <v>378</v>
      </c>
      <c r="C174" t="s">
        <v>264</v>
      </c>
      <c r="D174" t="s">
        <v>264</v>
      </c>
      <c r="E174" t="s">
        <v>264</v>
      </c>
      <c r="F174" t="s">
        <v>264</v>
      </c>
      <c r="G174" t="s">
        <v>1184</v>
      </c>
      <c r="I174" t="str">
        <f t="shared" si="46"/>
        <v>N/A</v>
      </c>
      <c r="J174" t="str">
        <f t="shared" si="47"/>
        <v>N/A</v>
      </c>
      <c r="K174" t="str">
        <f t="shared" si="48"/>
        <v>N/A</v>
      </c>
      <c r="L174" t="str">
        <f t="shared" si="49"/>
        <v>N/A</v>
      </c>
      <c r="M174" t="str">
        <f t="shared" si="50"/>
        <v>N/A</v>
      </c>
      <c r="N174">
        <f t="shared" si="51"/>
        <v>1.0500000000000001E-2</v>
      </c>
      <c r="P174">
        <f t="shared" si="27"/>
        <v>1.0500000000000001E-2</v>
      </c>
      <c r="Q174">
        <f>IFERROR(J144+MATCH(P174,J174:N174,0)-1,"")</f>
        <v>2016</v>
      </c>
      <c r="R174">
        <f t="shared" si="28"/>
        <v>1.0500000000000001E-2</v>
      </c>
      <c r="S174">
        <f>IFERROR(J144+MATCH(R174,J174:N174,0)-1,"")</f>
        <v>2016</v>
      </c>
      <c r="T174">
        <f t="shared" si="29"/>
        <v>1.0500000000000001E-2</v>
      </c>
      <c r="U174" t="str">
        <f t="shared" si="30"/>
        <v/>
      </c>
      <c r="V174" t="str">
        <f t="shared" si="31"/>
        <v/>
      </c>
      <c r="W174" t="str">
        <f t="shared" si="32"/>
        <v/>
      </c>
      <c r="X174" t="str">
        <f t="shared" si="33"/>
        <v/>
      </c>
      <c r="Y174" t="str">
        <f t="shared" si="34"/>
        <v/>
      </c>
      <c r="Z174" t="str">
        <f t="shared" si="35"/>
        <v/>
      </c>
      <c r="AA174">
        <f t="shared" si="36"/>
        <v>0</v>
      </c>
      <c r="AB174" t="str">
        <f>IFERROR(V144+MATCH(AA174,V174:Z174,0)-1,"")</f>
        <v/>
      </c>
      <c r="AC174" t="str">
        <f t="shared" si="37"/>
        <v/>
      </c>
      <c r="AE174" t="str">
        <f>IF(ISNUMBER(MATCH("N/A",J174:N174,0)),"",IFERROR((5 * SUMPRODUCT(J144:N144,J174:N174) - PRODUCT(SUM(J144:N144),SUM(J174:N174))) / ((5 * SUM((J144^2)+(K144^2)+(L144^2)+(M144^2)+(N144^2))) - SUM(J144:N144)^2),""))</f>
        <v/>
      </c>
      <c r="AF174" t="str">
        <f>IFERROR(CORREL(J144:N144,J174:N174),"")</f>
        <v/>
      </c>
      <c r="AZ174">
        <f t="shared" si="38"/>
        <v>0</v>
      </c>
      <c r="BA174" t="str">
        <f>IF(AZ174=1,IF(Q174="","",IF(Q174=N144,"Yes","No")),"")</f>
        <v/>
      </c>
      <c r="BB174" t="str">
        <f t="shared" si="39"/>
        <v/>
      </c>
      <c r="BC174" t="str">
        <f>IF(AZ174=1,IF(S174="","",IF(S174=N144,"Yes","No")),"")</f>
        <v/>
      </c>
      <c r="BD174" t="str">
        <f t="shared" si="40"/>
        <v/>
      </c>
      <c r="BE174" t="str">
        <f t="shared" si="41"/>
        <v/>
      </c>
      <c r="BF174" t="str">
        <f t="shared" si="42"/>
        <v>No</v>
      </c>
      <c r="BG174" t="str">
        <f t="shared" si="43"/>
        <v>No</v>
      </c>
      <c r="BH174" t="str">
        <f t="shared" si="44"/>
        <v/>
      </c>
    </row>
    <row r="175" spans="1:60" x14ac:dyDescent="0.3">
      <c r="A175" s="1">
        <v>17</v>
      </c>
      <c r="B175" t="s">
        <v>380</v>
      </c>
      <c r="C175" t="s">
        <v>1185</v>
      </c>
      <c r="D175" t="s">
        <v>1186</v>
      </c>
      <c r="E175" t="s">
        <v>1187</v>
      </c>
      <c r="F175" t="s">
        <v>1188</v>
      </c>
      <c r="G175" t="s">
        <v>1189</v>
      </c>
      <c r="I175" t="str">
        <f t="shared" si="46"/>
        <v>N/A</v>
      </c>
      <c r="J175">
        <f t="shared" si="47"/>
        <v>-9260000</v>
      </c>
      <c r="K175">
        <f t="shared" si="48"/>
        <v>3650000</v>
      </c>
      <c r="L175">
        <f t="shared" si="49"/>
        <v>24440000</v>
      </c>
      <c r="M175">
        <f t="shared" si="50"/>
        <v>27880000</v>
      </c>
      <c r="N175">
        <f t="shared" si="51"/>
        <v>9640000</v>
      </c>
      <c r="P175">
        <f t="shared" si="27"/>
        <v>27880000</v>
      </c>
      <c r="Q175">
        <f>IFERROR(J144+MATCH(P175,J175:N175,0)-1,"")</f>
        <v>2015</v>
      </c>
      <c r="R175">
        <f t="shared" si="28"/>
        <v>-9260000</v>
      </c>
      <c r="S175">
        <f>IFERROR(J144+MATCH(R175,J175:N175,0)-1,"")</f>
        <v>2012</v>
      </c>
      <c r="T175">
        <f t="shared" si="29"/>
        <v>11270000</v>
      </c>
      <c r="U175">
        <f t="shared" si="30"/>
        <v>15260596.318623988</v>
      </c>
      <c r="V175">
        <f t="shared" si="31"/>
        <v>-1.3452947428368345</v>
      </c>
      <c r="W175">
        <f t="shared" si="32"/>
        <v>-0.49932517975726637</v>
      </c>
      <c r="X175">
        <f t="shared" si="33"/>
        <v>0.8630069051710233</v>
      </c>
      <c r="Y175">
        <f t="shared" si="34"/>
        <v>1.0884240466887394</v>
      </c>
      <c r="Z175">
        <f t="shared" si="35"/>
        <v>-0.10681102926566197</v>
      </c>
      <c r="AA175">
        <f t="shared" si="36"/>
        <v>-1.3452947428368345</v>
      </c>
      <c r="AB175">
        <f>IFERROR(V144+MATCH(AA175,V175:Z175,0)-1,"")</f>
        <v>2012</v>
      </c>
      <c r="AC175" t="str">
        <f t="shared" si="37"/>
        <v>Low</v>
      </c>
      <c r="AE175">
        <f>IF(ISNUMBER(MATCH("N/A",J175:N175,0)),"",IFERROR((5 * SUMPRODUCT(J144:N144,J175:N175) - PRODUCT(SUM(J144:N144),SUM(J175:N175))) / ((5 * SUM((J144^2)+(K144^2)+(L144^2)+(M144^2)+(N144^2))) - SUM(J144:N144)^2),""))</f>
        <v>6203000</v>
      </c>
      <c r="AF175">
        <f>IFERROR(CORREL(J144:N144,J175:N175),"")</f>
        <v>0.64268813342784059</v>
      </c>
      <c r="AZ175">
        <f t="shared" si="38"/>
        <v>1</v>
      </c>
      <c r="BA175" t="str">
        <f>IF(AZ175=1,IF(Q175="","",IF(Q175=N144,"Yes","No")),"")</f>
        <v>No</v>
      </c>
      <c r="BB175" t="str">
        <f t="shared" si="39"/>
        <v/>
      </c>
      <c r="BC175" t="str">
        <f>IF(AZ175=1,IF(S175="","",IF(S175=N144,"Yes","No")),"")</f>
        <v>No</v>
      </c>
      <c r="BD175" t="str">
        <f t="shared" si="40"/>
        <v/>
      </c>
      <c r="BE175" t="str">
        <f t="shared" si="41"/>
        <v>Increasing</v>
      </c>
      <c r="BF175" t="str">
        <f t="shared" si="42"/>
        <v>No</v>
      </c>
      <c r="BG175" t="str">
        <f t="shared" si="43"/>
        <v>No</v>
      </c>
      <c r="BH175" t="str">
        <f t="shared" si="44"/>
        <v>No</v>
      </c>
    </row>
    <row r="176" spans="1:60" x14ac:dyDescent="0.3">
      <c r="A176" s="1">
        <v>18</v>
      </c>
      <c r="B176" t="s">
        <v>386</v>
      </c>
      <c r="C176" t="s">
        <v>1190</v>
      </c>
      <c r="D176" t="s">
        <v>1191</v>
      </c>
      <c r="E176" t="s">
        <v>1192</v>
      </c>
      <c r="F176" t="s">
        <v>1193</v>
      </c>
      <c r="G176" t="s">
        <v>1194</v>
      </c>
      <c r="I176" t="str">
        <f t="shared" si="46"/>
        <v>N/A</v>
      </c>
      <c r="J176">
        <f t="shared" si="47"/>
        <v>694000</v>
      </c>
      <c r="K176">
        <f t="shared" si="48"/>
        <v>13600000</v>
      </c>
      <c r="L176">
        <f t="shared" si="49"/>
        <v>18090000</v>
      </c>
      <c r="M176">
        <f t="shared" si="50"/>
        <v>9320000</v>
      </c>
      <c r="N176">
        <f t="shared" si="51"/>
        <v>-939000</v>
      </c>
      <c r="P176">
        <f t="shared" si="27"/>
        <v>18090000</v>
      </c>
      <c r="Q176">
        <f>IFERROR(J144+MATCH(P176,J176:N176,0)-1,"")</f>
        <v>2014</v>
      </c>
      <c r="R176">
        <f t="shared" si="28"/>
        <v>-939000</v>
      </c>
      <c r="S176">
        <f>IFERROR(J144+MATCH(R176,J176:N176,0)-1,"")</f>
        <v>2016</v>
      </c>
      <c r="T176">
        <f t="shared" si="29"/>
        <v>8153000</v>
      </c>
      <c r="U176">
        <f t="shared" si="30"/>
        <v>8186525.6977548171</v>
      </c>
      <c r="V176">
        <f t="shared" si="31"/>
        <v>-0.91113132424975551</v>
      </c>
      <c r="W176">
        <f t="shared" si="32"/>
        <v>0.66536161994750209</v>
      </c>
      <c r="X176">
        <f t="shared" si="33"/>
        <v>1.2138238328287734</v>
      </c>
      <c r="Y176">
        <f t="shared" si="34"/>
        <v>0.1425513145729273</v>
      </c>
      <c r="Z176">
        <f t="shared" si="35"/>
        <v>-1.1106054430994472</v>
      </c>
      <c r="AA176">
        <f t="shared" si="36"/>
        <v>1.2138238328287734</v>
      </c>
      <c r="AB176">
        <f>IFERROR(V144+MATCH(AA176,V176:Z176,0)-1,"")</f>
        <v>2014</v>
      </c>
      <c r="AC176" t="str">
        <f t="shared" si="37"/>
        <v>High</v>
      </c>
      <c r="AE176">
        <f>IF(ISNUMBER(MATCH("N/A",J176:N176,0)),"",IFERROR((5 * SUMPRODUCT(J144:N144,J176:N176) - PRODUCT(SUM(J144:N144),SUM(J176:N176))) / ((5 * SUM((J144^2)+(K144^2)+(L144^2)+(M144^2)+(N144^2))) - SUM(J144:N144)^2),""))</f>
        <v>-754600</v>
      </c>
      <c r="AF176">
        <f>IFERROR(CORREL(J144:N144,J176:N176),"")</f>
        <v>-0.14574282244160652</v>
      </c>
      <c r="AZ176">
        <f t="shared" si="38"/>
        <v>1</v>
      </c>
      <c r="BA176" t="str">
        <f>IF(AZ176=1,IF(Q176="","",IF(Q176=N144,"Yes","No")),"")</f>
        <v>No</v>
      </c>
      <c r="BB176" t="str">
        <f t="shared" si="39"/>
        <v/>
      </c>
      <c r="BC176" t="str">
        <f>IF(AZ176=1,IF(S176="","",IF(S176=N144,"Yes","No")),"")</f>
        <v>Yes</v>
      </c>
      <c r="BD176">
        <f t="shared" si="40"/>
        <v>-939000</v>
      </c>
      <c r="BE176" t="str">
        <f t="shared" si="41"/>
        <v>Decreasing</v>
      </c>
      <c r="BF176" t="str">
        <f t="shared" si="42"/>
        <v>Yes</v>
      </c>
      <c r="BG176" t="str">
        <f t="shared" si="43"/>
        <v>No</v>
      </c>
      <c r="BH176" t="str">
        <f t="shared" si="44"/>
        <v>No</v>
      </c>
    </row>
    <row r="177" spans="1:60" x14ac:dyDescent="0.3">
      <c r="A177" s="1">
        <v>19</v>
      </c>
      <c r="B177" t="s">
        <v>391</v>
      </c>
      <c r="C177" t="s">
        <v>1195</v>
      </c>
      <c r="D177" t="s">
        <v>1196</v>
      </c>
      <c r="E177" t="s">
        <v>1197</v>
      </c>
      <c r="F177" t="s">
        <v>1198</v>
      </c>
      <c r="G177" t="s">
        <v>1199</v>
      </c>
      <c r="I177" t="str">
        <f t="shared" si="46"/>
        <v>N/A</v>
      </c>
      <c r="J177">
        <f t="shared" si="47"/>
        <v>405000</v>
      </c>
      <c r="K177">
        <f t="shared" si="48"/>
        <v>413000</v>
      </c>
      <c r="L177">
        <f t="shared" si="49"/>
        <v>1660000</v>
      </c>
      <c r="M177">
        <f t="shared" si="50"/>
        <v>2120000</v>
      </c>
      <c r="N177">
        <f t="shared" si="51"/>
        <v>1050000</v>
      </c>
      <c r="P177">
        <f t="shared" si="27"/>
        <v>2120000</v>
      </c>
      <c r="Q177">
        <f>IFERROR(J144+MATCH(P177,J177:N177,0)-1,"")</f>
        <v>2015</v>
      </c>
      <c r="R177">
        <f t="shared" si="28"/>
        <v>405000</v>
      </c>
      <c r="S177">
        <f>IFERROR(J144+MATCH(R177,J177:N177,0)-1,"")</f>
        <v>2012</v>
      </c>
      <c r="T177">
        <f t="shared" si="29"/>
        <v>1129600</v>
      </c>
      <c r="U177">
        <f t="shared" si="30"/>
        <v>759459.21549481514</v>
      </c>
      <c r="V177">
        <f t="shared" si="31"/>
        <v>-0.95409995061801556</v>
      </c>
      <c r="W177">
        <f t="shared" si="32"/>
        <v>-0.94356613940500966</v>
      </c>
      <c r="X177">
        <f t="shared" si="33"/>
        <v>0.69839168342229574</v>
      </c>
      <c r="Y177">
        <f t="shared" si="34"/>
        <v>1.3040858281701388</v>
      </c>
      <c r="Z177">
        <f t="shared" si="35"/>
        <v>-0.10481142156940938</v>
      </c>
      <c r="AA177">
        <f t="shared" si="36"/>
        <v>1.3040858281701388</v>
      </c>
      <c r="AB177">
        <f>IFERROR(V144+MATCH(AA177,V177:Z177,0)-1,"")</f>
        <v>2015</v>
      </c>
      <c r="AC177" t="str">
        <f t="shared" si="37"/>
        <v>High</v>
      </c>
      <c r="AE177">
        <f>IF(ISNUMBER(MATCH("N/A",J177:N177,0)),"",IFERROR((5 * SUMPRODUCT(J144:N144,J177:N177) - PRODUCT(SUM(J144:N144),SUM(J177:N177))) / ((5 * SUM((J144^2)+(K144^2)+(L144^2)+(M144^2)+(N144^2))) - SUM(J144:N144)^2),""))</f>
        <v>299700</v>
      </c>
      <c r="AF177">
        <f>IFERROR(CORREL(J144:N144,J177:N177),"")</f>
        <v>0.62395359448958676</v>
      </c>
      <c r="AZ177">
        <f t="shared" si="38"/>
        <v>1</v>
      </c>
      <c r="BA177" t="str">
        <f>IF(AZ177=1,IF(Q177="","",IF(Q177=N144,"Yes","No")),"")</f>
        <v>No</v>
      </c>
      <c r="BB177" t="str">
        <f t="shared" si="39"/>
        <v/>
      </c>
      <c r="BC177" t="str">
        <f>IF(AZ177=1,IF(S177="","",IF(S177=N144,"Yes","No")),"")</f>
        <v>No</v>
      </c>
      <c r="BD177" t="str">
        <f t="shared" si="40"/>
        <v/>
      </c>
      <c r="BE177" t="str">
        <f t="shared" si="41"/>
        <v>Increasing</v>
      </c>
      <c r="BF177" t="str">
        <f t="shared" si="42"/>
        <v>No</v>
      </c>
      <c r="BG177" t="str">
        <f t="shared" si="43"/>
        <v>No</v>
      </c>
      <c r="BH177" t="str">
        <f t="shared" si="44"/>
        <v>No</v>
      </c>
    </row>
    <row r="178" spans="1:60" x14ac:dyDescent="0.3">
      <c r="A178" s="1">
        <v>20</v>
      </c>
      <c r="B178" t="s">
        <v>392</v>
      </c>
      <c r="C178" t="s">
        <v>1200</v>
      </c>
      <c r="D178" t="s">
        <v>1201</v>
      </c>
      <c r="E178" t="s">
        <v>1202</v>
      </c>
      <c r="F178" t="s">
        <v>1203</v>
      </c>
      <c r="G178" t="s">
        <v>1204</v>
      </c>
      <c r="I178" t="str">
        <f t="shared" si="46"/>
        <v>N/A</v>
      </c>
      <c r="J178">
        <f t="shared" si="47"/>
        <v>-10360000</v>
      </c>
      <c r="K178">
        <f t="shared" si="48"/>
        <v>-10180000</v>
      </c>
      <c r="L178">
        <f t="shared" si="49"/>
        <v>4940000</v>
      </c>
      <c r="M178">
        <f t="shared" si="50"/>
        <v>16500000</v>
      </c>
      <c r="N178">
        <f t="shared" si="51"/>
        <v>9520000</v>
      </c>
      <c r="P178">
        <f t="shared" si="27"/>
        <v>16500000</v>
      </c>
      <c r="Q178">
        <f>IFERROR(J144+MATCH(P178,J178:N178,0)-1,"")</f>
        <v>2015</v>
      </c>
      <c r="R178">
        <f t="shared" si="28"/>
        <v>-10360000</v>
      </c>
      <c r="S178">
        <f>IFERROR(J144+MATCH(R178,J178:N178,0)-1,"")</f>
        <v>2012</v>
      </c>
      <c r="T178">
        <f t="shared" si="29"/>
        <v>2084000</v>
      </c>
      <c r="U178">
        <f t="shared" si="30"/>
        <v>12005527.060483433</v>
      </c>
      <c r="V178">
        <f t="shared" si="31"/>
        <v>-1.036522589746169</v>
      </c>
      <c r="W178">
        <f t="shared" si="32"/>
        <v>-1.0215294953911136</v>
      </c>
      <c r="X178">
        <f t="shared" si="33"/>
        <v>0.23789043043354699</v>
      </c>
      <c r="Y178">
        <f t="shared" si="34"/>
        <v>1.2007802679026658</v>
      </c>
      <c r="Z178">
        <f t="shared" si="35"/>
        <v>0.6193813868010698</v>
      </c>
      <c r="AA178">
        <f t="shared" si="36"/>
        <v>1.2007802679026658</v>
      </c>
      <c r="AB178">
        <f>IFERROR(V144+MATCH(AA178,V178:Z178,0)-1,"")</f>
        <v>2015</v>
      </c>
      <c r="AC178" t="str">
        <f t="shared" si="37"/>
        <v>High</v>
      </c>
      <c r="AE178">
        <f>IF(ISNUMBER(MATCH("N/A",J178:N178,0)),"",IFERROR((5 * SUMPRODUCT(J144:N144,J178:N178) - PRODUCT(SUM(J144:N144),SUM(J178:N178))) / ((5 * SUM((J144^2)+(K144^2)+(L144^2)+(M144^2)+(N144^2))) - SUM(J144:N144)^2),""))</f>
        <v>6644000</v>
      </c>
      <c r="AF178">
        <f>IFERROR(CORREL(J144:N144,J178:N178),"")</f>
        <v>0.8750208411638315</v>
      </c>
      <c r="AZ178">
        <f t="shared" si="38"/>
        <v>1</v>
      </c>
      <c r="BA178" t="str">
        <f>IF(AZ178=1,IF(Q178="","",IF(Q178=N144,"Yes","No")),"")</f>
        <v>No</v>
      </c>
      <c r="BB178" t="str">
        <f t="shared" si="39"/>
        <v/>
      </c>
      <c r="BC178" t="str">
        <f>IF(AZ178=1,IF(S178="","",IF(S178=N144,"Yes","No")),"")</f>
        <v>No</v>
      </c>
      <c r="BD178" t="str">
        <f t="shared" si="40"/>
        <v/>
      </c>
      <c r="BE178" t="str">
        <f t="shared" si="41"/>
        <v>Increasing</v>
      </c>
      <c r="BF178" t="str">
        <f t="shared" si="42"/>
        <v>No</v>
      </c>
      <c r="BG178" t="str">
        <f t="shared" si="43"/>
        <v>No</v>
      </c>
      <c r="BH178" t="str">
        <f t="shared" si="44"/>
        <v>Yes</v>
      </c>
    </row>
    <row r="179" spans="1:60" x14ac:dyDescent="0.3">
      <c r="A179" s="1">
        <v>21</v>
      </c>
      <c r="B179" t="s">
        <v>397</v>
      </c>
      <c r="C179" t="s">
        <v>1205</v>
      </c>
      <c r="D179" t="s">
        <v>1206</v>
      </c>
      <c r="E179" t="s">
        <v>1207</v>
      </c>
      <c r="F179" t="s">
        <v>1208</v>
      </c>
      <c r="G179" t="s">
        <v>1209</v>
      </c>
      <c r="I179" t="str">
        <f t="shared" si="46"/>
        <v>N/A</v>
      </c>
      <c r="J179">
        <f t="shared" si="47"/>
        <v>-4000</v>
      </c>
      <c r="K179">
        <f t="shared" si="48"/>
        <v>-192000</v>
      </c>
      <c r="L179">
        <f t="shared" si="49"/>
        <v>-249000</v>
      </c>
      <c r="M179">
        <f t="shared" si="50"/>
        <v>-68000</v>
      </c>
      <c r="N179">
        <f t="shared" si="51"/>
        <v>7000</v>
      </c>
      <c r="P179">
        <f t="shared" si="27"/>
        <v>7000</v>
      </c>
      <c r="Q179">
        <f>IFERROR(J144+MATCH(P179,J179:N179,0)-1,"")</f>
        <v>2016</v>
      </c>
      <c r="R179">
        <f t="shared" si="28"/>
        <v>-249000</v>
      </c>
      <c r="S179">
        <f>IFERROR(J144+MATCH(R179,J179:N179,0)-1,"")</f>
        <v>2014</v>
      </c>
      <c r="T179">
        <f t="shared" si="29"/>
        <v>-101200</v>
      </c>
      <c r="U179">
        <f t="shared" si="30"/>
        <v>114397.11534824643</v>
      </c>
      <c r="V179">
        <f t="shared" si="31"/>
        <v>0.84967177453823761</v>
      </c>
      <c r="W179">
        <f t="shared" si="32"/>
        <v>-0.79372630790197507</v>
      </c>
      <c r="X179">
        <f t="shared" si="33"/>
        <v>-1.2919906201311884</v>
      </c>
      <c r="Y179">
        <f t="shared" si="34"/>
        <v>0.29021710817561203</v>
      </c>
      <c r="Z179">
        <f t="shared" si="35"/>
        <v>0.94582804531931386</v>
      </c>
      <c r="AA179">
        <f t="shared" si="36"/>
        <v>-1.2919906201311884</v>
      </c>
      <c r="AB179">
        <f>IFERROR(V144+MATCH(AA179,V179:Z179,0)-1,"")</f>
        <v>2014</v>
      </c>
      <c r="AC179" t="str">
        <f t="shared" si="37"/>
        <v>Low</v>
      </c>
      <c r="AE179">
        <f>IF(ISNUMBER(MATCH("N/A",J179:N179,0)),"",IFERROR((5 * SUMPRODUCT(J144:N144,J179:N179) - PRODUCT(SUM(J144:N144),SUM(J179:N179))) / ((5 * SUM((J144^2)+(K144^2)+(L144^2)+(M144^2)+(N144^2))) - SUM(J144:N144)^2),""))</f>
        <v>14600</v>
      </c>
      <c r="AF179">
        <f>IFERROR(CORREL(J144:N144,J179:N179),"")</f>
        <v>0.20179378517504748</v>
      </c>
      <c r="AZ179">
        <f t="shared" si="38"/>
        <v>1</v>
      </c>
      <c r="BA179" t="str">
        <f>IF(AZ179=1,IF(Q179="","",IF(Q179=N144,"Yes","No")),"")</f>
        <v>Yes</v>
      </c>
      <c r="BB179">
        <f t="shared" si="39"/>
        <v>7000</v>
      </c>
      <c r="BC179" t="str">
        <f>IF(AZ179=1,IF(S179="","",IF(S179=N144,"Yes","No")),"")</f>
        <v>No</v>
      </c>
      <c r="BD179" t="str">
        <f t="shared" si="40"/>
        <v/>
      </c>
      <c r="BE179" t="str">
        <f t="shared" si="41"/>
        <v>Increasing</v>
      </c>
      <c r="BF179" t="str">
        <f t="shared" si="42"/>
        <v>Yes</v>
      </c>
      <c r="BG179" t="str">
        <f t="shared" si="43"/>
        <v>No</v>
      </c>
      <c r="BH179" t="str">
        <f t="shared" si="44"/>
        <v>No</v>
      </c>
    </row>
    <row r="180" spans="1:60" x14ac:dyDescent="0.3">
      <c r="A180" s="1">
        <v>22</v>
      </c>
      <c r="B180" t="s">
        <v>398</v>
      </c>
      <c r="C180" t="s">
        <v>264</v>
      </c>
      <c r="D180" t="s">
        <v>264</v>
      </c>
      <c r="E180" t="s">
        <v>264</v>
      </c>
      <c r="F180" t="s">
        <v>264</v>
      </c>
      <c r="G180" t="s">
        <v>264</v>
      </c>
      <c r="I180" t="str">
        <f t="shared" si="46"/>
        <v>N/A</v>
      </c>
      <c r="J180" t="str">
        <f t="shared" si="47"/>
        <v>N/A</v>
      </c>
      <c r="K180" t="str">
        <f t="shared" si="48"/>
        <v>N/A</v>
      </c>
      <c r="L180" t="str">
        <f t="shared" si="49"/>
        <v>N/A</v>
      </c>
      <c r="M180" t="str">
        <f t="shared" si="50"/>
        <v>N/A</v>
      </c>
      <c r="N180" t="str">
        <f t="shared" si="51"/>
        <v>N/A</v>
      </c>
      <c r="P180">
        <f t="shared" si="27"/>
        <v>0</v>
      </c>
      <c r="Q180" t="str">
        <f>IFERROR(J144+MATCH(P180,J180:N180,0)-1,"")</f>
        <v/>
      </c>
      <c r="R180" t="str">
        <f t="shared" si="28"/>
        <v/>
      </c>
      <c r="S180" t="str">
        <f>IFERROR(J144+MATCH(R180,J180:N180,0)-1,"")</f>
        <v/>
      </c>
      <c r="T180" t="str">
        <f t="shared" si="29"/>
        <v/>
      </c>
      <c r="U180" t="str">
        <f t="shared" si="30"/>
        <v/>
      </c>
      <c r="V180" t="str">
        <f t="shared" si="31"/>
        <v/>
      </c>
      <c r="W180" t="str">
        <f t="shared" si="32"/>
        <v/>
      </c>
      <c r="X180" t="str">
        <f t="shared" si="33"/>
        <v/>
      </c>
      <c r="Y180" t="str">
        <f t="shared" si="34"/>
        <v/>
      </c>
      <c r="Z180" t="str">
        <f t="shared" si="35"/>
        <v/>
      </c>
      <c r="AA180">
        <f t="shared" si="36"/>
        <v>0</v>
      </c>
      <c r="AB180" t="str">
        <f>IFERROR(V144+MATCH(AA180,V180:Z180,0)-1,"")</f>
        <v/>
      </c>
      <c r="AC180" t="str">
        <f t="shared" si="37"/>
        <v/>
      </c>
      <c r="AE180" t="str">
        <f>IF(ISNUMBER(MATCH("N/A",J180:N180,0)),"",IFERROR((5 * SUMPRODUCT(J144:N144,J180:N180) - PRODUCT(SUM(J144:N144),SUM(J180:N180))) / ((5 * SUM((J144^2)+(K144^2)+(L144^2)+(M144^2)+(N144^2))) - SUM(J144:N144)^2),""))</f>
        <v/>
      </c>
      <c r="AF180" t="str">
        <f>IFERROR(CORREL(J144:N144,J180:N180),"")</f>
        <v/>
      </c>
      <c r="AZ180">
        <f t="shared" si="38"/>
        <v>0</v>
      </c>
      <c r="BA180" t="str">
        <f>IF(AZ180=1,IF(Q180="","",IF(Q180=N144,"Yes","No")),"")</f>
        <v/>
      </c>
      <c r="BB180" t="str">
        <f t="shared" si="39"/>
        <v/>
      </c>
      <c r="BC180" t="str">
        <f>IF(AZ180=1,IF(S180="","",IF(S180=N144,"Yes","No")),"")</f>
        <v/>
      </c>
      <c r="BD180" t="str">
        <f t="shared" si="40"/>
        <v/>
      </c>
      <c r="BE180" t="str">
        <f t="shared" si="41"/>
        <v/>
      </c>
      <c r="BF180" t="str">
        <f t="shared" si="42"/>
        <v>No</v>
      </c>
      <c r="BG180" t="str">
        <f t="shared" si="43"/>
        <v>No</v>
      </c>
      <c r="BH180" t="str">
        <f t="shared" si="44"/>
        <v/>
      </c>
    </row>
    <row r="181" spans="1:60" x14ac:dyDescent="0.3">
      <c r="A181" s="1">
        <v>23</v>
      </c>
      <c r="B181" t="s">
        <v>399</v>
      </c>
      <c r="C181" t="s">
        <v>264</v>
      </c>
      <c r="D181" t="s">
        <v>264</v>
      </c>
      <c r="E181" t="s">
        <v>264</v>
      </c>
      <c r="F181" t="s">
        <v>264</v>
      </c>
      <c r="G181" t="s">
        <v>264</v>
      </c>
      <c r="I181" t="str">
        <f t="shared" si="46"/>
        <v>N/A</v>
      </c>
      <c r="J181" t="str">
        <f t="shared" si="47"/>
        <v>N/A</v>
      </c>
      <c r="K181" t="str">
        <f t="shared" si="48"/>
        <v>N/A</v>
      </c>
      <c r="L181" t="str">
        <f t="shared" si="49"/>
        <v>N/A</v>
      </c>
      <c r="M181" t="str">
        <f t="shared" si="50"/>
        <v>N/A</v>
      </c>
      <c r="N181" t="str">
        <f t="shared" si="51"/>
        <v>N/A</v>
      </c>
      <c r="P181">
        <f t="shared" si="27"/>
        <v>0</v>
      </c>
      <c r="Q181" t="str">
        <f>IFERROR(J144+MATCH(P181,J181:N181,0)-1,"")</f>
        <v/>
      </c>
      <c r="R181" t="str">
        <f t="shared" si="28"/>
        <v/>
      </c>
      <c r="S181" t="str">
        <f>IFERROR(J144+MATCH(R181,J181:N181,0)-1,"")</f>
        <v/>
      </c>
      <c r="T181" t="str">
        <f t="shared" si="29"/>
        <v/>
      </c>
      <c r="U181" t="str">
        <f t="shared" si="30"/>
        <v/>
      </c>
      <c r="V181" t="str">
        <f t="shared" si="31"/>
        <v/>
      </c>
      <c r="W181" t="str">
        <f t="shared" si="32"/>
        <v/>
      </c>
      <c r="X181" t="str">
        <f t="shared" si="33"/>
        <v/>
      </c>
      <c r="Y181" t="str">
        <f t="shared" si="34"/>
        <v/>
      </c>
      <c r="Z181" t="str">
        <f t="shared" si="35"/>
        <v/>
      </c>
      <c r="AA181">
        <f t="shared" si="36"/>
        <v>0</v>
      </c>
      <c r="AB181" t="str">
        <f>IFERROR(V144+MATCH(AA181,V181:Z181,0)-1,"")</f>
        <v/>
      </c>
      <c r="AC181" t="str">
        <f t="shared" si="37"/>
        <v/>
      </c>
      <c r="AE181" t="str">
        <f>IF(ISNUMBER(MATCH("N/A",J181:N181,0)),"",IFERROR((5 * SUMPRODUCT(J144:N144,J181:N181) - PRODUCT(SUM(J144:N144),SUM(J181:N181))) / ((5 * SUM((J144^2)+(K144^2)+(L144^2)+(M144^2)+(N144^2))) - SUM(J144:N144)^2),""))</f>
        <v/>
      </c>
      <c r="AF181" t="str">
        <f>IFERROR(CORREL(J144:N144,J181:N181),"")</f>
        <v/>
      </c>
      <c r="AZ181">
        <f t="shared" si="38"/>
        <v>0</v>
      </c>
      <c r="BA181" t="str">
        <f>IF(AZ181=1,IF(Q181="","",IF(Q181=N144,"Yes","No")),"")</f>
        <v/>
      </c>
      <c r="BB181" t="str">
        <f t="shared" si="39"/>
        <v/>
      </c>
      <c r="BC181" t="str">
        <f>IF(AZ181=1,IF(S181="","",IF(S181=N144,"Yes","No")),"")</f>
        <v/>
      </c>
      <c r="BD181" t="str">
        <f t="shared" si="40"/>
        <v/>
      </c>
      <c r="BE181" t="str">
        <f t="shared" si="41"/>
        <v/>
      </c>
      <c r="BF181" t="str">
        <f t="shared" si="42"/>
        <v>No</v>
      </c>
      <c r="BG181" t="str">
        <f t="shared" si="43"/>
        <v>No</v>
      </c>
      <c r="BH181" t="str">
        <f t="shared" si="44"/>
        <v/>
      </c>
    </row>
    <row r="182" spans="1:60" x14ac:dyDescent="0.3">
      <c r="A182" s="1">
        <v>24</v>
      </c>
      <c r="B182" t="s">
        <v>400</v>
      </c>
      <c r="C182" t="s">
        <v>264</v>
      </c>
      <c r="D182" t="s">
        <v>1210</v>
      </c>
      <c r="E182" t="s">
        <v>1211</v>
      </c>
      <c r="F182" t="s">
        <v>1212</v>
      </c>
      <c r="G182" t="s">
        <v>1213</v>
      </c>
      <c r="I182" t="str">
        <f t="shared" si="46"/>
        <v>N/A</v>
      </c>
      <c r="J182" t="str">
        <f t="shared" si="47"/>
        <v>N/A</v>
      </c>
      <c r="K182">
        <f t="shared" si="48"/>
        <v>-720000</v>
      </c>
      <c r="L182">
        <f t="shared" si="49"/>
        <v>-2300000</v>
      </c>
      <c r="M182">
        <f t="shared" si="50"/>
        <v>-450000</v>
      </c>
      <c r="N182">
        <f t="shared" si="51"/>
        <v>-138000</v>
      </c>
      <c r="P182">
        <f t="shared" si="27"/>
        <v>-138000</v>
      </c>
      <c r="Q182">
        <f>IFERROR(J144+MATCH(P182,J182:N182,0)-1,"")</f>
        <v>2016</v>
      </c>
      <c r="R182">
        <f t="shared" si="28"/>
        <v>-2300000</v>
      </c>
      <c r="S182">
        <f>IFERROR(J144+MATCH(R182,J182:N182,0)-1,"")</f>
        <v>2014</v>
      </c>
      <c r="T182">
        <f t="shared" si="29"/>
        <v>-902000</v>
      </c>
      <c r="U182">
        <f t="shared" si="30"/>
        <v>961860.69677474606</v>
      </c>
      <c r="V182" t="str">
        <f t="shared" si="31"/>
        <v/>
      </c>
      <c r="W182">
        <f t="shared" si="32"/>
        <v>0.18921658885769171</v>
      </c>
      <c r="X182">
        <f t="shared" si="33"/>
        <v>-1.4534329188079835</v>
      </c>
      <c r="Y182">
        <f t="shared" si="34"/>
        <v>0.46992251738283874</v>
      </c>
      <c r="Z182">
        <f t="shared" si="35"/>
        <v>0.79429381256745313</v>
      </c>
      <c r="AA182">
        <f t="shared" si="36"/>
        <v>-1.4534329188079835</v>
      </c>
      <c r="AB182">
        <f>IFERROR(V144+MATCH(AA182,V182:Z182,0)-1,"")</f>
        <v>2014</v>
      </c>
      <c r="AC182" t="str">
        <f t="shared" si="37"/>
        <v>Low</v>
      </c>
      <c r="AE182" t="str">
        <f>IF(ISNUMBER(MATCH("N/A",J182:N182,0)),"",IFERROR((5 * SUMPRODUCT(J144:N144,J182:N182) - PRODUCT(SUM(J144:N144),SUM(J182:N182))) / ((5 * SUM((J144^2)+(K144^2)+(L144^2)+(M144^2)+(N144^2))) - SUM(J144:N144)^2),""))</f>
        <v/>
      </c>
      <c r="AF182">
        <f>IFERROR(CORREL(J144:N144,J182:N182),"")</f>
        <v>0.4826495201665511</v>
      </c>
      <c r="AZ182">
        <f t="shared" si="38"/>
        <v>1</v>
      </c>
      <c r="BA182" t="str">
        <f>IF(AZ182=1,IF(Q182="","",IF(Q182=N144,"Yes","No")),"")</f>
        <v>Yes</v>
      </c>
      <c r="BB182">
        <f t="shared" si="39"/>
        <v>-138000</v>
      </c>
      <c r="BC182" t="str">
        <f>IF(AZ182=1,IF(S182="","",IF(S182=N144,"Yes","No")),"")</f>
        <v>No</v>
      </c>
      <c r="BD182" t="str">
        <f t="shared" si="40"/>
        <v/>
      </c>
      <c r="BE182" t="str">
        <f t="shared" si="41"/>
        <v/>
      </c>
      <c r="BF182" t="str">
        <f t="shared" si="42"/>
        <v>No</v>
      </c>
      <c r="BG182" t="str">
        <f t="shared" si="43"/>
        <v>No</v>
      </c>
      <c r="BH182" t="str">
        <f t="shared" si="44"/>
        <v>No</v>
      </c>
    </row>
    <row r="183" spans="1:60" x14ac:dyDescent="0.3">
      <c r="A183" s="1">
        <v>25</v>
      </c>
      <c r="B183" t="s">
        <v>401</v>
      </c>
      <c r="C183" t="s">
        <v>776</v>
      </c>
      <c r="D183" t="s">
        <v>1214</v>
      </c>
      <c r="E183" t="s">
        <v>1215</v>
      </c>
      <c r="F183" t="s">
        <v>1216</v>
      </c>
      <c r="G183" t="s">
        <v>1217</v>
      </c>
      <c r="I183" t="str">
        <f t="shared" si="46"/>
        <v>N/A</v>
      </c>
      <c r="J183">
        <f t="shared" si="47"/>
        <v>-7730000</v>
      </c>
      <c r="K183">
        <f t="shared" si="48"/>
        <v>15090000</v>
      </c>
      <c r="L183">
        <f t="shared" si="49"/>
        <v>43880000</v>
      </c>
      <c r="M183">
        <f t="shared" si="50"/>
        <v>44400000</v>
      </c>
      <c r="N183">
        <f t="shared" si="51"/>
        <v>18510000</v>
      </c>
      <c r="P183">
        <f t="shared" si="27"/>
        <v>44400000</v>
      </c>
      <c r="Q183">
        <f>IFERROR(J144+MATCH(P183,J183:N183,0)-1,"")</f>
        <v>2015</v>
      </c>
      <c r="R183">
        <f t="shared" si="28"/>
        <v>-7730000</v>
      </c>
      <c r="S183">
        <f>IFERROR(J144+MATCH(R183,J183:N183,0)-1,"")</f>
        <v>2012</v>
      </c>
      <c r="T183">
        <f t="shared" si="29"/>
        <v>22830000</v>
      </c>
      <c r="U183">
        <f t="shared" si="30"/>
        <v>21913757.094574176</v>
      </c>
      <c r="V183">
        <f t="shared" si="31"/>
        <v>-1.3945577596808638</v>
      </c>
      <c r="W183">
        <f t="shared" si="32"/>
        <v>-0.35320278337466909</v>
      </c>
      <c r="X183">
        <f t="shared" si="33"/>
        <v>0.96058379716237519</v>
      </c>
      <c r="Y183">
        <f t="shared" si="34"/>
        <v>0.98431318312553129</v>
      </c>
      <c r="Z183">
        <f t="shared" si="35"/>
        <v>-0.19713643723237342</v>
      </c>
      <c r="AA183">
        <f t="shared" si="36"/>
        <v>-1.3945577596808638</v>
      </c>
      <c r="AB183">
        <f>IFERROR(V144+MATCH(AA183,V183:Z183,0)-1,"")</f>
        <v>2012</v>
      </c>
      <c r="AC183" t="str">
        <f t="shared" si="37"/>
        <v>Low</v>
      </c>
      <c r="AE183">
        <f>IF(ISNUMBER(MATCH("N/A",J183:N183,0)),"",IFERROR((5 * SUMPRODUCT(J144:N144,J183:N183) - PRODUCT(SUM(J144:N144),SUM(J183:N183))) / ((5 * SUM((J144^2)+(K144^2)+(L144^2)+(M144^2)+(N144^2))) - SUM(J144:N144)^2),""))</f>
        <v>8179000</v>
      </c>
      <c r="AF183">
        <f>IFERROR(CORREL(J144:N144,J183:N183),"")</f>
        <v>0.59013771282791894</v>
      </c>
      <c r="AZ183">
        <f t="shared" si="38"/>
        <v>1</v>
      </c>
      <c r="BA183" t="str">
        <f>IF(AZ183=1,IF(Q183="","",IF(Q183=N144,"Yes","No")),"")</f>
        <v>No</v>
      </c>
      <c r="BB183" t="str">
        <f t="shared" si="39"/>
        <v/>
      </c>
      <c r="BC183" t="str">
        <f>IF(AZ183=1,IF(S183="","",IF(S183=N144,"Yes","No")),"")</f>
        <v>No</v>
      </c>
      <c r="BD183" t="str">
        <f t="shared" si="40"/>
        <v/>
      </c>
      <c r="BE183" t="str">
        <f t="shared" si="41"/>
        <v>Increasing</v>
      </c>
      <c r="BF183" t="str">
        <f t="shared" si="42"/>
        <v>No</v>
      </c>
      <c r="BG183" t="str">
        <f t="shared" si="43"/>
        <v>No</v>
      </c>
      <c r="BH183" t="str">
        <f t="shared" si="44"/>
        <v>No</v>
      </c>
    </row>
    <row r="184" spans="1:60" x14ac:dyDescent="0.3">
      <c r="A184" s="1">
        <v>26</v>
      </c>
      <c r="B184" t="s">
        <v>407</v>
      </c>
      <c r="C184" t="s">
        <v>264</v>
      </c>
      <c r="D184" t="s">
        <v>264</v>
      </c>
      <c r="E184" t="s">
        <v>264</v>
      </c>
      <c r="F184" t="s">
        <v>264</v>
      </c>
      <c r="G184" t="s">
        <v>264</v>
      </c>
      <c r="I184" t="str">
        <f t="shared" si="46"/>
        <v>N/A</v>
      </c>
      <c r="J184" t="str">
        <f t="shared" si="47"/>
        <v>N/A</v>
      </c>
      <c r="K184" t="str">
        <f t="shared" si="48"/>
        <v>N/A</v>
      </c>
      <c r="L184" t="str">
        <f t="shared" si="49"/>
        <v>N/A</v>
      </c>
      <c r="M184" t="str">
        <f t="shared" si="50"/>
        <v>N/A</v>
      </c>
      <c r="N184" t="str">
        <f t="shared" si="51"/>
        <v>N/A</v>
      </c>
      <c r="P184">
        <f t="shared" si="27"/>
        <v>0</v>
      </c>
      <c r="Q184" t="str">
        <f>IFERROR(J144+MATCH(P184,J184:N184,0)-1,"")</f>
        <v/>
      </c>
      <c r="R184" t="str">
        <f t="shared" si="28"/>
        <v/>
      </c>
      <c r="S184" t="str">
        <f>IFERROR(J144+MATCH(R184,J184:N184,0)-1,"")</f>
        <v/>
      </c>
      <c r="T184" t="str">
        <f t="shared" si="29"/>
        <v/>
      </c>
      <c r="U184" t="str">
        <f t="shared" si="30"/>
        <v/>
      </c>
      <c r="V184" t="str">
        <f t="shared" si="31"/>
        <v/>
      </c>
      <c r="W184" t="str">
        <f t="shared" si="32"/>
        <v/>
      </c>
      <c r="X184" t="str">
        <f t="shared" si="33"/>
        <v/>
      </c>
      <c r="Y184" t="str">
        <f t="shared" si="34"/>
        <v/>
      </c>
      <c r="Z184" t="str">
        <f t="shared" si="35"/>
        <v/>
      </c>
      <c r="AA184">
        <f t="shared" si="36"/>
        <v>0</v>
      </c>
      <c r="AB184" t="str">
        <f>IFERROR(V144+MATCH(AA184,V184:Z184,0)-1,"")</f>
        <v/>
      </c>
      <c r="AC184" t="str">
        <f t="shared" si="37"/>
        <v/>
      </c>
      <c r="AE184" t="str">
        <f>IF(ISNUMBER(MATCH("N/A",J184:N184,0)),"",IFERROR((5 * SUMPRODUCT(J144:N144,J184:N184) - PRODUCT(SUM(J144:N144),SUM(J184:N184))) / ((5 * SUM((J144^2)+(K144^2)+(L144^2)+(M144^2)+(N144^2))) - SUM(J144:N144)^2),""))</f>
        <v/>
      </c>
      <c r="AF184" t="str">
        <f>IFERROR(CORREL(J144:N144,J184:N184),"")</f>
        <v/>
      </c>
      <c r="AZ184">
        <f t="shared" si="38"/>
        <v>0</v>
      </c>
      <c r="BA184" t="str">
        <f>IF(AZ184=1,IF(Q184="","",IF(Q184=N144,"Yes","No")),"")</f>
        <v/>
      </c>
      <c r="BB184" t="str">
        <f t="shared" si="39"/>
        <v/>
      </c>
      <c r="BC184" t="str">
        <f>IF(AZ184=1,IF(S184="","",IF(S184=N144,"Yes","No")),"")</f>
        <v/>
      </c>
      <c r="BD184" t="str">
        <f t="shared" si="40"/>
        <v/>
      </c>
      <c r="BE184" t="str">
        <f t="shared" si="41"/>
        <v/>
      </c>
      <c r="BF184" t="str">
        <f t="shared" si="42"/>
        <v>No</v>
      </c>
      <c r="BG184" t="str">
        <f t="shared" si="43"/>
        <v>No</v>
      </c>
      <c r="BH184" t="str">
        <f t="shared" si="44"/>
        <v/>
      </c>
    </row>
    <row r="185" spans="1:60" x14ac:dyDescent="0.3">
      <c r="A185" s="1">
        <v>27</v>
      </c>
      <c r="B185" t="s">
        <v>408</v>
      </c>
      <c r="C185" t="s">
        <v>776</v>
      </c>
      <c r="D185" t="s">
        <v>1214</v>
      </c>
      <c r="E185" t="s">
        <v>1215</v>
      </c>
      <c r="F185" t="s">
        <v>1216</v>
      </c>
      <c r="G185" t="s">
        <v>1217</v>
      </c>
      <c r="I185" t="str">
        <f t="shared" si="46"/>
        <v>N/A</v>
      </c>
      <c r="J185">
        <f t="shared" si="47"/>
        <v>-7730000</v>
      </c>
      <c r="K185">
        <f t="shared" si="48"/>
        <v>15090000</v>
      </c>
      <c r="L185">
        <f t="shared" si="49"/>
        <v>43880000</v>
      </c>
      <c r="M185">
        <f t="shared" si="50"/>
        <v>44400000</v>
      </c>
      <c r="N185">
        <f t="shared" si="51"/>
        <v>18510000</v>
      </c>
      <c r="P185">
        <f t="shared" si="27"/>
        <v>44400000</v>
      </c>
      <c r="Q185">
        <f>IFERROR(J144+MATCH(P185,J185:N185,0)-1,"")</f>
        <v>2015</v>
      </c>
      <c r="R185">
        <f t="shared" si="28"/>
        <v>-7730000</v>
      </c>
      <c r="S185">
        <f>IFERROR(J144+MATCH(R185,J185:N185,0)-1,"")</f>
        <v>2012</v>
      </c>
      <c r="T185">
        <f t="shared" si="29"/>
        <v>22830000</v>
      </c>
      <c r="U185">
        <f t="shared" si="30"/>
        <v>21913757.094574176</v>
      </c>
      <c r="V185">
        <f t="shared" si="31"/>
        <v>-1.3945577596808638</v>
      </c>
      <c r="W185">
        <f t="shared" si="32"/>
        <v>-0.35320278337466909</v>
      </c>
      <c r="X185">
        <f t="shared" si="33"/>
        <v>0.96058379716237519</v>
      </c>
      <c r="Y185">
        <f t="shared" si="34"/>
        <v>0.98431318312553129</v>
      </c>
      <c r="Z185">
        <f t="shared" si="35"/>
        <v>-0.19713643723237342</v>
      </c>
      <c r="AA185">
        <f t="shared" si="36"/>
        <v>-1.3945577596808638</v>
      </c>
      <c r="AB185">
        <f>IFERROR(V144+MATCH(AA185,V185:Z185,0)-1,"")</f>
        <v>2012</v>
      </c>
      <c r="AC185" t="str">
        <f t="shared" si="37"/>
        <v>Low</v>
      </c>
      <c r="AE185">
        <f>IF(ISNUMBER(MATCH("N/A",J185:N185,0)),"",IFERROR((5 * SUMPRODUCT(J144:N144,J185:N185) - PRODUCT(SUM(J144:N144),SUM(J185:N185))) / ((5 * SUM((J144^2)+(K144^2)+(L144^2)+(M144^2)+(N144^2))) - SUM(J144:N144)^2),""))</f>
        <v>8179000</v>
      </c>
      <c r="AF185">
        <f>IFERROR(CORREL(J144:N144,J185:N185),"")</f>
        <v>0.59013771282791894</v>
      </c>
      <c r="AZ185">
        <f t="shared" si="38"/>
        <v>1</v>
      </c>
      <c r="BA185" t="str">
        <f>IF(AZ185=1,IF(Q185="","",IF(Q185=N144,"Yes","No")),"")</f>
        <v>No</v>
      </c>
      <c r="BB185" t="str">
        <f t="shared" si="39"/>
        <v/>
      </c>
      <c r="BC185" t="str">
        <f>IF(AZ185=1,IF(S185="","",IF(S185=N144,"Yes","No")),"")</f>
        <v>No</v>
      </c>
      <c r="BD185" t="str">
        <f t="shared" si="40"/>
        <v/>
      </c>
      <c r="BE185" t="str">
        <f t="shared" si="41"/>
        <v>Increasing</v>
      </c>
      <c r="BF185" t="str">
        <f t="shared" si="42"/>
        <v>No</v>
      </c>
      <c r="BG185" t="str">
        <f t="shared" si="43"/>
        <v>No</v>
      </c>
      <c r="BH185" t="str">
        <f t="shared" si="44"/>
        <v>No</v>
      </c>
    </row>
    <row r="186" spans="1:60" x14ac:dyDescent="0.3">
      <c r="A186" s="1">
        <v>28</v>
      </c>
      <c r="B186" t="s">
        <v>409</v>
      </c>
      <c r="C186" t="s">
        <v>264</v>
      </c>
      <c r="D186" t="s">
        <v>1218</v>
      </c>
      <c r="E186" t="s">
        <v>1219</v>
      </c>
      <c r="F186" t="s">
        <v>1220</v>
      </c>
      <c r="G186" t="s">
        <v>1221</v>
      </c>
      <c r="I186" t="str">
        <f t="shared" si="46"/>
        <v>neg_trend</v>
      </c>
      <c r="J186" t="str">
        <f t="shared" si="47"/>
        <v>N/A</v>
      </c>
      <c r="K186">
        <f t="shared" si="48"/>
        <v>2.9518</v>
      </c>
      <c r="L186">
        <f t="shared" si="49"/>
        <v>1.9075</v>
      </c>
      <c r="M186">
        <f t="shared" si="50"/>
        <v>1.2E-2</v>
      </c>
      <c r="N186">
        <f t="shared" si="51"/>
        <v>-0.58310000000000006</v>
      </c>
      <c r="P186">
        <f t="shared" si="27"/>
        <v>2.9518</v>
      </c>
      <c r="Q186">
        <f>IFERROR(J144+MATCH(P186,J186:N186,0)-1,"")</f>
        <v>2013</v>
      </c>
      <c r="R186">
        <f t="shared" si="28"/>
        <v>-0.58310000000000006</v>
      </c>
      <c r="S186">
        <f>IFERROR(J144+MATCH(R186,J186:N186,0)-1,"")</f>
        <v>2016</v>
      </c>
      <c r="T186">
        <f t="shared" si="29"/>
        <v>1.0720499999999999</v>
      </c>
      <c r="U186">
        <f t="shared" si="30"/>
        <v>1.6426263817435784</v>
      </c>
      <c r="V186" t="str">
        <f t="shared" si="31"/>
        <v/>
      </c>
      <c r="W186">
        <f t="shared" si="32"/>
        <v>1.1443563922337134</v>
      </c>
      <c r="X186">
        <f t="shared" si="33"/>
        <v>0.50860622311033699</v>
      </c>
      <c r="Y186">
        <f t="shared" si="34"/>
        <v>-0.64533847244971299</v>
      </c>
      <c r="Z186">
        <f t="shared" si="35"/>
        <v>-1.0076241428943373</v>
      </c>
      <c r="AA186">
        <f t="shared" si="36"/>
        <v>1.1443563922337134</v>
      </c>
      <c r="AB186">
        <f>IFERROR(V144+MATCH(AA186,V186:Z186,0)-1,"")</f>
        <v>2013</v>
      </c>
      <c r="AC186" t="str">
        <f t="shared" si="37"/>
        <v>High</v>
      </c>
      <c r="AE186" t="str">
        <f>IF(ISNUMBER(MATCH("N/A",J186:N186,0)),"",IFERROR((5 * SUMPRODUCT(J144:N144,J186:N186) - PRODUCT(SUM(J144:N144),SUM(J186:N186))) / ((5 * SUM((J144^2)+(K144^2)+(L144^2)+(M144^2)+(N144^2))) - SUM(J144:N144)^2),""))</f>
        <v/>
      </c>
      <c r="AF186">
        <f>IFERROR(CORREL(J144:N144,J186:N186),"")</f>
        <v>-0.98243209700296197</v>
      </c>
      <c r="AZ186">
        <f t="shared" si="38"/>
        <v>1</v>
      </c>
      <c r="BA186" t="str">
        <f>IF(AZ186=1,IF(Q186="","",IF(Q186=N144,"Yes","No")),"")</f>
        <v>No</v>
      </c>
      <c r="BB186" t="str">
        <f t="shared" si="39"/>
        <v/>
      </c>
      <c r="BC186" t="str">
        <f>IF(AZ186=1,IF(S186="","",IF(S186=N144,"Yes","No")),"")</f>
        <v>Yes</v>
      </c>
      <c r="BD186">
        <f t="shared" si="40"/>
        <v>-0.58310000000000006</v>
      </c>
      <c r="BE186" t="str">
        <f t="shared" si="41"/>
        <v/>
      </c>
      <c r="BF186" t="str">
        <f t="shared" si="42"/>
        <v>No</v>
      </c>
      <c r="BG186" t="str">
        <f t="shared" si="43"/>
        <v>No</v>
      </c>
      <c r="BH186" t="str">
        <f t="shared" si="44"/>
        <v>Yes</v>
      </c>
    </row>
    <row r="187" spans="1:60" x14ac:dyDescent="0.3">
      <c r="A187" s="1">
        <v>29</v>
      </c>
      <c r="B187" t="s">
        <v>414</v>
      </c>
      <c r="C187" t="s">
        <v>264</v>
      </c>
      <c r="D187" t="s">
        <v>264</v>
      </c>
      <c r="E187" t="s">
        <v>264</v>
      </c>
      <c r="F187" t="s">
        <v>264</v>
      </c>
      <c r="G187" t="s">
        <v>1222</v>
      </c>
      <c r="I187" t="str">
        <f t="shared" si="46"/>
        <v>N/A</v>
      </c>
      <c r="J187" t="str">
        <f t="shared" si="47"/>
        <v>N/A</v>
      </c>
      <c r="K187" t="str">
        <f t="shared" si="48"/>
        <v>N/A</v>
      </c>
      <c r="L187" t="str">
        <f t="shared" si="49"/>
        <v>N/A</v>
      </c>
      <c r="M187" t="str">
        <f t="shared" si="50"/>
        <v>N/A</v>
      </c>
      <c r="N187">
        <f t="shared" si="51"/>
        <v>6.8999999999999999E-3</v>
      </c>
      <c r="P187">
        <f t="shared" si="27"/>
        <v>6.8999999999999999E-3</v>
      </c>
      <c r="Q187">
        <f>IFERROR(J144+MATCH(P187,J187:N187,0)-1,"")</f>
        <v>2016</v>
      </c>
      <c r="R187">
        <f t="shared" si="28"/>
        <v>6.8999999999999999E-3</v>
      </c>
      <c r="S187">
        <f>IFERROR(J144+MATCH(R187,J187:N187,0)-1,"")</f>
        <v>2016</v>
      </c>
      <c r="T187">
        <f t="shared" si="29"/>
        <v>6.8999999999999999E-3</v>
      </c>
      <c r="U187" t="str">
        <f t="shared" si="30"/>
        <v/>
      </c>
      <c r="V187" t="str">
        <f t="shared" si="31"/>
        <v/>
      </c>
      <c r="W187" t="str">
        <f t="shared" si="32"/>
        <v/>
      </c>
      <c r="X187" t="str">
        <f t="shared" si="33"/>
        <v/>
      </c>
      <c r="Y187" t="str">
        <f t="shared" si="34"/>
        <v/>
      </c>
      <c r="Z187" t="str">
        <f t="shared" si="35"/>
        <v/>
      </c>
      <c r="AA187">
        <f t="shared" si="36"/>
        <v>0</v>
      </c>
      <c r="AB187" t="str">
        <f>IFERROR(V144+MATCH(AA187,V187:Z187,0)-1,"")</f>
        <v/>
      </c>
      <c r="AC187" t="str">
        <f t="shared" si="37"/>
        <v/>
      </c>
      <c r="AE187" t="str">
        <f>IF(ISNUMBER(MATCH("N/A",J187:N187,0)),"",IFERROR((5 * SUMPRODUCT(J144:N144,J187:N187) - PRODUCT(SUM(J144:N144),SUM(J187:N187))) / ((5 * SUM((J144^2)+(K144^2)+(L144^2)+(M144^2)+(N144^2))) - SUM(J144:N144)^2),""))</f>
        <v/>
      </c>
      <c r="AF187" t="str">
        <f>IFERROR(CORREL(J144:N144,J187:N187),"")</f>
        <v/>
      </c>
      <c r="AZ187">
        <f t="shared" si="38"/>
        <v>0</v>
      </c>
      <c r="BA187" t="str">
        <f>IF(AZ187=1,IF(Q187="","",IF(Q187=N144,"Yes","No")),"")</f>
        <v/>
      </c>
      <c r="BB187" t="str">
        <f t="shared" si="39"/>
        <v/>
      </c>
      <c r="BC187" t="str">
        <f>IF(AZ187=1,IF(S187="","",IF(S187=N144,"Yes","No")),"")</f>
        <v/>
      </c>
      <c r="BD187" t="str">
        <f t="shared" si="40"/>
        <v/>
      </c>
      <c r="BE187" t="str">
        <f t="shared" si="41"/>
        <v/>
      </c>
      <c r="BF187" t="str">
        <f t="shared" si="42"/>
        <v>No</v>
      </c>
      <c r="BG187" t="str">
        <f t="shared" si="43"/>
        <v>No</v>
      </c>
      <c r="BH187" t="str">
        <f t="shared" si="44"/>
        <v/>
      </c>
    </row>
    <row r="188" spans="1:60" x14ac:dyDescent="0.3">
      <c r="A188" s="1">
        <v>30</v>
      </c>
      <c r="B188" t="s">
        <v>416</v>
      </c>
      <c r="C188" t="s">
        <v>264</v>
      </c>
      <c r="D188" t="s">
        <v>264</v>
      </c>
      <c r="E188" t="s">
        <v>264</v>
      </c>
      <c r="F188" t="s">
        <v>264</v>
      </c>
      <c r="G188" t="s">
        <v>264</v>
      </c>
      <c r="I188" t="str">
        <f t="shared" si="46"/>
        <v>N/A</v>
      </c>
      <c r="J188" t="str">
        <f t="shared" si="47"/>
        <v>N/A</v>
      </c>
      <c r="K188" t="str">
        <f t="shared" si="48"/>
        <v>N/A</v>
      </c>
      <c r="L188" t="str">
        <f t="shared" si="49"/>
        <v>N/A</v>
      </c>
      <c r="M188" t="str">
        <f t="shared" si="50"/>
        <v>N/A</v>
      </c>
      <c r="N188" t="str">
        <f t="shared" si="51"/>
        <v>N/A</v>
      </c>
      <c r="P188">
        <f t="shared" si="27"/>
        <v>0</v>
      </c>
      <c r="Q188" t="str">
        <f>IFERROR(J144+MATCH(P188,J188:N188,0)-1,"")</f>
        <v/>
      </c>
      <c r="R188" t="str">
        <f t="shared" si="28"/>
        <v/>
      </c>
      <c r="S188" t="str">
        <f>IFERROR(J144+MATCH(R188,J188:N188,0)-1,"")</f>
        <v/>
      </c>
      <c r="T188" t="str">
        <f t="shared" si="29"/>
        <v/>
      </c>
      <c r="U188" t="str">
        <f t="shared" si="30"/>
        <v/>
      </c>
      <c r="V188" t="str">
        <f t="shared" si="31"/>
        <v/>
      </c>
      <c r="W188" t="str">
        <f t="shared" si="32"/>
        <v/>
      </c>
      <c r="X188" t="str">
        <f t="shared" si="33"/>
        <v/>
      </c>
      <c r="Y188" t="str">
        <f t="shared" si="34"/>
        <v/>
      </c>
      <c r="Z188" t="str">
        <f t="shared" si="35"/>
        <v/>
      </c>
      <c r="AA188">
        <f t="shared" si="36"/>
        <v>0</v>
      </c>
      <c r="AB188" t="str">
        <f>IFERROR(V144+MATCH(AA188,V188:Z188,0)-1,"")</f>
        <v/>
      </c>
      <c r="AC188" t="str">
        <f t="shared" si="37"/>
        <v/>
      </c>
      <c r="AE188" t="str">
        <f>IF(ISNUMBER(MATCH("N/A",J188:N188,0)),"",IFERROR((5 * SUMPRODUCT(J144:N144,J188:N188) - PRODUCT(SUM(J144:N144),SUM(J188:N188))) / ((5 * SUM((J144^2)+(K144^2)+(L144^2)+(M144^2)+(N144^2))) - SUM(J144:N144)^2),""))</f>
        <v/>
      </c>
      <c r="AF188" t="str">
        <f>IFERROR(CORREL(J144:N144,J188:N188),"")</f>
        <v/>
      </c>
      <c r="AZ188">
        <f t="shared" si="38"/>
        <v>0</v>
      </c>
      <c r="BA188" t="str">
        <f>IF(AZ188=1,IF(Q188="","",IF(Q188=N144,"Yes","No")),"")</f>
        <v/>
      </c>
      <c r="BB188" t="str">
        <f t="shared" si="39"/>
        <v/>
      </c>
      <c r="BC188" t="str">
        <f>IF(AZ188=1,IF(S188="","",IF(S188=N144,"Yes","No")),"")</f>
        <v/>
      </c>
      <c r="BD188" t="str">
        <f t="shared" si="40"/>
        <v/>
      </c>
      <c r="BE188" t="str">
        <f t="shared" si="41"/>
        <v/>
      </c>
      <c r="BF188" t="str">
        <f t="shared" si="42"/>
        <v>No</v>
      </c>
      <c r="BG188" t="str">
        <f t="shared" si="43"/>
        <v>No</v>
      </c>
      <c r="BH188" t="str">
        <f t="shared" si="44"/>
        <v/>
      </c>
    </row>
    <row r="189" spans="1:60" x14ac:dyDescent="0.3">
      <c r="A189" s="1">
        <v>31</v>
      </c>
      <c r="B189" t="s">
        <v>417</v>
      </c>
      <c r="C189" t="s">
        <v>264</v>
      </c>
      <c r="D189" t="s">
        <v>264</v>
      </c>
      <c r="E189" t="s">
        <v>264</v>
      </c>
      <c r="F189" t="s">
        <v>264</v>
      </c>
      <c r="G189" t="s">
        <v>264</v>
      </c>
      <c r="I189" t="str">
        <f t="shared" si="46"/>
        <v>N/A</v>
      </c>
      <c r="J189" t="str">
        <f t="shared" si="47"/>
        <v>N/A</v>
      </c>
      <c r="K189" t="str">
        <f t="shared" si="48"/>
        <v>N/A</v>
      </c>
      <c r="L189" t="str">
        <f t="shared" si="49"/>
        <v>N/A</v>
      </c>
      <c r="M189" t="str">
        <f t="shared" si="50"/>
        <v>N/A</v>
      </c>
      <c r="N189" t="str">
        <f t="shared" si="51"/>
        <v>N/A</v>
      </c>
      <c r="P189">
        <f t="shared" si="27"/>
        <v>0</v>
      </c>
      <c r="Q189" t="str">
        <f>IFERROR(J144+MATCH(P189,J189:N189,0)-1,"")</f>
        <v/>
      </c>
      <c r="R189" t="str">
        <f t="shared" si="28"/>
        <v/>
      </c>
      <c r="S189" t="str">
        <f>IFERROR(J144+MATCH(R189,J189:N189,0)-1,"")</f>
        <v/>
      </c>
      <c r="T189" t="str">
        <f t="shared" si="29"/>
        <v/>
      </c>
      <c r="U189" t="str">
        <f t="shared" si="30"/>
        <v/>
      </c>
      <c r="V189" t="str">
        <f t="shared" si="31"/>
        <v/>
      </c>
      <c r="W189" t="str">
        <f t="shared" si="32"/>
        <v/>
      </c>
      <c r="X189" t="str">
        <f t="shared" si="33"/>
        <v/>
      </c>
      <c r="Y189" t="str">
        <f t="shared" si="34"/>
        <v/>
      </c>
      <c r="Z189" t="str">
        <f t="shared" si="35"/>
        <v/>
      </c>
      <c r="AA189">
        <f t="shared" si="36"/>
        <v>0</v>
      </c>
      <c r="AB189" t="str">
        <f>IFERROR(V144+MATCH(AA189,V189:Z189,0)-1,"")</f>
        <v/>
      </c>
      <c r="AC189" t="str">
        <f t="shared" si="37"/>
        <v/>
      </c>
      <c r="AE189" t="str">
        <f>IF(ISNUMBER(MATCH("N/A",J189:N189,0)),"",IFERROR((5 * SUMPRODUCT(J144:N144,J189:N189) - PRODUCT(SUM(J144:N144),SUM(J189:N189))) / ((5 * SUM((J144^2)+(K144^2)+(L144^2)+(M144^2)+(N144^2))) - SUM(J144:N144)^2),""))</f>
        <v/>
      </c>
      <c r="AF189" t="str">
        <f>IFERROR(CORREL(J144:N144,J189:N189),"")</f>
        <v/>
      </c>
      <c r="AZ189">
        <f t="shared" si="38"/>
        <v>0</v>
      </c>
      <c r="BA189" t="str">
        <f>IF(AZ189=1,IF(Q189="","",IF(Q189=N144,"Yes","No")),"")</f>
        <v/>
      </c>
      <c r="BB189" t="str">
        <f t="shared" si="39"/>
        <v/>
      </c>
      <c r="BC189" t="str">
        <f>IF(AZ189=1,IF(S189="","",IF(S189=N144,"Yes","No")),"")</f>
        <v/>
      </c>
      <c r="BD189" t="str">
        <f t="shared" si="40"/>
        <v/>
      </c>
      <c r="BE189" t="str">
        <f t="shared" si="41"/>
        <v/>
      </c>
      <c r="BF189" t="str">
        <f t="shared" si="42"/>
        <v>No</v>
      </c>
      <c r="BG189" t="str">
        <f t="shared" si="43"/>
        <v>No</v>
      </c>
      <c r="BH189" t="str">
        <f t="shared" si="44"/>
        <v/>
      </c>
    </row>
    <row r="190" spans="1:60" x14ac:dyDescent="0.3">
      <c r="A190" s="1">
        <v>32</v>
      </c>
      <c r="B190" t="s">
        <v>418</v>
      </c>
      <c r="C190" t="s">
        <v>264</v>
      </c>
      <c r="D190" t="s">
        <v>264</v>
      </c>
      <c r="E190" t="s">
        <v>264</v>
      </c>
      <c r="F190" t="s">
        <v>264</v>
      </c>
      <c r="G190" t="s">
        <v>264</v>
      </c>
      <c r="I190" t="str">
        <f t="shared" si="46"/>
        <v>N/A</v>
      </c>
      <c r="J190" t="str">
        <f t="shared" si="47"/>
        <v>N/A</v>
      </c>
      <c r="K190" t="str">
        <f t="shared" si="48"/>
        <v>N/A</v>
      </c>
      <c r="L190" t="str">
        <f t="shared" si="49"/>
        <v>N/A</v>
      </c>
      <c r="M190" t="str">
        <f t="shared" si="50"/>
        <v>N/A</v>
      </c>
      <c r="N190" t="str">
        <f t="shared" si="51"/>
        <v>N/A</v>
      </c>
      <c r="P190">
        <f t="shared" si="27"/>
        <v>0</v>
      </c>
      <c r="Q190" t="str">
        <f>IFERROR(J144+MATCH(P190,J190:N190,0)-1,"")</f>
        <v/>
      </c>
      <c r="R190" t="str">
        <f t="shared" si="28"/>
        <v/>
      </c>
      <c r="S190" t="str">
        <f>IFERROR(J144+MATCH(R190,J190:N190,0)-1,"")</f>
        <v/>
      </c>
      <c r="T190" t="str">
        <f t="shared" si="29"/>
        <v/>
      </c>
      <c r="U190" t="str">
        <f t="shared" si="30"/>
        <v/>
      </c>
      <c r="V190" t="str">
        <f t="shared" si="31"/>
        <v/>
      </c>
      <c r="W190" t="str">
        <f t="shared" si="32"/>
        <v/>
      </c>
      <c r="X190" t="str">
        <f t="shared" si="33"/>
        <v/>
      </c>
      <c r="Y190" t="str">
        <f t="shared" si="34"/>
        <v/>
      </c>
      <c r="Z190" t="str">
        <f t="shared" si="35"/>
        <v/>
      </c>
      <c r="AA190">
        <f t="shared" si="36"/>
        <v>0</v>
      </c>
      <c r="AB190" t="str">
        <f>IFERROR(V144+MATCH(AA190,V190:Z190,0)-1,"")</f>
        <v/>
      </c>
      <c r="AC190" t="str">
        <f t="shared" si="37"/>
        <v/>
      </c>
      <c r="AE190" t="str">
        <f>IF(ISNUMBER(MATCH("N/A",J190:N190,0)),"",IFERROR((5 * SUMPRODUCT(J144:N144,J190:N190) - PRODUCT(SUM(J144:N144),SUM(J190:N190))) / ((5 * SUM((J144^2)+(K144^2)+(L144^2)+(M144^2)+(N144^2))) - SUM(J144:N144)^2),""))</f>
        <v/>
      </c>
      <c r="AF190" t="str">
        <f>IFERROR(CORREL(J144:N144,J190:N190),"")</f>
        <v/>
      </c>
      <c r="AZ190">
        <f t="shared" si="38"/>
        <v>0</v>
      </c>
      <c r="BA190" t="str">
        <f>IF(AZ190=1,IF(Q190="","",IF(Q190=N144,"Yes","No")),"")</f>
        <v/>
      </c>
      <c r="BB190" t="str">
        <f t="shared" si="39"/>
        <v/>
      </c>
      <c r="BC190" t="str">
        <f>IF(AZ190=1,IF(S190="","",IF(S190=N144,"Yes","No")),"")</f>
        <v/>
      </c>
      <c r="BD190" t="str">
        <f t="shared" si="40"/>
        <v/>
      </c>
      <c r="BE190" t="str">
        <f t="shared" si="41"/>
        <v/>
      </c>
      <c r="BF190" t="str">
        <f t="shared" si="42"/>
        <v>No</v>
      </c>
      <c r="BG190" t="str">
        <f t="shared" si="43"/>
        <v>No</v>
      </c>
      <c r="BH190" t="str">
        <f t="shared" si="44"/>
        <v/>
      </c>
    </row>
    <row r="191" spans="1:60" x14ac:dyDescent="0.3">
      <c r="A191" s="1">
        <v>33</v>
      </c>
      <c r="B191" t="s">
        <v>419</v>
      </c>
      <c r="C191" t="s">
        <v>264</v>
      </c>
      <c r="D191" t="s">
        <v>264</v>
      </c>
      <c r="E191" t="s">
        <v>264</v>
      </c>
      <c r="F191" t="s">
        <v>264</v>
      </c>
      <c r="G191" t="s">
        <v>264</v>
      </c>
      <c r="I191" t="str">
        <f t="shared" si="46"/>
        <v>N/A</v>
      </c>
      <c r="J191" t="str">
        <f t="shared" si="47"/>
        <v>N/A</v>
      </c>
      <c r="K191" t="str">
        <f t="shared" si="48"/>
        <v>N/A</v>
      </c>
      <c r="L191" t="str">
        <f t="shared" si="49"/>
        <v>N/A</v>
      </c>
      <c r="M191" t="str">
        <f t="shared" si="50"/>
        <v>N/A</v>
      </c>
      <c r="N191" t="str">
        <f t="shared" si="51"/>
        <v>N/A</v>
      </c>
      <c r="P191">
        <f t="shared" si="27"/>
        <v>0</v>
      </c>
      <c r="Q191" t="str">
        <f>IFERROR(J144+MATCH(P191,J191:N191,0)-1,"")</f>
        <v/>
      </c>
      <c r="R191" t="str">
        <f t="shared" si="28"/>
        <v/>
      </c>
      <c r="S191" t="str">
        <f>IFERROR(J144+MATCH(R191,J191:N191,0)-1,"")</f>
        <v/>
      </c>
      <c r="T191" t="str">
        <f t="shared" si="29"/>
        <v/>
      </c>
      <c r="U191" t="str">
        <f t="shared" si="30"/>
        <v/>
      </c>
      <c r="V191" t="str">
        <f t="shared" si="31"/>
        <v/>
      </c>
      <c r="W191" t="str">
        <f t="shared" si="32"/>
        <v/>
      </c>
      <c r="X191" t="str">
        <f t="shared" si="33"/>
        <v/>
      </c>
      <c r="Y191" t="str">
        <f t="shared" si="34"/>
        <v/>
      </c>
      <c r="Z191" t="str">
        <f t="shared" si="35"/>
        <v/>
      </c>
      <c r="AA191">
        <f t="shared" si="36"/>
        <v>0</v>
      </c>
      <c r="AB191" t="str">
        <f>IFERROR(V144+MATCH(AA191,V191:Z191,0)-1,"")</f>
        <v/>
      </c>
      <c r="AC191" t="str">
        <f t="shared" si="37"/>
        <v/>
      </c>
      <c r="AE191" t="str">
        <f>IF(ISNUMBER(MATCH("N/A",J191:N191,0)),"",IFERROR((5 * SUMPRODUCT(J144:N144,J191:N191) - PRODUCT(SUM(J144:N144),SUM(J191:N191))) / ((5 * SUM((J144^2)+(K144^2)+(L144^2)+(M144^2)+(N144^2))) - SUM(J144:N144)^2),""))</f>
        <v/>
      </c>
      <c r="AF191" t="str">
        <f>IFERROR(CORREL(J144:N144,J191:N191),"")</f>
        <v/>
      </c>
      <c r="AZ191">
        <f t="shared" si="38"/>
        <v>0</v>
      </c>
      <c r="BA191" t="str">
        <f>IF(AZ191=1,IF(Q191="","",IF(Q191=N144,"Yes","No")),"")</f>
        <v/>
      </c>
      <c r="BB191" t="str">
        <f t="shared" si="39"/>
        <v/>
      </c>
      <c r="BC191" t="str">
        <f>IF(AZ191=1,IF(S191="","",IF(S191=N144,"Yes","No")),"")</f>
        <v/>
      </c>
      <c r="BD191" t="str">
        <f t="shared" si="40"/>
        <v/>
      </c>
      <c r="BE191" t="str">
        <f t="shared" si="41"/>
        <v/>
      </c>
      <c r="BF191" t="str">
        <f t="shared" si="42"/>
        <v>No</v>
      </c>
      <c r="BG191" t="str">
        <f t="shared" si="43"/>
        <v>No</v>
      </c>
      <c r="BH191" t="str">
        <f t="shared" si="44"/>
        <v/>
      </c>
    </row>
    <row r="192" spans="1:60" x14ac:dyDescent="0.3">
      <c r="A192" s="1">
        <v>34</v>
      </c>
      <c r="B192" t="s">
        <v>420</v>
      </c>
      <c r="C192" t="s">
        <v>776</v>
      </c>
      <c r="D192" t="s">
        <v>1214</v>
      </c>
      <c r="E192" t="s">
        <v>1215</v>
      </c>
      <c r="F192" t="s">
        <v>1216</v>
      </c>
      <c r="G192" t="s">
        <v>1217</v>
      </c>
      <c r="I192" t="str">
        <f t="shared" si="46"/>
        <v>N/A</v>
      </c>
      <c r="J192">
        <f t="shared" si="47"/>
        <v>-7730000</v>
      </c>
      <c r="K192">
        <f t="shared" si="48"/>
        <v>15090000</v>
      </c>
      <c r="L192">
        <f t="shared" si="49"/>
        <v>43880000</v>
      </c>
      <c r="M192">
        <f t="shared" si="50"/>
        <v>44400000</v>
      </c>
      <c r="N192">
        <f t="shared" si="51"/>
        <v>18510000</v>
      </c>
      <c r="P192">
        <f t="shared" si="27"/>
        <v>44400000</v>
      </c>
      <c r="Q192">
        <f>IFERROR(J144+MATCH(P192,J192:N192,0)-1,"")</f>
        <v>2015</v>
      </c>
      <c r="R192">
        <f t="shared" si="28"/>
        <v>-7730000</v>
      </c>
      <c r="S192">
        <f>IFERROR(J144+MATCH(R192,J192:N192,0)-1,"")</f>
        <v>2012</v>
      </c>
      <c r="T192">
        <f t="shared" si="29"/>
        <v>22830000</v>
      </c>
      <c r="U192">
        <f t="shared" si="30"/>
        <v>21913757.094574176</v>
      </c>
      <c r="V192">
        <f t="shared" si="31"/>
        <v>-1.3945577596808638</v>
      </c>
      <c r="W192">
        <f t="shared" si="32"/>
        <v>-0.35320278337466909</v>
      </c>
      <c r="X192">
        <f t="shared" si="33"/>
        <v>0.96058379716237519</v>
      </c>
      <c r="Y192">
        <f t="shared" si="34"/>
        <v>0.98431318312553129</v>
      </c>
      <c r="Z192">
        <f t="shared" si="35"/>
        <v>-0.19713643723237342</v>
      </c>
      <c r="AA192">
        <f t="shared" si="36"/>
        <v>-1.3945577596808638</v>
      </c>
      <c r="AB192">
        <f>IFERROR(V144+MATCH(AA192,V192:Z192,0)-1,"")</f>
        <v>2012</v>
      </c>
      <c r="AC192" t="str">
        <f t="shared" si="37"/>
        <v>Low</v>
      </c>
      <c r="AE192">
        <f>IF(ISNUMBER(MATCH("N/A",J192:N192,0)),"",IFERROR((5 * SUMPRODUCT(J144:N144,J192:N192) - PRODUCT(SUM(J144:N144),SUM(J192:N192))) / ((5 * SUM((J144^2)+(K144^2)+(L144^2)+(M144^2)+(N144^2))) - SUM(J144:N144)^2),""))</f>
        <v>8179000</v>
      </c>
      <c r="AF192">
        <f>IFERROR(CORREL(J144:N144,J192:N192),"")</f>
        <v>0.59013771282791894</v>
      </c>
      <c r="AZ192">
        <f t="shared" si="38"/>
        <v>1</v>
      </c>
      <c r="BA192" t="str">
        <f>IF(AZ192=1,IF(Q192="","",IF(Q192=N144,"Yes","No")),"")</f>
        <v>No</v>
      </c>
      <c r="BB192" t="str">
        <f t="shared" si="39"/>
        <v/>
      </c>
      <c r="BC192" t="str">
        <f>IF(AZ192=1,IF(S192="","",IF(S192=N144,"Yes","No")),"")</f>
        <v>No</v>
      </c>
      <c r="BD192" t="str">
        <f t="shared" si="40"/>
        <v/>
      </c>
      <c r="BE192" t="str">
        <f t="shared" si="41"/>
        <v>Increasing</v>
      </c>
      <c r="BF192" t="str">
        <f t="shared" si="42"/>
        <v>No</v>
      </c>
      <c r="BG192" t="str">
        <f t="shared" si="43"/>
        <v>No</v>
      </c>
      <c r="BH192" t="str">
        <f t="shared" si="44"/>
        <v>No</v>
      </c>
    </row>
    <row r="193" spans="1:60" x14ac:dyDescent="0.3">
      <c r="A193" s="1">
        <v>35</v>
      </c>
      <c r="B193" t="s">
        <v>421</v>
      </c>
      <c r="C193" t="s">
        <v>264</v>
      </c>
      <c r="D193" t="s">
        <v>264</v>
      </c>
      <c r="E193" t="s">
        <v>264</v>
      </c>
      <c r="F193" t="s">
        <v>264</v>
      </c>
      <c r="G193" t="s">
        <v>264</v>
      </c>
      <c r="I193" t="str">
        <f t="shared" si="46"/>
        <v>N/A</v>
      </c>
      <c r="J193" t="str">
        <f t="shared" si="47"/>
        <v>N/A</v>
      </c>
      <c r="K193" t="str">
        <f t="shared" si="48"/>
        <v>N/A</v>
      </c>
      <c r="L193" t="str">
        <f t="shared" si="49"/>
        <v>N/A</v>
      </c>
      <c r="M193" t="str">
        <f t="shared" si="50"/>
        <v>N/A</v>
      </c>
      <c r="N193" t="str">
        <f t="shared" si="51"/>
        <v>N/A</v>
      </c>
      <c r="P193">
        <f t="shared" si="27"/>
        <v>0</v>
      </c>
      <c r="Q193" t="str">
        <f>IFERROR(J144+MATCH(P193,J193:N193,0)-1,"")</f>
        <v/>
      </c>
      <c r="R193" t="str">
        <f t="shared" si="28"/>
        <v/>
      </c>
      <c r="S193" t="str">
        <f>IFERROR(J144+MATCH(R193,J193:N193,0)-1,"")</f>
        <v/>
      </c>
      <c r="T193" t="str">
        <f t="shared" si="29"/>
        <v/>
      </c>
      <c r="U193" t="str">
        <f t="shared" si="30"/>
        <v/>
      </c>
      <c r="V193" t="str">
        <f t="shared" si="31"/>
        <v/>
      </c>
      <c r="W193" t="str">
        <f t="shared" si="32"/>
        <v/>
      </c>
      <c r="X193" t="str">
        <f t="shared" si="33"/>
        <v/>
      </c>
      <c r="Y193" t="str">
        <f t="shared" si="34"/>
        <v/>
      </c>
      <c r="Z193" t="str">
        <f t="shared" si="35"/>
        <v/>
      </c>
      <c r="AA193">
        <f t="shared" si="36"/>
        <v>0</v>
      </c>
      <c r="AB193" t="str">
        <f>IFERROR(V144+MATCH(AA193,V193:Z193,0)-1,"")</f>
        <v/>
      </c>
      <c r="AC193" t="str">
        <f t="shared" si="37"/>
        <v/>
      </c>
      <c r="AE193" t="str">
        <f>IF(ISNUMBER(MATCH("N/A",J193:N193,0)),"",IFERROR((5 * SUMPRODUCT(J144:N144,J193:N193) - PRODUCT(SUM(J144:N144),SUM(J193:N193))) / ((5 * SUM((J144^2)+(K144^2)+(L144^2)+(M144^2)+(N144^2))) - SUM(J144:N144)^2),""))</f>
        <v/>
      </c>
      <c r="AF193" t="str">
        <f>IFERROR(CORREL(J144:N144,J193:N193),"")</f>
        <v/>
      </c>
      <c r="AZ193">
        <f t="shared" si="38"/>
        <v>0</v>
      </c>
      <c r="BA193" t="str">
        <f>IF(AZ193=1,IF(Q193="","",IF(Q193=N144,"Yes","No")),"")</f>
        <v/>
      </c>
      <c r="BB193" t="str">
        <f t="shared" si="39"/>
        <v/>
      </c>
      <c r="BC193" t="str">
        <f>IF(AZ193=1,IF(S193="","",IF(S193=N144,"Yes","No")),"")</f>
        <v/>
      </c>
      <c r="BD193" t="str">
        <f t="shared" si="40"/>
        <v/>
      </c>
      <c r="BE193" t="str">
        <f t="shared" si="41"/>
        <v/>
      </c>
      <c r="BF193" t="str">
        <f t="shared" si="42"/>
        <v>No</v>
      </c>
      <c r="BG193" t="str">
        <f t="shared" si="43"/>
        <v>No</v>
      </c>
      <c r="BH193" t="str">
        <f t="shared" si="44"/>
        <v/>
      </c>
    </row>
    <row r="194" spans="1:60" x14ac:dyDescent="0.3">
      <c r="A194" s="1">
        <v>36</v>
      </c>
      <c r="B194" t="s">
        <v>422</v>
      </c>
      <c r="C194" t="s">
        <v>776</v>
      </c>
      <c r="D194" t="s">
        <v>1214</v>
      </c>
      <c r="E194" t="s">
        <v>1215</v>
      </c>
      <c r="F194" t="s">
        <v>1216</v>
      </c>
      <c r="G194" t="s">
        <v>1217</v>
      </c>
      <c r="I194" t="str">
        <f t="shared" si="46"/>
        <v>N/A</v>
      </c>
      <c r="J194">
        <f t="shared" si="47"/>
        <v>-7730000</v>
      </c>
      <c r="K194">
        <f t="shared" si="48"/>
        <v>15090000</v>
      </c>
      <c r="L194">
        <f t="shared" si="49"/>
        <v>43880000</v>
      </c>
      <c r="M194">
        <f t="shared" si="50"/>
        <v>44400000</v>
      </c>
      <c r="N194">
        <f t="shared" si="51"/>
        <v>18510000</v>
      </c>
      <c r="P194">
        <f t="shared" si="27"/>
        <v>44400000</v>
      </c>
      <c r="Q194">
        <f>IFERROR(J144+MATCH(P194,J194:N194,0)-1,"")</f>
        <v>2015</v>
      </c>
      <c r="R194">
        <f t="shared" si="28"/>
        <v>-7730000</v>
      </c>
      <c r="S194">
        <f>IFERROR(J144+MATCH(R194,J194:N194,0)-1,"")</f>
        <v>2012</v>
      </c>
      <c r="T194">
        <f t="shared" si="29"/>
        <v>22830000</v>
      </c>
      <c r="U194">
        <f t="shared" si="30"/>
        <v>21913757.094574176</v>
      </c>
      <c r="V194">
        <f t="shared" si="31"/>
        <v>-1.3945577596808638</v>
      </c>
      <c r="W194">
        <f t="shared" si="32"/>
        <v>-0.35320278337466909</v>
      </c>
      <c r="X194">
        <f t="shared" si="33"/>
        <v>0.96058379716237519</v>
      </c>
      <c r="Y194">
        <f t="shared" si="34"/>
        <v>0.98431318312553129</v>
      </c>
      <c r="Z194">
        <f t="shared" si="35"/>
        <v>-0.19713643723237342</v>
      </c>
      <c r="AA194">
        <f t="shared" si="36"/>
        <v>-1.3945577596808638</v>
      </c>
      <c r="AB194">
        <f>IFERROR(V144+MATCH(AA194,V194:Z194,0)-1,"")</f>
        <v>2012</v>
      </c>
      <c r="AC194" t="str">
        <f t="shared" si="37"/>
        <v>Low</v>
      </c>
      <c r="AE194">
        <f>IF(ISNUMBER(MATCH("N/A",J194:N194,0)),"",IFERROR((5 * SUMPRODUCT(J144:N144,J194:N194) - PRODUCT(SUM(J144:N144),SUM(J194:N194))) / ((5 * SUM((J144^2)+(K144^2)+(L144^2)+(M144^2)+(N144^2))) - SUM(J144:N144)^2),""))</f>
        <v>8179000</v>
      </c>
      <c r="AF194">
        <f>IFERROR(CORREL(J144:N144,J194:N194),"")</f>
        <v>0.59013771282791894</v>
      </c>
      <c r="AZ194">
        <f t="shared" si="38"/>
        <v>1</v>
      </c>
      <c r="BA194" t="str">
        <f>IF(AZ194=1,IF(Q194="","",IF(Q194=N144,"Yes","No")),"")</f>
        <v>No</v>
      </c>
      <c r="BB194" t="str">
        <f t="shared" si="39"/>
        <v/>
      </c>
      <c r="BC194" t="str">
        <f>IF(AZ194=1,IF(S194="","",IF(S194=N144,"Yes","No")),"")</f>
        <v>No</v>
      </c>
      <c r="BD194" t="str">
        <f t="shared" si="40"/>
        <v/>
      </c>
      <c r="BE194" t="str">
        <f t="shared" si="41"/>
        <v>Increasing</v>
      </c>
      <c r="BF194" t="str">
        <f t="shared" si="42"/>
        <v>No</v>
      </c>
      <c r="BG194" t="str">
        <f t="shared" si="43"/>
        <v>No</v>
      </c>
      <c r="BH194" t="str">
        <f t="shared" si="44"/>
        <v>No</v>
      </c>
    </row>
    <row r="195" spans="1:60" x14ac:dyDescent="0.3">
      <c r="A195" s="1">
        <v>37</v>
      </c>
      <c r="B195" t="s">
        <v>423</v>
      </c>
      <c r="C195" t="s">
        <v>1223</v>
      </c>
      <c r="D195" t="s">
        <v>81</v>
      </c>
      <c r="E195" t="s">
        <v>1224</v>
      </c>
      <c r="F195" t="s">
        <v>1225</v>
      </c>
      <c r="G195" t="s">
        <v>1226</v>
      </c>
      <c r="I195" t="str">
        <f t="shared" si="46"/>
        <v>N/A</v>
      </c>
      <c r="J195">
        <f t="shared" si="47"/>
        <v>-0.31</v>
      </c>
      <c r="K195">
        <f t="shared" si="48"/>
        <v>0.59</v>
      </c>
      <c r="L195">
        <f t="shared" si="49"/>
        <v>1.69</v>
      </c>
      <c r="M195">
        <f t="shared" si="50"/>
        <v>1.71</v>
      </c>
      <c r="N195">
        <f t="shared" si="51"/>
        <v>0.72</v>
      </c>
      <c r="P195">
        <f t="shared" si="27"/>
        <v>1.71</v>
      </c>
      <c r="Q195">
        <f>IFERROR(J144+MATCH(P195,J195:N195,0)-1,"")</f>
        <v>2015</v>
      </c>
      <c r="R195">
        <f t="shared" si="28"/>
        <v>-0.31</v>
      </c>
      <c r="S195">
        <f>IFERROR(J144+MATCH(R195,J195:N195,0)-1,"")</f>
        <v>2012</v>
      </c>
      <c r="T195">
        <f t="shared" si="29"/>
        <v>0.87999999999999989</v>
      </c>
      <c r="U195">
        <f t="shared" si="30"/>
        <v>0.84717176534631988</v>
      </c>
      <c r="V195">
        <f t="shared" si="31"/>
        <v>-1.4046738202063822</v>
      </c>
      <c r="W195">
        <f t="shared" si="32"/>
        <v>-0.34231546878979052</v>
      </c>
      <c r="X195">
        <f t="shared" si="33"/>
        <v>0.9561225162749325</v>
      </c>
      <c r="Y195">
        <f t="shared" si="34"/>
        <v>0.97973047963974569</v>
      </c>
      <c r="Z195">
        <f t="shared" si="35"/>
        <v>-0.1888637069185051</v>
      </c>
      <c r="AA195">
        <f t="shared" si="36"/>
        <v>-1.4046738202063822</v>
      </c>
      <c r="AB195">
        <f>IFERROR(V144+MATCH(AA195,V195:Z195,0)-1,"")</f>
        <v>2012</v>
      </c>
      <c r="AC195" t="str">
        <f t="shared" si="37"/>
        <v>Low</v>
      </c>
      <c r="AE195">
        <f>IF(ISNUMBER(MATCH("N/A",J195:N195,0)),"",IFERROR((5 * SUMPRODUCT(J144:N144,J195:N195) - PRODUCT(SUM(J144:N144),SUM(J195:N195))) / ((5 * SUM((J144^2)+(K144^2)+(L144^2)+(M144^2)+(N144^2))) - SUM(J144:N144)^2),""))</f>
        <v>0.31800000000017464</v>
      </c>
      <c r="AF195">
        <f>IFERROR(CORREL(J144:N144,J195:N195),"")</f>
        <v>0.59350673444744595</v>
      </c>
      <c r="AZ195">
        <f t="shared" si="38"/>
        <v>1</v>
      </c>
      <c r="BA195" t="str">
        <f>IF(AZ195=1,IF(Q195="","",IF(Q195=N144,"Yes","No")),"")</f>
        <v>No</v>
      </c>
      <c r="BB195" t="str">
        <f t="shared" si="39"/>
        <v/>
      </c>
      <c r="BC195" t="str">
        <f>IF(AZ195=1,IF(S195="","",IF(S195=N144,"Yes","No")),"")</f>
        <v>No</v>
      </c>
      <c r="BD195" t="str">
        <f t="shared" si="40"/>
        <v/>
      </c>
      <c r="BE195" t="str">
        <f t="shared" si="41"/>
        <v>Increasing</v>
      </c>
      <c r="BF195" t="str">
        <f t="shared" si="42"/>
        <v>No</v>
      </c>
      <c r="BG195" t="str">
        <f t="shared" si="43"/>
        <v>No</v>
      </c>
      <c r="BH195" t="str">
        <f t="shared" si="44"/>
        <v>No</v>
      </c>
    </row>
    <row r="196" spans="1:60" x14ac:dyDescent="0.3">
      <c r="A196" s="1">
        <v>38</v>
      </c>
      <c r="B196" t="s">
        <v>429</v>
      </c>
      <c r="C196" t="s">
        <v>264</v>
      </c>
      <c r="D196" t="s">
        <v>1227</v>
      </c>
      <c r="E196" t="s">
        <v>1228</v>
      </c>
      <c r="F196" t="s">
        <v>1229</v>
      </c>
      <c r="G196" t="s">
        <v>1230</v>
      </c>
      <c r="I196" t="str">
        <f t="shared" si="46"/>
        <v>neg_trend</v>
      </c>
      <c r="J196" t="str">
        <f t="shared" si="47"/>
        <v>N/A</v>
      </c>
      <c r="K196">
        <f t="shared" si="48"/>
        <v>2.9032</v>
      </c>
      <c r="L196">
        <f t="shared" si="49"/>
        <v>1.8644000000000001</v>
      </c>
      <c r="M196">
        <f t="shared" si="50"/>
        <v>1.18E-2</v>
      </c>
      <c r="N196">
        <f t="shared" si="51"/>
        <v>-0.57889999999999997</v>
      </c>
      <c r="P196">
        <f t="shared" si="27"/>
        <v>2.9032</v>
      </c>
      <c r="Q196">
        <f>IFERROR(J144+MATCH(P196,J196:N196,0)-1,"")</f>
        <v>2013</v>
      </c>
      <c r="R196">
        <f t="shared" si="28"/>
        <v>-0.57889999999999997</v>
      </c>
      <c r="S196">
        <f>IFERROR(J144+MATCH(R196,J196:N196,0)-1,"")</f>
        <v>2016</v>
      </c>
      <c r="T196">
        <f t="shared" si="29"/>
        <v>1.050125</v>
      </c>
      <c r="U196">
        <f t="shared" si="30"/>
        <v>1.6154227503969354</v>
      </c>
      <c r="V196" t="str">
        <f t="shared" si="31"/>
        <v/>
      </c>
      <c r="W196">
        <f t="shared" si="32"/>
        <v>1.1471145862868835</v>
      </c>
      <c r="X196">
        <f t="shared" si="33"/>
        <v>0.50406310038652091</v>
      </c>
      <c r="Y196">
        <f t="shared" si="34"/>
        <v>-0.64275744522284761</v>
      </c>
      <c r="Z196">
        <f t="shared" si="35"/>
        <v>-1.0084202414505568</v>
      </c>
      <c r="AA196">
        <f t="shared" si="36"/>
        <v>1.1471145862868835</v>
      </c>
      <c r="AB196">
        <f>IFERROR(V144+MATCH(AA196,V196:Z196,0)-1,"")</f>
        <v>2013</v>
      </c>
      <c r="AC196" t="str">
        <f t="shared" si="37"/>
        <v>High</v>
      </c>
      <c r="AE196" t="str">
        <f>IF(ISNUMBER(MATCH("N/A",J196:N196,0)),"",IFERROR((5 * SUMPRODUCT(J144:N144,J196:N196) - PRODUCT(SUM(J144:N144),SUM(J196:N196))) / ((5 * SUM((J144^2)+(K144^2)+(L144^2)+(M144^2)+(N144^2))) - SUM(J144:N144)^2),""))</f>
        <v/>
      </c>
      <c r="AF196">
        <f>IFERROR(CORREL(J144:N144,J196:N196),"")</f>
        <v>-0.98288894480750388</v>
      </c>
      <c r="AZ196">
        <f t="shared" si="38"/>
        <v>1</v>
      </c>
      <c r="BA196" t="str">
        <f>IF(AZ196=1,IF(Q196="","",IF(Q196=N144,"Yes","No")),"")</f>
        <v>No</v>
      </c>
      <c r="BB196" t="str">
        <f t="shared" si="39"/>
        <v/>
      </c>
      <c r="BC196" t="str">
        <f>IF(AZ196=1,IF(S196="","",IF(S196=N144,"Yes","No")),"")</f>
        <v>Yes</v>
      </c>
      <c r="BD196">
        <f t="shared" si="40"/>
        <v>-0.57889999999999997</v>
      </c>
      <c r="BE196" t="str">
        <f t="shared" si="41"/>
        <v/>
      </c>
      <c r="BF196" t="str">
        <f t="shared" si="42"/>
        <v>No</v>
      </c>
      <c r="BG196" t="str">
        <f t="shared" si="43"/>
        <v>No</v>
      </c>
      <c r="BH196" t="str">
        <f t="shared" si="44"/>
        <v>Yes</v>
      </c>
    </row>
    <row r="197" spans="1:60" x14ac:dyDescent="0.3">
      <c r="A197" s="1">
        <v>39</v>
      </c>
      <c r="B197" t="s">
        <v>434</v>
      </c>
      <c r="C197" t="s">
        <v>1231</v>
      </c>
      <c r="D197" t="s">
        <v>1232</v>
      </c>
      <c r="E197" t="s">
        <v>1148</v>
      </c>
      <c r="F197" t="s">
        <v>1233</v>
      </c>
      <c r="G197" t="s">
        <v>1234</v>
      </c>
      <c r="I197" t="str">
        <f t="shared" si="46"/>
        <v>N/A</v>
      </c>
      <c r="J197">
        <f t="shared" si="47"/>
        <v>25560000</v>
      </c>
      <c r="K197">
        <f t="shared" si="48"/>
        <v>25710000</v>
      </c>
      <c r="L197">
        <f t="shared" si="49"/>
        <v>25990000</v>
      </c>
      <c r="M197">
        <f t="shared" si="50"/>
        <v>26010000</v>
      </c>
      <c r="N197">
        <f t="shared" si="51"/>
        <v>25750000</v>
      </c>
      <c r="P197">
        <f t="shared" si="27"/>
        <v>26010000</v>
      </c>
      <c r="Q197">
        <f>IFERROR(J144+MATCH(P197,J197:N197,0)-1,"")</f>
        <v>2015</v>
      </c>
      <c r="R197">
        <f t="shared" si="28"/>
        <v>25560000</v>
      </c>
      <c r="S197">
        <f>IFERROR(J144+MATCH(R197,J197:N197,0)-1,"")</f>
        <v>2012</v>
      </c>
      <c r="T197">
        <f t="shared" si="29"/>
        <v>25804000</v>
      </c>
      <c r="U197">
        <f t="shared" si="30"/>
        <v>192561.67843057454</v>
      </c>
      <c r="V197">
        <f t="shared" si="31"/>
        <v>-1.2671264707945036</v>
      </c>
      <c r="W197">
        <f t="shared" si="32"/>
        <v>-0.48815527973230877</v>
      </c>
      <c r="X197">
        <f t="shared" si="33"/>
        <v>0.96592427691712157</v>
      </c>
      <c r="Y197">
        <f t="shared" si="34"/>
        <v>1.0697871023920809</v>
      </c>
      <c r="Z197">
        <f t="shared" si="35"/>
        <v>-0.28042962878239014</v>
      </c>
      <c r="AA197">
        <f t="shared" si="36"/>
        <v>-1.2671264707945036</v>
      </c>
      <c r="AB197">
        <f>IFERROR(V144+MATCH(AA197,V197:Z197,0)-1,"")</f>
        <v>2012</v>
      </c>
      <c r="AC197" t="str">
        <f t="shared" si="37"/>
        <v>Low</v>
      </c>
      <c r="AE197">
        <f>IF(ISNUMBER(MATCH("N/A",J197:N197,0)),"",IFERROR((5 * SUMPRODUCT(J144:N144,J197:N197) - PRODUCT(SUM(J144:N144),SUM(J197:N197))) / ((5 * SUM((J144^2)+(K144^2)+(L144^2)+(M144^2)+(N144^2))) - SUM(J144:N144)^2),""))</f>
        <v>68000</v>
      </c>
      <c r="AF197">
        <f>IFERROR(CORREL(J144:N144,J197:N197),"")</f>
        <v>0.55835325762643273</v>
      </c>
      <c r="AZ197">
        <f t="shared" si="38"/>
        <v>1</v>
      </c>
      <c r="BA197" t="str">
        <f>IF(AZ197=1,IF(Q197="","",IF(Q197=N144,"Yes","No")),"")</f>
        <v>No</v>
      </c>
      <c r="BB197" t="str">
        <f t="shared" si="39"/>
        <v/>
      </c>
      <c r="BC197" t="str">
        <f>IF(AZ197=1,IF(S197="","",IF(S197=N144,"Yes","No")),"")</f>
        <v>No</v>
      </c>
      <c r="BD197" t="str">
        <f t="shared" si="40"/>
        <v/>
      </c>
      <c r="BE197" t="str">
        <f t="shared" si="41"/>
        <v>Increasing</v>
      </c>
      <c r="BF197" t="str">
        <f t="shared" si="42"/>
        <v>No</v>
      </c>
      <c r="BG197" t="str">
        <f t="shared" si="43"/>
        <v>No</v>
      </c>
      <c r="BH197" t="str">
        <f t="shared" si="44"/>
        <v>No</v>
      </c>
    </row>
    <row r="198" spans="1:60" x14ac:dyDescent="0.3">
      <c r="A198" s="1">
        <v>40</v>
      </c>
      <c r="B198" t="s">
        <v>440</v>
      </c>
      <c r="C198" t="s">
        <v>1223</v>
      </c>
      <c r="D198" t="s">
        <v>81</v>
      </c>
      <c r="E198" t="s">
        <v>1224</v>
      </c>
      <c r="F198" t="s">
        <v>1235</v>
      </c>
      <c r="G198" t="s">
        <v>1236</v>
      </c>
      <c r="I198" t="str">
        <f t="shared" si="46"/>
        <v>N/A</v>
      </c>
      <c r="J198">
        <f t="shared" si="47"/>
        <v>-0.31</v>
      </c>
      <c r="K198">
        <f t="shared" si="48"/>
        <v>0.59</v>
      </c>
      <c r="L198">
        <f t="shared" si="49"/>
        <v>1.69</v>
      </c>
      <c r="M198">
        <f t="shared" si="50"/>
        <v>1.67</v>
      </c>
      <c r="N198">
        <f t="shared" si="51"/>
        <v>0.71</v>
      </c>
      <c r="P198">
        <f t="shared" si="27"/>
        <v>1.69</v>
      </c>
      <c r="Q198">
        <f>IFERROR(J144+MATCH(P198,J198:N198,0)-1,"")</f>
        <v>2014</v>
      </c>
      <c r="R198">
        <f t="shared" si="28"/>
        <v>-0.31</v>
      </c>
      <c r="S198">
        <f>IFERROR(J144+MATCH(R198,J198:N198,0)-1,"")</f>
        <v>2012</v>
      </c>
      <c r="T198">
        <f t="shared" si="29"/>
        <v>0.86999999999999988</v>
      </c>
      <c r="U198">
        <f t="shared" si="30"/>
        <v>0.83797374660546509</v>
      </c>
      <c r="V198">
        <f t="shared" si="31"/>
        <v>-1.408158674158998</v>
      </c>
      <c r="W198">
        <f t="shared" si="32"/>
        <v>-0.33413934641060961</v>
      </c>
      <c r="X198">
        <f t="shared" si="33"/>
        <v>0.97855094305964285</v>
      </c>
      <c r="Y198">
        <f t="shared" si="34"/>
        <v>0.95468384688745644</v>
      </c>
      <c r="Z198">
        <f t="shared" si="35"/>
        <v>-0.19093676937749118</v>
      </c>
      <c r="AA198">
        <f t="shared" si="36"/>
        <v>-1.408158674158998</v>
      </c>
      <c r="AB198">
        <f>IFERROR(V144+MATCH(AA198,V198:Z198,0)-1,"")</f>
        <v>2012</v>
      </c>
      <c r="AC198" t="str">
        <f t="shared" si="37"/>
        <v>Low</v>
      </c>
      <c r="AE198">
        <f>IF(ISNUMBER(MATCH("N/A",J198:N198,0)),"",IFERROR((5 * SUMPRODUCT(J144:N144,J198:N198) - PRODUCT(SUM(J144:N144),SUM(J198:N198))) / ((5 * SUM((J144^2)+(K144^2)+(L144^2)+(M144^2)+(N144^2))) - SUM(J144:N144)^2),""))</f>
        <v>0.31200000000011641</v>
      </c>
      <c r="AF198">
        <f>IFERROR(CORREL(J144:N144,J198:N198),"")</f>
        <v>0.58870020329948336</v>
      </c>
      <c r="AZ198">
        <f t="shared" si="38"/>
        <v>1</v>
      </c>
      <c r="BA198" t="str">
        <f>IF(AZ198=1,IF(Q198="","",IF(Q198=N144,"Yes","No")),"")</f>
        <v>No</v>
      </c>
      <c r="BB198" t="str">
        <f t="shared" si="39"/>
        <v/>
      </c>
      <c r="BC198" t="str">
        <f>IF(AZ198=1,IF(S198="","",IF(S198=N144,"Yes","No")),"")</f>
        <v>No</v>
      </c>
      <c r="BD198" t="str">
        <f t="shared" si="40"/>
        <v/>
      </c>
      <c r="BE198" t="str">
        <f t="shared" si="41"/>
        <v>Increasing</v>
      </c>
      <c r="BF198" t="str">
        <f t="shared" si="42"/>
        <v>No</v>
      </c>
      <c r="BG198" t="str">
        <f t="shared" si="43"/>
        <v>No</v>
      </c>
      <c r="BH198" t="str">
        <f t="shared" si="44"/>
        <v>No</v>
      </c>
    </row>
    <row r="199" spans="1:60" x14ac:dyDescent="0.3">
      <c r="A199" s="1">
        <v>41</v>
      </c>
      <c r="B199" t="s">
        <v>444</v>
      </c>
      <c r="C199" t="s">
        <v>264</v>
      </c>
      <c r="D199" t="s">
        <v>1227</v>
      </c>
      <c r="E199" t="s">
        <v>1228</v>
      </c>
      <c r="F199" t="s">
        <v>1237</v>
      </c>
      <c r="G199" t="s">
        <v>1238</v>
      </c>
      <c r="I199" t="str">
        <f t="shared" si="46"/>
        <v>neg_trend</v>
      </c>
      <c r="J199" t="str">
        <f t="shared" si="47"/>
        <v>N/A</v>
      </c>
      <c r="K199">
        <f t="shared" si="48"/>
        <v>2.9032</v>
      </c>
      <c r="L199">
        <f t="shared" si="49"/>
        <v>1.8644000000000001</v>
      </c>
      <c r="M199">
        <f t="shared" si="50"/>
        <v>-1.18E-2</v>
      </c>
      <c r="N199">
        <f t="shared" si="51"/>
        <v>-0.57490000000000008</v>
      </c>
      <c r="P199">
        <f t="shared" si="27"/>
        <v>2.9032</v>
      </c>
      <c r="Q199">
        <f>IFERROR(J144+MATCH(P199,J199:N199,0)-1,"")</f>
        <v>2013</v>
      </c>
      <c r="R199">
        <f t="shared" si="28"/>
        <v>-0.57490000000000008</v>
      </c>
      <c r="S199">
        <f>IFERROR(J144+MATCH(R199,J199:N199,0)-1,"")</f>
        <v>2016</v>
      </c>
      <c r="T199">
        <f t="shared" si="29"/>
        <v>1.0452249999999998</v>
      </c>
      <c r="U199">
        <f t="shared" si="30"/>
        <v>1.6191793855221848</v>
      </c>
      <c r="V199" t="str">
        <f t="shared" si="31"/>
        <v/>
      </c>
      <c r="W199">
        <f t="shared" si="32"/>
        <v>1.1474794063048201</v>
      </c>
      <c r="X199">
        <f t="shared" si="33"/>
        <v>0.50591985503559045</v>
      </c>
      <c r="Y199">
        <f t="shared" si="34"/>
        <v>-0.65281525286903874</v>
      </c>
      <c r="Z199">
        <f t="shared" si="35"/>
        <v>-1.0005840084713715</v>
      </c>
      <c r="AA199">
        <f t="shared" si="36"/>
        <v>1.1474794063048201</v>
      </c>
      <c r="AB199">
        <f>IFERROR(V144+MATCH(AA199,V199:Z199,0)-1,"")</f>
        <v>2013</v>
      </c>
      <c r="AC199" t="str">
        <f t="shared" si="37"/>
        <v>High</v>
      </c>
      <c r="AE199" t="str">
        <f>IF(ISNUMBER(MATCH("N/A",J199:N199,0)),"",IFERROR((5 * SUMPRODUCT(J144:N144,J199:N199) - PRODUCT(SUM(J144:N144),SUM(J199:N199))) / ((5 * SUM((J144^2)+(K144^2)+(L144^2)+(M144^2)+(N144^2))) - SUM(J144:N144)^2),""))</f>
        <v/>
      </c>
      <c r="AF199">
        <f>IFERROR(CORREL(J144:N144,J199:N199),"")</f>
        <v>-0.98153344238857876</v>
      </c>
      <c r="AZ199">
        <f t="shared" si="38"/>
        <v>1</v>
      </c>
      <c r="BA199" t="str">
        <f>IF(AZ199=1,IF(Q199="","",IF(Q199=N144,"Yes","No")),"")</f>
        <v>No</v>
      </c>
      <c r="BB199" t="str">
        <f t="shared" si="39"/>
        <v/>
      </c>
      <c r="BC199" t="str">
        <f>IF(AZ199=1,IF(S199="","",IF(S199=N144,"Yes","No")),"")</f>
        <v>Yes</v>
      </c>
      <c r="BD199">
        <f t="shared" si="40"/>
        <v>-0.57490000000000008</v>
      </c>
      <c r="BE199" t="str">
        <f t="shared" si="41"/>
        <v/>
      </c>
      <c r="BF199" t="str">
        <f t="shared" si="42"/>
        <v>No</v>
      </c>
      <c r="BG199" t="str">
        <f t="shared" si="43"/>
        <v>No</v>
      </c>
      <c r="BH199" t="str">
        <f t="shared" si="44"/>
        <v>Yes</v>
      </c>
    </row>
    <row r="200" spans="1:60" x14ac:dyDescent="0.3">
      <c r="A200" s="1">
        <v>42</v>
      </c>
      <c r="B200" t="s">
        <v>449</v>
      </c>
      <c r="C200" t="s">
        <v>1231</v>
      </c>
      <c r="D200" t="s">
        <v>1232</v>
      </c>
      <c r="E200" t="s">
        <v>1148</v>
      </c>
      <c r="F200" t="s">
        <v>1239</v>
      </c>
      <c r="G200" t="s">
        <v>1240</v>
      </c>
      <c r="I200" t="str">
        <f t="shared" si="46"/>
        <v>N/A</v>
      </c>
      <c r="J200">
        <f t="shared" si="47"/>
        <v>25560000</v>
      </c>
      <c r="K200">
        <f t="shared" si="48"/>
        <v>25710000</v>
      </c>
      <c r="L200">
        <f t="shared" si="49"/>
        <v>25990000</v>
      </c>
      <c r="M200">
        <f t="shared" si="50"/>
        <v>26530000</v>
      </c>
      <c r="N200">
        <f t="shared" si="51"/>
        <v>26260000</v>
      </c>
      <c r="P200">
        <f t="shared" si="27"/>
        <v>26530000</v>
      </c>
      <c r="Q200">
        <f>IFERROR(J144+MATCH(P200,J200:N200,0)-1,"")</f>
        <v>2015</v>
      </c>
      <c r="R200">
        <f t="shared" si="28"/>
        <v>25560000</v>
      </c>
      <c r="S200">
        <f>IFERROR(J144+MATCH(R200,J200:N200,0)-1,"")</f>
        <v>2012</v>
      </c>
      <c r="T200">
        <f t="shared" si="29"/>
        <v>26010000</v>
      </c>
      <c r="U200">
        <f t="shared" si="30"/>
        <v>395537.60883132211</v>
      </c>
      <c r="V200">
        <f t="shared" si="31"/>
        <v>-1.1376920675876956</v>
      </c>
      <c r="W200">
        <f t="shared" si="32"/>
        <v>-0.75846137839179706</v>
      </c>
      <c r="X200">
        <f t="shared" si="33"/>
        <v>-5.0564091892786468E-2</v>
      </c>
      <c r="Y200">
        <f t="shared" si="34"/>
        <v>1.3146663892124482</v>
      </c>
      <c r="Z200">
        <f t="shared" si="35"/>
        <v>0.63205114865983081</v>
      </c>
      <c r="AA200">
        <f t="shared" si="36"/>
        <v>1.3146663892124482</v>
      </c>
      <c r="AB200">
        <f>IFERROR(V144+MATCH(AA200,V200:Z200,0)-1,"")</f>
        <v>2015</v>
      </c>
      <c r="AC200" t="str">
        <f t="shared" si="37"/>
        <v>High</v>
      </c>
      <c r="AE200">
        <f>IF(ISNUMBER(MATCH("N/A",J200:N200,0)),"",IFERROR((5 * SUMPRODUCT(J144:N144,J200:N200) - PRODUCT(SUM(J144:N144),SUM(J200:N200))) / ((5 * SUM((J144^2)+(K144^2)+(L144^2)+(M144^2)+(N144^2))) - SUM(J144:N144)^2),""))</f>
        <v>222000</v>
      </c>
      <c r="AF200">
        <f>IFERROR(CORREL(J144:N144,J200:N200),"")</f>
        <v>0.88743222500589136</v>
      </c>
      <c r="AZ200">
        <f t="shared" si="38"/>
        <v>1</v>
      </c>
      <c r="BA200" t="str">
        <f>IF(AZ200=1,IF(Q200="","",IF(Q200=N144,"Yes","No")),"")</f>
        <v>No</v>
      </c>
      <c r="BB200" t="str">
        <f t="shared" si="39"/>
        <v/>
      </c>
      <c r="BC200" t="str">
        <f>IF(AZ200=1,IF(S200="","",IF(S200=N144,"Yes","No")),"")</f>
        <v>No</v>
      </c>
      <c r="BD200" t="str">
        <f t="shared" si="40"/>
        <v/>
      </c>
      <c r="BE200" t="str">
        <f t="shared" si="41"/>
        <v>Increasing</v>
      </c>
      <c r="BF200" t="str">
        <f t="shared" si="42"/>
        <v>No</v>
      </c>
      <c r="BG200" t="str">
        <f t="shared" si="43"/>
        <v>No</v>
      </c>
      <c r="BH200" t="str">
        <f t="shared" si="44"/>
        <v>Yes</v>
      </c>
    </row>
    <row r="201" spans="1:60" x14ac:dyDescent="0.3">
      <c r="A201" s="1">
        <v>43</v>
      </c>
      <c r="B201" t="s">
        <v>156</v>
      </c>
      <c r="C201" t="s">
        <v>1241</v>
      </c>
      <c r="D201" t="s">
        <v>1242</v>
      </c>
      <c r="E201" t="s">
        <v>1243</v>
      </c>
      <c r="F201" t="s">
        <v>1244</v>
      </c>
      <c r="G201" t="s">
        <v>1245</v>
      </c>
      <c r="I201" t="str">
        <f t="shared" si="46"/>
        <v>N/A</v>
      </c>
      <c r="J201">
        <f t="shared" si="47"/>
        <v>70930000</v>
      </c>
      <c r="K201">
        <f t="shared" si="48"/>
        <v>106880000</v>
      </c>
      <c r="L201">
        <f t="shared" si="49"/>
        <v>153990000</v>
      </c>
      <c r="M201">
        <f t="shared" si="50"/>
        <v>166800000</v>
      </c>
      <c r="N201">
        <f t="shared" si="51"/>
        <v>139420000</v>
      </c>
      <c r="P201">
        <f t="shared" si="27"/>
        <v>166800000</v>
      </c>
      <c r="Q201">
        <f>IFERROR(J144+MATCH(P201,J201:N201,0)-1,"")</f>
        <v>2015</v>
      </c>
      <c r="R201">
        <f t="shared" si="28"/>
        <v>70930000</v>
      </c>
      <c r="S201">
        <f>IFERROR(J144+MATCH(R201,J201:N201,0)-1,"")</f>
        <v>2012</v>
      </c>
      <c r="T201">
        <f t="shared" si="29"/>
        <v>127604000</v>
      </c>
      <c r="U201">
        <f t="shared" si="30"/>
        <v>38773675.734962247</v>
      </c>
      <c r="V201">
        <f t="shared" si="31"/>
        <v>-1.4616617827877747</v>
      </c>
      <c r="W201">
        <f t="shared" si="32"/>
        <v>-0.53448633917658617</v>
      </c>
      <c r="X201">
        <f t="shared" si="33"/>
        <v>0.6805132477086181</v>
      </c>
      <c r="Y201">
        <f t="shared" si="34"/>
        <v>1.0108920358215341</v>
      </c>
      <c r="Z201">
        <f t="shared" si="35"/>
        <v>0.30474283843420874</v>
      </c>
      <c r="AA201">
        <f t="shared" si="36"/>
        <v>-1.4616617827877747</v>
      </c>
      <c r="AB201">
        <f>IFERROR(V144+MATCH(AA201,V201:Z201,0)-1,"")</f>
        <v>2012</v>
      </c>
      <c r="AC201" t="str">
        <f t="shared" si="37"/>
        <v>Low</v>
      </c>
      <c r="AE201">
        <f>IF(ISNUMBER(MATCH("N/A",J201:N201,0)),"",IFERROR((5 * SUMPRODUCT(J144:N144,J201:N201) - PRODUCT(SUM(J144:N144),SUM(J201:N201))) / ((5 * SUM((J144^2)+(K144^2)+(L144^2)+(M144^2)+(N144^2))) - SUM(J144:N144)^2),""))</f>
        <v>19690000</v>
      </c>
      <c r="AF201">
        <f>IFERROR(CORREL(J144:N144,J201:N201),"")</f>
        <v>0.80293196283904</v>
      </c>
      <c r="AZ201">
        <f t="shared" si="38"/>
        <v>1</v>
      </c>
      <c r="BA201" t="str">
        <f>IF(AZ201=1,IF(Q201="","",IF(Q201=N144,"Yes","No")),"")</f>
        <v>No</v>
      </c>
      <c r="BB201" t="str">
        <f t="shared" si="39"/>
        <v/>
      </c>
      <c r="BC201" t="str">
        <f>IF(AZ201=1,IF(S201="","",IF(S201=N144,"Yes","No")),"")</f>
        <v>No</v>
      </c>
      <c r="BD201" t="str">
        <f t="shared" si="40"/>
        <v/>
      </c>
      <c r="BE201" t="str">
        <f t="shared" si="41"/>
        <v>Increasing</v>
      </c>
      <c r="BF201" t="str">
        <f t="shared" si="42"/>
        <v>No</v>
      </c>
      <c r="BG201" t="str">
        <f t="shared" si="43"/>
        <v>No</v>
      </c>
      <c r="BH201" t="str">
        <f t="shared" si="44"/>
        <v>Yes</v>
      </c>
    </row>
    <row r="202" spans="1:60" x14ac:dyDescent="0.3">
      <c r="A202" s="1">
        <v>44</v>
      </c>
      <c r="B202" t="s">
        <v>460</v>
      </c>
      <c r="C202" t="s">
        <v>264</v>
      </c>
      <c r="D202" t="s">
        <v>1246</v>
      </c>
      <c r="E202" t="s">
        <v>1247</v>
      </c>
      <c r="F202" t="s">
        <v>1248</v>
      </c>
      <c r="G202" t="s">
        <v>1249</v>
      </c>
      <c r="I202" t="str">
        <f t="shared" si="46"/>
        <v>neg_trend</v>
      </c>
      <c r="J202" t="str">
        <f t="shared" si="47"/>
        <v>N/A</v>
      </c>
      <c r="K202">
        <f t="shared" si="48"/>
        <v>0.50700000000000001</v>
      </c>
      <c r="L202">
        <f t="shared" si="49"/>
        <v>0.44070000000000004</v>
      </c>
      <c r="M202">
        <f t="shared" si="50"/>
        <v>8.320000000000001E-2</v>
      </c>
      <c r="N202">
        <f t="shared" si="51"/>
        <v>-0.16420000000000001</v>
      </c>
      <c r="P202">
        <f t="shared" si="27"/>
        <v>0.50700000000000001</v>
      </c>
      <c r="Q202">
        <f>IFERROR(J144+MATCH(P202,J202:N202,0)-1,"")</f>
        <v>2013</v>
      </c>
      <c r="R202">
        <f t="shared" si="28"/>
        <v>-0.16420000000000001</v>
      </c>
      <c r="S202">
        <f>IFERROR(J144+MATCH(R202,J202:N202,0)-1,"")</f>
        <v>2016</v>
      </c>
      <c r="T202">
        <f t="shared" si="29"/>
        <v>0.21667499999999998</v>
      </c>
      <c r="U202">
        <f t="shared" si="30"/>
        <v>0.31483177915621335</v>
      </c>
      <c r="V202" t="str">
        <f t="shared" si="31"/>
        <v/>
      </c>
      <c r="W202">
        <f t="shared" si="32"/>
        <v>0.9221591313878974</v>
      </c>
      <c r="X202">
        <f t="shared" si="33"/>
        <v>0.71157047932204853</v>
      </c>
      <c r="Y202">
        <f t="shared" si="34"/>
        <v>-0.42395656613105842</v>
      </c>
      <c r="Z202">
        <f t="shared" si="35"/>
        <v>-1.2097730445788868</v>
      </c>
      <c r="AA202">
        <f t="shared" si="36"/>
        <v>-1.2097730445788868</v>
      </c>
      <c r="AB202">
        <f>IFERROR(V144+MATCH(AA202,V202:Z202,0)-1,"")</f>
        <v>2016</v>
      </c>
      <c r="AC202" t="str">
        <f t="shared" si="37"/>
        <v>Low</v>
      </c>
      <c r="AE202" t="str">
        <f>IF(ISNUMBER(MATCH("N/A",J202:N202,0)),"",IFERROR((5 * SUMPRODUCT(J144:N144,J202:N202) - PRODUCT(SUM(J144:N144),SUM(J202:N202))) / ((5 * SUM((J144^2)+(K144^2)+(L144^2)+(M144^2)+(N144^2))) - SUM(J144:N144)^2),""))</f>
        <v/>
      </c>
      <c r="AF202">
        <f>IFERROR(CORREL(J144:N144,J202:N202),"")</f>
        <v>-0.97228969248324282</v>
      </c>
      <c r="AZ202">
        <f t="shared" si="38"/>
        <v>1</v>
      </c>
      <c r="BA202" t="str">
        <f>IF(AZ202=1,IF(Q202="","",IF(Q202=N144,"Yes","No")),"")</f>
        <v>No</v>
      </c>
      <c r="BB202" t="str">
        <f t="shared" si="39"/>
        <v/>
      </c>
      <c r="BC202" t="str">
        <f>IF(AZ202=1,IF(S202="","",IF(S202=N144,"Yes","No")),"")</f>
        <v>Yes</v>
      </c>
      <c r="BD202">
        <f t="shared" si="40"/>
        <v>-0.16420000000000001</v>
      </c>
      <c r="BE202" t="str">
        <f t="shared" si="41"/>
        <v/>
      </c>
      <c r="BF202" t="str">
        <f t="shared" si="42"/>
        <v>No</v>
      </c>
      <c r="BG202" t="str">
        <f t="shared" si="43"/>
        <v>No</v>
      </c>
      <c r="BH202" t="str">
        <f t="shared" si="44"/>
        <v>Yes</v>
      </c>
    </row>
    <row r="203" spans="1:60" x14ac:dyDescent="0.3">
      <c r="A203" s="1">
        <v>45</v>
      </c>
      <c r="B203" t="s">
        <v>464</v>
      </c>
      <c r="C203" t="s">
        <v>264</v>
      </c>
      <c r="D203" t="s">
        <v>264</v>
      </c>
      <c r="E203" t="s">
        <v>264</v>
      </c>
      <c r="F203" t="s">
        <v>264</v>
      </c>
      <c r="G203" t="s">
        <v>1250</v>
      </c>
      <c r="I203" t="str">
        <f t="shared" si="46"/>
        <v>N/A</v>
      </c>
      <c r="J203" t="str">
        <f t="shared" si="47"/>
        <v>N/A</v>
      </c>
      <c r="K203" t="str">
        <f t="shared" si="48"/>
        <v>N/A</v>
      </c>
      <c r="L203" t="str">
        <f t="shared" si="49"/>
        <v>N/A</v>
      </c>
      <c r="M203" t="str">
        <f t="shared" si="50"/>
        <v>N/A</v>
      </c>
      <c r="N203">
        <f t="shared" si="51"/>
        <v>5.16E-2</v>
      </c>
      <c r="P203">
        <f t="shared" si="27"/>
        <v>5.16E-2</v>
      </c>
      <c r="Q203">
        <f>IFERROR(J144+MATCH(P203,J203:N203,0)-1,"")</f>
        <v>2016</v>
      </c>
      <c r="R203">
        <f t="shared" si="28"/>
        <v>5.16E-2</v>
      </c>
      <c r="S203">
        <f>IFERROR(J144+MATCH(R203,J203:N203,0)-1,"")</f>
        <v>2016</v>
      </c>
      <c r="T203">
        <f t="shared" si="29"/>
        <v>5.16E-2</v>
      </c>
      <c r="U203" t="str">
        <f t="shared" si="30"/>
        <v/>
      </c>
      <c r="V203" t="str">
        <f t="shared" si="31"/>
        <v/>
      </c>
      <c r="W203" t="str">
        <f t="shared" si="32"/>
        <v/>
      </c>
      <c r="X203" t="str">
        <f t="shared" si="33"/>
        <v/>
      </c>
      <c r="Y203" t="str">
        <f t="shared" si="34"/>
        <v/>
      </c>
      <c r="Z203" t="str">
        <f t="shared" si="35"/>
        <v/>
      </c>
      <c r="AA203">
        <f t="shared" si="36"/>
        <v>0</v>
      </c>
      <c r="AB203" t="str">
        <f>IFERROR(V144+MATCH(AA203,V203:Z203,0)-1,"")</f>
        <v/>
      </c>
      <c r="AC203" t="str">
        <f t="shared" si="37"/>
        <v/>
      </c>
      <c r="AE203" t="str">
        <f>IF(ISNUMBER(MATCH("N/A",J203:N203,0)),"",IFERROR((5 * SUMPRODUCT(J144:N144,J203:N203) - PRODUCT(SUM(J144:N144),SUM(J203:N203))) / ((5 * SUM((J144^2)+(K144^2)+(L144^2)+(M144^2)+(N144^2))) - SUM(J144:N144)^2),""))</f>
        <v/>
      </c>
      <c r="AF203" t="str">
        <f>IFERROR(CORREL(J144:N144,J203:N203),"")</f>
        <v/>
      </c>
      <c r="AZ203">
        <f t="shared" si="38"/>
        <v>0</v>
      </c>
      <c r="BA203" t="str">
        <f>IF(AZ203=1,IF(Q203="","",IF(Q203=N144,"Yes","No")),"")</f>
        <v/>
      </c>
      <c r="BB203" t="str">
        <f t="shared" si="39"/>
        <v/>
      </c>
      <c r="BC203" t="str">
        <f>IF(AZ203=1,IF(S203="","",IF(S203=N144,"Yes","No")),"")</f>
        <v/>
      </c>
      <c r="BD203" t="str">
        <f t="shared" si="40"/>
        <v/>
      </c>
      <c r="BE203" t="str">
        <f t="shared" si="41"/>
        <v/>
      </c>
      <c r="BF203" t="str">
        <f t="shared" si="42"/>
        <v>No</v>
      </c>
      <c r="BG203" t="str">
        <f t="shared" si="43"/>
        <v>No</v>
      </c>
      <c r="BH203" t="str">
        <f t="shared" si="44"/>
        <v/>
      </c>
    </row>
    <row r="204" spans="1:60" x14ac:dyDescent="0.3">
      <c r="I204" t="str">
        <f t="shared" si="46"/>
        <v>N/A</v>
      </c>
      <c r="J204" t="str">
        <f t="shared" si="47"/>
        <v>N/A</v>
      </c>
      <c r="K204" t="str">
        <f t="shared" si="48"/>
        <v>N/A</v>
      </c>
      <c r="L204" t="str">
        <f t="shared" si="49"/>
        <v>N/A</v>
      </c>
      <c r="M204" t="str">
        <f t="shared" si="50"/>
        <v>N/A</v>
      </c>
      <c r="N204" t="str">
        <f t="shared" si="51"/>
        <v>N/A</v>
      </c>
      <c r="P204">
        <f t="shared" si="27"/>
        <v>0</v>
      </c>
      <c r="Q204" t="str">
        <f>IFERROR(J144+MATCH(P204,J204:N204,0)-1,"")</f>
        <v/>
      </c>
      <c r="R204" t="str">
        <f t="shared" si="28"/>
        <v/>
      </c>
      <c r="S204" t="str">
        <f>IFERROR(J144+MATCH(R204,J204:N204,0)-1,"")</f>
        <v/>
      </c>
      <c r="T204" t="str">
        <f t="shared" si="29"/>
        <v/>
      </c>
      <c r="U204" t="str">
        <f t="shared" si="30"/>
        <v/>
      </c>
      <c r="V204" t="str">
        <f t="shared" si="31"/>
        <v/>
      </c>
      <c r="W204" t="str">
        <f t="shared" si="32"/>
        <v/>
      </c>
      <c r="X204" t="str">
        <f t="shared" si="33"/>
        <v/>
      </c>
      <c r="Y204" t="str">
        <f t="shared" si="34"/>
        <v/>
      </c>
      <c r="Z204" t="str">
        <f t="shared" si="35"/>
        <v/>
      </c>
      <c r="AA204">
        <f t="shared" si="36"/>
        <v>0</v>
      </c>
      <c r="AB204" t="str">
        <f>IFERROR(V144+MATCH(AA204,V204:Z204,0)-1,"")</f>
        <v/>
      </c>
      <c r="AC204" t="str">
        <f t="shared" si="37"/>
        <v/>
      </c>
      <c r="AE204" t="str">
        <f>IF(ISNUMBER(MATCH("N/A",J204:N204,0)),"",IFERROR((5 * SUMPRODUCT(J144:N144,J204:N204) - PRODUCT(SUM(J144:N144),SUM(J204:N204))) / ((5 * SUM((J144^2)+(K144^2)+(L144^2)+(M144^2)+(N144^2))) - SUM(J144:N144)^2),""))</f>
        <v/>
      </c>
      <c r="AF204" t="str">
        <f>IFERROR(CORREL(J144:N144,J204:N204),"")</f>
        <v/>
      </c>
      <c r="AZ204">
        <f t="shared" si="38"/>
        <v>0</v>
      </c>
      <c r="BA204" t="str">
        <f>IF(AZ204=1,IF(Q204="","",IF(Q204=N144,"Yes","No")),"")</f>
        <v/>
      </c>
      <c r="BB204" t="str">
        <f t="shared" si="39"/>
        <v/>
      </c>
      <c r="BC204" t="str">
        <f>IF(AZ204=1,IF(S204="","",IF(S204=N144,"Yes","No")),"")</f>
        <v/>
      </c>
      <c r="BD204" t="str">
        <f t="shared" si="40"/>
        <v/>
      </c>
      <c r="BE204" t="str">
        <f t="shared" si="41"/>
        <v/>
      </c>
      <c r="BF204" t="str">
        <f t="shared" si="42"/>
        <v>No</v>
      </c>
      <c r="BG204" t="str">
        <f t="shared" si="43"/>
        <v>No</v>
      </c>
      <c r="BH204" t="str">
        <f t="shared" si="44"/>
        <v/>
      </c>
    </row>
    <row r="205" spans="1:60" x14ac:dyDescent="0.3">
      <c r="B205" s="1" t="s">
        <v>251</v>
      </c>
      <c r="C205" s="1" t="s">
        <v>252</v>
      </c>
      <c r="D205" s="1" t="s">
        <v>253</v>
      </c>
      <c r="E205" s="1" t="s">
        <v>254</v>
      </c>
      <c r="F205" s="1" t="s">
        <v>255</v>
      </c>
      <c r="G205" s="1" t="s">
        <v>256</v>
      </c>
      <c r="H205" s="1" t="s">
        <v>257</v>
      </c>
      <c r="P205">
        <f t="shared" si="27"/>
        <v>0</v>
      </c>
      <c r="Q205" t="str">
        <f>IFERROR(J144+MATCH(P205,J205:N205,0)-1,"")</f>
        <v/>
      </c>
      <c r="R205" t="str">
        <f t="shared" si="28"/>
        <v/>
      </c>
      <c r="S205" t="str">
        <f>IFERROR(J144+MATCH(R205,J205:N205,0)-1,"")</f>
        <v/>
      </c>
      <c r="T205" t="str">
        <f t="shared" si="29"/>
        <v/>
      </c>
      <c r="U205" t="str">
        <f t="shared" si="30"/>
        <v/>
      </c>
      <c r="V205" t="str">
        <f t="shared" si="31"/>
        <v/>
      </c>
      <c r="W205" t="str">
        <f t="shared" si="32"/>
        <v/>
      </c>
      <c r="X205" t="str">
        <f t="shared" si="33"/>
        <v/>
      </c>
      <c r="Y205" t="str">
        <f t="shared" si="34"/>
        <v/>
      </c>
      <c r="Z205" t="str">
        <f t="shared" si="35"/>
        <v/>
      </c>
      <c r="AA205">
        <f t="shared" si="36"/>
        <v>0</v>
      </c>
      <c r="AB205" t="str">
        <f>IFERROR(V144+MATCH(AA205,V205:Z205,0)-1,"")</f>
        <v/>
      </c>
      <c r="AC205" t="str">
        <f t="shared" si="37"/>
        <v/>
      </c>
      <c r="AE205">
        <f>IF(ISNUMBER(MATCH("N/A",J205:N205,0)),"",IFERROR((5 * SUMPRODUCT(J144:N144,J205:N205) - PRODUCT(SUM(J144:N144),SUM(J205:N205))) / ((5 * SUM((J144^2)+(K144^2)+(L144^2)+(M144^2)+(N144^2))) - SUM(J144:N144)^2),""))</f>
        <v>0</v>
      </c>
      <c r="AF205" t="str">
        <f>IFERROR(CORREL(J144:N144,J205:N205),"")</f>
        <v/>
      </c>
      <c r="AZ205">
        <f t="shared" si="38"/>
        <v>0</v>
      </c>
      <c r="BA205" t="str">
        <f>IF(AZ205=1,IF(Q205="","",IF(Q205=N144,"Yes","No")),"")</f>
        <v/>
      </c>
      <c r="BB205" t="str">
        <f t="shared" si="39"/>
        <v/>
      </c>
      <c r="BC205" t="str">
        <f>IF(AZ205=1,IF(S205="","",IF(S205=N144,"Yes","No")),"")</f>
        <v/>
      </c>
      <c r="BD205" t="str">
        <f t="shared" si="40"/>
        <v/>
      </c>
      <c r="BE205" t="str">
        <f t="shared" si="41"/>
        <v/>
      </c>
      <c r="BF205" t="str">
        <f t="shared" si="42"/>
        <v>No</v>
      </c>
      <c r="BG205" t="str">
        <f t="shared" si="43"/>
        <v>No</v>
      </c>
      <c r="BH205" t="str">
        <f t="shared" si="44"/>
        <v/>
      </c>
    </row>
    <row r="206" spans="1:60" x14ac:dyDescent="0.3">
      <c r="A206" s="1">
        <v>0</v>
      </c>
      <c r="B206" t="s">
        <v>466</v>
      </c>
      <c r="C206" t="s">
        <v>1251</v>
      </c>
      <c r="D206" t="s">
        <v>1252</v>
      </c>
      <c r="E206" t="s">
        <v>1253</v>
      </c>
      <c r="F206" t="s">
        <v>1254</v>
      </c>
      <c r="G206" t="s">
        <v>1255</v>
      </c>
      <c r="I206" t="str">
        <f t="shared" ref="I206:I226" si="52">IF(AND(K206&gt; J206, L206&gt; K206, M206&gt; L206, N206&gt; M206), "pos_trend", IF(AND(K206&lt; J206, L206&lt; K206, M206&lt; L206, N206&lt; M206), "neg_trend", "N/A"))</f>
        <v>N/A</v>
      </c>
      <c r="J206">
        <f t="shared" ref="J206:J226" si="53">IFERROR(IF(TRIM(C206)="-", "N/A", IF(RIGHT(C206,1)=")",IF(RIGHT(C206,2)="T)",-1000000000000*VALUE(MID(C206,2,LEN(C206)-3)),IF(RIGHT(C206,2)="M)",-1000000*VALUE(MID(C206,2,LEN(C206)-3)),IF(RIGHT(C206,2)="B)",-1000000000*VALUE(MID(C206,2,LEN(C206)-3)),IF(RIGHT(C206,2)="k)",-1000*VALUE(MID(C206,2,LEN(C206)-3)),VALUE(SUBSTITUTE(C206,",","")))))),IF(RIGHT(C206,1)="T",1000000000000*VALUE(LEFT(C206,LEN(C206)-1)),IF(RIGHT(C206,1)="M",1000000*VALUE(LEFT(C206,LEN(C206)-1)),IF(RIGHT(C206,1)="B",1000000000*VALUE(LEFT(C206,LEN(C206)-1)),IF(RIGHT(C206,1)="%",0.01*VALUE(LEFT(C206,LEN(C206)-1)),IF(RIGHT(C206,1)="k",1000*VALUE(LEFT(C206,LEN(C206)-1)),VALUE(SUBSTITUTE(C206,",",""))))))))),"N/A")</f>
        <v>129410000</v>
      </c>
      <c r="K206">
        <f t="shared" ref="K206:K226" si="54">IFERROR(IF(TRIM(D206)="-", "N/A", IF(RIGHT(D206,1)=")",IF(RIGHT(D206,2)="T)",-1000000000000*VALUE(MID(D206,2,LEN(D206)-3)),IF(RIGHT(D206,2)="M)",-1000000*VALUE(MID(D206,2,LEN(D206)-3)),IF(RIGHT(D206,2)="B)",-1000000000*VALUE(MID(D206,2,LEN(D206)-3)),IF(RIGHT(D206,2)="k)",-1000*VALUE(MID(D206,2,LEN(D206)-3)),VALUE(SUBSTITUTE(D206,",","")))))),IF(RIGHT(D206,1)="T",1000000000000*VALUE(LEFT(D206,LEN(D206)-1)),IF(RIGHT(D206,1)="M",1000000*VALUE(LEFT(D206,LEN(D206)-1)),IF(RIGHT(D206,1)="B",1000000000*VALUE(LEFT(D206,LEN(D206)-1)),IF(RIGHT(D206,1)="%",0.01*VALUE(LEFT(D206,LEN(D206)-1)),IF(RIGHT(D206,1)="k",1000*VALUE(LEFT(D206,LEN(D206)-1)),VALUE(SUBSTITUTE(D206,",",""))))))))),"N/A")</f>
        <v>143160000</v>
      </c>
      <c r="L206">
        <f t="shared" ref="L206:L226" si="55">IFERROR(IF(TRIM(E206)="-", "N/A", IF(RIGHT(E206,1)=")",IF(RIGHT(E206,2)="T)",-1000000000000*VALUE(MID(E206,2,LEN(E206)-3)),IF(RIGHT(E206,2)="M)",-1000000*VALUE(MID(E206,2,LEN(E206)-3)),IF(RIGHT(E206,2)="B)",-1000000000*VALUE(MID(E206,2,LEN(E206)-3)),IF(RIGHT(E206,2)="k)",-1000*VALUE(MID(E206,2,LEN(E206)-3)),VALUE(SUBSTITUTE(E206,",","")))))),IF(RIGHT(E206,1)="T",1000000000000*VALUE(LEFT(E206,LEN(E206)-1)),IF(RIGHT(E206,1)="M",1000000*VALUE(LEFT(E206,LEN(E206)-1)),IF(RIGHT(E206,1)="B",1000000000*VALUE(LEFT(E206,LEN(E206)-1)),IF(RIGHT(E206,1)="%",0.01*VALUE(LEFT(E206,LEN(E206)-1)),IF(RIGHT(E206,1)="k",1000*VALUE(LEFT(E206,LEN(E206)-1)),VALUE(SUBSTITUTE(E206,",",""))))))))),"N/A")</f>
        <v>204340000</v>
      </c>
      <c r="M206">
        <f t="shared" ref="M206:M226" si="56">IFERROR(IF(TRIM(F206)="-", "N/A", IF(RIGHT(F206,1)=")",IF(RIGHT(F206,2)="T)",-1000000000000*VALUE(MID(F206,2,LEN(F206)-3)),IF(RIGHT(F206,2)="M)",-1000000*VALUE(MID(F206,2,LEN(F206)-3)),IF(RIGHT(F206,2)="B)",-1000000000*VALUE(MID(F206,2,LEN(F206)-3)),IF(RIGHT(F206,2)="k)",-1000*VALUE(MID(F206,2,LEN(F206)-3)),VALUE(SUBSTITUTE(F206,",","")))))),IF(RIGHT(F206,1)="T",1000000000000*VALUE(LEFT(F206,LEN(F206)-1)),IF(RIGHT(F206,1)="M",1000000*VALUE(LEFT(F206,LEN(F206)-1)),IF(RIGHT(F206,1)="B",1000000000*VALUE(LEFT(F206,LEN(F206)-1)),IF(RIGHT(F206,1)="%",0.01*VALUE(LEFT(F206,LEN(F206)-1)),IF(RIGHT(F206,1)="k",1000*VALUE(LEFT(F206,LEN(F206)-1)),VALUE(SUBSTITUTE(F206,",",""))))))))),"N/A")</f>
        <v>227950000</v>
      </c>
      <c r="N206">
        <f t="shared" ref="N206:N226" si="57">IFERROR(IF(TRIM(G206)="-", "N/A", IF(RIGHT(G206,1)=")",IF(RIGHT(G206,2)="T)",-1000000000000*VALUE(MID(G206,2,LEN(G206)-3)),IF(RIGHT(G206,2)="M)",-1000000*VALUE(MID(G206,2,LEN(G206)-3)),IF(RIGHT(G206,2)="B)",-1000000000*VALUE(MID(G206,2,LEN(G206)-3)),IF(RIGHT(G206,2)="k)",-1000*VALUE(MID(G206,2,LEN(G206)-3)),VALUE(SUBSTITUTE(G206,",","")))))),IF(RIGHT(G206,1)="T",1000000000000*VALUE(LEFT(G206,LEN(G206)-1)),IF(RIGHT(G206,1)="M",1000000*VALUE(LEFT(G206,LEN(G206)-1)),IF(RIGHT(G206,1)="B",1000000000*VALUE(LEFT(G206,LEN(G206)-1)),IF(RIGHT(G206,1)="%",0.01*VALUE(LEFT(G206,LEN(G206)-1)),IF(RIGHT(G206,1)="k",1000*VALUE(LEFT(G206,LEN(G206)-1)),VALUE(SUBSTITUTE(G206,",",""))))))))),"N/A")</f>
        <v>172080000</v>
      </c>
      <c r="P206">
        <f t="shared" si="27"/>
        <v>227950000</v>
      </c>
      <c r="Q206">
        <f>IFERROR(J144+MATCH(P206,J206:N206,0)-1,"")</f>
        <v>2015</v>
      </c>
      <c r="R206">
        <f t="shared" si="28"/>
        <v>129410000</v>
      </c>
      <c r="S206">
        <f>IFERROR(J144+MATCH(R206,J206:N206,0)-1,"")</f>
        <v>2012</v>
      </c>
      <c r="T206">
        <f t="shared" si="29"/>
        <v>175388000</v>
      </c>
      <c r="U206">
        <f t="shared" si="30"/>
        <v>41123428.480611876</v>
      </c>
      <c r="V206">
        <f t="shared" si="31"/>
        <v>-1.118048803291702</v>
      </c>
      <c r="W206">
        <f t="shared" si="32"/>
        <v>-0.78368952178182982</v>
      </c>
      <c r="X206">
        <f t="shared" si="33"/>
        <v>0.70402690314718674</v>
      </c>
      <c r="Y206">
        <f t="shared" si="34"/>
        <v>1.2781521857979563</v>
      </c>
      <c r="Z206">
        <f t="shared" si="35"/>
        <v>-8.044076387161142E-2</v>
      </c>
      <c r="AA206">
        <f t="shared" si="36"/>
        <v>1.2781521857979563</v>
      </c>
      <c r="AB206">
        <f>IFERROR(V144+MATCH(AA206,V206:Z206,0)-1,"")</f>
        <v>2015</v>
      </c>
      <c r="AC206" t="str">
        <f t="shared" si="37"/>
        <v>High</v>
      </c>
      <c r="AE206">
        <f>IF(ISNUMBER(MATCH("N/A",J206:N206,0)),"",IFERROR((5 * SUMPRODUCT(J144:N144,J206:N206) - PRODUCT(SUM(J144:N144),SUM(J206:N206))) / ((5 * SUM((J144^2)+(K144^2)+(L144^2)+(M144^2)+(N144^2))) - SUM(J144:N144)^2),""))</f>
        <v>17013000</v>
      </c>
      <c r="AF206">
        <f>IFERROR(CORREL(J144:N144,J206:N206),"")</f>
        <v>0.65412627084107533</v>
      </c>
      <c r="AZ206">
        <f t="shared" si="38"/>
        <v>1</v>
      </c>
      <c r="BA206" t="str">
        <f>IF(AZ206=1,IF(Q206="","",IF(Q206=N144,"Yes","No")),"")</f>
        <v>No</v>
      </c>
      <c r="BB206" t="str">
        <f t="shared" si="39"/>
        <v/>
      </c>
      <c r="BC206" t="str">
        <f>IF(AZ206=1,IF(S206="","",IF(S206=N144,"Yes","No")),"")</f>
        <v>No</v>
      </c>
      <c r="BD206" t="str">
        <f t="shared" si="40"/>
        <v/>
      </c>
      <c r="BE206" t="str">
        <f t="shared" si="41"/>
        <v>Increasing</v>
      </c>
      <c r="BF206" t="str">
        <f t="shared" si="42"/>
        <v>No</v>
      </c>
      <c r="BG206" t="str">
        <f t="shared" si="43"/>
        <v>No</v>
      </c>
      <c r="BH206" t="str">
        <f t="shared" si="44"/>
        <v>No</v>
      </c>
    </row>
    <row r="207" spans="1:60" x14ac:dyDescent="0.3">
      <c r="A207" s="1">
        <v>1</v>
      </c>
      <c r="B207" t="s">
        <v>472</v>
      </c>
      <c r="C207" t="s">
        <v>1256</v>
      </c>
      <c r="D207" t="s">
        <v>1257</v>
      </c>
      <c r="E207" t="s">
        <v>1258</v>
      </c>
      <c r="F207" t="s">
        <v>1259</v>
      </c>
      <c r="G207" t="s">
        <v>1260</v>
      </c>
      <c r="I207" t="str">
        <f t="shared" si="52"/>
        <v>N/A</v>
      </c>
      <c r="J207">
        <f t="shared" si="53"/>
        <v>70550000</v>
      </c>
      <c r="K207">
        <f t="shared" si="54"/>
        <v>107260000</v>
      </c>
      <c r="L207">
        <f t="shared" si="55"/>
        <v>158430000</v>
      </c>
      <c r="M207">
        <f t="shared" si="56"/>
        <v>166360000</v>
      </c>
      <c r="N207">
        <f t="shared" si="57"/>
        <v>115240000</v>
      </c>
      <c r="P207">
        <f t="shared" si="27"/>
        <v>166360000</v>
      </c>
      <c r="Q207">
        <f>IFERROR(J144+MATCH(P207,J207:N207,0)-1,"")</f>
        <v>2015</v>
      </c>
      <c r="R207">
        <f t="shared" si="28"/>
        <v>70550000</v>
      </c>
      <c r="S207">
        <f>IFERROR(J144+MATCH(R207,J207:N207,0)-1,"")</f>
        <v>2012</v>
      </c>
      <c r="T207">
        <f t="shared" si="29"/>
        <v>123568000</v>
      </c>
      <c r="U207">
        <f t="shared" si="30"/>
        <v>39346947.403832994</v>
      </c>
      <c r="V207">
        <f t="shared" si="31"/>
        <v>-1.3474488746447262</v>
      </c>
      <c r="W207">
        <f t="shared" si="32"/>
        <v>-0.4144667140915575</v>
      </c>
      <c r="X207">
        <f t="shared" si="33"/>
        <v>0.88601536587318352</v>
      </c>
      <c r="Y207">
        <f t="shared" si="34"/>
        <v>1.0875557781092671</v>
      </c>
      <c r="Z207">
        <f t="shared" si="35"/>
        <v>-0.21165555524616697</v>
      </c>
      <c r="AA207">
        <f t="shared" si="36"/>
        <v>-1.3474488746447262</v>
      </c>
      <c r="AB207">
        <f>IFERROR(V144+MATCH(AA207,V207:Z207,0)-1,"")</f>
        <v>2012</v>
      </c>
      <c r="AC207" t="str">
        <f t="shared" si="37"/>
        <v>Low</v>
      </c>
      <c r="AE207">
        <f>IF(ISNUMBER(MATCH("N/A",J207:N207,0)),"",IFERROR((5 * SUMPRODUCT(J144:N144,J207:N207) - PRODUCT(SUM(J144:N144),SUM(J207:N207))) / ((5 * SUM((J144^2)+(K144^2)+(L144^2)+(M144^2)+(N144^2))) - SUM(J144:N144)^2),""))</f>
        <v>14848000</v>
      </c>
      <c r="AF207">
        <f>IFERROR(CORREL(J144:N144,J207:N207),"")</f>
        <v>0.59665999265811032</v>
      </c>
      <c r="AZ207">
        <f t="shared" si="38"/>
        <v>1</v>
      </c>
      <c r="BA207" t="str">
        <f>IF(AZ207=1,IF(Q207="","",IF(Q207=N144,"Yes","No")),"")</f>
        <v>No</v>
      </c>
      <c r="BB207" t="str">
        <f t="shared" si="39"/>
        <v/>
      </c>
      <c r="BC207" t="str">
        <f>IF(AZ207=1,IF(S207="","",IF(S207=N144,"Yes","No")),"")</f>
        <v>No</v>
      </c>
      <c r="BD207" t="str">
        <f t="shared" si="40"/>
        <v/>
      </c>
      <c r="BE207" t="str">
        <f t="shared" si="41"/>
        <v>Increasing</v>
      </c>
      <c r="BF207" t="str">
        <f t="shared" si="42"/>
        <v>No</v>
      </c>
      <c r="BG207" t="str">
        <f t="shared" si="43"/>
        <v>No</v>
      </c>
      <c r="BH207" t="str">
        <f t="shared" si="44"/>
        <v>No</v>
      </c>
    </row>
    <row r="208" spans="1:60" x14ac:dyDescent="0.3">
      <c r="A208" s="1">
        <v>2</v>
      </c>
      <c r="B208" t="s">
        <v>478</v>
      </c>
      <c r="C208" t="s">
        <v>1261</v>
      </c>
      <c r="D208" t="s">
        <v>1262</v>
      </c>
      <c r="E208" t="s">
        <v>1263</v>
      </c>
      <c r="F208" t="s">
        <v>1264</v>
      </c>
      <c r="G208" t="s">
        <v>1265</v>
      </c>
      <c r="I208" t="str">
        <f t="shared" si="52"/>
        <v>N/A</v>
      </c>
      <c r="J208">
        <f t="shared" si="53"/>
        <v>58860000</v>
      </c>
      <c r="K208">
        <f t="shared" si="54"/>
        <v>35910000</v>
      </c>
      <c r="L208">
        <f t="shared" si="55"/>
        <v>45910000</v>
      </c>
      <c r="M208">
        <f t="shared" si="56"/>
        <v>61600000</v>
      </c>
      <c r="N208">
        <f t="shared" si="57"/>
        <v>56840000</v>
      </c>
      <c r="P208">
        <f t="shared" si="27"/>
        <v>61600000</v>
      </c>
      <c r="Q208">
        <f>IFERROR(J144+MATCH(P208,J208:N208,0)-1,"")</f>
        <v>2015</v>
      </c>
      <c r="R208">
        <f t="shared" si="28"/>
        <v>35910000</v>
      </c>
      <c r="S208">
        <f>IFERROR(J144+MATCH(R208,J208:N208,0)-1,"")</f>
        <v>2013</v>
      </c>
      <c r="T208">
        <f t="shared" si="29"/>
        <v>51824000</v>
      </c>
      <c r="U208">
        <f t="shared" si="30"/>
        <v>10705915.654440774</v>
      </c>
      <c r="V208">
        <f t="shared" si="31"/>
        <v>0.6572067469148698</v>
      </c>
      <c r="W208">
        <f t="shared" si="32"/>
        <v>-1.4864679036957416</v>
      </c>
      <c r="X208">
        <f t="shared" si="33"/>
        <v>-0.5524048751072399</v>
      </c>
      <c r="Y208">
        <f t="shared" si="34"/>
        <v>0.91314001674811929</v>
      </c>
      <c r="Z208">
        <f t="shared" si="35"/>
        <v>0.46852601513999242</v>
      </c>
      <c r="AA208">
        <f t="shared" si="36"/>
        <v>-1.4864679036957416</v>
      </c>
      <c r="AB208">
        <f>IFERROR(V144+MATCH(AA208,V208:Z208,0)-1,"")</f>
        <v>2013</v>
      </c>
      <c r="AC208" t="str">
        <f t="shared" si="37"/>
        <v>Low</v>
      </c>
      <c r="AE208">
        <f>IF(ISNUMBER(MATCH("N/A",J208:N208,0)),"",IFERROR((5 * SUMPRODUCT(J144:N144,J208:N208) - PRODUCT(SUM(J144:N144),SUM(J208:N208))) / ((5 * SUM((J144^2)+(K144^2)+(L144^2)+(M144^2)+(N144^2))) - SUM(J144:N144)^2),""))</f>
        <v>2165000</v>
      </c>
      <c r="AF208">
        <f>IFERROR(CORREL(J144:N144,J208:N208),"")</f>
        <v>0.31974523969954449</v>
      </c>
      <c r="AZ208">
        <f t="shared" si="38"/>
        <v>1</v>
      </c>
      <c r="BA208" t="str">
        <f>IF(AZ208=1,IF(Q208="","",IF(Q208=N144,"Yes","No")),"")</f>
        <v>No</v>
      </c>
      <c r="BB208" t="str">
        <f t="shared" si="39"/>
        <v/>
      </c>
      <c r="BC208" t="str">
        <f>IF(AZ208=1,IF(S208="","",IF(S208=N144,"Yes","No")),"")</f>
        <v>No</v>
      </c>
      <c r="BD208" t="str">
        <f t="shared" si="40"/>
        <v/>
      </c>
      <c r="BE208" t="str">
        <f t="shared" si="41"/>
        <v>Increasing</v>
      </c>
      <c r="BF208" t="str">
        <f t="shared" si="42"/>
        <v>No</v>
      </c>
      <c r="BG208" t="str">
        <f t="shared" si="43"/>
        <v>No</v>
      </c>
      <c r="BH208" t="str">
        <f t="shared" si="44"/>
        <v>No</v>
      </c>
    </row>
    <row r="209" spans="1:60" x14ac:dyDescent="0.3">
      <c r="A209" s="1">
        <v>3</v>
      </c>
      <c r="B209" t="s">
        <v>484</v>
      </c>
      <c r="C209" t="s">
        <v>264</v>
      </c>
      <c r="D209" t="s">
        <v>1266</v>
      </c>
      <c r="E209" t="s">
        <v>1267</v>
      </c>
      <c r="F209" t="s">
        <v>490</v>
      </c>
      <c r="G209" t="s">
        <v>1268</v>
      </c>
      <c r="I209" t="str">
        <f t="shared" si="52"/>
        <v>N/A</v>
      </c>
      <c r="J209" t="str">
        <f t="shared" si="53"/>
        <v>N/A</v>
      </c>
      <c r="K209">
        <f t="shared" si="54"/>
        <v>0.10619999999999999</v>
      </c>
      <c r="L209">
        <f t="shared" si="55"/>
        <v>0.42729999999999996</v>
      </c>
      <c r="M209">
        <f t="shared" si="56"/>
        <v>0.11560000000000001</v>
      </c>
      <c r="N209">
        <f t="shared" si="57"/>
        <v>-0.24510000000000001</v>
      </c>
      <c r="P209">
        <f t="shared" ref="P209:P272" si="58">MAX(J209:N209)</f>
        <v>0.42729999999999996</v>
      </c>
      <c r="Q209">
        <f>IFERROR(J144+MATCH(P209,J209:N209,0)-1,"")</f>
        <v>2014</v>
      </c>
      <c r="R209">
        <f t="shared" ref="R209:R272" si="59">IF(Q209="","",MIN(J209:N209))</f>
        <v>-0.24510000000000001</v>
      </c>
      <c r="S209">
        <f>IFERROR(J144+MATCH(R209,J209:N209,0)-1,"")</f>
        <v>2016</v>
      </c>
      <c r="T209">
        <f t="shared" ref="T209:T272" si="60">IFERROR(AVERAGE(J209:N209),"")</f>
        <v>0.10100000000000001</v>
      </c>
      <c r="U209">
        <f t="shared" ref="U209:U272" si="61">IFERROR(STDEV(J209:N209),"")</f>
        <v>0.2747708742449485</v>
      </c>
      <c r="V209" t="str">
        <f t="shared" ref="V209:V272" si="62">IFERROR(IF(C209="-","",IF(ISBLANK(B209),"",IF(OR(ISNUMBER(FIND("Growth",B209)),ISNUMBER(FIND("Margin",B209))),"",(J209-T209)/U209))),"")</f>
        <v/>
      </c>
      <c r="W209">
        <f t="shared" ref="W209:W272" si="63">IFERROR(IF(OR(D209="-",ISBLANK(D209)),"",(K209-T209)/U209),"")</f>
        <v>1.8924858809323316E-2</v>
      </c>
      <c r="X209">
        <f t="shared" ref="X209:X272" si="64">IFERROR(IF(OR(E209="-",ISBLANK(E209)),"",(L209-T209)/U209),"")</f>
        <v>1.1875348902850418</v>
      </c>
      <c r="Y209">
        <f t="shared" ref="Y209:Y272" si="65">IFERROR(IF(OR(F209="-",ISBLANK(F209)),"",(M209-T209)/U209),"")</f>
        <v>5.313518050310026E-2</v>
      </c>
      <c r="Z209">
        <f t="shared" ref="Z209:Z272" si="66">IFERROR(IF(OR(G209="-",ISBLANK(G209)),"",(N209-T209)/U209),"")</f>
        <v>-1.2595949295974658</v>
      </c>
      <c r="AA209">
        <f t="shared" ref="AA209:AA272" si="67">IF(MAX(MAX(V209:Z209),ABS(MIN(V209:Z209)))=ABS(MIN(V209:Z209)),MIN(V209:Z209),MAX(V209:Z209))</f>
        <v>-1.2595949295974658</v>
      </c>
      <c r="AB209">
        <f>IFERROR(V144+MATCH(AA209,V209:Z209,0)-1,"")</f>
        <v>2016</v>
      </c>
      <c r="AC209" t="str">
        <f t="shared" ref="AC209:AC272" si="68">IF(AB209&lt;&gt;"",IF(S209=AB209,"Low",IF(AB209=Q209,"High","")),"")</f>
        <v>Low</v>
      </c>
      <c r="AE209" t="str">
        <f>IF(ISNUMBER(MATCH("N/A",J209:N209,0)),"",IFERROR((5 * SUMPRODUCT(J144:N144,J209:N209) - PRODUCT(SUM(J144:N144),SUM(J209:N209))) / ((5 * SUM((J144^2)+(K144^2)+(L144^2)+(M144^2)+(N144^2))) - SUM(J144:N144)^2),""))</f>
        <v/>
      </c>
      <c r="AF209">
        <f>IFERROR(CORREL(J144:N144,J209:N209),"")</f>
        <v>-0.64161895762721188</v>
      </c>
      <c r="AZ209">
        <f t="shared" ref="AZ209:AZ272" si="69">IF(Q209=S209,0,1)</f>
        <v>1</v>
      </c>
      <c r="BA209" t="str">
        <f>IF(AZ209=1,IF(Q209="","",IF(Q209=N144,"Yes","No")),"")</f>
        <v>No</v>
      </c>
      <c r="BB209" t="str">
        <f t="shared" ref="BB209:BB272" si="70">IF(BA209="Yes",P209,"")</f>
        <v/>
      </c>
      <c r="BC209" t="str">
        <f>IF(AZ209=1,IF(S209="","",IF(S209=N144,"Yes","No")),"")</f>
        <v>Yes</v>
      </c>
      <c r="BD209">
        <f t="shared" ref="BD209:BD272" si="71">IF(BC209="Yes",R209,"")</f>
        <v>-0.24510000000000001</v>
      </c>
      <c r="BE209" t="str">
        <f t="shared" ref="BE209:BE272" si="72">IFERROR(IF(SIGN(AE209)=1,"Increasing",IF(SIGN(AE209)=-1,"Decreasing","")),"")</f>
        <v/>
      </c>
      <c r="BF209" t="str">
        <f t="shared" ref="BF209:BF272" si="73">IF(OR(AND(BE209="Increasing",BA209="Yes"),AND(BE209="Decreasing",BC209="Yes")),"Yes","No")</f>
        <v>No</v>
      </c>
      <c r="BG209" t="str">
        <f t="shared" ref="BG209:BG272" si="74">IF(I209="pos_trend","Yes","No")</f>
        <v>No</v>
      </c>
      <c r="BH209" t="str">
        <f t="shared" ref="BH209:BH272" si="75">IF(AF209&lt;&gt;"",IF(ABS(AF209)&gt;0.8,"Yes","No"),"")</f>
        <v>No</v>
      </c>
    </row>
    <row r="210" spans="1:60" x14ac:dyDescent="0.3">
      <c r="A210" s="1">
        <v>4</v>
      </c>
      <c r="B210" t="s">
        <v>489</v>
      </c>
      <c r="C210" t="s">
        <v>1044</v>
      </c>
      <c r="D210" t="s">
        <v>1269</v>
      </c>
      <c r="E210" t="s">
        <v>1270</v>
      </c>
      <c r="F210" t="s">
        <v>1271</v>
      </c>
      <c r="G210" t="s">
        <v>1272</v>
      </c>
      <c r="I210" t="str">
        <f t="shared" si="52"/>
        <v>N/A</v>
      </c>
      <c r="J210">
        <f t="shared" si="53"/>
        <v>0.12509999999999999</v>
      </c>
      <c r="K210">
        <f t="shared" si="54"/>
        <v>0.14070000000000002</v>
      </c>
      <c r="L210">
        <f t="shared" si="55"/>
        <v>0.1812</v>
      </c>
      <c r="M210">
        <f t="shared" si="56"/>
        <v>0.18050000000000002</v>
      </c>
      <c r="N210">
        <f t="shared" si="57"/>
        <v>0.13140000000000002</v>
      </c>
      <c r="P210">
        <f t="shared" si="58"/>
        <v>0.1812</v>
      </c>
      <c r="Q210">
        <f>IFERROR(J144+MATCH(P210,J210:N210,0)-1,"")</f>
        <v>2014</v>
      </c>
      <c r="R210">
        <f t="shared" si="59"/>
        <v>0.12509999999999999</v>
      </c>
      <c r="S210">
        <f>IFERROR(J144+MATCH(R210,J210:N210,0)-1,"")</f>
        <v>2012</v>
      </c>
      <c r="T210">
        <f t="shared" si="60"/>
        <v>0.15178000000000003</v>
      </c>
      <c r="U210">
        <f t="shared" si="61"/>
        <v>2.7112303480154424E-2</v>
      </c>
      <c r="V210">
        <f t="shared" si="62"/>
        <v>-0.98405508110106454</v>
      </c>
      <c r="W210">
        <f t="shared" si="63"/>
        <v>-0.40867055092203097</v>
      </c>
      <c r="X210">
        <f t="shared" si="64"/>
        <v>1.0851162101196872</v>
      </c>
      <c r="Y210">
        <f t="shared" si="65"/>
        <v>1.0592976735090904</v>
      </c>
      <c r="Z210">
        <f t="shared" si="66"/>
        <v>-0.75168825160568509</v>
      </c>
      <c r="AA210">
        <f t="shared" si="67"/>
        <v>1.0851162101196872</v>
      </c>
      <c r="AB210">
        <f>IFERROR(V144+MATCH(AA210,V210:Z210,0)-1,"")</f>
        <v>2014</v>
      </c>
      <c r="AC210" t="str">
        <f t="shared" si="68"/>
        <v>High</v>
      </c>
      <c r="AE210">
        <f>IF(ISNUMBER(MATCH("N/A",J210:N210,0)),"",IFERROR((5 * SUMPRODUCT(J144:N144,J210:N210) - PRODUCT(SUM(J144:N144),SUM(J210:N210))) / ((5 * SUM((J144^2)+(K144^2)+(L144^2)+(M144^2)+(N144^2))) - SUM(J144:N144)^2),""))</f>
        <v>5.239999999957945E-3</v>
      </c>
      <c r="AF210">
        <f>IFERROR(CORREL(J144:N144,J210:N210),"")</f>
        <v>0.30558699948551687</v>
      </c>
      <c r="AZ210">
        <f t="shared" si="69"/>
        <v>1</v>
      </c>
      <c r="BA210" t="str">
        <f>IF(AZ210=1,IF(Q210="","",IF(Q210=N144,"Yes","No")),"")</f>
        <v>No</v>
      </c>
      <c r="BB210" t="str">
        <f t="shared" si="70"/>
        <v/>
      </c>
      <c r="BC210" t="str">
        <f>IF(AZ210=1,IF(S210="","",IF(S210=N144,"Yes","No")),"")</f>
        <v>No</v>
      </c>
      <c r="BD210" t="str">
        <f t="shared" si="71"/>
        <v/>
      </c>
      <c r="BE210" t="str">
        <f t="shared" si="72"/>
        <v>Increasing</v>
      </c>
      <c r="BF210" t="str">
        <f t="shared" si="73"/>
        <v>No</v>
      </c>
      <c r="BG210" t="str">
        <f t="shared" si="74"/>
        <v>No</v>
      </c>
      <c r="BH210" t="str">
        <f t="shared" si="75"/>
        <v>No</v>
      </c>
    </row>
    <row r="211" spans="1:60" x14ac:dyDescent="0.3">
      <c r="A211" s="1">
        <v>5</v>
      </c>
      <c r="B211" t="s">
        <v>495</v>
      </c>
      <c r="C211" t="s">
        <v>1273</v>
      </c>
      <c r="D211" t="s">
        <v>1274</v>
      </c>
      <c r="E211" t="s">
        <v>1275</v>
      </c>
      <c r="F211" t="s">
        <v>1276</v>
      </c>
      <c r="G211" t="s">
        <v>1277</v>
      </c>
      <c r="I211" t="str">
        <f t="shared" si="52"/>
        <v>pos_trend</v>
      </c>
      <c r="J211">
        <f t="shared" si="53"/>
        <v>187170000</v>
      </c>
      <c r="K211">
        <f t="shared" si="54"/>
        <v>209810000</v>
      </c>
      <c r="L211">
        <f t="shared" si="55"/>
        <v>234640000</v>
      </c>
      <c r="M211">
        <f t="shared" si="56"/>
        <v>242820000</v>
      </c>
      <c r="N211">
        <f t="shared" si="57"/>
        <v>273980000</v>
      </c>
      <c r="P211">
        <f t="shared" si="58"/>
        <v>273980000</v>
      </c>
      <c r="Q211">
        <f>IFERROR(J144+MATCH(P211,J211:N211,0)-1,"")</f>
        <v>2016</v>
      </c>
      <c r="R211">
        <f t="shared" si="59"/>
        <v>187170000</v>
      </c>
      <c r="S211">
        <f>IFERROR(J144+MATCH(R211,J211:N211,0)-1,"")</f>
        <v>2012</v>
      </c>
      <c r="T211">
        <f t="shared" si="60"/>
        <v>229684000</v>
      </c>
      <c r="U211">
        <f t="shared" si="61"/>
        <v>33021463.171700917</v>
      </c>
      <c r="V211">
        <f t="shared" si="62"/>
        <v>-1.2874656637393977</v>
      </c>
      <c r="W211">
        <f t="shared" si="63"/>
        <v>-0.60185098088057565</v>
      </c>
      <c r="X211">
        <f t="shared" si="64"/>
        <v>0.15008420354453722</v>
      </c>
      <c r="Y211">
        <f t="shared" si="65"/>
        <v>0.39780187606154982</v>
      </c>
      <c r="Z211">
        <f t="shared" si="66"/>
        <v>1.3414305650138862</v>
      </c>
      <c r="AA211">
        <f t="shared" si="67"/>
        <v>1.3414305650138862</v>
      </c>
      <c r="AB211">
        <f>IFERROR(V144+MATCH(AA211,V211:Z211,0)-1,"")</f>
        <v>2016</v>
      </c>
      <c r="AC211" t="str">
        <f t="shared" si="68"/>
        <v>High</v>
      </c>
      <c r="AE211">
        <f>IF(ISNUMBER(MATCH("N/A",J211:N211,0)),"",IFERROR((5 * SUMPRODUCT(J144:N144,J211:N211) - PRODUCT(SUM(J144:N144),SUM(J211:N211))) / ((5 * SUM((J144^2)+(K144^2)+(L144^2)+(M144^2)+(N144^2))) - SUM(J144:N144)^2),""))</f>
        <v>20663000</v>
      </c>
      <c r="AF211">
        <f>IFERROR(CORREL(J144:N144,J211:N211),"")</f>
        <v>0.98938897638031997</v>
      </c>
      <c r="AZ211">
        <f t="shared" si="69"/>
        <v>1</v>
      </c>
      <c r="BA211" t="str">
        <f>IF(AZ211=1,IF(Q211="","",IF(Q211=N144,"Yes","No")),"")</f>
        <v>Yes</v>
      </c>
      <c r="BB211">
        <f t="shared" si="70"/>
        <v>273980000</v>
      </c>
      <c r="BC211" t="str">
        <f>IF(AZ211=1,IF(S211="","",IF(S211=N144,"Yes","No")),"")</f>
        <v>No</v>
      </c>
      <c r="BD211" t="str">
        <f t="shared" si="71"/>
        <v/>
      </c>
      <c r="BE211" t="str">
        <f t="shared" si="72"/>
        <v>Increasing</v>
      </c>
      <c r="BF211" t="str">
        <f t="shared" si="73"/>
        <v>Yes</v>
      </c>
      <c r="BG211" t="str">
        <f t="shared" si="74"/>
        <v>Yes</v>
      </c>
      <c r="BH211" t="str">
        <f t="shared" si="75"/>
        <v>Yes</v>
      </c>
    </row>
    <row r="212" spans="1:60" x14ac:dyDescent="0.3">
      <c r="A212" s="1">
        <v>6</v>
      </c>
      <c r="B212" t="s">
        <v>501</v>
      </c>
      <c r="C212" t="s">
        <v>1278</v>
      </c>
      <c r="D212" t="s">
        <v>1279</v>
      </c>
      <c r="E212" t="s">
        <v>1280</v>
      </c>
      <c r="F212" t="s">
        <v>1281</v>
      </c>
      <c r="G212" t="s">
        <v>1282</v>
      </c>
      <c r="I212" t="str">
        <f t="shared" si="52"/>
        <v>pos_trend</v>
      </c>
      <c r="J212">
        <f t="shared" si="53"/>
        <v>180630000</v>
      </c>
      <c r="K212">
        <f t="shared" si="54"/>
        <v>202540000</v>
      </c>
      <c r="L212">
        <f t="shared" si="55"/>
        <v>228060000</v>
      </c>
      <c r="M212">
        <f t="shared" si="56"/>
        <v>236100000</v>
      </c>
      <c r="N212">
        <f t="shared" si="57"/>
        <v>260640000</v>
      </c>
      <c r="P212">
        <f t="shared" si="58"/>
        <v>260640000</v>
      </c>
      <c r="Q212">
        <f>IFERROR(J144+MATCH(P212,J212:N212,0)-1,"")</f>
        <v>2016</v>
      </c>
      <c r="R212">
        <f t="shared" si="59"/>
        <v>180630000</v>
      </c>
      <c r="S212">
        <f>IFERROR(J144+MATCH(R212,J212:N212,0)-1,"")</f>
        <v>2012</v>
      </c>
      <c r="T212">
        <f t="shared" si="60"/>
        <v>221594000</v>
      </c>
      <c r="U212">
        <f t="shared" si="61"/>
        <v>30894690.158666424</v>
      </c>
      <c r="V212">
        <f t="shared" si="62"/>
        <v>-1.325923638969041</v>
      </c>
      <c r="W212">
        <f t="shared" si="63"/>
        <v>-0.61674028456488883</v>
      </c>
      <c r="X212">
        <f t="shared" si="64"/>
        <v>0.20929162800443848</v>
      </c>
      <c r="Y212">
        <f t="shared" si="65"/>
        <v>0.46953052208975948</v>
      </c>
      <c r="Z212">
        <f t="shared" si="66"/>
        <v>1.2638417734397318</v>
      </c>
      <c r="AA212">
        <f t="shared" si="67"/>
        <v>-1.325923638969041</v>
      </c>
      <c r="AB212">
        <f>IFERROR(V144+MATCH(AA212,V212:Z212,0)-1,"")</f>
        <v>2012</v>
      </c>
      <c r="AC212" t="str">
        <f t="shared" si="68"/>
        <v>Low</v>
      </c>
      <c r="AE212">
        <f>IF(ISNUMBER(MATCH("N/A",J212:N212,0)),"",IFERROR((5 * SUMPRODUCT(J144:N144,J212:N212) - PRODUCT(SUM(J144:N144),SUM(J212:N212))) / ((5 * SUM((J144^2)+(K144^2)+(L144^2)+(M144^2)+(N144^2))) - SUM(J144:N144)^2),""))</f>
        <v>19358000</v>
      </c>
      <c r="AF212">
        <f>IFERROR(CORREL(J144:N144,J212:N212),"")</f>
        <v>0.99071022611255499</v>
      </c>
      <c r="AZ212">
        <f t="shared" si="69"/>
        <v>1</v>
      </c>
      <c r="BA212" t="str">
        <f>IF(AZ212=1,IF(Q212="","",IF(Q212=N144,"Yes","No")),"")</f>
        <v>Yes</v>
      </c>
      <c r="BB212">
        <f t="shared" si="70"/>
        <v>260640000</v>
      </c>
      <c r="BC212" t="str">
        <f>IF(AZ212=1,IF(S212="","",IF(S212=N144,"Yes","No")),"")</f>
        <v>No</v>
      </c>
      <c r="BD212" t="str">
        <f t="shared" si="71"/>
        <v/>
      </c>
      <c r="BE212" t="str">
        <f t="shared" si="72"/>
        <v>Increasing</v>
      </c>
      <c r="BF212" t="str">
        <f t="shared" si="73"/>
        <v>Yes</v>
      </c>
      <c r="BG212" t="str">
        <f t="shared" si="74"/>
        <v>Yes</v>
      </c>
      <c r="BH212" t="str">
        <f t="shared" si="75"/>
        <v>Yes</v>
      </c>
    </row>
    <row r="213" spans="1:60" x14ac:dyDescent="0.3">
      <c r="A213" s="1">
        <v>7</v>
      </c>
      <c r="B213" t="s">
        <v>504</v>
      </c>
      <c r="C213" t="s">
        <v>1283</v>
      </c>
      <c r="D213" t="s">
        <v>1284</v>
      </c>
      <c r="E213" t="s">
        <v>1285</v>
      </c>
      <c r="F213" t="s">
        <v>1286</v>
      </c>
      <c r="G213" t="s">
        <v>1287</v>
      </c>
      <c r="I213" t="str">
        <f t="shared" si="52"/>
        <v>pos_trend</v>
      </c>
      <c r="J213">
        <f t="shared" si="53"/>
        <v>187210000</v>
      </c>
      <c r="K213">
        <f t="shared" si="54"/>
        <v>208500000</v>
      </c>
      <c r="L213">
        <f t="shared" si="55"/>
        <v>235490000</v>
      </c>
      <c r="M213">
        <f t="shared" si="56"/>
        <v>241950000</v>
      </c>
      <c r="N213">
        <f t="shared" si="57"/>
        <v>266930000</v>
      </c>
      <c r="P213">
        <f t="shared" si="58"/>
        <v>266930000</v>
      </c>
      <c r="Q213">
        <f>IFERROR(J144+MATCH(P213,J213:N213,0)-1,"")</f>
        <v>2016</v>
      </c>
      <c r="R213">
        <f t="shared" si="59"/>
        <v>187210000</v>
      </c>
      <c r="S213">
        <f>IFERROR(J144+MATCH(R213,J213:N213,0)-1,"")</f>
        <v>2012</v>
      </c>
      <c r="T213">
        <f t="shared" si="60"/>
        <v>228016000</v>
      </c>
      <c r="U213">
        <f t="shared" si="61"/>
        <v>30863896.059959766</v>
      </c>
      <c r="V213">
        <f t="shared" si="62"/>
        <v>-1.3221273140865157</v>
      </c>
      <c r="W213">
        <f t="shared" si="63"/>
        <v>-0.63232457632976624</v>
      </c>
      <c r="X213">
        <f t="shared" si="64"/>
        <v>0.24215996533555406</v>
      </c>
      <c r="Y213">
        <f t="shared" si="65"/>
        <v>0.45146600976526763</v>
      </c>
      <c r="Z213">
        <f t="shared" si="66"/>
        <v>1.2608259153154604</v>
      </c>
      <c r="AA213">
        <f t="shared" si="67"/>
        <v>-1.3221273140865157</v>
      </c>
      <c r="AB213">
        <f>IFERROR(V144+MATCH(AA213,V213:Z213,0)-1,"")</f>
        <v>2012</v>
      </c>
      <c r="AC213" t="str">
        <f t="shared" si="68"/>
        <v>Low</v>
      </c>
      <c r="AE213">
        <f>IF(ISNUMBER(MATCH("N/A",J213:N213,0)),"",IFERROR((5 * SUMPRODUCT(J144:N144,J213:N213) - PRODUCT(SUM(J144:N144),SUM(J213:N213))) / ((5 * SUM((J144^2)+(K144^2)+(L144^2)+(M144^2)+(N144^2))) - SUM(J144:N144)^2),""))</f>
        <v>19289000</v>
      </c>
      <c r="AF213">
        <f>IFERROR(CORREL(J144:N144,J213:N213),"")</f>
        <v>0.98816386739521989</v>
      </c>
      <c r="AZ213">
        <f t="shared" si="69"/>
        <v>1</v>
      </c>
      <c r="BA213" t="str">
        <f>IF(AZ213=1,IF(Q213="","",IF(Q213=N144,"Yes","No")),"")</f>
        <v>Yes</v>
      </c>
      <c r="BB213">
        <f t="shared" si="70"/>
        <v>266930000</v>
      </c>
      <c r="BC213" t="str">
        <f>IF(AZ213=1,IF(S213="","",IF(S213=N144,"Yes","No")),"")</f>
        <v>No</v>
      </c>
      <c r="BD213" t="str">
        <f t="shared" si="71"/>
        <v/>
      </c>
      <c r="BE213" t="str">
        <f t="shared" si="72"/>
        <v>Increasing</v>
      </c>
      <c r="BF213" t="str">
        <f t="shared" si="73"/>
        <v>Yes</v>
      </c>
      <c r="BG213" t="str">
        <f t="shared" si="74"/>
        <v>Yes</v>
      </c>
      <c r="BH213" t="str">
        <f t="shared" si="75"/>
        <v>Yes</v>
      </c>
    </row>
    <row r="214" spans="1:60" x14ac:dyDescent="0.3">
      <c r="A214" s="1">
        <v>8</v>
      </c>
      <c r="B214" t="s">
        <v>510</v>
      </c>
      <c r="C214" t="s">
        <v>1288</v>
      </c>
      <c r="D214" t="s">
        <v>1289</v>
      </c>
      <c r="E214" t="s">
        <v>1290</v>
      </c>
      <c r="F214" t="s">
        <v>1291</v>
      </c>
      <c r="G214" t="s">
        <v>1292</v>
      </c>
      <c r="I214" t="str">
        <f t="shared" si="52"/>
        <v>N/A</v>
      </c>
      <c r="J214">
        <f t="shared" si="53"/>
        <v>-6580000</v>
      </c>
      <c r="K214">
        <f t="shared" si="54"/>
        <v>-5960000</v>
      </c>
      <c r="L214">
        <f t="shared" si="55"/>
        <v>-7430000</v>
      </c>
      <c r="M214">
        <f t="shared" si="56"/>
        <v>-5850000</v>
      </c>
      <c r="N214">
        <f t="shared" si="57"/>
        <v>-6290000</v>
      </c>
      <c r="P214">
        <f t="shared" si="58"/>
        <v>-5850000</v>
      </c>
      <c r="Q214">
        <f>IFERROR(J144+MATCH(P214,J214:N214,0)-1,"")</f>
        <v>2015</v>
      </c>
      <c r="R214">
        <f t="shared" si="59"/>
        <v>-7430000</v>
      </c>
      <c r="S214">
        <f>IFERROR(J144+MATCH(R214,J214:N214,0)-1,"")</f>
        <v>2014</v>
      </c>
      <c r="T214">
        <f t="shared" si="60"/>
        <v>-6422000</v>
      </c>
      <c r="U214">
        <f t="shared" si="61"/>
        <v>632273.67492249748</v>
      </c>
      <c r="V214">
        <f t="shared" si="62"/>
        <v>-0.24989178937327614</v>
      </c>
      <c r="W214">
        <f t="shared" si="63"/>
        <v>0.73069624487628837</v>
      </c>
      <c r="X214">
        <f t="shared" si="64"/>
        <v>-1.5942463524573565</v>
      </c>
      <c r="Y214">
        <f t="shared" si="65"/>
        <v>0.90467154127540472</v>
      </c>
      <c r="Z214">
        <f t="shared" si="66"/>
        <v>0.20877035567893956</v>
      </c>
      <c r="AA214">
        <f t="shared" si="67"/>
        <v>-1.5942463524573565</v>
      </c>
      <c r="AB214">
        <f>IFERROR(V144+MATCH(AA214,V214:Z214,0)-1,"")</f>
        <v>2014</v>
      </c>
      <c r="AC214" t="str">
        <f t="shared" si="68"/>
        <v>Low</v>
      </c>
      <c r="AE214">
        <f>IF(ISNUMBER(MATCH("N/A",J214:N214,0)),"",IFERROR((5 * SUMPRODUCT(J144:N144,J214:N214) - PRODUCT(SUM(J144:N144),SUM(J214:N214))) / ((5 * SUM((J144^2)+(K144^2)+(L144^2)+(M144^2)+(N144^2))) - SUM(J144:N144)^2),""))</f>
        <v>69000</v>
      </c>
      <c r="AF214">
        <f>IFERROR(CORREL(J144:N144,J214:N214),"")</f>
        <v>0.17254961514755793</v>
      </c>
      <c r="AZ214">
        <f t="shared" si="69"/>
        <v>1</v>
      </c>
      <c r="BA214" t="str">
        <f>IF(AZ214=1,IF(Q214="","",IF(Q214=N144,"Yes","No")),"")</f>
        <v>No</v>
      </c>
      <c r="BB214" t="str">
        <f t="shared" si="70"/>
        <v/>
      </c>
      <c r="BC214" t="str">
        <f>IF(AZ214=1,IF(S214="","",IF(S214=N144,"Yes","No")),"")</f>
        <v>No</v>
      </c>
      <c r="BD214" t="str">
        <f t="shared" si="71"/>
        <v/>
      </c>
      <c r="BE214" t="str">
        <f t="shared" si="72"/>
        <v>Increasing</v>
      </c>
      <c r="BF214" t="str">
        <f t="shared" si="73"/>
        <v>No</v>
      </c>
      <c r="BG214" t="str">
        <f t="shared" si="74"/>
        <v>No</v>
      </c>
      <c r="BH214" t="str">
        <f t="shared" si="75"/>
        <v>No</v>
      </c>
    </row>
    <row r="215" spans="1:60" x14ac:dyDescent="0.3">
      <c r="A215" s="1">
        <v>9</v>
      </c>
      <c r="B215" t="s">
        <v>516</v>
      </c>
      <c r="C215" t="s">
        <v>1293</v>
      </c>
      <c r="D215" t="s">
        <v>1294</v>
      </c>
      <c r="E215" t="s">
        <v>1295</v>
      </c>
      <c r="F215" t="s">
        <v>1296</v>
      </c>
      <c r="G215" t="s">
        <v>1297</v>
      </c>
      <c r="I215" t="str">
        <f t="shared" si="52"/>
        <v>N/A</v>
      </c>
      <c r="J215">
        <f t="shared" si="53"/>
        <v>6540000</v>
      </c>
      <c r="K215">
        <f t="shared" si="54"/>
        <v>7270000</v>
      </c>
      <c r="L215">
        <f t="shared" si="55"/>
        <v>6580000</v>
      </c>
      <c r="M215">
        <f t="shared" si="56"/>
        <v>6720000</v>
      </c>
      <c r="N215">
        <f t="shared" si="57"/>
        <v>13330000</v>
      </c>
      <c r="P215">
        <f t="shared" si="58"/>
        <v>13330000</v>
      </c>
      <c r="Q215">
        <f>IFERROR(J144+MATCH(P215,J215:N215,0)-1,"")</f>
        <v>2016</v>
      </c>
      <c r="R215">
        <f t="shared" si="59"/>
        <v>6540000</v>
      </c>
      <c r="S215">
        <f>IFERROR(J144+MATCH(R215,J215:N215,0)-1,"")</f>
        <v>2012</v>
      </c>
      <c r="T215">
        <f t="shared" si="60"/>
        <v>8088000</v>
      </c>
      <c r="U215">
        <f t="shared" si="61"/>
        <v>2944888.7924673827</v>
      </c>
      <c r="V215">
        <f t="shared" si="62"/>
        <v>-0.52565652188957679</v>
      </c>
      <c r="W215">
        <f t="shared" si="63"/>
        <v>-0.27776940239384612</v>
      </c>
      <c r="X215">
        <f t="shared" si="64"/>
        <v>-0.51207366602679694</v>
      </c>
      <c r="Y215">
        <f t="shared" si="65"/>
        <v>-0.46453367050706784</v>
      </c>
      <c r="Z215">
        <f t="shared" si="66"/>
        <v>1.7800332608172877</v>
      </c>
      <c r="AA215">
        <f t="shared" si="67"/>
        <v>1.7800332608172877</v>
      </c>
      <c r="AB215">
        <f>IFERROR(V144+MATCH(AA215,V215:Z215,0)-1,"")</f>
        <v>2016</v>
      </c>
      <c r="AC215" t="str">
        <f t="shared" si="68"/>
        <v>High</v>
      </c>
      <c r="AE215">
        <f>IF(ISNUMBER(MATCH("N/A",J215:N215,0)),"",IFERROR((5 * SUMPRODUCT(J144:N144,J215:N215) - PRODUCT(SUM(J144:N144),SUM(J215:N215))) / ((5 * SUM((J144^2)+(K144^2)+(L144^2)+(M144^2)+(N144^2))) - SUM(J144:N144)^2),""))</f>
        <v>1303000</v>
      </c>
      <c r="AF215">
        <f>IFERROR(CORREL(J144:N144,J215:N215),"")</f>
        <v>0.69959310547463316</v>
      </c>
      <c r="AZ215">
        <f t="shared" si="69"/>
        <v>1</v>
      </c>
      <c r="BA215" t="str">
        <f>IF(AZ215=1,IF(Q215="","",IF(Q215=N144,"Yes","No")),"")</f>
        <v>Yes</v>
      </c>
      <c r="BB215">
        <f t="shared" si="70"/>
        <v>13330000</v>
      </c>
      <c r="BC215" t="str">
        <f>IF(AZ215=1,IF(S215="","",IF(S215=N144,"Yes","No")),"")</f>
        <v>No</v>
      </c>
      <c r="BD215" t="str">
        <f t="shared" si="71"/>
        <v/>
      </c>
      <c r="BE215" t="str">
        <f t="shared" si="72"/>
        <v>Increasing</v>
      </c>
      <c r="BF215" t="str">
        <f t="shared" si="73"/>
        <v>Yes</v>
      </c>
      <c r="BG215" t="str">
        <f t="shared" si="74"/>
        <v>No</v>
      </c>
      <c r="BH215" t="str">
        <f t="shared" si="75"/>
        <v>No</v>
      </c>
    </row>
    <row r="216" spans="1:60" x14ac:dyDescent="0.3">
      <c r="A216" s="1">
        <v>10</v>
      </c>
      <c r="B216" t="s">
        <v>519</v>
      </c>
      <c r="C216" t="s">
        <v>264</v>
      </c>
      <c r="D216" t="s">
        <v>1298</v>
      </c>
      <c r="E216" t="s">
        <v>1299</v>
      </c>
      <c r="F216" t="s">
        <v>1300</v>
      </c>
      <c r="G216" t="s">
        <v>1301</v>
      </c>
      <c r="I216" t="str">
        <f t="shared" si="52"/>
        <v>N/A</v>
      </c>
      <c r="J216" t="str">
        <f t="shared" si="53"/>
        <v>N/A</v>
      </c>
      <c r="K216">
        <f t="shared" si="54"/>
        <v>0.121</v>
      </c>
      <c r="L216">
        <f t="shared" si="55"/>
        <v>0.1183</v>
      </c>
      <c r="M216">
        <f t="shared" si="56"/>
        <v>3.4799999999999998E-2</v>
      </c>
      <c r="N216">
        <f t="shared" si="57"/>
        <v>0.1283</v>
      </c>
      <c r="P216">
        <f t="shared" si="58"/>
        <v>0.1283</v>
      </c>
      <c r="Q216">
        <f>IFERROR(J144+MATCH(P216,J216:N216,0)-1,"")</f>
        <v>2016</v>
      </c>
      <c r="R216">
        <f t="shared" si="59"/>
        <v>3.4799999999999998E-2</v>
      </c>
      <c r="S216">
        <f>IFERROR(J144+MATCH(R216,J216:N216,0)-1,"")</f>
        <v>2015</v>
      </c>
      <c r="T216">
        <f t="shared" si="60"/>
        <v>0.10059999999999999</v>
      </c>
      <c r="U216">
        <f t="shared" si="61"/>
        <v>4.4069566218272092E-2</v>
      </c>
      <c r="V216" t="str">
        <f t="shared" si="62"/>
        <v/>
      </c>
      <c r="W216">
        <f t="shared" si="63"/>
        <v>0.46290448830289976</v>
      </c>
      <c r="X216">
        <f t="shared" si="64"/>
        <v>0.40163771779222202</v>
      </c>
      <c r="Y216">
        <f t="shared" si="65"/>
        <v>-1.493093888741706</v>
      </c>
      <c r="Z216">
        <f t="shared" si="66"/>
        <v>0.62855168264658456</v>
      </c>
      <c r="AA216">
        <f t="shared" si="67"/>
        <v>-1.493093888741706</v>
      </c>
      <c r="AB216">
        <f>IFERROR(V144+MATCH(AA216,V216:Z216,0)-1,"")</f>
        <v>2015</v>
      </c>
      <c r="AC216" t="str">
        <f t="shared" si="68"/>
        <v>Low</v>
      </c>
      <c r="AE216" t="str">
        <f>IF(ISNUMBER(MATCH("N/A",J216:N216,0)),"",IFERROR((5 * SUMPRODUCT(J144:N144,J216:N216) - PRODUCT(SUM(J144:N144),SUM(J216:N216))) / ((5 * SUM((J144^2)+(K144^2)+(L144^2)+(M144^2)+(N144^2))) - SUM(J144:N144)^2),""))</f>
        <v/>
      </c>
      <c r="AF216">
        <f>IFERROR(CORREL(J144:N144,J216:N216),"")</f>
        <v>-0.18045391608405018</v>
      </c>
      <c r="AZ216">
        <f t="shared" si="69"/>
        <v>1</v>
      </c>
      <c r="BA216" t="str">
        <f>IF(AZ216=1,IF(Q216="","",IF(Q216=N144,"Yes","No")),"")</f>
        <v>Yes</v>
      </c>
      <c r="BB216">
        <f t="shared" si="70"/>
        <v>0.1283</v>
      </c>
      <c r="BC216" t="str">
        <f>IF(AZ216=1,IF(S216="","",IF(S216=N144,"Yes","No")),"")</f>
        <v>No</v>
      </c>
      <c r="BD216" t="str">
        <f t="shared" si="71"/>
        <v/>
      </c>
      <c r="BE216" t="str">
        <f t="shared" si="72"/>
        <v/>
      </c>
      <c r="BF216" t="str">
        <f t="shared" si="73"/>
        <v>No</v>
      </c>
      <c r="BG216" t="str">
        <f t="shared" si="74"/>
        <v>No</v>
      </c>
      <c r="BH216" t="str">
        <f t="shared" si="75"/>
        <v>No</v>
      </c>
    </row>
    <row r="217" spans="1:60" x14ac:dyDescent="0.3">
      <c r="A217" s="1">
        <v>11</v>
      </c>
      <c r="B217" t="s">
        <v>524</v>
      </c>
      <c r="C217" t="s">
        <v>1302</v>
      </c>
      <c r="D217" t="s">
        <v>1303</v>
      </c>
      <c r="E217" t="s">
        <v>1304</v>
      </c>
      <c r="F217" t="s">
        <v>1305</v>
      </c>
      <c r="G217" t="s">
        <v>1306</v>
      </c>
      <c r="I217" t="str">
        <f t="shared" si="52"/>
        <v>N/A</v>
      </c>
      <c r="J217">
        <f t="shared" si="53"/>
        <v>11.04</v>
      </c>
      <c r="K217">
        <f t="shared" si="54"/>
        <v>10.96</v>
      </c>
      <c r="L217">
        <f t="shared" si="55"/>
        <v>11.13</v>
      </c>
      <c r="M217">
        <f t="shared" si="56"/>
        <v>10.98</v>
      </c>
      <c r="N217">
        <f t="shared" si="57"/>
        <v>9.86</v>
      </c>
      <c r="P217">
        <f t="shared" si="58"/>
        <v>11.13</v>
      </c>
      <c r="Q217">
        <f>IFERROR(J144+MATCH(P217,J217:N217,0)-1,"")</f>
        <v>2014</v>
      </c>
      <c r="R217">
        <f t="shared" si="59"/>
        <v>9.86</v>
      </c>
      <c r="S217">
        <f>IFERROR(J144+MATCH(R217,J217:N217,0)-1,"")</f>
        <v>2016</v>
      </c>
      <c r="T217">
        <f t="shared" si="60"/>
        <v>10.794</v>
      </c>
      <c r="U217">
        <f t="shared" si="61"/>
        <v>0.52628889404964685</v>
      </c>
      <c r="V217">
        <f t="shared" si="62"/>
        <v>0.46742388597087237</v>
      </c>
      <c r="W217">
        <f t="shared" si="63"/>
        <v>0.31541611817546916</v>
      </c>
      <c r="X217">
        <f t="shared" si="64"/>
        <v>0.63843262474070772</v>
      </c>
      <c r="Y217">
        <f t="shared" si="65"/>
        <v>0.35341806012431998</v>
      </c>
      <c r="Z217">
        <f t="shared" si="66"/>
        <v>-1.7746906890113727</v>
      </c>
      <c r="AA217">
        <f t="shared" si="67"/>
        <v>-1.7746906890113727</v>
      </c>
      <c r="AB217">
        <f>IFERROR(V144+MATCH(AA217,V217:Z217,0)-1,"")</f>
        <v>2016</v>
      </c>
      <c r="AC217" t="str">
        <f t="shared" si="68"/>
        <v>Low</v>
      </c>
      <c r="AE217">
        <f>IF(ISNUMBER(MATCH("N/A",J217:N217,0)),"",IFERROR((5 * SUMPRODUCT(J144:N144,J217:N217) - PRODUCT(SUM(J144:N144),SUM(J217:N217))) / ((5 * SUM((J144^2)+(K144^2)+(L144^2)+(M144^2)+(N144^2))) - SUM(J144:N144)^2),""))</f>
        <v>-0.23399999999906868</v>
      </c>
      <c r="AF217">
        <f>IFERROR(CORREL(J144:N144,J217:N217),"")</f>
        <v>-0.70301024859703398</v>
      </c>
      <c r="AZ217">
        <f t="shared" si="69"/>
        <v>1</v>
      </c>
      <c r="BA217" t="str">
        <f>IF(AZ217=1,IF(Q217="","",IF(Q217=N144,"Yes","No")),"")</f>
        <v>No</v>
      </c>
      <c r="BB217" t="str">
        <f t="shared" si="70"/>
        <v/>
      </c>
      <c r="BC217" t="str">
        <f>IF(AZ217=1,IF(S217="","",IF(S217=N144,"Yes","No")),"")</f>
        <v>Yes</v>
      </c>
      <c r="BD217">
        <f t="shared" si="71"/>
        <v>9.86</v>
      </c>
      <c r="BE217" t="str">
        <f t="shared" si="72"/>
        <v>Decreasing</v>
      </c>
      <c r="BF217" t="str">
        <f t="shared" si="73"/>
        <v>Yes</v>
      </c>
      <c r="BG217" t="str">
        <f t="shared" si="74"/>
        <v>No</v>
      </c>
      <c r="BH217" t="str">
        <f t="shared" si="75"/>
        <v>No</v>
      </c>
    </row>
    <row r="218" spans="1:60" x14ac:dyDescent="0.3">
      <c r="A218" s="1">
        <v>12</v>
      </c>
      <c r="B218" t="s">
        <v>530</v>
      </c>
      <c r="C218" t="s">
        <v>264</v>
      </c>
      <c r="D218" t="s">
        <v>264</v>
      </c>
      <c r="E218" t="s">
        <v>264</v>
      </c>
      <c r="F218" t="s">
        <v>264</v>
      </c>
      <c r="G218" t="s">
        <v>264</v>
      </c>
      <c r="I218" t="str">
        <f t="shared" si="52"/>
        <v>N/A</v>
      </c>
      <c r="J218" t="str">
        <f t="shared" si="53"/>
        <v>N/A</v>
      </c>
      <c r="K218" t="str">
        <f t="shared" si="54"/>
        <v>N/A</v>
      </c>
      <c r="L218" t="str">
        <f t="shared" si="55"/>
        <v>N/A</v>
      </c>
      <c r="M218" t="str">
        <f t="shared" si="56"/>
        <v>N/A</v>
      </c>
      <c r="N218" t="str">
        <f t="shared" si="57"/>
        <v>N/A</v>
      </c>
      <c r="P218">
        <f t="shared" si="58"/>
        <v>0</v>
      </c>
      <c r="Q218" t="str">
        <f>IFERROR(J144+MATCH(P218,J218:N218,0)-1,"")</f>
        <v/>
      </c>
      <c r="R218" t="str">
        <f t="shared" si="59"/>
        <v/>
      </c>
      <c r="S218" t="str">
        <f>IFERROR(J144+MATCH(R218,J218:N218,0)-1,"")</f>
        <v/>
      </c>
      <c r="T218" t="str">
        <f t="shared" si="60"/>
        <v/>
      </c>
      <c r="U218" t="str">
        <f t="shared" si="61"/>
        <v/>
      </c>
      <c r="V218" t="str">
        <f t="shared" si="62"/>
        <v/>
      </c>
      <c r="W218" t="str">
        <f t="shared" si="63"/>
        <v/>
      </c>
      <c r="X218" t="str">
        <f t="shared" si="64"/>
        <v/>
      </c>
      <c r="Y218" t="str">
        <f t="shared" si="65"/>
        <v/>
      </c>
      <c r="Z218" t="str">
        <f t="shared" si="66"/>
        <v/>
      </c>
      <c r="AA218">
        <f t="shared" si="67"/>
        <v>0</v>
      </c>
      <c r="AB218" t="str">
        <f>IFERROR(V144+MATCH(AA218,V218:Z218,0)-1,"")</f>
        <v/>
      </c>
      <c r="AC218" t="str">
        <f t="shared" si="68"/>
        <v/>
      </c>
      <c r="AE218" t="str">
        <f>IF(ISNUMBER(MATCH("N/A",J218:N218,0)),"",IFERROR((5 * SUMPRODUCT(J144:N144,J218:N218) - PRODUCT(SUM(J144:N144),SUM(J218:N218))) / ((5 * SUM((J144^2)+(K144^2)+(L144^2)+(M144^2)+(N144^2))) - SUM(J144:N144)^2),""))</f>
        <v/>
      </c>
      <c r="AF218" t="str">
        <f>IFERROR(CORREL(J144:N144,J218:N218),"")</f>
        <v/>
      </c>
      <c r="AZ218">
        <f t="shared" si="69"/>
        <v>0</v>
      </c>
      <c r="BA218" t="str">
        <f>IF(AZ218=1,IF(Q218="","",IF(Q218=N144,"Yes","No")),"")</f>
        <v/>
      </c>
      <c r="BB218" t="str">
        <f t="shared" si="70"/>
        <v/>
      </c>
      <c r="BC218" t="str">
        <f>IF(AZ218=1,IF(S218="","",IF(S218=N144,"Yes","No")),"")</f>
        <v/>
      </c>
      <c r="BD218" t="str">
        <f t="shared" si="71"/>
        <v/>
      </c>
      <c r="BE218" t="str">
        <f t="shared" si="72"/>
        <v/>
      </c>
      <c r="BF218" t="str">
        <f t="shared" si="73"/>
        <v>No</v>
      </c>
      <c r="BG218" t="str">
        <f t="shared" si="74"/>
        <v>No</v>
      </c>
      <c r="BH218" t="str">
        <f t="shared" si="75"/>
        <v/>
      </c>
    </row>
    <row r="219" spans="1:60" x14ac:dyDescent="0.3">
      <c r="A219" s="1">
        <v>13</v>
      </c>
      <c r="B219" t="s">
        <v>535</v>
      </c>
      <c r="C219" t="s">
        <v>264</v>
      </c>
      <c r="D219" t="s">
        <v>264</v>
      </c>
      <c r="E219" t="s">
        <v>264</v>
      </c>
      <c r="F219" t="s">
        <v>264</v>
      </c>
      <c r="G219" t="s">
        <v>264</v>
      </c>
      <c r="I219" t="str">
        <f t="shared" si="52"/>
        <v>N/A</v>
      </c>
      <c r="J219" t="str">
        <f t="shared" si="53"/>
        <v>N/A</v>
      </c>
      <c r="K219" t="str">
        <f t="shared" si="54"/>
        <v>N/A</v>
      </c>
      <c r="L219" t="str">
        <f t="shared" si="55"/>
        <v>N/A</v>
      </c>
      <c r="M219" t="str">
        <f t="shared" si="56"/>
        <v>N/A</v>
      </c>
      <c r="N219" t="str">
        <f t="shared" si="57"/>
        <v>N/A</v>
      </c>
      <c r="P219">
        <f t="shared" si="58"/>
        <v>0</v>
      </c>
      <c r="Q219" t="str">
        <f>IFERROR(J144+MATCH(P219,J219:N219,0)-1,"")</f>
        <v/>
      </c>
      <c r="R219" t="str">
        <f t="shared" si="59"/>
        <v/>
      </c>
      <c r="S219" t="str">
        <f>IFERROR(J144+MATCH(R219,J219:N219,0)-1,"")</f>
        <v/>
      </c>
      <c r="T219" t="str">
        <f t="shared" si="60"/>
        <v/>
      </c>
      <c r="U219" t="str">
        <f t="shared" si="61"/>
        <v/>
      </c>
      <c r="V219" t="str">
        <f t="shared" si="62"/>
        <v/>
      </c>
      <c r="W219" t="str">
        <f t="shared" si="63"/>
        <v/>
      </c>
      <c r="X219" t="str">
        <f t="shared" si="64"/>
        <v/>
      </c>
      <c r="Y219" t="str">
        <f t="shared" si="65"/>
        <v/>
      </c>
      <c r="Z219" t="str">
        <f t="shared" si="66"/>
        <v/>
      </c>
      <c r="AA219">
        <f t="shared" si="67"/>
        <v>0</v>
      </c>
      <c r="AB219" t="str">
        <f>IFERROR(V144+MATCH(AA219,V219:Z219,0)-1,"")</f>
        <v/>
      </c>
      <c r="AC219" t="str">
        <f t="shared" si="68"/>
        <v/>
      </c>
      <c r="AE219" t="str">
        <f>IF(ISNUMBER(MATCH("N/A",J219:N219,0)),"",IFERROR((5 * SUMPRODUCT(J144:N144,J219:N219) - PRODUCT(SUM(J144:N144),SUM(J219:N219))) / ((5 * SUM((J144^2)+(K144^2)+(L144^2)+(M144^2)+(N144^2))) - SUM(J144:N144)^2),""))</f>
        <v/>
      </c>
      <c r="AF219" t="str">
        <f>IFERROR(CORREL(J144:N144,J219:N219),"")</f>
        <v/>
      </c>
      <c r="AZ219">
        <f t="shared" si="69"/>
        <v>0</v>
      </c>
      <c r="BA219" t="str">
        <f>IF(AZ219=1,IF(Q219="","",IF(Q219=N144,"Yes","No")),"")</f>
        <v/>
      </c>
      <c r="BB219" t="str">
        <f t="shared" si="70"/>
        <v/>
      </c>
      <c r="BC219" t="str">
        <f>IF(AZ219=1,IF(S219="","",IF(S219=N144,"Yes","No")),"")</f>
        <v/>
      </c>
      <c r="BD219" t="str">
        <f t="shared" si="71"/>
        <v/>
      </c>
      <c r="BE219" t="str">
        <f t="shared" si="72"/>
        <v/>
      </c>
      <c r="BF219" t="str">
        <f t="shared" si="73"/>
        <v>No</v>
      </c>
      <c r="BG219" t="str">
        <f t="shared" si="74"/>
        <v>No</v>
      </c>
      <c r="BH219" t="str">
        <f t="shared" si="75"/>
        <v/>
      </c>
    </row>
    <row r="220" spans="1:60" x14ac:dyDescent="0.3">
      <c r="A220" s="1">
        <v>14</v>
      </c>
      <c r="B220" t="s">
        <v>536</v>
      </c>
      <c r="C220" t="s">
        <v>264</v>
      </c>
      <c r="D220" t="s">
        <v>264</v>
      </c>
      <c r="E220" t="s">
        <v>264</v>
      </c>
      <c r="F220" t="s">
        <v>264</v>
      </c>
      <c r="G220" t="s">
        <v>264</v>
      </c>
      <c r="I220" t="str">
        <f t="shared" si="52"/>
        <v>N/A</v>
      </c>
      <c r="J220" t="str">
        <f t="shared" si="53"/>
        <v>N/A</v>
      </c>
      <c r="K220" t="str">
        <f t="shared" si="54"/>
        <v>N/A</v>
      </c>
      <c r="L220" t="str">
        <f t="shared" si="55"/>
        <v>N/A</v>
      </c>
      <c r="M220" t="str">
        <f t="shared" si="56"/>
        <v>N/A</v>
      </c>
      <c r="N220" t="str">
        <f t="shared" si="57"/>
        <v>N/A</v>
      </c>
      <c r="P220">
        <f t="shared" si="58"/>
        <v>0</v>
      </c>
      <c r="Q220" t="str">
        <f>IFERROR(J144+MATCH(P220,J220:N220,0)-1,"")</f>
        <v/>
      </c>
      <c r="R220" t="str">
        <f t="shared" si="59"/>
        <v/>
      </c>
      <c r="S220" t="str">
        <f>IFERROR(J144+MATCH(R220,J220:N220,0)-1,"")</f>
        <v/>
      </c>
      <c r="T220" t="str">
        <f t="shared" si="60"/>
        <v/>
      </c>
      <c r="U220" t="str">
        <f t="shared" si="61"/>
        <v/>
      </c>
      <c r="V220" t="str">
        <f t="shared" si="62"/>
        <v/>
      </c>
      <c r="W220" t="str">
        <f t="shared" si="63"/>
        <v/>
      </c>
      <c r="X220" t="str">
        <f t="shared" si="64"/>
        <v/>
      </c>
      <c r="Y220" t="str">
        <f t="shared" si="65"/>
        <v/>
      </c>
      <c r="Z220" t="str">
        <f t="shared" si="66"/>
        <v/>
      </c>
      <c r="AA220">
        <f t="shared" si="67"/>
        <v>0</v>
      </c>
      <c r="AB220" t="str">
        <f>IFERROR(V144+MATCH(AA220,V220:Z220,0)-1,"")</f>
        <v/>
      </c>
      <c r="AC220" t="str">
        <f t="shared" si="68"/>
        <v/>
      </c>
      <c r="AE220" t="str">
        <f>IF(ISNUMBER(MATCH("N/A",J220:N220,0)),"",IFERROR((5 * SUMPRODUCT(J144:N144,J220:N220) - PRODUCT(SUM(J144:N144),SUM(J220:N220))) / ((5 * SUM((J144^2)+(K144^2)+(L144^2)+(M144^2)+(N144^2))) - SUM(J144:N144)^2),""))</f>
        <v/>
      </c>
      <c r="AF220" t="str">
        <f>IFERROR(CORREL(J144:N144,J220:N220),"")</f>
        <v/>
      </c>
      <c r="AZ220">
        <f t="shared" si="69"/>
        <v>0</v>
      </c>
      <c r="BA220" t="str">
        <f>IF(AZ220=1,IF(Q220="","",IF(Q220=N144,"Yes","No")),"")</f>
        <v/>
      </c>
      <c r="BB220" t="str">
        <f t="shared" si="70"/>
        <v/>
      </c>
      <c r="BC220" t="str">
        <f>IF(AZ220=1,IF(S220="","",IF(S220=N144,"Yes","No")),"")</f>
        <v/>
      </c>
      <c r="BD220" t="str">
        <f t="shared" si="71"/>
        <v/>
      </c>
      <c r="BE220" t="str">
        <f t="shared" si="72"/>
        <v/>
      </c>
      <c r="BF220" t="str">
        <f t="shared" si="73"/>
        <v>No</v>
      </c>
      <c r="BG220" t="str">
        <f t="shared" si="74"/>
        <v>No</v>
      </c>
      <c r="BH220" t="str">
        <f t="shared" si="75"/>
        <v/>
      </c>
    </row>
    <row r="221" spans="1:60" x14ac:dyDescent="0.3">
      <c r="A221" s="1">
        <v>15</v>
      </c>
      <c r="B221" t="s">
        <v>537</v>
      </c>
      <c r="C221" t="s">
        <v>264</v>
      </c>
      <c r="D221" t="s">
        <v>264</v>
      </c>
      <c r="E221" t="s">
        <v>264</v>
      </c>
      <c r="F221" t="s">
        <v>264</v>
      </c>
      <c r="G221" t="s">
        <v>264</v>
      </c>
      <c r="I221" t="str">
        <f t="shared" si="52"/>
        <v>N/A</v>
      </c>
      <c r="J221" t="str">
        <f t="shared" si="53"/>
        <v>N/A</v>
      </c>
      <c r="K221" t="str">
        <f t="shared" si="54"/>
        <v>N/A</v>
      </c>
      <c r="L221" t="str">
        <f t="shared" si="55"/>
        <v>N/A</v>
      </c>
      <c r="M221" t="str">
        <f t="shared" si="56"/>
        <v>N/A</v>
      </c>
      <c r="N221" t="str">
        <f t="shared" si="57"/>
        <v>N/A</v>
      </c>
      <c r="P221">
        <f t="shared" si="58"/>
        <v>0</v>
      </c>
      <c r="Q221" t="str">
        <f>IFERROR(J144+MATCH(P221,J221:N221,0)-1,"")</f>
        <v/>
      </c>
      <c r="R221" t="str">
        <f t="shared" si="59"/>
        <v/>
      </c>
      <c r="S221" t="str">
        <f>IFERROR(J144+MATCH(R221,J221:N221,0)-1,"")</f>
        <v/>
      </c>
      <c r="T221" t="str">
        <f t="shared" si="60"/>
        <v/>
      </c>
      <c r="U221" t="str">
        <f t="shared" si="61"/>
        <v/>
      </c>
      <c r="V221" t="str">
        <f t="shared" si="62"/>
        <v/>
      </c>
      <c r="W221" t="str">
        <f t="shared" si="63"/>
        <v/>
      </c>
      <c r="X221" t="str">
        <f t="shared" si="64"/>
        <v/>
      </c>
      <c r="Y221" t="str">
        <f t="shared" si="65"/>
        <v/>
      </c>
      <c r="Z221" t="str">
        <f t="shared" si="66"/>
        <v/>
      </c>
      <c r="AA221">
        <f t="shared" si="67"/>
        <v>0</v>
      </c>
      <c r="AB221" t="str">
        <f>IFERROR(V144+MATCH(AA221,V221:Z221,0)-1,"")</f>
        <v/>
      </c>
      <c r="AC221" t="str">
        <f t="shared" si="68"/>
        <v/>
      </c>
      <c r="AE221" t="str">
        <f>IF(ISNUMBER(MATCH("N/A",J221:N221,0)),"",IFERROR((5 * SUMPRODUCT(J144:N144,J221:N221) - PRODUCT(SUM(J144:N144),SUM(J221:N221))) / ((5 * SUM((J144^2)+(K144^2)+(L144^2)+(M144^2)+(N144^2))) - SUM(J144:N144)^2),""))</f>
        <v/>
      </c>
      <c r="AF221" t="str">
        <f>IFERROR(CORREL(J144:N144,J221:N221),"")</f>
        <v/>
      </c>
      <c r="AZ221">
        <f t="shared" si="69"/>
        <v>0</v>
      </c>
      <c r="BA221" t="str">
        <f>IF(AZ221=1,IF(Q221="","",IF(Q221=N144,"Yes","No")),"")</f>
        <v/>
      </c>
      <c r="BB221" t="str">
        <f t="shared" si="70"/>
        <v/>
      </c>
      <c r="BC221" t="str">
        <f>IF(AZ221=1,IF(S221="","",IF(S221=N144,"Yes","No")),"")</f>
        <v/>
      </c>
      <c r="BD221" t="str">
        <f t="shared" si="71"/>
        <v/>
      </c>
      <c r="BE221" t="str">
        <f t="shared" si="72"/>
        <v/>
      </c>
      <c r="BF221" t="str">
        <f t="shared" si="73"/>
        <v>No</v>
      </c>
      <c r="BG221" t="str">
        <f t="shared" si="74"/>
        <v>No</v>
      </c>
      <c r="BH221" t="str">
        <f t="shared" si="75"/>
        <v/>
      </c>
    </row>
    <row r="222" spans="1:60" x14ac:dyDescent="0.3">
      <c r="A222" s="1">
        <v>16</v>
      </c>
      <c r="B222" t="s">
        <v>538</v>
      </c>
      <c r="C222" t="s">
        <v>264</v>
      </c>
      <c r="D222" t="s">
        <v>264</v>
      </c>
      <c r="E222" t="s">
        <v>264</v>
      </c>
      <c r="F222" t="s">
        <v>264</v>
      </c>
      <c r="G222" t="s">
        <v>264</v>
      </c>
      <c r="I222" t="str">
        <f t="shared" si="52"/>
        <v>N/A</v>
      </c>
      <c r="J222" t="str">
        <f t="shared" si="53"/>
        <v>N/A</v>
      </c>
      <c r="K222" t="str">
        <f t="shared" si="54"/>
        <v>N/A</v>
      </c>
      <c r="L222" t="str">
        <f t="shared" si="55"/>
        <v>N/A</v>
      </c>
      <c r="M222" t="str">
        <f t="shared" si="56"/>
        <v>N/A</v>
      </c>
      <c r="N222" t="str">
        <f t="shared" si="57"/>
        <v>N/A</v>
      </c>
      <c r="P222">
        <f t="shared" si="58"/>
        <v>0</v>
      </c>
      <c r="Q222" t="str">
        <f>IFERROR(J144+MATCH(P222,J222:N222,0)-1,"")</f>
        <v/>
      </c>
      <c r="R222" t="str">
        <f t="shared" si="59"/>
        <v/>
      </c>
      <c r="S222" t="str">
        <f>IFERROR(J144+MATCH(R222,J222:N222,0)-1,"")</f>
        <v/>
      </c>
      <c r="T222" t="str">
        <f t="shared" si="60"/>
        <v/>
      </c>
      <c r="U222" t="str">
        <f t="shared" si="61"/>
        <v/>
      </c>
      <c r="V222" t="str">
        <f t="shared" si="62"/>
        <v/>
      </c>
      <c r="W222" t="str">
        <f t="shared" si="63"/>
        <v/>
      </c>
      <c r="X222" t="str">
        <f t="shared" si="64"/>
        <v/>
      </c>
      <c r="Y222" t="str">
        <f t="shared" si="65"/>
        <v/>
      </c>
      <c r="Z222" t="str">
        <f t="shared" si="66"/>
        <v/>
      </c>
      <c r="AA222">
        <f t="shared" si="67"/>
        <v>0</v>
      </c>
      <c r="AB222" t="str">
        <f>IFERROR(V144+MATCH(AA222,V222:Z222,0)-1,"")</f>
        <v/>
      </c>
      <c r="AC222" t="str">
        <f t="shared" si="68"/>
        <v/>
      </c>
      <c r="AE222" t="str">
        <f>IF(ISNUMBER(MATCH("N/A",J222:N222,0)),"",IFERROR((5 * SUMPRODUCT(J144:N144,J222:N222) - PRODUCT(SUM(J144:N144),SUM(J222:N222))) / ((5 * SUM((J144^2)+(K144^2)+(L144^2)+(M144^2)+(N144^2))) - SUM(J144:N144)^2),""))</f>
        <v/>
      </c>
      <c r="AF222" t="str">
        <f>IFERROR(CORREL(J144:N144,J222:N222),"")</f>
        <v/>
      </c>
      <c r="AZ222">
        <f t="shared" si="69"/>
        <v>0</v>
      </c>
      <c r="BA222" t="str">
        <f>IF(AZ222=1,IF(Q222="","",IF(Q222=N144,"Yes","No")),"")</f>
        <v/>
      </c>
      <c r="BB222" t="str">
        <f t="shared" si="70"/>
        <v/>
      </c>
      <c r="BC222" t="str">
        <f>IF(AZ222=1,IF(S222="","",IF(S222=N144,"Yes","No")),"")</f>
        <v/>
      </c>
      <c r="BD222" t="str">
        <f t="shared" si="71"/>
        <v/>
      </c>
      <c r="BE222" t="str">
        <f t="shared" si="72"/>
        <v/>
      </c>
      <c r="BF222" t="str">
        <f t="shared" si="73"/>
        <v>No</v>
      </c>
      <c r="BG222" t="str">
        <f t="shared" si="74"/>
        <v>No</v>
      </c>
      <c r="BH222" t="str">
        <f t="shared" si="75"/>
        <v/>
      </c>
    </row>
    <row r="223" spans="1:60" x14ac:dyDescent="0.3">
      <c r="A223" s="1">
        <v>17</v>
      </c>
      <c r="B223" t="s">
        <v>539</v>
      </c>
      <c r="C223" t="s">
        <v>1307</v>
      </c>
      <c r="D223" t="s">
        <v>1308</v>
      </c>
      <c r="E223" t="s">
        <v>1309</v>
      </c>
      <c r="F223" t="s">
        <v>1310</v>
      </c>
      <c r="G223" t="s">
        <v>1311</v>
      </c>
      <c r="I223" t="str">
        <f t="shared" si="52"/>
        <v>N/A</v>
      </c>
      <c r="J223">
        <f t="shared" si="53"/>
        <v>69470000</v>
      </c>
      <c r="K223">
        <f t="shared" si="54"/>
        <v>65510000.000000007</v>
      </c>
      <c r="L223">
        <f t="shared" si="55"/>
        <v>76010000</v>
      </c>
      <c r="M223">
        <f t="shared" si="56"/>
        <v>81310000</v>
      </c>
      <c r="N223">
        <f t="shared" si="57"/>
        <v>75930000</v>
      </c>
      <c r="P223">
        <f t="shared" si="58"/>
        <v>81310000</v>
      </c>
      <c r="Q223">
        <f>IFERROR(J144+MATCH(P223,J223:N223,0)-1,"")</f>
        <v>2015</v>
      </c>
      <c r="R223">
        <f t="shared" si="59"/>
        <v>65510000.000000007</v>
      </c>
      <c r="S223">
        <f>IFERROR(J144+MATCH(R223,J223:N223,0)-1,"")</f>
        <v>2013</v>
      </c>
      <c r="T223">
        <f t="shared" si="60"/>
        <v>73646000</v>
      </c>
      <c r="U223">
        <f t="shared" si="61"/>
        <v>6188204.9093416398</v>
      </c>
      <c r="V223">
        <f t="shared" si="62"/>
        <v>-0.6748322108235234</v>
      </c>
      <c r="W223">
        <f t="shared" si="63"/>
        <v>-1.3147593072941048</v>
      </c>
      <c r="X223">
        <f t="shared" si="64"/>
        <v>0.38201708486274172</v>
      </c>
      <c r="Y223">
        <f t="shared" si="65"/>
        <v>1.2384851685228648</v>
      </c>
      <c r="Z223">
        <f t="shared" si="66"/>
        <v>0.36908926473202286</v>
      </c>
      <c r="AA223">
        <f t="shared" si="67"/>
        <v>-1.3147593072941048</v>
      </c>
      <c r="AB223">
        <f>IFERROR(V144+MATCH(AA223,V223:Z223,0)-1,"")</f>
        <v>2013</v>
      </c>
      <c r="AC223" t="str">
        <f t="shared" si="68"/>
        <v>Low</v>
      </c>
      <c r="AE223">
        <f>IF(ISNUMBER(MATCH("N/A",J223:N223,0)),"",IFERROR((5 * SUMPRODUCT(J144:N144,J223:N223) - PRODUCT(SUM(J144:N144),SUM(J223:N223))) / ((5 * SUM((J144^2)+(K144^2)+(L144^2)+(M144^2)+(N144^2))) - SUM(J144:N144)^2),""))</f>
        <v>2872000</v>
      </c>
      <c r="AF223">
        <f>IFERROR(CORREL(J144:N144,J223:N223),"")</f>
        <v>0.73382035445314775</v>
      </c>
      <c r="AZ223">
        <f t="shared" si="69"/>
        <v>1</v>
      </c>
      <c r="BA223" t="str">
        <f>IF(AZ223=1,IF(Q223="","",IF(Q223=N144,"Yes","No")),"")</f>
        <v>No</v>
      </c>
      <c r="BB223" t="str">
        <f t="shared" si="70"/>
        <v/>
      </c>
      <c r="BC223" t="str">
        <f>IF(AZ223=1,IF(S223="","",IF(S223=N144,"Yes","No")),"")</f>
        <v>No</v>
      </c>
      <c r="BD223" t="str">
        <f t="shared" si="71"/>
        <v/>
      </c>
      <c r="BE223" t="str">
        <f t="shared" si="72"/>
        <v>Increasing</v>
      </c>
      <c r="BF223" t="str">
        <f t="shared" si="73"/>
        <v>No</v>
      </c>
      <c r="BG223" t="str">
        <f t="shared" si="74"/>
        <v>No</v>
      </c>
      <c r="BH223" t="str">
        <f t="shared" si="75"/>
        <v>No</v>
      </c>
    </row>
    <row r="224" spans="1:60" x14ac:dyDescent="0.3">
      <c r="A224" s="1">
        <v>18</v>
      </c>
      <c r="B224" t="s">
        <v>540</v>
      </c>
      <c r="C224" t="s">
        <v>1312</v>
      </c>
      <c r="D224" t="s">
        <v>1313</v>
      </c>
      <c r="E224" t="s">
        <v>1314</v>
      </c>
      <c r="F224" t="s">
        <v>1315</v>
      </c>
      <c r="G224" t="s">
        <v>1316</v>
      </c>
      <c r="I224" t="str">
        <f t="shared" si="52"/>
        <v>N/A</v>
      </c>
      <c r="J224">
        <f t="shared" si="53"/>
        <v>46430000</v>
      </c>
      <c r="K224">
        <f t="shared" si="54"/>
        <v>44430000</v>
      </c>
      <c r="L224">
        <f t="shared" si="55"/>
        <v>45190000</v>
      </c>
      <c r="M224">
        <f t="shared" si="56"/>
        <v>60510000</v>
      </c>
      <c r="N224">
        <f t="shared" si="57"/>
        <v>53810000</v>
      </c>
      <c r="P224">
        <f t="shared" si="58"/>
        <v>60510000</v>
      </c>
      <c r="Q224">
        <f>IFERROR(J144+MATCH(P224,J224:N224,0)-1,"")</f>
        <v>2015</v>
      </c>
      <c r="R224">
        <f t="shared" si="59"/>
        <v>44430000</v>
      </c>
      <c r="S224">
        <f>IFERROR(J144+MATCH(R224,J224:N224,0)-1,"")</f>
        <v>2013</v>
      </c>
      <c r="T224">
        <f t="shared" si="60"/>
        <v>50074000</v>
      </c>
      <c r="U224">
        <f t="shared" si="61"/>
        <v>6925581.5640276736</v>
      </c>
      <c r="V224">
        <f t="shared" si="62"/>
        <v>-0.52616519873614465</v>
      </c>
      <c r="W224">
        <f t="shared" si="63"/>
        <v>-0.81494961077574102</v>
      </c>
      <c r="X224">
        <f t="shared" si="64"/>
        <v>-0.70521153420069438</v>
      </c>
      <c r="Y224">
        <f t="shared" si="65"/>
        <v>1.506877062022614</v>
      </c>
      <c r="Z224">
        <f t="shared" si="66"/>
        <v>0.53944928168996609</v>
      </c>
      <c r="AA224">
        <f t="shared" si="67"/>
        <v>1.506877062022614</v>
      </c>
      <c r="AB224">
        <f>IFERROR(V144+MATCH(AA224,V224:Z224,0)-1,"")</f>
        <v>2015</v>
      </c>
      <c r="AC224" t="str">
        <f t="shared" si="68"/>
        <v>High</v>
      </c>
      <c r="AE224">
        <f>IF(ISNUMBER(MATCH("N/A",J224:N224,0)),"",IFERROR((5 * SUMPRODUCT(J144:N144,J224:N224) - PRODUCT(SUM(J144:N144),SUM(J224:N224))) / ((5 * SUM((J144^2)+(K144^2)+(L144^2)+(M144^2)+(N144^2))) - SUM(J144:N144)^2),""))</f>
        <v>3084000</v>
      </c>
      <c r="AF224">
        <f>IFERROR(CORREL(J144:N144,J224:N224),"")</f>
        <v>0.70408991748900818</v>
      </c>
      <c r="AZ224">
        <f t="shared" si="69"/>
        <v>1</v>
      </c>
      <c r="BA224" t="str">
        <f>IF(AZ224=1,IF(Q224="","",IF(Q224=N144,"Yes","No")),"")</f>
        <v>No</v>
      </c>
      <c r="BB224" t="str">
        <f t="shared" si="70"/>
        <v/>
      </c>
      <c r="BC224" t="str">
        <f>IF(AZ224=1,IF(S224="","",IF(S224=N144,"Yes","No")),"")</f>
        <v>No</v>
      </c>
      <c r="BD224" t="str">
        <f t="shared" si="71"/>
        <v/>
      </c>
      <c r="BE224" t="str">
        <f t="shared" si="72"/>
        <v>Increasing</v>
      </c>
      <c r="BF224" t="str">
        <f t="shared" si="73"/>
        <v>No</v>
      </c>
      <c r="BG224" t="str">
        <f t="shared" si="74"/>
        <v>No</v>
      </c>
      <c r="BH224" t="str">
        <f t="shared" si="75"/>
        <v>No</v>
      </c>
    </row>
    <row r="225" spans="1:60" x14ac:dyDescent="0.3">
      <c r="A225" s="1">
        <v>19</v>
      </c>
      <c r="B225" t="s">
        <v>541</v>
      </c>
      <c r="C225" t="s">
        <v>1317</v>
      </c>
      <c r="D225" t="s">
        <v>1318</v>
      </c>
      <c r="E225" t="s">
        <v>1319</v>
      </c>
      <c r="F225" t="s">
        <v>1320</v>
      </c>
      <c r="G225" t="s">
        <v>1321</v>
      </c>
      <c r="I225" t="str">
        <f t="shared" si="52"/>
        <v>N/A</v>
      </c>
      <c r="J225">
        <f t="shared" si="53"/>
        <v>386050000</v>
      </c>
      <c r="K225">
        <f t="shared" si="54"/>
        <v>418490000</v>
      </c>
      <c r="L225">
        <f t="shared" si="55"/>
        <v>514990000</v>
      </c>
      <c r="M225">
        <f t="shared" si="56"/>
        <v>552080000</v>
      </c>
      <c r="N225">
        <f t="shared" si="57"/>
        <v>521990000</v>
      </c>
      <c r="P225">
        <f t="shared" si="58"/>
        <v>552080000</v>
      </c>
      <c r="Q225">
        <f>IFERROR(J144+MATCH(P225,J225:N225,0)-1,"")</f>
        <v>2015</v>
      </c>
      <c r="R225">
        <f t="shared" si="59"/>
        <v>386050000</v>
      </c>
      <c r="S225">
        <f>IFERROR(J144+MATCH(R225,J225:N225,0)-1,"")</f>
        <v>2012</v>
      </c>
      <c r="T225">
        <f t="shared" si="60"/>
        <v>478720000</v>
      </c>
      <c r="U225">
        <f t="shared" si="61"/>
        <v>72084806.304796293</v>
      </c>
      <c r="V225">
        <f t="shared" si="62"/>
        <v>-1.2855691060355119</v>
      </c>
      <c r="W225">
        <f t="shared" si="63"/>
        <v>-0.83554361990416404</v>
      </c>
      <c r="X225">
        <f t="shared" si="64"/>
        <v>0.50315734839654702</v>
      </c>
      <c r="Y225">
        <f t="shared" si="65"/>
        <v>1.0176901868864265</v>
      </c>
      <c r="Z225">
        <f t="shared" si="66"/>
        <v>0.60026519065670225</v>
      </c>
      <c r="AA225">
        <f t="shared" si="67"/>
        <v>-1.2855691060355119</v>
      </c>
      <c r="AB225">
        <f>IFERROR(V144+MATCH(AA225,V225:Z225,0)-1,"")</f>
        <v>2012</v>
      </c>
      <c r="AC225" t="str">
        <f t="shared" si="68"/>
        <v>Low</v>
      </c>
      <c r="AE225">
        <f>IF(ISNUMBER(MATCH("N/A",J225:N225,0)),"",IFERROR((5 * SUMPRODUCT(J144:N144,J225:N225) - PRODUCT(SUM(J144:N144),SUM(J225:N225))) / ((5 * SUM((J144^2)+(K144^2)+(L144^2)+(M144^2)+(N144^2))) - SUM(J144:N144)^2),""))</f>
        <v>40547000</v>
      </c>
      <c r="AF225">
        <f>IFERROR(CORREL(J144:N144,J225:N225),"")</f>
        <v>0.8893751600350478</v>
      </c>
      <c r="AZ225">
        <f t="shared" si="69"/>
        <v>1</v>
      </c>
      <c r="BA225" t="str">
        <f>IF(AZ225=1,IF(Q225="","",IF(Q225=N144,"Yes","No")),"")</f>
        <v>No</v>
      </c>
      <c r="BB225" t="str">
        <f t="shared" si="70"/>
        <v/>
      </c>
      <c r="BC225" t="str">
        <f>IF(AZ225=1,IF(S225="","",IF(S225=N144,"Yes","No")),"")</f>
        <v>No</v>
      </c>
      <c r="BD225" t="str">
        <f t="shared" si="71"/>
        <v/>
      </c>
      <c r="BE225" t="str">
        <f t="shared" si="72"/>
        <v>Increasing</v>
      </c>
      <c r="BF225" t="str">
        <f t="shared" si="73"/>
        <v>No</v>
      </c>
      <c r="BG225" t="str">
        <f t="shared" si="74"/>
        <v>No</v>
      </c>
      <c r="BH225" t="str">
        <f t="shared" si="75"/>
        <v>Yes</v>
      </c>
    </row>
    <row r="226" spans="1:60" x14ac:dyDescent="0.3">
      <c r="I226" t="str">
        <f t="shared" si="52"/>
        <v>N/A</v>
      </c>
      <c r="J226" t="str">
        <f t="shared" si="53"/>
        <v>N/A</v>
      </c>
      <c r="K226" t="str">
        <f t="shared" si="54"/>
        <v>N/A</v>
      </c>
      <c r="L226" t="str">
        <f t="shared" si="55"/>
        <v>N/A</v>
      </c>
      <c r="M226" t="str">
        <f t="shared" si="56"/>
        <v>N/A</v>
      </c>
      <c r="N226" t="str">
        <f t="shared" si="57"/>
        <v>N/A</v>
      </c>
      <c r="P226">
        <f t="shared" si="58"/>
        <v>0</v>
      </c>
      <c r="Q226" t="str">
        <f>IFERROR(J144+MATCH(P226,J226:N226,0)-1,"")</f>
        <v/>
      </c>
      <c r="R226" t="str">
        <f t="shared" si="59"/>
        <v/>
      </c>
      <c r="S226" t="str">
        <f>IFERROR(J144+MATCH(R226,J226:N226,0)-1,"")</f>
        <v/>
      </c>
      <c r="T226" t="str">
        <f t="shared" si="60"/>
        <v/>
      </c>
      <c r="U226" t="str">
        <f t="shared" si="61"/>
        <v/>
      </c>
      <c r="V226" t="str">
        <f t="shared" si="62"/>
        <v/>
      </c>
      <c r="W226" t="str">
        <f t="shared" si="63"/>
        <v/>
      </c>
      <c r="X226" t="str">
        <f t="shared" si="64"/>
        <v/>
      </c>
      <c r="Y226" t="str">
        <f t="shared" si="65"/>
        <v/>
      </c>
      <c r="Z226" t="str">
        <f t="shared" si="66"/>
        <v/>
      </c>
      <c r="AA226">
        <f t="shared" si="67"/>
        <v>0</v>
      </c>
      <c r="AB226" t="str">
        <f>IFERROR(V144+MATCH(AA226,V226:Z226,0)-1,"")</f>
        <v/>
      </c>
      <c r="AC226" t="str">
        <f t="shared" si="68"/>
        <v/>
      </c>
      <c r="AE226" t="str">
        <f>IF(ISNUMBER(MATCH("N/A",J226:N226,0)),"",IFERROR((5 * SUMPRODUCT(J144:N144,J226:N226) - PRODUCT(SUM(J144:N144),SUM(J226:N226))) / ((5 * SUM((J144^2)+(K144^2)+(L144^2)+(M144^2)+(N144^2))) - SUM(J144:N144)^2),""))</f>
        <v/>
      </c>
      <c r="AF226" t="str">
        <f>IFERROR(CORREL(J144:N144,J226:N226),"")</f>
        <v/>
      </c>
      <c r="AZ226">
        <f t="shared" si="69"/>
        <v>0</v>
      </c>
      <c r="BA226" t="str">
        <f>IF(AZ226=1,IF(Q226="","",IF(Q226=N144,"Yes","No")),"")</f>
        <v/>
      </c>
      <c r="BB226" t="str">
        <f t="shared" si="70"/>
        <v/>
      </c>
      <c r="BC226" t="str">
        <f>IF(AZ226=1,IF(S226="","",IF(S226=N144,"Yes","No")),"")</f>
        <v/>
      </c>
      <c r="BD226" t="str">
        <f t="shared" si="71"/>
        <v/>
      </c>
      <c r="BE226" t="str">
        <f t="shared" si="72"/>
        <v/>
      </c>
      <c r="BF226" t="str">
        <f t="shared" si="73"/>
        <v>No</v>
      </c>
      <c r="BG226" t="str">
        <f t="shared" si="74"/>
        <v>No</v>
      </c>
      <c r="BH226" t="str">
        <f t="shared" si="75"/>
        <v/>
      </c>
    </row>
    <row r="227" spans="1:60" x14ac:dyDescent="0.3">
      <c r="B227" s="1" t="s">
        <v>316</v>
      </c>
      <c r="C227" s="1" t="s">
        <v>252</v>
      </c>
      <c r="D227" s="1" t="s">
        <v>253</v>
      </c>
      <c r="E227" s="1" t="s">
        <v>254</v>
      </c>
      <c r="F227" s="1" t="s">
        <v>255</v>
      </c>
      <c r="G227" s="1" t="s">
        <v>256</v>
      </c>
      <c r="H227" s="1" t="s">
        <v>257</v>
      </c>
      <c r="P227">
        <f t="shared" si="58"/>
        <v>0</v>
      </c>
      <c r="Q227" t="str">
        <f>IFERROR(J144+MATCH(P227,J227:N227,0)-1,"")</f>
        <v/>
      </c>
      <c r="R227" t="str">
        <f t="shared" si="59"/>
        <v/>
      </c>
      <c r="S227" t="str">
        <f>IFERROR(J144+MATCH(R227,J227:N227,0)-1,"")</f>
        <v/>
      </c>
      <c r="T227" t="str">
        <f t="shared" si="60"/>
        <v/>
      </c>
      <c r="U227" t="str">
        <f t="shared" si="61"/>
        <v/>
      </c>
      <c r="V227" t="str">
        <f t="shared" si="62"/>
        <v/>
      </c>
      <c r="W227" t="str">
        <f t="shared" si="63"/>
        <v/>
      </c>
      <c r="X227" t="str">
        <f t="shared" si="64"/>
        <v/>
      </c>
      <c r="Y227" t="str">
        <f t="shared" si="65"/>
        <v/>
      </c>
      <c r="Z227" t="str">
        <f t="shared" si="66"/>
        <v/>
      </c>
      <c r="AA227">
        <f t="shared" si="67"/>
        <v>0</v>
      </c>
      <c r="AB227" t="str">
        <f>IFERROR(V144+MATCH(AA227,V227:Z227,0)-1,"")</f>
        <v/>
      </c>
      <c r="AC227" t="str">
        <f t="shared" si="68"/>
        <v/>
      </c>
      <c r="AE227">
        <f>IF(ISNUMBER(MATCH("N/A",J227:N227,0)),"",IFERROR((5 * SUMPRODUCT(J144:N144,J227:N227) - PRODUCT(SUM(J144:N144),SUM(J227:N227))) / ((5 * SUM((J144^2)+(K144^2)+(L144^2)+(M144^2)+(N144^2))) - SUM(J144:N144)^2),""))</f>
        <v>0</v>
      </c>
      <c r="AF227" t="str">
        <f>IFERROR(CORREL(J144:N144,J227:N227),"")</f>
        <v/>
      </c>
      <c r="AZ227">
        <f t="shared" si="69"/>
        <v>0</v>
      </c>
      <c r="BA227" t="str">
        <f>IF(AZ227=1,IF(Q227="","",IF(Q227=N144,"Yes","No")),"")</f>
        <v/>
      </c>
      <c r="BB227" t="str">
        <f t="shared" si="70"/>
        <v/>
      </c>
      <c r="BC227" t="str">
        <f>IF(AZ227=1,IF(S227="","",IF(S227=N144,"Yes","No")),"")</f>
        <v/>
      </c>
      <c r="BD227" t="str">
        <f t="shared" si="71"/>
        <v/>
      </c>
      <c r="BE227" t="str">
        <f t="shared" si="72"/>
        <v/>
      </c>
      <c r="BF227" t="str">
        <f t="shared" si="73"/>
        <v>No</v>
      </c>
      <c r="BG227" t="str">
        <f t="shared" si="74"/>
        <v>No</v>
      </c>
      <c r="BH227" t="str">
        <f t="shared" si="75"/>
        <v/>
      </c>
    </row>
    <row r="228" spans="1:60" x14ac:dyDescent="0.3">
      <c r="A228" s="1">
        <v>0</v>
      </c>
      <c r="B228" t="s">
        <v>546</v>
      </c>
      <c r="C228" t="s">
        <v>1322</v>
      </c>
      <c r="D228" t="s">
        <v>1323</v>
      </c>
      <c r="E228" t="s">
        <v>1324</v>
      </c>
      <c r="F228" t="s">
        <v>1325</v>
      </c>
      <c r="G228" t="s">
        <v>1326</v>
      </c>
      <c r="I228" t="str">
        <f t="shared" ref="I228:I245" si="76">IF(AND(K228&gt; J228, L228&gt; K228, M228&gt; L228, N228&gt; M228), "pos_trend", IF(AND(K228&lt; J228, L228&lt; K228, M228&lt; L228, N228&lt; M228), "neg_trend", "N/A"))</f>
        <v>N/A</v>
      </c>
      <c r="J228">
        <f t="shared" ref="J228:J245" si="77">IFERROR(IF(TRIM(C228)="-", "N/A", IF(RIGHT(C228,1)=")",IF(RIGHT(C228,2)="T)",-1000000000000*VALUE(MID(C228,2,LEN(C228)-3)),IF(RIGHT(C228,2)="M)",-1000000*VALUE(MID(C228,2,LEN(C228)-3)),IF(RIGHT(C228,2)="B)",-1000000000*VALUE(MID(C228,2,LEN(C228)-3)),IF(RIGHT(C228,2)="k)",-1000*VALUE(MID(C228,2,LEN(C228)-3)),VALUE(SUBSTITUTE(C228,",","")))))),IF(RIGHT(C228,1)="T",1000000000000*VALUE(LEFT(C228,LEN(C228)-1)),IF(RIGHT(C228,1)="M",1000000*VALUE(LEFT(C228,LEN(C228)-1)),IF(RIGHT(C228,1)="B",1000000000*VALUE(LEFT(C228,LEN(C228)-1)),IF(RIGHT(C228,1)="%",0.01*VALUE(LEFT(C228,LEN(C228)-1)),IF(RIGHT(C228,1)="k",1000*VALUE(LEFT(C228,LEN(C228)-1)),VALUE(SUBSTITUTE(C228,",",""))))))))),"N/A")</f>
        <v>444030000</v>
      </c>
      <c r="K228">
        <f t="shared" ref="K228:K245" si="78">IFERROR(IF(TRIM(D228)="-", "N/A", IF(RIGHT(D228,1)=")",IF(RIGHT(D228,2)="T)",-1000000000000*VALUE(MID(D228,2,LEN(D228)-3)),IF(RIGHT(D228,2)="M)",-1000000*VALUE(MID(D228,2,LEN(D228)-3)),IF(RIGHT(D228,2)="B)",-1000000000*VALUE(MID(D228,2,LEN(D228)-3)),IF(RIGHT(D228,2)="k)",-1000*VALUE(MID(D228,2,LEN(D228)-3)),VALUE(SUBSTITUTE(D228,",","")))))),IF(RIGHT(D228,1)="T",1000000000000*VALUE(LEFT(D228,LEN(D228)-1)),IF(RIGHT(D228,1)="M",1000000*VALUE(LEFT(D228,LEN(D228)-1)),IF(RIGHT(D228,1)="B",1000000000*VALUE(LEFT(D228,LEN(D228)-1)),IF(RIGHT(D228,1)="%",0.01*VALUE(LEFT(D228,LEN(D228)-1)),IF(RIGHT(D228,1)="k",1000*VALUE(LEFT(D228,LEN(D228)-1)),VALUE(SUBSTITUTE(D228,",",""))))))))),"N/A")</f>
        <v>394400000</v>
      </c>
      <c r="L228">
        <f t="shared" ref="L228:L245" si="79">IFERROR(IF(TRIM(E228)="-", "N/A", IF(RIGHT(E228,1)=")",IF(RIGHT(E228,2)="T)",-1000000000000*VALUE(MID(E228,2,LEN(E228)-3)),IF(RIGHT(E228,2)="M)",-1000000*VALUE(MID(E228,2,LEN(E228)-3)),IF(RIGHT(E228,2)="B)",-1000000000*VALUE(MID(E228,2,LEN(E228)-3)),IF(RIGHT(E228,2)="k)",-1000*VALUE(MID(E228,2,LEN(E228)-3)),VALUE(SUBSTITUTE(E228,",","")))))),IF(RIGHT(E228,1)="T",1000000000000*VALUE(LEFT(E228,LEN(E228)-1)),IF(RIGHT(E228,1)="M",1000000*VALUE(LEFT(E228,LEN(E228)-1)),IF(RIGHT(E228,1)="B",1000000000*VALUE(LEFT(E228,LEN(E228)-1)),IF(RIGHT(E228,1)="%",0.01*VALUE(LEFT(E228,LEN(E228)-1)),IF(RIGHT(E228,1)="k",1000*VALUE(LEFT(E228,LEN(E228)-1)),VALUE(SUBSTITUTE(E228,",",""))))))))),"N/A")</f>
        <v>409850000</v>
      </c>
      <c r="M228">
        <f t="shared" ref="M228:M245" si="80">IFERROR(IF(TRIM(F228)="-", "N/A", IF(RIGHT(F228,1)=")",IF(RIGHT(F228,2)="T)",-1000000000000*VALUE(MID(F228,2,LEN(F228)-3)),IF(RIGHT(F228,2)="M)",-1000000*VALUE(MID(F228,2,LEN(F228)-3)),IF(RIGHT(F228,2)="B)",-1000000000*VALUE(MID(F228,2,LEN(F228)-3)),IF(RIGHT(F228,2)="k)",-1000*VALUE(MID(F228,2,LEN(F228)-3)),VALUE(SUBSTITUTE(F228,",","")))))),IF(RIGHT(F228,1)="T",1000000000000*VALUE(LEFT(F228,LEN(F228)-1)),IF(RIGHT(F228,1)="M",1000000*VALUE(LEFT(F228,LEN(F228)-1)),IF(RIGHT(F228,1)="B",1000000000*VALUE(LEFT(F228,LEN(F228)-1)),IF(RIGHT(F228,1)="%",0.01*VALUE(LEFT(F228,LEN(F228)-1)),IF(RIGHT(F228,1)="k",1000*VALUE(LEFT(F228,LEN(F228)-1)),VALUE(SUBSTITUTE(F228,",",""))))))))),"N/A")</f>
        <v>483050000</v>
      </c>
      <c r="N228">
        <f t="shared" ref="N228:N245" si="81">IFERROR(IF(TRIM(G228)="-", "N/A", IF(RIGHT(G228,1)=")",IF(RIGHT(G228,2)="T)",-1000000000000*VALUE(MID(G228,2,LEN(G228)-3)),IF(RIGHT(G228,2)="M)",-1000000*VALUE(MID(G228,2,LEN(G228)-3)),IF(RIGHT(G228,2)="B)",-1000000000*VALUE(MID(G228,2,LEN(G228)-3)),IF(RIGHT(G228,2)="k)",-1000*VALUE(MID(G228,2,LEN(G228)-3)),VALUE(SUBSTITUTE(G228,",","")))))),IF(RIGHT(G228,1)="T",1000000000000*VALUE(LEFT(G228,LEN(G228)-1)),IF(RIGHT(G228,1)="M",1000000*VALUE(LEFT(G228,LEN(G228)-1)),IF(RIGHT(G228,1)="B",1000000000*VALUE(LEFT(G228,LEN(G228)-1)),IF(RIGHT(G228,1)="%",0.01*VALUE(LEFT(G228,LEN(G228)-1)),IF(RIGHT(G228,1)="k",1000*VALUE(LEFT(G228,LEN(G228)-1)),VALUE(SUBSTITUTE(G228,",",""))))))))),"N/A")</f>
        <v>532530000</v>
      </c>
      <c r="P228">
        <f t="shared" si="58"/>
        <v>532530000</v>
      </c>
      <c r="Q228">
        <f>IFERROR(J144+MATCH(P228,J228:N228,0)-1,"")</f>
        <v>2016</v>
      </c>
      <c r="R228">
        <f t="shared" si="59"/>
        <v>394400000</v>
      </c>
      <c r="S228">
        <f>IFERROR(J144+MATCH(R228,J228:N228,0)-1,"")</f>
        <v>2013</v>
      </c>
      <c r="T228">
        <f t="shared" si="60"/>
        <v>452772000</v>
      </c>
      <c r="U228">
        <f t="shared" si="61"/>
        <v>56134006.805144422</v>
      </c>
      <c r="V228">
        <f t="shared" si="62"/>
        <v>-0.15573447358471543</v>
      </c>
      <c r="W228">
        <f t="shared" si="63"/>
        <v>-1.0398687591039819</v>
      </c>
      <c r="X228">
        <f t="shared" si="64"/>
        <v>-0.76463453159496175</v>
      </c>
      <c r="Y228">
        <f t="shared" si="65"/>
        <v>0.53938782786524975</v>
      </c>
      <c r="Z228">
        <f t="shared" si="66"/>
        <v>1.4208499364184093</v>
      </c>
      <c r="AA228">
        <f t="shared" si="67"/>
        <v>1.4208499364184093</v>
      </c>
      <c r="AB228">
        <f>IFERROR(V144+MATCH(AA228,V228:Z228,0)-1,"")</f>
        <v>2016</v>
      </c>
      <c r="AC228" t="str">
        <f t="shared" si="68"/>
        <v>High</v>
      </c>
      <c r="AE228">
        <f>IF(ISNUMBER(MATCH("N/A",J228:N228,0)),"",IFERROR((5 * SUMPRODUCT(J144:N144,J228:N228) - PRODUCT(SUM(J144:N144),SUM(J228:N228))) / ((5 * SUM((J144^2)+(K144^2)+(L144^2)+(M144^2)+(N144^2))) - SUM(J144:N144)^2),""))</f>
        <v>26565000</v>
      </c>
      <c r="AF228">
        <f>IFERROR(CORREL(J144:N144,J228:N228),"")</f>
        <v>0.74826215714459077</v>
      </c>
      <c r="AZ228">
        <f t="shared" si="69"/>
        <v>1</v>
      </c>
      <c r="BA228" t="str">
        <f>IF(AZ228=1,IF(Q228="","",IF(Q228=N144,"Yes","No")),"")</f>
        <v>Yes</v>
      </c>
      <c r="BB228">
        <f t="shared" si="70"/>
        <v>532530000</v>
      </c>
      <c r="BC228" t="str">
        <f>IF(AZ228=1,IF(S228="","",IF(S228=N144,"Yes","No")),"")</f>
        <v>No</v>
      </c>
      <c r="BD228" t="str">
        <f t="shared" si="71"/>
        <v/>
      </c>
      <c r="BE228" t="str">
        <f t="shared" si="72"/>
        <v>Increasing</v>
      </c>
      <c r="BF228" t="str">
        <f t="shared" si="73"/>
        <v>Yes</v>
      </c>
      <c r="BG228" t="str">
        <f t="shared" si="74"/>
        <v>No</v>
      </c>
      <c r="BH228" t="str">
        <f t="shared" si="75"/>
        <v>No</v>
      </c>
    </row>
    <row r="229" spans="1:60" x14ac:dyDescent="0.3">
      <c r="A229" s="1">
        <v>1</v>
      </c>
      <c r="B229" t="s">
        <v>552</v>
      </c>
      <c r="C229" t="s">
        <v>1327</v>
      </c>
      <c r="D229" t="s">
        <v>533</v>
      </c>
      <c r="E229" t="s">
        <v>1328</v>
      </c>
      <c r="F229" t="s">
        <v>722</v>
      </c>
      <c r="G229" t="s">
        <v>1329</v>
      </c>
      <c r="I229" t="str">
        <f t="shared" si="76"/>
        <v>pos_trend</v>
      </c>
      <c r="J229">
        <f t="shared" si="77"/>
        <v>1080000000</v>
      </c>
      <c r="K229">
        <f t="shared" si="78"/>
        <v>1090000000</v>
      </c>
      <c r="L229">
        <f t="shared" si="79"/>
        <v>1160000000</v>
      </c>
      <c r="M229">
        <f t="shared" si="80"/>
        <v>1270000000</v>
      </c>
      <c r="N229">
        <f t="shared" si="81"/>
        <v>1350000000</v>
      </c>
      <c r="P229">
        <f t="shared" si="58"/>
        <v>1350000000</v>
      </c>
      <c r="Q229">
        <f>IFERROR(J144+MATCH(P229,J229:N229,0)-1,"")</f>
        <v>2016</v>
      </c>
      <c r="R229">
        <f t="shared" si="59"/>
        <v>1080000000</v>
      </c>
      <c r="S229">
        <f>IFERROR(J144+MATCH(R229,J229:N229,0)-1,"")</f>
        <v>2012</v>
      </c>
      <c r="T229">
        <f t="shared" si="60"/>
        <v>1190000000</v>
      </c>
      <c r="U229">
        <f t="shared" si="61"/>
        <v>117260393.99558574</v>
      </c>
      <c r="V229">
        <f t="shared" si="62"/>
        <v>-0.93808315196468595</v>
      </c>
      <c r="W229">
        <f t="shared" si="63"/>
        <v>-0.85280286542244177</v>
      </c>
      <c r="X229">
        <f t="shared" si="64"/>
        <v>-0.25584085962673253</v>
      </c>
      <c r="Y229">
        <f t="shared" si="65"/>
        <v>0.68224229233795342</v>
      </c>
      <c r="Z229">
        <f t="shared" si="66"/>
        <v>1.3644845846759068</v>
      </c>
      <c r="AA229">
        <f t="shared" si="67"/>
        <v>1.3644845846759068</v>
      </c>
      <c r="AB229">
        <f>IFERROR(V144+MATCH(AA229,V229:Z229,0)-1,"")</f>
        <v>2016</v>
      </c>
      <c r="AC229" t="str">
        <f t="shared" si="68"/>
        <v>High</v>
      </c>
      <c r="AE229">
        <f>IF(ISNUMBER(MATCH("N/A",J229:N229,0)),"",IFERROR((5 * SUMPRODUCT(J144:N144,J229:N229) - PRODUCT(SUM(J144:N144),SUM(J229:N229))) / ((5 * SUM((J144^2)+(K144^2)+(L144^2)+(M144^2)+(N144^2))) - SUM(J144:N144)^2),""))</f>
        <v>72000000</v>
      </c>
      <c r="AF229">
        <f>IFERROR(CORREL(J144:N144,J229:N229),"")</f>
        <v>0.97084780194706866</v>
      </c>
      <c r="AZ229">
        <f t="shared" si="69"/>
        <v>1</v>
      </c>
      <c r="BA229" t="str">
        <f>IF(AZ229=1,IF(Q229="","",IF(Q229=N144,"Yes","No")),"")</f>
        <v>Yes</v>
      </c>
      <c r="BB229">
        <f t="shared" si="70"/>
        <v>1350000000</v>
      </c>
      <c r="BC229" t="str">
        <f>IF(AZ229=1,IF(S229="","",IF(S229=N144,"Yes","No")),"")</f>
        <v>No</v>
      </c>
      <c r="BD229" t="str">
        <f t="shared" si="71"/>
        <v/>
      </c>
      <c r="BE229" t="str">
        <f t="shared" si="72"/>
        <v>Increasing</v>
      </c>
      <c r="BF229" t="str">
        <f t="shared" si="73"/>
        <v>Yes</v>
      </c>
      <c r="BG229" t="str">
        <f t="shared" si="74"/>
        <v>Yes</v>
      </c>
      <c r="BH229" t="str">
        <f t="shared" si="75"/>
        <v>Yes</v>
      </c>
    </row>
    <row r="230" spans="1:60" x14ac:dyDescent="0.3">
      <c r="A230" s="1">
        <v>2</v>
      </c>
      <c r="B230" t="s">
        <v>558</v>
      </c>
      <c r="C230" t="s">
        <v>264</v>
      </c>
      <c r="D230" t="s">
        <v>264</v>
      </c>
      <c r="E230" t="s">
        <v>264</v>
      </c>
      <c r="F230" t="s">
        <v>264</v>
      </c>
      <c r="G230" t="s">
        <v>264</v>
      </c>
      <c r="I230" t="str">
        <f t="shared" si="76"/>
        <v>N/A</v>
      </c>
      <c r="J230" t="str">
        <f t="shared" si="77"/>
        <v>N/A</v>
      </c>
      <c r="K230" t="str">
        <f t="shared" si="78"/>
        <v>N/A</v>
      </c>
      <c r="L230" t="str">
        <f t="shared" si="79"/>
        <v>N/A</v>
      </c>
      <c r="M230" t="str">
        <f t="shared" si="80"/>
        <v>N/A</v>
      </c>
      <c r="N230" t="str">
        <f t="shared" si="81"/>
        <v>N/A</v>
      </c>
      <c r="P230">
        <f t="shared" si="58"/>
        <v>0</v>
      </c>
      <c r="Q230" t="str">
        <f>IFERROR(J144+MATCH(P230,J230:N230,0)-1,"")</f>
        <v/>
      </c>
      <c r="R230" t="str">
        <f t="shared" si="59"/>
        <v/>
      </c>
      <c r="S230" t="str">
        <f>IFERROR(J144+MATCH(R230,J230:N230,0)-1,"")</f>
        <v/>
      </c>
      <c r="T230" t="str">
        <f t="shared" si="60"/>
        <v/>
      </c>
      <c r="U230" t="str">
        <f t="shared" si="61"/>
        <v/>
      </c>
      <c r="V230" t="str">
        <f t="shared" si="62"/>
        <v/>
      </c>
      <c r="W230" t="str">
        <f t="shared" si="63"/>
        <v/>
      </c>
      <c r="X230" t="str">
        <f t="shared" si="64"/>
        <v/>
      </c>
      <c r="Y230" t="str">
        <f t="shared" si="65"/>
        <v/>
      </c>
      <c r="Z230" t="str">
        <f t="shared" si="66"/>
        <v/>
      </c>
      <c r="AA230">
        <f t="shared" si="67"/>
        <v>0</v>
      </c>
      <c r="AB230" t="str">
        <f>IFERROR(V144+MATCH(AA230,V230:Z230,0)-1,"")</f>
        <v/>
      </c>
      <c r="AC230" t="str">
        <f t="shared" si="68"/>
        <v/>
      </c>
      <c r="AE230" t="str">
        <f>IF(ISNUMBER(MATCH("N/A",J230:N230,0)),"",IFERROR((5 * SUMPRODUCT(J144:N144,J230:N230) - PRODUCT(SUM(J144:N144),SUM(J230:N230))) / ((5 * SUM((J144^2)+(K144^2)+(L144^2)+(M144^2)+(N144^2))) - SUM(J144:N144)^2),""))</f>
        <v/>
      </c>
      <c r="AF230" t="str">
        <f>IFERROR(CORREL(J144:N144,J230:N230),"")</f>
        <v/>
      </c>
      <c r="AZ230">
        <f t="shared" si="69"/>
        <v>0</v>
      </c>
      <c r="BA230" t="str">
        <f>IF(AZ230=1,IF(Q230="","",IF(Q230=N144,"Yes","No")),"")</f>
        <v/>
      </c>
      <c r="BB230" t="str">
        <f t="shared" si="70"/>
        <v/>
      </c>
      <c r="BC230" t="str">
        <f>IF(AZ230=1,IF(S230="","",IF(S230=N144,"Yes","No")),"")</f>
        <v/>
      </c>
      <c r="BD230" t="str">
        <f t="shared" si="71"/>
        <v/>
      </c>
      <c r="BE230" t="str">
        <f t="shared" si="72"/>
        <v/>
      </c>
      <c r="BF230" t="str">
        <f t="shared" si="73"/>
        <v>No</v>
      </c>
      <c r="BG230" t="str">
        <f t="shared" si="74"/>
        <v>No</v>
      </c>
      <c r="BH230" t="str">
        <f t="shared" si="75"/>
        <v/>
      </c>
    </row>
    <row r="231" spans="1:60" x14ac:dyDescent="0.3">
      <c r="A231" s="1">
        <v>3</v>
      </c>
      <c r="B231" t="s">
        <v>564</v>
      </c>
      <c r="C231" t="s">
        <v>1330</v>
      </c>
      <c r="D231" t="s">
        <v>1331</v>
      </c>
      <c r="E231" t="s">
        <v>1332</v>
      </c>
      <c r="F231" t="s">
        <v>1333</v>
      </c>
      <c r="G231" t="s">
        <v>1334</v>
      </c>
      <c r="I231" t="str">
        <f t="shared" si="76"/>
        <v>pos_trend</v>
      </c>
      <c r="J231">
        <f t="shared" si="77"/>
        <v>243700000</v>
      </c>
      <c r="K231">
        <f t="shared" si="78"/>
        <v>245810000</v>
      </c>
      <c r="L231">
        <f t="shared" si="79"/>
        <v>251840000</v>
      </c>
      <c r="M231">
        <f t="shared" si="80"/>
        <v>273840000</v>
      </c>
      <c r="N231">
        <f t="shared" si="81"/>
        <v>305510000</v>
      </c>
      <c r="P231">
        <f t="shared" si="58"/>
        <v>305510000</v>
      </c>
      <c r="Q231">
        <f>IFERROR(J144+MATCH(P231,J231:N231,0)-1,"")</f>
        <v>2016</v>
      </c>
      <c r="R231">
        <f t="shared" si="59"/>
        <v>243700000</v>
      </c>
      <c r="S231">
        <f>IFERROR(J144+MATCH(R231,J231:N231,0)-1,"")</f>
        <v>2012</v>
      </c>
      <c r="T231">
        <f t="shared" si="60"/>
        <v>264140000</v>
      </c>
      <c r="U231">
        <f t="shared" si="61"/>
        <v>26031900.622121312</v>
      </c>
      <c r="V231">
        <f t="shared" si="62"/>
        <v>-0.78519045907199558</v>
      </c>
      <c r="W231">
        <f t="shared" si="63"/>
        <v>-0.70413606236740112</v>
      </c>
      <c r="X231">
        <f t="shared" si="64"/>
        <v>-0.47249719405995821</v>
      </c>
      <c r="Y231">
        <f t="shared" si="65"/>
        <v>0.37261973840500767</v>
      </c>
      <c r="Z231">
        <f t="shared" si="66"/>
        <v>1.5892039770943471</v>
      </c>
      <c r="AA231">
        <f t="shared" si="67"/>
        <v>1.5892039770943471</v>
      </c>
      <c r="AB231">
        <f>IFERROR(V144+MATCH(AA231,V231:Z231,0)-1,"")</f>
        <v>2016</v>
      </c>
      <c r="AC231" t="str">
        <f t="shared" si="68"/>
        <v>High</v>
      </c>
      <c r="AE231">
        <f>IF(ISNUMBER(MATCH("N/A",J231:N231,0)),"",IFERROR((5 * SUMPRODUCT(J144:N144,J231:N231) - PRODUCT(SUM(J144:N144),SUM(J231:N231))) / ((5 * SUM((J144^2)+(K144^2)+(L144^2)+(M144^2)+(N144^2))) - SUM(J144:N144)^2),""))</f>
        <v>15165000</v>
      </c>
      <c r="AF231">
        <f>IFERROR(CORREL(J144:N144,J231:N231),"")</f>
        <v>0.92109948890365712</v>
      </c>
      <c r="AZ231">
        <f t="shared" si="69"/>
        <v>1</v>
      </c>
      <c r="BA231" t="str">
        <f>IF(AZ231=1,IF(Q231="","",IF(Q231=N144,"Yes","No")),"")</f>
        <v>Yes</v>
      </c>
      <c r="BB231">
        <f t="shared" si="70"/>
        <v>305510000</v>
      </c>
      <c r="BC231" t="str">
        <f>IF(AZ231=1,IF(S231="","",IF(S231=N144,"Yes","No")),"")</f>
        <v>No</v>
      </c>
      <c r="BD231" t="str">
        <f t="shared" si="71"/>
        <v/>
      </c>
      <c r="BE231" t="str">
        <f t="shared" si="72"/>
        <v>Increasing</v>
      </c>
      <c r="BF231" t="str">
        <f t="shared" si="73"/>
        <v>Yes</v>
      </c>
      <c r="BG231" t="str">
        <f t="shared" si="74"/>
        <v>Yes</v>
      </c>
      <c r="BH231" t="str">
        <f t="shared" si="75"/>
        <v>Yes</v>
      </c>
    </row>
    <row r="232" spans="1:60" x14ac:dyDescent="0.3">
      <c r="A232" s="1">
        <v>4</v>
      </c>
      <c r="B232" t="s">
        <v>569</v>
      </c>
      <c r="C232" t="s">
        <v>1335</v>
      </c>
      <c r="D232" t="s">
        <v>1336</v>
      </c>
      <c r="E232" t="s">
        <v>1337</v>
      </c>
      <c r="F232" t="s">
        <v>1338</v>
      </c>
      <c r="G232" t="s">
        <v>1339</v>
      </c>
      <c r="I232" t="str">
        <f t="shared" si="76"/>
        <v>N/A</v>
      </c>
      <c r="J232">
        <f t="shared" si="77"/>
        <v>103160000</v>
      </c>
      <c r="K232">
        <f t="shared" si="78"/>
        <v>111000000</v>
      </c>
      <c r="L232">
        <f t="shared" si="79"/>
        <v>116110000</v>
      </c>
      <c r="M232">
        <f t="shared" si="80"/>
        <v>127010000</v>
      </c>
      <c r="N232">
        <f t="shared" si="81"/>
        <v>120880000</v>
      </c>
      <c r="P232">
        <f t="shared" si="58"/>
        <v>127010000</v>
      </c>
      <c r="Q232">
        <f>IFERROR(J144+MATCH(P232,J232:N232,0)-1,"")</f>
        <v>2015</v>
      </c>
      <c r="R232">
        <f t="shared" si="59"/>
        <v>103160000</v>
      </c>
      <c r="S232">
        <f>IFERROR(J144+MATCH(R232,J232:N232,0)-1,"")</f>
        <v>2012</v>
      </c>
      <c r="T232">
        <f t="shared" si="60"/>
        <v>115632000</v>
      </c>
      <c r="U232">
        <f t="shared" si="61"/>
        <v>9141048.6269355342</v>
      </c>
      <c r="V232">
        <f t="shared" si="62"/>
        <v>-1.3643948860800603</v>
      </c>
      <c r="W232">
        <f t="shared" si="63"/>
        <v>-0.5067252335088871</v>
      </c>
      <c r="X232">
        <f t="shared" si="64"/>
        <v>5.2291593613395512E-2</v>
      </c>
      <c r="Y232">
        <f t="shared" si="65"/>
        <v>1.2447149626217868</v>
      </c>
      <c r="Z232">
        <f t="shared" si="66"/>
        <v>0.57411356335376496</v>
      </c>
      <c r="AA232">
        <f t="shared" si="67"/>
        <v>-1.3643948860800603</v>
      </c>
      <c r="AB232">
        <f>IFERROR(V144+MATCH(AA232,V232:Z232,0)-1,"")</f>
        <v>2012</v>
      </c>
      <c r="AC232" t="str">
        <f t="shared" si="68"/>
        <v>Low</v>
      </c>
      <c r="AE232">
        <f>IF(ISNUMBER(MATCH("N/A",J232:N232,0)),"",IFERROR((5 * SUMPRODUCT(J144:N144,J232:N232) - PRODUCT(SUM(J144:N144),SUM(J232:N232))) / ((5 * SUM((J144^2)+(K144^2)+(L144^2)+(M144^2)+(N144^2))) - SUM(J144:N144)^2),""))</f>
        <v>5145000</v>
      </c>
      <c r="AF232">
        <f>IFERROR(CORREL(J144:N144,J232:N232),"")</f>
        <v>0.88993720663647069</v>
      </c>
      <c r="AZ232">
        <f t="shared" si="69"/>
        <v>1</v>
      </c>
      <c r="BA232" t="str">
        <f>IF(AZ232=1,IF(Q232="","",IF(Q232=N144,"Yes","No")),"")</f>
        <v>No</v>
      </c>
      <c r="BB232" t="str">
        <f t="shared" si="70"/>
        <v/>
      </c>
      <c r="BC232" t="str">
        <f>IF(AZ232=1,IF(S232="","",IF(S232=N144,"Yes","No")),"")</f>
        <v>No</v>
      </c>
      <c r="BD232" t="str">
        <f t="shared" si="71"/>
        <v/>
      </c>
      <c r="BE232" t="str">
        <f t="shared" si="72"/>
        <v>Increasing</v>
      </c>
      <c r="BF232" t="str">
        <f t="shared" si="73"/>
        <v>No</v>
      </c>
      <c r="BG232" t="str">
        <f t="shared" si="74"/>
        <v>No</v>
      </c>
      <c r="BH232" t="str">
        <f t="shared" si="75"/>
        <v>Yes</v>
      </c>
    </row>
    <row r="233" spans="1:60" x14ac:dyDescent="0.3">
      <c r="A233" s="1">
        <v>5</v>
      </c>
      <c r="B233" t="s">
        <v>570</v>
      </c>
      <c r="C233" t="s">
        <v>1340</v>
      </c>
      <c r="D233" t="s">
        <v>1341</v>
      </c>
      <c r="E233" t="s">
        <v>1342</v>
      </c>
      <c r="F233" t="s">
        <v>1343</v>
      </c>
      <c r="G233" t="s">
        <v>1344</v>
      </c>
      <c r="I233" t="str">
        <f t="shared" si="76"/>
        <v>N/A</v>
      </c>
      <c r="J233">
        <f t="shared" si="77"/>
        <v>732460000</v>
      </c>
      <c r="K233">
        <f t="shared" si="78"/>
        <v>147890000</v>
      </c>
      <c r="L233">
        <f t="shared" si="79"/>
        <v>160520000</v>
      </c>
      <c r="M233">
        <f t="shared" si="80"/>
        <v>170710000</v>
      </c>
      <c r="N233">
        <f t="shared" si="81"/>
        <v>181460000</v>
      </c>
      <c r="P233">
        <f t="shared" si="58"/>
        <v>732460000</v>
      </c>
      <c r="Q233">
        <f>IFERROR(J144+MATCH(P233,J233:N233,0)-1,"")</f>
        <v>2012</v>
      </c>
      <c r="R233">
        <f t="shared" si="59"/>
        <v>147890000</v>
      </c>
      <c r="S233">
        <f>IFERROR(J144+MATCH(R233,J233:N233,0)-1,"")</f>
        <v>2013</v>
      </c>
      <c r="T233">
        <f t="shared" si="60"/>
        <v>278608000</v>
      </c>
      <c r="U233">
        <f t="shared" si="61"/>
        <v>254014429.4523443</v>
      </c>
      <c r="V233">
        <f t="shared" si="62"/>
        <v>1.786717396245977</v>
      </c>
      <c r="W233">
        <f t="shared" si="63"/>
        <v>-0.5146085609460388</v>
      </c>
      <c r="X233">
        <f t="shared" si="64"/>
        <v>-0.46488697612414381</v>
      </c>
      <c r="Y233">
        <f t="shared" si="65"/>
        <v>-0.42477114482286826</v>
      </c>
      <c r="Z233">
        <f t="shared" si="66"/>
        <v>-0.38245071435292599</v>
      </c>
      <c r="AA233">
        <f t="shared" si="67"/>
        <v>1.786717396245977</v>
      </c>
      <c r="AB233">
        <f>IFERROR(V144+MATCH(AA233,V233:Z233,0)-1,"")</f>
        <v>2012</v>
      </c>
      <c r="AC233" t="str">
        <f t="shared" si="68"/>
        <v>High</v>
      </c>
      <c r="AE233">
        <f>IF(ISNUMBER(MATCH("N/A",J233:N233,0)),"",IFERROR((5 * SUMPRODUCT(J144:N144,J233:N233) - PRODUCT(SUM(J144:N144),SUM(J233:N233))) / ((5 * SUM((J144^2)+(K144^2)+(L144^2)+(M144^2)+(N144^2))) - SUM(J144:N144)^2),""))</f>
        <v>-107918000</v>
      </c>
      <c r="AF233">
        <f>IFERROR(CORREL(J144:N144,J233:N233),"")</f>
        <v>-0.67174664302697862</v>
      </c>
      <c r="AZ233">
        <f t="shared" si="69"/>
        <v>1</v>
      </c>
      <c r="BA233" t="str">
        <f>IF(AZ233=1,IF(Q233="","",IF(Q233=N144,"Yes","No")),"")</f>
        <v>No</v>
      </c>
      <c r="BB233" t="str">
        <f t="shared" si="70"/>
        <v/>
      </c>
      <c r="BC233" t="str">
        <f>IF(AZ233=1,IF(S233="","",IF(S233=N144,"Yes","No")),"")</f>
        <v>No</v>
      </c>
      <c r="BD233" t="str">
        <f t="shared" si="71"/>
        <v/>
      </c>
      <c r="BE233" t="str">
        <f t="shared" si="72"/>
        <v>Decreasing</v>
      </c>
      <c r="BF233" t="str">
        <f t="shared" si="73"/>
        <v>No</v>
      </c>
      <c r="BG233" t="str">
        <f t="shared" si="74"/>
        <v>No</v>
      </c>
      <c r="BH233" t="str">
        <f t="shared" si="75"/>
        <v>No</v>
      </c>
    </row>
    <row r="234" spans="1:60" x14ac:dyDescent="0.3">
      <c r="A234" s="1">
        <v>6</v>
      </c>
      <c r="B234" t="s">
        <v>576</v>
      </c>
      <c r="C234" t="s">
        <v>1345</v>
      </c>
      <c r="D234" t="s">
        <v>1346</v>
      </c>
      <c r="E234" t="s">
        <v>1347</v>
      </c>
      <c r="F234" t="s">
        <v>1348</v>
      </c>
      <c r="G234" t="s">
        <v>1349</v>
      </c>
      <c r="I234" t="str">
        <f t="shared" si="76"/>
        <v>pos_trend</v>
      </c>
      <c r="J234">
        <f t="shared" si="77"/>
        <v>635290000</v>
      </c>
      <c r="K234">
        <f t="shared" si="78"/>
        <v>700190000</v>
      </c>
      <c r="L234">
        <f t="shared" si="79"/>
        <v>752080000</v>
      </c>
      <c r="M234">
        <f t="shared" si="80"/>
        <v>788350000</v>
      </c>
      <c r="N234">
        <f t="shared" si="81"/>
        <v>819170000</v>
      </c>
      <c r="P234">
        <f t="shared" si="58"/>
        <v>819170000</v>
      </c>
      <c r="Q234">
        <f>IFERROR(J144+MATCH(P234,J234:N234,0)-1,"")</f>
        <v>2016</v>
      </c>
      <c r="R234">
        <f t="shared" si="59"/>
        <v>635290000</v>
      </c>
      <c r="S234">
        <f>IFERROR(J144+MATCH(R234,J234:N234,0)-1,"")</f>
        <v>2012</v>
      </c>
      <c r="T234">
        <f t="shared" si="60"/>
        <v>739016000</v>
      </c>
      <c r="U234">
        <f t="shared" si="61"/>
        <v>72965260.089990765</v>
      </c>
      <c r="V234">
        <f t="shared" si="62"/>
        <v>-1.4215806244241558</v>
      </c>
      <c r="W234">
        <f t="shared" si="63"/>
        <v>-0.53211624205977548</v>
      </c>
      <c r="X234">
        <f t="shared" si="64"/>
        <v>0.17904410926360961</v>
      </c>
      <c r="Y234">
        <f t="shared" si="65"/>
        <v>0.67612998211963538</v>
      </c>
      <c r="Z234">
        <f t="shared" si="66"/>
        <v>1.0985227751006863</v>
      </c>
      <c r="AA234">
        <f t="shared" si="67"/>
        <v>-1.4215806244241558</v>
      </c>
      <c r="AB234">
        <f>IFERROR(V144+MATCH(AA234,V234:Z234,0)-1,"")</f>
        <v>2012</v>
      </c>
      <c r="AC234" t="str">
        <f t="shared" si="68"/>
        <v>Low</v>
      </c>
      <c r="AE234">
        <f>IF(ISNUMBER(MATCH("N/A",J234:N234,0)),"",IFERROR((5 * SUMPRODUCT(J144:N144,J234:N234) - PRODUCT(SUM(J144:N144),SUM(J234:N234))) / ((5 * SUM((J144^2)+(K144^2)+(L144^2)+(M144^2)+(N144^2))) - SUM(J144:N144)^2),""))</f>
        <v>45592000</v>
      </c>
      <c r="AF234">
        <f>IFERROR(CORREL(J144:N144,J234:N234),"")</f>
        <v>0.98796717029844672</v>
      </c>
      <c r="AZ234">
        <f t="shared" si="69"/>
        <v>1</v>
      </c>
      <c r="BA234" t="str">
        <f>IF(AZ234=1,IF(Q234="","",IF(Q234=N144,"Yes","No")),"")</f>
        <v>Yes</v>
      </c>
      <c r="BB234">
        <f t="shared" si="70"/>
        <v>819170000</v>
      </c>
      <c r="BC234" t="str">
        <f>IF(AZ234=1,IF(S234="","",IF(S234=N144,"Yes","No")),"")</f>
        <v>No</v>
      </c>
      <c r="BD234" t="str">
        <f t="shared" si="71"/>
        <v/>
      </c>
      <c r="BE234" t="str">
        <f t="shared" si="72"/>
        <v>Increasing</v>
      </c>
      <c r="BF234" t="str">
        <f t="shared" si="73"/>
        <v>Yes</v>
      </c>
      <c r="BG234" t="str">
        <f t="shared" si="74"/>
        <v>Yes</v>
      </c>
      <c r="BH234" t="str">
        <f t="shared" si="75"/>
        <v>Yes</v>
      </c>
    </row>
    <row r="235" spans="1:60" x14ac:dyDescent="0.3">
      <c r="A235" s="1">
        <v>7</v>
      </c>
      <c r="B235" t="s">
        <v>582</v>
      </c>
      <c r="C235" t="s">
        <v>264</v>
      </c>
      <c r="D235" t="s">
        <v>264</v>
      </c>
      <c r="E235" t="s">
        <v>1350</v>
      </c>
      <c r="F235" t="s">
        <v>264</v>
      </c>
      <c r="G235" t="s">
        <v>264</v>
      </c>
      <c r="I235" t="str">
        <f t="shared" si="76"/>
        <v>N/A</v>
      </c>
      <c r="J235" t="str">
        <f t="shared" si="77"/>
        <v>N/A</v>
      </c>
      <c r="K235" t="str">
        <f t="shared" si="78"/>
        <v>N/A</v>
      </c>
      <c r="L235">
        <f t="shared" si="79"/>
        <v>2970000</v>
      </c>
      <c r="M235" t="str">
        <f t="shared" si="80"/>
        <v>N/A</v>
      </c>
      <c r="N235" t="str">
        <f t="shared" si="81"/>
        <v>N/A</v>
      </c>
      <c r="P235">
        <f t="shared" si="58"/>
        <v>2970000</v>
      </c>
      <c r="Q235">
        <f>IFERROR(J144+MATCH(P235,J235:N235,0)-1,"")</f>
        <v>2014</v>
      </c>
      <c r="R235">
        <f t="shared" si="59"/>
        <v>2970000</v>
      </c>
      <c r="S235">
        <f>IFERROR(J144+MATCH(R235,J235:N235,0)-1,"")</f>
        <v>2014</v>
      </c>
      <c r="T235">
        <f t="shared" si="60"/>
        <v>2970000</v>
      </c>
      <c r="U235" t="str">
        <f t="shared" si="61"/>
        <v/>
      </c>
      <c r="V235" t="str">
        <f t="shared" si="62"/>
        <v/>
      </c>
      <c r="W235" t="str">
        <f t="shared" si="63"/>
        <v/>
      </c>
      <c r="X235" t="str">
        <f t="shared" si="64"/>
        <v/>
      </c>
      <c r="Y235" t="str">
        <f t="shared" si="65"/>
        <v/>
      </c>
      <c r="Z235" t="str">
        <f t="shared" si="66"/>
        <v/>
      </c>
      <c r="AA235">
        <f t="shared" si="67"/>
        <v>0</v>
      </c>
      <c r="AB235" t="str">
        <f>IFERROR(V144+MATCH(AA235,V235:Z235,0)-1,"")</f>
        <v/>
      </c>
      <c r="AC235" t="str">
        <f t="shared" si="68"/>
        <v/>
      </c>
      <c r="AE235" t="str">
        <f>IF(ISNUMBER(MATCH("N/A",J235:N235,0)),"",IFERROR((5 * SUMPRODUCT(J144:N144,J235:N235) - PRODUCT(SUM(J144:N144),SUM(J235:N235))) / ((5 * SUM((J144^2)+(K144^2)+(L144^2)+(M144^2)+(N144^2))) - SUM(J144:N144)^2),""))</f>
        <v/>
      </c>
      <c r="AF235" t="str">
        <f>IFERROR(CORREL(J144:N144,J235:N235),"")</f>
        <v/>
      </c>
      <c r="AZ235">
        <f t="shared" si="69"/>
        <v>0</v>
      </c>
      <c r="BA235" t="str">
        <f>IF(AZ235=1,IF(Q235="","",IF(Q235=N144,"Yes","No")),"")</f>
        <v/>
      </c>
      <c r="BB235" t="str">
        <f t="shared" si="70"/>
        <v/>
      </c>
      <c r="BC235" t="str">
        <f>IF(AZ235=1,IF(S235="","",IF(S235=N144,"Yes","No")),"")</f>
        <v/>
      </c>
      <c r="BD235" t="str">
        <f t="shared" si="71"/>
        <v/>
      </c>
      <c r="BE235" t="str">
        <f t="shared" si="72"/>
        <v/>
      </c>
      <c r="BF235" t="str">
        <f t="shared" si="73"/>
        <v>No</v>
      </c>
      <c r="BG235" t="str">
        <f t="shared" si="74"/>
        <v>No</v>
      </c>
      <c r="BH235" t="str">
        <f t="shared" si="75"/>
        <v/>
      </c>
    </row>
    <row r="236" spans="1:60" x14ac:dyDescent="0.3">
      <c r="A236" s="1">
        <v>8</v>
      </c>
      <c r="B236" t="s">
        <v>583</v>
      </c>
      <c r="C236" t="s">
        <v>264</v>
      </c>
      <c r="D236" t="s">
        <v>264</v>
      </c>
      <c r="E236" t="s">
        <v>1350</v>
      </c>
      <c r="F236" t="s">
        <v>264</v>
      </c>
      <c r="G236" t="s">
        <v>264</v>
      </c>
      <c r="I236" t="str">
        <f t="shared" si="76"/>
        <v>N/A</v>
      </c>
      <c r="J236" t="str">
        <f t="shared" si="77"/>
        <v>N/A</v>
      </c>
      <c r="K236" t="str">
        <f t="shared" si="78"/>
        <v>N/A</v>
      </c>
      <c r="L236">
        <f t="shared" si="79"/>
        <v>2970000</v>
      </c>
      <c r="M236" t="str">
        <f t="shared" si="80"/>
        <v>N/A</v>
      </c>
      <c r="N236" t="str">
        <f t="shared" si="81"/>
        <v>N/A</v>
      </c>
      <c r="P236">
        <f t="shared" si="58"/>
        <v>2970000</v>
      </c>
      <c r="Q236">
        <f>IFERROR(J144+MATCH(P236,J236:N236,0)-1,"")</f>
        <v>2014</v>
      </c>
      <c r="R236">
        <f t="shared" si="59"/>
        <v>2970000</v>
      </c>
      <c r="S236">
        <f>IFERROR(J144+MATCH(R236,J236:N236,0)-1,"")</f>
        <v>2014</v>
      </c>
      <c r="T236">
        <f t="shared" si="60"/>
        <v>2970000</v>
      </c>
      <c r="U236" t="str">
        <f t="shared" si="61"/>
        <v/>
      </c>
      <c r="V236" t="str">
        <f t="shared" si="62"/>
        <v/>
      </c>
      <c r="W236" t="str">
        <f t="shared" si="63"/>
        <v/>
      </c>
      <c r="X236" t="str">
        <f t="shared" si="64"/>
        <v/>
      </c>
      <c r="Y236" t="str">
        <f t="shared" si="65"/>
        <v/>
      </c>
      <c r="Z236" t="str">
        <f t="shared" si="66"/>
        <v/>
      </c>
      <c r="AA236">
        <f t="shared" si="67"/>
        <v>0</v>
      </c>
      <c r="AB236" t="str">
        <f>IFERROR(V144+MATCH(AA236,V236:Z236,0)-1,"")</f>
        <v/>
      </c>
      <c r="AC236" t="str">
        <f t="shared" si="68"/>
        <v/>
      </c>
      <c r="AE236" t="str">
        <f>IF(ISNUMBER(MATCH("N/A",J236:N236,0)),"",IFERROR((5 * SUMPRODUCT(J144:N144,J236:N236) - PRODUCT(SUM(J144:N144),SUM(J236:N236))) / ((5 * SUM((J144^2)+(K144^2)+(L144^2)+(M144^2)+(N144^2))) - SUM(J144:N144)^2),""))</f>
        <v/>
      </c>
      <c r="AF236" t="str">
        <f>IFERROR(CORREL(J144:N144,J236:N236),"")</f>
        <v/>
      </c>
      <c r="AZ236">
        <f t="shared" si="69"/>
        <v>0</v>
      </c>
      <c r="BA236" t="str">
        <f>IF(AZ236=1,IF(Q236="","",IF(Q236=N144,"Yes","No")),"")</f>
        <v/>
      </c>
      <c r="BB236" t="str">
        <f t="shared" si="70"/>
        <v/>
      </c>
      <c r="BC236" t="str">
        <f>IF(AZ236=1,IF(S236="","",IF(S236=N144,"Yes","No")),"")</f>
        <v/>
      </c>
      <c r="BD236" t="str">
        <f t="shared" si="71"/>
        <v/>
      </c>
      <c r="BE236" t="str">
        <f t="shared" si="72"/>
        <v/>
      </c>
      <c r="BF236" t="str">
        <f t="shared" si="73"/>
        <v>No</v>
      </c>
      <c r="BG236" t="str">
        <f t="shared" si="74"/>
        <v>No</v>
      </c>
      <c r="BH236" t="str">
        <f t="shared" si="75"/>
        <v/>
      </c>
    </row>
    <row r="237" spans="1:60" x14ac:dyDescent="0.3">
      <c r="A237" s="1">
        <v>9</v>
      </c>
      <c r="B237" t="s">
        <v>584</v>
      </c>
      <c r="C237" t="s">
        <v>264</v>
      </c>
      <c r="D237" t="s">
        <v>264</v>
      </c>
      <c r="E237" t="s">
        <v>264</v>
      </c>
      <c r="F237" t="s">
        <v>264</v>
      </c>
      <c r="G237" t="s">
        <v>264</v>
      </c>
      <c r="I237" t="str">
        <f t="shared" si="76"/>
        <v>N/A</v>
      </c>
      <c r="J237" t="str">
        <f t="shared" si="77"/>
        <v>N/A</v>
      </c>
      <c r="K237" t="str">
        <f t="shared" si="78"/>
        <v>N/A</v>
      </c>
      <c r="L237" t="str">
        <f t="shared" si="79"/>
        <v>N/A</v>
      </c>
      <c r="M237" t="str">
        <f t="shared" si="80"/>
        <v>N/A</v>
      </c>
      <c r="N237" t="str">
        <f t="shared" si="81"/>
        <v>N/A</v>
      </c>
      <c r="P237">
        <f t="shared" si="58"/>
        <v>0</v>
      </c>
      <c r="Q237" t="str">
        <f>IFERROR(J144+MATCH(P237,J237:N237,0)-1,"")</f>
        <v/>
      </c>
      <c r="R237" t="str">
        <f t="shared" si="59"/>
        <v/>
      </c>
      <c r="S237" t="str">
        <f>IFERROR(J144+MATCH(R237,J237:N237,0)-1,"")</f>
        <v/>
      </c>
      <c r="T237" t="str">
        <f t="shared" si="60"/>
        <v/>
      </c>
      <c r="U237" t="str">
        <f t="shared" si="61"/>
        <v/>
      </c>
      <c r="V237" t="str">
        <f t="shared" si="62"/>
        <v/>
      </c>
      <c r="W237" t="str">
        <f t="shared" si="63"/>
        <v/>
      </c>
      <c r="X237" t="str">
        <f t="shared" si="64"/>
        <v/>
      </c>
      <c r="Y237" t="str">
        <f t="shared" si="65"/>
        <v/>
      </c>
      <c r="Z237" t="str">
        <f t="shared" si="66"/>
        <v/>
      </c>
      <c r="AA237">
        <f t="shared" si="67"/>
        <v>0</v>
      </c>
      <c r="AB237" t="str">
        <f>IFERROR(V144+MATCH(AA237,V237:Z237,0)-1,"")</f>
        <v/>
      </c>
      <c r="AC237" t="str">
        <f t="shared" si="68"/>
        <v/>
      </c>
      <c r="AE237" t="str">
        <f>IF(ISNUMBER(MATCH("N/A",J237:N237,0)),"",IFERROR((5 * SUMPRODUCT(J144:N144,J237:N237) - PRODUCT(SUM(J144:N144),SUM(J237:N237))) / ((5 * SUM((J144^2)+(K144^2)+(L144^2)+(M144^2)+(N144^2))) - SUM(J144:N144)^2),""))</f>
        <v/>
      </c>
      <c r="AF237" t="str">
        <f>IFERROR(CORREL(J144:N144,J237:N237),"")</f>
        <v/>
      </c>
      <c r="AZ237">
        <f t="shared" si="69"/>
        <v>0</v>
      </c>
      <c r="BA237" t="str">
        <f>IF(AZ237=1,IF(Q237="","",IF(Q237=N144,"Yes","No")),"")</f>
        <v/>
      </c>
      <c r="BB237" t="str">
        <f t="shared" si="70"/>
        <v/>
      </c>
      <c r="BC237" t="str">
        <f>IF(AZ237=1,IF(S237="","",IF(S237=N144,"Yes","No")),"")</f>
        <v/>
      </c>
      <c r="BD237" t="str">
        <f t="shared" si="71"/>
        <v/>
      </c>
      <c r="BE237" t="str">
        <f t="shared" si="72"/>
        <v/>
      </c>
      <c r="BF237" t="str">
        <f t="shared" si="73"/>
        <v>No</v>
      </c>
      <c r="BG237" t="str">
        <f t="shared" si="74"/>
        <v>No</v>
      </c>
      <c r="BH237" t="str">
        <f t="shared" si="75"/>
        <v/>
      </c>
    </row>
    <row r="238" spans="1:60" x14ac:dyDescent="0.3">
      <c r="A238" s="1">
        <v>10</v>
      </c>
      <c r="B238" t="s">
        <v>587</v>
      </c>
      <c r="C238" t="s">
        <v>1351</v>
      </c>
      <c r="D238" t="s">
        <v>1352</v>
      </c>
      <c r="E238" t="s">
        <v>1353</v>
      </c>
      <c r="F238" t="s">
        <v>1354</v>
      </c>
      <c r="G238" t="s">
        <v>1355</v>
      </c>
      <c r="I238" t="str">
        <f t="shared" si="76"/>
        <v>N/A</v>
      </c>
      <c r="J238">
        <f t="shared" si="77"/>
        <v>152750000</v>
      </c>
      <c r="K238">
        <f t="shared" si="78"/>
        <v>151840000</v>
      </c>
      <c r="L238">
        <f t="shared" si="79"/>
        <v>149890000</v>
      </c>
      <c r="M238">
        <f t="shared" si="80"/>
        <v>173250000</v>
      </c>
      <c r="N238">
        <f t="shared" si="81"/>
        <v>189380000</v>
      </c>
      <c r="P238">
        <f t="shared" si="58"/>
        <v>189380000</v>
      </c>
      <c r="Q238">
        <f>IFERROR(J144+MATCH(P238,J238:N238,0)-1,"")</f>
        <v>2016</v>
      </c>
      <c r="R238">
        <f t="shared" si="59"/>
        <v>149890000</v>
      </c>
      <c r="S238">
        <f>IFERROR(J144+MATCH(R238,J238:N238,0)-1,"")</f>
        <v>2014</v>
      </c>
      <c r="T238">
        <f t="shared" si="60"/>
        <v>163422000</v>
      </c>
      <c r="U238">
        <f t="shared" si="61"/>
        <v>17331738.804863174</v>
      </c>
      <c r="V238">
        <f t="shared" si="62"/>
        <v>-0.61574895168657318</v>
      </c>
      <c r="W238">
        <f t="shared" si="63"/>
        <v>-0.66825378171232108</v>
      </c>
      <c r="X238">
        <f t="shared" si="64"/>
        <v>-0.78076413176749515</v>
      </c>
      <c r="Y238">
        <f t="shared" si="65"/>
        <v>0.56705216427807736</v>
      </c>
      <c r="Z238">
        <f t="shared" si="66"/>
        <v>1.497714700888312</v>
      </c>
      <c r="AA238">
        <f t="shared" si="67"/>
        <v>1.497714700888312</v>
      </c>
      <c r="AB238">
        <f>IFERROR(V144+MATCH(AA238,V238:Z238,0)-1,"")</f>
        <v>2016</v>
      </c>
      <c r="AC238" t="str">
        <f t="shared" si="68"/>
        <v>High</v>
      </c>
      <c r="AE238">
        <f>IF(ISNUMBER(MATCH("N/A",J238:N238,0)),"",IFERROR((5 * SUMPRODUCT(J144:N144,J238:N238) - PRODUCT(SUM(J144:N144),SUM(J238:N238))) / ((5 * SUM((J144^2)+(K144^2)+(L144^2)+(M144^2)+(N144^2))) - SUM(J144:N144)^2),""))</f>
        <v>9467000</v>
      </c>
      <c r="AF238">
        <f>IFERROR(CORREL(J144:N144,J238:N238),"")</f>
        <v>0.8636549092354725</v>
      </c>
      <c r="AZ238">
        <f t="shared" si="69"/>
        <v>1</v>
      </c>
      <c r="BA238" t="str">
        <f>IF(AZ238=1,IF(Q238="","",IF(Q238=N144,"Yes","No")),"")</f>
        <v>Yes</v>
      </c>
      <c r="BB238">
        <f t="shared" si="70"/>
        <v>189380000</v>
      </c>
      <c r="BC238" t="str">
        <f>IF(AZ238=1,IF(S238="","",IF(S238=N144,"Yes","No")),"")</f>
        <v>No</v>
      </c>
      <c r="BD238" t="str">
        <f t="shared" si="71"/>
        <v/>
      </c>
      <c r="BE238" t="str">
        <f t="shared" si="72"/>
        <v>Increasing</v>
      </c>
      <c r="BF238" t="str">
        <f t="shared" si="73"/>
        <v>Yes</v>
      </c>
      <c r="BG238" t="str">
        <f t="shared" si="74"/>
        <v>No</v>
      </c>
      <c r="BH238" t="str">
        <f t="shared" si="75"/>
        <v>Yes</v>
      </c>
    </row>
    <row r="239" spans="1:60" x14ac:dyDescent="0.3">
      <c r="A239" s="1">
        <v>11</v>
      </c>
      <c r="B239" t="s">
        <v>593</v>
      </c>
      <c r="C239" t="s">
        <v>1356</v>
      </c>
      <c r="D239" t="s">
        <v>1357</v>
      </c>
      <c r="E239" t="s">
        <v>1358</v>
      </c>
      <c r="F239" t="s">
        <v>1359</v>
      </c>
      <c r="G239" t="s">
        <v>1360</v>
      </c>
      <c r="I239" t="str">
        <f t="shared" si="76"/>
        <v>pos_trend</v>
      </c>
      <c r="J239">
        <f t="shared" si="77"/>
        <v>73190000</v>
      </c>
      <c r="K239">
        <f t="shared" si="78"/>
        <v>76450000</v>
      </c>
      <c r="L239">
        <f t="shared" si="79"/>
        <v>77080000</v>
      </c>
      <c r="M239">
        <f t="shared" si="80"/>
        <v>96470000</v>
      </c>
      <c r="N239">
        <f t="shared" si="81"/>
        <v>108880000</v>
      </c>
      <c r="P239">
        <f t="shared" si="58"/>
        <v>108880000</v>
      </c>
      <c r="Q239">
        <f>IFERROR(J144+MATCH(P239,J239:N239,0)-1,"")</f>
        <v>2016</v>
      </c>
      <c r="R239">
        <f t="shared" si="59"/>
        <v>73190000</v>
      </c>
      <c r="S239">
        <f>IFERROR(J144+MATCH(R239,J239:N239,0)-1,"")</f>
        <v>2012</v>
      </c>
      <c r="T239">
        <f t="shared" si="60"/>
        <v>86414000</v>
      </c>
      <c r="U239">
        <f t="shared" si="61"/>
        <v>15549303.199822171</v>
      </c>
      <c r="V239">
        <f t="shared" si="62"/>
        <v>-0.85045611562524781</v>
      </c>
      <c r="W239">
        <f t="shared" si="63"/>
        <v>-0.64080041863959236</v>
      </c>
      <c r="X239">
        <f t="shared" si="64"/>
        <v>-0.600284133639297</v>
      </c>
      <c r="Y239">
        <f t="shared" si="65"/>
        <v>0.64671708248090531</v>
      </c>
      <c r="Z239">
        <f t="shared" si="66"/>
        <v>1.4448235854232319</v>
      </c>
      <c r="AA239">
        <f t="shared" si="67"/>
        <v>1.4448235854232319</v>
      </c>
      <c r="AB239">
        <f>IFERROR(V144+MATCH(AA239,V239:Z239,0)-1,"")</f>
        <v>2016</v>
      </c>
      <c r="AC239" t="str">
        <f t="shared" si="68"/>
        <v>High</v>
      </c>
      <c r="AE239">
        <f>IF(ISNUMBER(MATCH("N/A",J239:N239,0)),"",IFERROR((5 * SUMPRODUCT(J144:N144,J239:N239) - PRODUCT(SUM(J144:N144),SUM(J239:N239))) / ((5 * SUM((J144^2)+(K144^2)+(L144^2)+(M144^2)+(N144^2))) - SUM(J144:N144)^2),""))</f>
        <v>9140000</v>
      </c>
      <c r="AF239">
        <f>IFERROR(CORREL(J144:N144,J239:N239),"")</f>
        <v>0.92940556378981465</v>
      </c>
      <c r="AZ239">
        <f t="shared" si="69"/>
        <v>1</v>
      </c>
      <c r="BA239" t="str">
        <f>IF(AZ239=1,IF(Q239="","",IF(Q239=N144,"Yes","No")),"")</f>
        <v>Yes</v>
      </c>
      <c r="BB239">
        <f t="shared" si="70"/>
        <v>108880000</v>
      </c>
      <c r="BC239" t="str">
        <f>IF(AZ239=1,IF(S239="","",IF(S239=N144,"Yes","No")),"")</f>
        <v>No</v>
      </c>
      <c r="BD239" t="str">
        <f t="shared" si="71"/>
        <v/>
      </c>
      <c r="BE239" t="str">
        <f t="shared" si="72"/>
        <v>Increasing</v>
      </c>
      <c r="BF239" t="str">
        <f t="shared" si="73"/>
        <v>Yes</v>
      </c>
      <c r="BG239" t="str">
        <f t="shared" si="74"/>
        <v>Yes</v>
      </c>
      <c r="BH239" t="str">
        <f t="shared" si="75"/>
        <v>Yes</v>
      </c>
    </row>
    <row r="240" spans="1:60" x14ac:dyDescent="0.3">
      <c r="A240" s="1">
        <v>12</v>
      </c>
      <c r="B240" t="s">
        <v>599</v>
      </c>
      <c r="C240" t="s">
        <v>1361</v>
      </c>
      <c r="D240" t="s">
        <v>1362</v>
      </c>
      <c r="E240" t="s">
        <v>1363</v>
      </c>
      <c r="F240" t="s">
        <v>1364</v>
      </c>
      <c r="G240" t="s">
        <v>1365</v>
      </c>
      <c r="I240" t="str">
        <f t="shared" si="76"/>
        <v>N/A</v>
      </c>
      <c r="J240">
        <f t="shared" si="77"/>
        <v>79560000</v>
      </c>
      <c r="K240">
        <f t="shared" si="78"/>
        <v>75390000</v>
      </c>
      <c r="L240">
        <f t="shared" si="79"/>
        <v>72810000</v>
      </c>
      <c r="M240">
        <f t="shared" si="80"/>
        <v>76790000</v>
      </c>
      <c r="N240">
        <f t="shared" si="81"/>
        <v>80510000</v>
      </c>
      <c r="P240">
        <f t="shared" si="58"/>
        <v>80510000</v>
      </c>
      <c r="Q240">
        <f>IFERROR(J144+MATCH(P240,J240:N240,0)-1,"")</f>
        <v>2016</v>
      </c>
      <c r="R240">
        <f t="shared" si="59"/>
        <v>72810000</v>
      </c>
      <c r="S240">
        <f>IFERROR(J144+MATCH(R240,J240:N240,0)-1,"")</f>
        <v>2014</v>
      </c>
      <c r="T240">
        <f t="shared" si="60"/>
        <v>77012000</v>
      </c>
      <c r="U240">
        <f t="shared" si="61"/>
        <v>3125111.1980216</v>
      </c>
      <c r="V240">
        <f t="shared" si="62"/>
        <v>0.81533098777830715</v>
      </c>
      <c r="W240">
        <f t="shared" si="63"/>
        <v>-0.51902153146641061</v>
      </c>
      <c r="X240">
        <f t="shared" si="64"/>
        <v>-1.3445921548840059</v>
      </c>
      <c r="Y240">
        <f t="shared" si="65"/>
        <v>-7.1037472247560518E-2</v>
      </c>
      <c r="Z240">
        <f t="shared" si="66"/>
        <v>1.1193201708196696</v>
      </c>
      <c r="AA240">
        <f t="shared" si="67"/>
        <v>-1.3445921548840059</v>
      </c>
      <c r="AB240">
        <f>IFERROR(V144+MATCH(AA240,V240:Z240,0)-1,"")</f>
        <v>2014</v>
      </c>
      <c r="AC240" t="str">
        <f t="shared" si="68"/>
        <v>Low</v>
      </c>
      <c r="AE240">
        <f>IF(ISNUMBER(MATCH("N/A",J240:N240,0)),"",IFERROR((5 * SUMPRODUCT(J144:N144,J240:N240) - PRODUCT(SUM(J144:N144),SUM(J240:N240))) / ((5 * SUM((J144^2)+(K144^2)+(L144^2)+(M144^2)+(N144^2))) - SUM(J144:N144)^2),""))</f>
        <v>330000</v>
      </c>
      <c r="AF240">
        <f>IFERROR(CORREL(J144:N144,J240:N240),"")</f>
        <v>0.16696231937541961</v>
      </c>
      <c r="AZ240">
        <f t="shared" si="69"/>
        <v>1</v>
      </c>
      <c r="BA240" t="str">
        <f>IF(AZ240=1,IF(Q240="","",IF(Q240=N144,"Yes","No")),"")</f>
        <v>Yes</v>
      </c>
      <c r="BB240">
        <f t="shared" si="70"/>
        <v>80510000</v>
      </c>
      <c r="BC240" t="str">
        <f>IF(AZ240=1,IF(S240="","",IF(S240=N144,"Yes","No")),"")</f>
        <v>No</v>
      </c>
      <c r="BD240" t="str">
        <f t="shared" si="71"/>
        <v/>
      </c>
      <c r="BE240" t="str">
        <f t="shared" si="72"/>
        <v>Increasing</v>
      </c>
      <c r="BF240" t="str">
        <f t="shared" si="73"/>
        <v>Yes</v>
      </c>
      <c r="BG240" t="str">
        <f t="shared" si="74"/>
        <v>No</v>
      </c>
      <c r="BH240" t="str">
        <f t="shared" si="75"/>
        <v>No</v>
      </c>
    </row>
    <row r="241" spans="1:60" x14ac:dyDescent="0.3">
      <c r="A241" s="1">
        <v>13</v>
      </c>
      <c r="B241" t="s">
        <v>604</v>
      </c>
      <c r="C241" t="s">
        <v>1366</v>
      </c>
      <c r="D241" t="s">
        <v>1367</v>
      </c>
      <c r="E241" t="s">
        <v>1368</v>
      </c>
      <c r="F241" t="s">
        <v>1369</v>
      </c>
      <c r="G241" t="s">
        <v>1370</v>
      </c>
      <c r="I241" t="str">
        <f t="shared" si="76"/>
        <v>N/A</v>
      </c>
      <c r="J241">
        <f t="shared" si="77"/>
        <v>51630000</v>
      </c>
      <c r="K241">
        <f t="shared" si="78"/>
        <v>52610000</v>
      </c>
      <c r="L241">
        <f t="shared" si="79"/>
        <v>49930000</v>
      </c>
      <c r="M241">
        <f t="shared" si="80"/>
        <v>54530000</v>
      </c>
      <c r="N241">
        <f t="shared" si="81"/>
        <v>66099999.999999993</v>
      </c>
      <c r="P241">
        <f t="shared" si="58"/>
        <v>66099999.999999993</v>
      </c>
      <c r="Q241">
        <f>IFERROR(J144+MATCH(P241,J241:N241,0)-1,"")</f>
        <v>2016</v>
      </c>
      <c r="R241">
        <f t="shared" si="59"/>
        <v>49930000</v>
      </c>
      <c r="S241">
        <f>IFERROR(J144+MATCH(R241,J241:N241,0)-1,"")</f>
        <v>2014</v>
      </c>
      <c r="T241">
        <f t="shared" si="60"/>
        <v>54960000</v>
      </c>
      <c r="U241">
        <f t="shared" si="61"/>
        <v>6445866.8928236486</v>
      </c>
      <c r="V241">
        <f t="shared" si="62"/>
        <v>-0.51661010929458928</v>
      </c>
      <c r="W241">
        <f t="shared" si="63"/>
        <v>-0.3645747017544399</v>
      </c>
      <c r="X241">
        <f t="shared" si="64"/>
        <v>-0.7803449999254608</v>
      </c>
      <c r="Y241">
        <f t="shared" si="65"/>
        <v>-6.670941351251454E-2</v>
      </c>
      <c r="Z241">
        <f t="shared" si="66"/>
        <v>1.7282392244870033</v>
      </c>
      <c r="AA241">
        <f t="shared" si="67"/>
        <v>1.7282392244870033</v>
      </c>
      <c r="AB241">
        <f>IFERROR(V144+MATCH(AA241,V241:Z241,0)-1,"")</f>
        <v>2016</v>
      </c>
      <c r="AC241" t="str">
        <f t="shared" si="68"/>
        <v>High</v>
      </c>
      <c r="AE241">
        <f>IF(ISNUMBER(MATCH("N/A",J241:N241,0)),"",IFERROR((5 * SUMPRODUCT(J144:N144,J241:N241) - PRODUCT(SUM(J144:N144),SUM(J241:N241))) / ((5 * SUM((J144^2)+(K144^2)+(L144^2)+(M144^2)+(N144^2))) - SUM(J144:N144)^2),""))</f>
        <v>3086000</v>
      </c>
      <c r="AF241">
        <f>IFERROR(CORREL(J144:N144,J241:N241),"")</f>
        <v>0.75698032720349318</v>
      </c>
      <c r="AZ241">
        <f t="shared" si="69"/>
        <v>1</v>
      </c>
      <c r="BA241" t="str">
        <f>IF(AZ241=1,IF(Q241="","",IF(Q241=N144,"Yes","No")),"")</f>
        <v>Yes</v>
      </c>
      <c r="BB241">
        <f t="shared" si="70"/>
        <v>66099999.999999993</v>
      </c>
      <c r="BC241" t="str">
        <f>IF(AZ241=1,IF(S241="","",IF(S241=N144,"Yes","No")),"")</f>
        <v>No</v>
      </c>
      <c r="BD241" t="str">
        <f t="shared" si="71"/>
        <v/>
      </c>
      <c r="BE241" t="str">
        <f t="shared" si="72"/>
        <v>Increasing</v>
      </c>
      <c r="BF241" t="str">
        <f t="shared" si="73"/>
        <v>Yes</v>
      </c>
      <c r="BG241" t="str">
        <f t="shared" si="74"/>
        <v>No</v>
      </c>
      <c r="BH241" t="str">
        <f t="shared" si="75"/>
        <v>No</v>
      </c>
    </row>
    <row r="242" spans="1:60" x14ac:dyDescent="0.3">
      <c r="A242" s="1">
        <v>14</v>
      </c>
      <c r="B242" t="s">
        <v>610</v>
      </c>
      <c r="C242" t="s">
        <v>1371</v>
      </c>
      <c r="D242" t="s">
        <v>1372</v>
      </c>
      <c r="E242" t="s">
        <v>1373</v>
      </c>
      <c r="F242" t="s">
        <v>1369</v>
      </c>
      <c r="G242" t="s">
        <v>1370</v>
      </c>
      <c r="I242" t="str">
        <f t="shared" si="76"/>
        <v>N/A</v>
      </c>
      <c r="J242">
        <f t="shared" si="77"/>
        <v>48630000</v>
      </c>
      <c r="K242">
        <f t="shared" si="78"/>
        <v>8810000</v>
      </c>
      <c r="L242">
        <f t="shared" si="79"/>
        <v>5430000</v>
      </c>
      <c r="M242">
        <f t="shared" si="80"/>
        <v>54530000</v>
      </c>
      <c r="N242">
        <f t="shared" si="81"/>
        <v>66099999.999999993</v>
      </c>
      <c r="P242">
        <f t="shared" si="58"/>
        <v>66099999.999999993</v>
      </c>
      <c r="Q242">
        <f>IFERROR(J144+MATCH(P242,J242:N242,0)-1,"")</f>
        <v>2016</v>
      </c>
      <c r="R242">
        <f t="shared" si="59"/>
        <v>5430000</v>
      </c>
      <c r="S242">
        <f>IFERROR(J144+MATCH(R242,J242:N242,0)-1,"")</f>
        <v>2014</v>
      </c>
      <c r="T242">
        <f t="shared" si="60"/>
        <v>36700000</v>
      </c>
      <c r="U242">
        <f t="shared" si="61"/>
        <v>27750039.639611326</v>
      </c>
      <c r="V242">
        <f t="shared" si="62"/>
        <v>0.42990929580405796</v>
      </c>
      <c r="W242">
        <f t="shared" si="63"/>
        <v>-1.0050436093860164</v>
      </c>
      <c r="X242">
        <f t="shared" si="64"/>
        <v>-1.1268452371997395</v>
      </c>
      <c r="Y242">
        <f t="shared" si="65"/>
        <v>0.64252160470966924</v>
      </c>
      <c r="Z242">
        <f t="shared" si="66"/>
        <v>1.0594579460720286</v>
      </c>
      <c r="AA242">
        <f t="shared" si="67"/>
        <v>-1.1268452371997395</v>
      </c>
      <c r="AB242">
        <f>IFERROR(V144+MATCH(AA242,V242:Z242,0)-1,"")</f>
        <v>2014</v>
      </c>
      <c r="AC242" t="str">
        <f t="shared" si="68"/>
        <v>Low</v>
      </c>
      <c r="AE242">
        <f>IF(ISNUMBER(MATCH("N/A",J242:N242,0)),"",IFERROR((5 * SUMPRODUCT(J144:N144,J242:N242) - PRODUCT(SUM(J144:N144),SUM(J242:N242))) / ((5 * SUM((J144^2)+(K144^2)+(L144^2)+(M144^2)+(N144^2))) - SUM(J144:N144)^2),""))</f>
        <v>8066000</v>
      </c>
      <c r="AF242">
        <f>IFERROR(CORREL(J144:N144,J242:N242),"")</f>
        <v>0.45958369678342198</v>
      </c>
      <c r="AZ242">
        <f t="shared" si="69"/>
        <v>1</v>
      </c>
      <c r="BA242" t="str">
        <f>IF(AZ242=1,IF(Q242="","",IF(Q242=N144,"Yes","No")),"")</f>
        <v>Yes</v>
      </c>
      <c r="BB242">
        <f t="shared" si="70"/>
        <v>66099999.999999993</v>
      </c>
      <c r="BC242" t="str">
        <f>IF(AZ242=1,IF(S242="","",IF(S242=N144,"Yes","No")),"")</f>
        <v>No</v>
      </c>
      <c r="BD242" t="str">
        <f t="shared" si="71"/>
        <v/>
      </c>
      <c r="BE242" t="str">
        <f t="shared" si="72"/>
        <v>Increasing</v>
      </c>
      <c r="BF242" t="str">
        <f t="shared" si="73"/>
        <v>Yes</v>
      </c>
      <c r="BG242" t="str">
        <f t="shared" si="74"/>
        <v>No</v>
      </c>
      <c r="BH242" t="str">
        <f t="shared" si="75"/>
        <v>No</v>
      </c>
    </row>
    <row r="243" spans="1:60" x14ac:dyDescent="0.3">
      <c r="A243" s="1">
        <v>15</v>
      </c>
      <c r="B243" t="s">
        <v>613</v>
      </c>
      <c r="C243" t="s">
        <v>1374</v>
      </c>
      <c r="D243" t="s">
        <v>276</v>
      </c>
      <c r="E243" t="s">
        <v>705</v>
      </c>
      <c r="F243" t="s">
        <v>1375</v>
      </c>
      <c r="G243" t="s">
        <v>1376</v>
      </c>
      <c r="I243" t="str">
        <f t="shared" si="76"/>
        <v>N/A</v>
      </c>
      <c r="J243">
        <f t="shared" si="77"/>
        <v>1030000000</v>
      </c>
      <c r="K243">
        <f t="shared" si="78"/>
        <v>1020000000</v>
      </c>
      <c r="L243">
        <f t="shared" si="79"/>
        <v>1130000000</v>
      </c>
      <c r="M243">
        <f t="shared" si="80"/>
        <v>1260000000</v>
      </c>
      <c r="N243">
        <f t="shared" si="81"/>
        <v>1310000000</v>
      </c>
      <c r="P243">
        <f t="shared" si="58"/>
        <v>1310000000</v>
      </c>
      <c r="Q243">
        <f>IFERROR(J144+MATCH(P243,J243:N243,0)-1,"")</f>
        <v>2016</v>
      </c>
      <c r="R243">
        <f t="shared" si="59"/>
        <v>1020000000</v>
      </c>
      <c r="S243">
        <f>IFERROR(J144+MATCH(R243,J243:N243,0)-1,"")</f>
        <v>2013</v>
      </c>
      <c r="T243">
        <f t="shared" si="60"/>
        <v>1150000000</v>
      </c>
      <c r="U243">
        <f t="shared" si="61"/>
        <v>131719398.72319491</v>
      </c>
      <c r="V243">
        <f t="shared" si="62"/>
        <v>-0.91102754160134802</v>
      </c>
      <c r="W243">
        <f t="shared" si="63"/>
        <v>-0.9869465034014604</v>
      </c>
      <c r="X243">
        <f t="shared" si="64"/>
        <v>-0.15183792360022466</v>
      </c>
      <c r="Y243">
        <f t="shared" si="65"/>
        <v>0.83510857980123565</v>
      </c>
      <c r="Z243">
        <f t="shared" si="66"/>
        <v>1.2147033888017973</v>
      </c>
      <c r="AA243">
        <f t="shared" si="67"/>
        <v>1.2147033888017973</v>
      </c>
      <c r="AB243">
        <f>IFERROR(V144+MATCH(AA243,V243:Z243,0)-1,"")</f>
        <v>2016</v>
      </c>
      <c r="AC243" t="str">
        <f t="shared" si="68"/>
        <v>High</v>
      </c>
      <c r="AE243">
        <f>IF(ISNUMBER(MATCH("N/A",J243:N243,0)),"",IFERROR((5 * SUMPRODUCT(J144:N144,J243:N243) - PRODUCT(SUM(J144:N144),SUM(J243:N243))) / ((5 * SUM((J144^2)+(K144^2)+(L144^2)+(M144^2)+(N144^2))) - SUM(J144:N144)^2),""))</f>
        <v>80000000</v>
      </c>
      <c r="AF243">
        <f>IFERROR(CORREL(J144:N144,J243:N243),"")</f>
        <v>0.96030734753468727</v>
      </c>
      <c r="AZ243">
        <f t="shared" si="69"/>
        <v>1</v>
      </c>
      <c r="BA243" t="str">
        <f>IF(AZ243=1,IF(Q243="","",IF(Q243=N144,"Yes","No")),"")</f>
        <v>Yes</v>
      </c>
      <c r="BB243">
        <f t="shared" si="70"/>
        <v>1310000000</v>
      </c>
      <c r="BC243" t="str">
        <f>IF(AZ243=1,IF(S243="","",IF(S243=N144,"Yes","No")),"")</f>
        <v>No</v>
      </c>
      <c r="BD243" t="str">
        <f t="shared" si="71"/>
        <v/>
      </c>
      <c r="BE243" t="str">
        <f t="shared" si="72"/>
        <v>Increasing</v>
      </c>
      <c r="BF243" t="str">
        <f t="shared" si="73"/>
        <v>Yes</v>
      </c>
      <c r="BG243" t="str">
        <f t="shared" si="74"/>
        <v>No</v>
      </c>
      <c r="BH243" t="str">
        <f t="shared" si="75"/>
        <v>Yes</v>
      </c>
    </row>
    <row r="244" spans="1:60" x14ac:dyDescent="0.3">
      <c r="A244" s="1">
        <v>16</v>
      </c>
      <c r="B244" t="s">
        <v>618</v>
      </c>
      <c r="C244" t="s">
        <v>264</v>
      </c>
      <c r="D244" t="s">
        <v>1377</v>
      </c>
      <c r="E244" t="s">
        <v>1378</v>
      </c>
      <c r="F244" t="s">
        <v>119</v>
      </c>
      <c r="G244" t="s">
        <v>1379</v>
      </c>
      <c r="I244" t="str">
        <f t="shared" si="76"/>
        <v>N/A</v>
      </c>
      <c r="J244" t="str">
        <f t="shared" si="77"/>
        <v>N/A</v>
      </c>
      <c r="K244">
        <f t="shared" si="78"/>
        <v>-1.66E-2</v>
      </c>
      <c r="L244">
        <f t="shared" si="79"/>
        <v>0.1084</v>
      </c>
      <c r="M244">
        <f t="shared" si="80"/>
        <v>0.12</v>
      </c>
      <c r="N244">
        <f t="shared" si="81"/>
        <v>3.73E-2</v>
      </c>
      <c r="P244">
        <f t="shared" si="58"/>
        <v>0.12</v>
      </c>
      <c r="Q244">
        <f>IFERROR(J144+MATCH(P244,J244:N244,0)-1,"")</f>
        <v>2015</v>
      </c>
      <c r="R244">
        <f t="shared" si="59"/>
        <v>-1.66E-2</v>
      </c>
      <c r="S244">
        <f>IFERROR(J144+MATCH(R244,J244:N244,0)-1,"")</f>
        <v>2013</v>
      </c>
      <c r="T244">
        <f t="shared" si="60"/>
        <v>6.2274999999999997E-2</v>
      </c>
      <c r="U244">
        <f t="shared" si="61"/>
        <v>6.4043494335230239E-2</v>
      </c>
      <c r="V244" t="str">
        <f t="shared" si="62"/>
        <v/>
      </c>
      <c r="W244">
        <f t="shared" si="63"/>
        <v>-1.2315848911543692</v>
      </c>
      <c r="X244">
        <f t="shared" si="64"/>
        <v>0.72021366851974999</v>
      </c>
      <c r="Y244">
        <f t="shared" si="65"/>
        <v>0.90134057485750829</v>
      </c>
      <c r="Z244">
        <f t="shared" si="66"/>
        <v>-0.38996935222288898</v>
      </c>
      <c r="AA244">
        <f t="shared" si="67"/>
        <v>-1.2315848911543692</v>
      </c>
      <c r="AB244">
        <f>IFERROR(V144+MATCH(AA244,V244:Z244,0)-1,"")</f>
        <v>2013</v>
      </c>
      <c r="AC244" t="str">
        <f t="shared" si="68"/>
        <v>Low</v>
      </c>
      <c r="AE244" t="str">
        <f>IF(ISNUMBER(MATCH("N/A",J244:N244,0)),"",IFERROR((5 * SUMPRODUCT(J144:N144,J244:N244) - PRODUCT(SUM(J144:N144),SUM(J244:N244))) / ((5 * SUM((J144^2)+(K144^2)+(L144^2)+(M144^2)+(N144^2))) - SUM(J144:N144)^2),""))</f>
        <v/>
      </c>
      <c r="AF244">
        <f>IFERROR(CORREL(J144:N144,J244:N244),"")</f>
        <v>0.349339679678974</v>
      </c>
      <c r="AZ244">
        <f t="shared" si="69"/>
        <v>1</v>
      </c>
      <c r="BA244" t="str">
        <f>IF(AZ244=1,IF(Q244="","",IF(Q244=N144,"Yes","No")),"")</f>
        <v>No</v>
      </c>
      <c r="BB244" t="str">
        <f t="shared" si="70"/>
        <v/>
      </c>
      <c r="BC244" t="str">
        <f>IF(AZ244=1,IF(S244="","",IF(S244=N144,"Yes","No")),"")</f>
        <v>No</v>
      </c>
      <c r="BD244" t="str">
        <f t="shared" si="71"/>
        <v/>
      </c>
      <c r="BE244" t="str">
        <f t="shared" si="72"/>
        <v/>
      </c>
      <c r="BF244" t="str">
        <f t="shared" si="73"/>
        <v>No</v>
      </c>
      <c r="BG244" t="str">
        <f t="shared" si="74"/>
        <v>No</v>
      </c>
      <c r="BH244" t="str">
        <f t="shared" si="75"/>
        <v>No</v>
      </c>
    </row>
    <row r="245" spans="1:60" x14ac:dyDescent="0.3">
      <c r="I245" t="str">
        <f t="shared" si="76"/>
        <v>N/A</v>
      </c>
      <c r="J245" t="str">
        <f t="shared" si="77"/>
        <v>N/A</v>
      </c>
      <c r="K245" t="str">
        <f t="shared" si="78"/>
        <v>N/A</v>
      </c>
      <c r="L245" t="str">
        <f t="shared" si="79"/>
        <v>N/A</v>
      </c>
      <c r="M245" t="str">
        <f t="shared" si="80"/>
        <v>N/A</v>
      </c>
      <c r="N245" t="str">
        <f t="shared" si="81"/>
        <v>N/A</v>
      </c>
      <c r="P245">
        <f t="shared" si="58"/>
        <v>0</v>
      </c>
      <c r="Q245" t="str">
        <f>IFERROR(J144+MATCH(P245,J245:N245,0)-1,"")</f>
        <v/>
      </c>
      <c r="R245" t="str">
        <f t="shared" si="59"/>
        <v/>
      </c>
      <c r="S245" t="str">
        <f>IFERROR(J144+MATCH(R245,J245:N245,0)-1,"")</f>
        <v/>
      </c>
      <c r="T245" t="str">
        <f t="shared" si="60"/>
        <v/>
      </c>
      <c r="U245" t="str">
        <f t="shared" si="61"/>
        <v/>
      </c>
      <c r="V245" t="str">
        <f t="shared" si="62"/>
        <v/>
      </c>
      <c r="W245" t="str">
        <f t="shared" si="63"/>
        <v/>
      </c>
      <c r="X245" t="str">
        <f t="shared" si="64"/>
        <v/>
      </c>
      <c r="Y245" t="str">
        <f t="shared" si="65"/>
        <v/>
      </c>
      <c r="Z245" t="str">
        <f t="shared" si="66"/>
        <v/>
      </c>
      <c r="AA245">
        <f t="shared" si="67"/>
        <v>0</v>
      </c>
      <c r="AB245" t="str">
        <f>IFERROR(V144+MATCH(AA245,V245:Z245,0)-1,"")</f>
        <v/>
      </c>
      <c r="AC245" t="str">
        <f t="shared" si="68"/>
        <v/>
      </c>
      <c r="AE245" t="str">
        <f>IF(ISNUMBER(MATCH("N/A",J245:N245,0)),"",IFERROR((5 * SUMPRODUCT(J144:N144,J245:N245) - PRODUCT(SUM(J144:N144),SUM(J245:N245))) / ((5 * SUM((J144^2)+(K144^2)+(L144^2)+(M144^2)+(N144^2))) - SUM(J144:N144)^2),""))</f>
        <v/>
      </c>
      <c r="AF245" t="str">
        <f>IFERROR(CORREL(J144:N144,J245:N245),"")</f>
        <v/>
      </c>
      <c r="AZ245">
        <f t="shared" si="69"/>
        <v>0</v>
      </c>
      <c r="BA245" t="str">
        <f>IF(AZ245=1,IF(Q245="","",IF(Q245=N144,"Yes","No")),"")</f>
        <v/>
      </c>
      <c r="BB245" t="str">
        <f t="shared" si="70"/>
        <v/>
      </c>
      <c r="BC245" t="str">
        <f>IF(AZ245=1,IF(S245="","",IF(S245=N144,"Yes","No")),"")</f>
        <v/>
      </c>
      <c r="BD245" t="str">
        <f t="shared" si="71"/>
        <v/>
      </c>
      <c r="BE245" t="str">
        <f t="shared" si="72"/>
        <v/>
      </c>
      <c r="BF245" t="str">
        <f t="shared" si="73"/>
        <v>No</v>
      </c>
      <c r="BG245" t="str">
        <f t="shared" si="74"/>
        <v>No</v>
      </c>
      <c r="BH245" t="str">
        <f t="shared" si="75"/>
        <v/>
      </c>
    </row>
    <row r="246" spans="1:60" x14ac:dyDescent="0.3">
      <c r="B246" s="1" t="s">
        <v>316</v>
      </c>
      <c r="C246" s="1" t="s">
        <v>252</v>
      </c>
      <c r="D246" s="1" t="s">
        <v>253</v>
      </c>
      <c r="E246" s="1" t="s">
        <v>254</v>
      </c>
      <c r="F246" s="1" t="s">
        <v>255</v>
      </c>
      <c r="G246" s="1" t="s">
        <v>256</v>
      </c>
      <c r="H246" s="1" t="s">
        <v>257</v>
      </c>
      <c r="P246">
        <f t="shared" si="58"/>
        <v>0</v>
      </c>
      <c r="Q246" t="str">
        <f>IFERROR(J144+MATCH(P246,J246:N246,0)-1,"")</f>
        <v/>
      </c>
      <c r="R246" t="str">
        <f t="shared" si="59"/>
        <v/>
      </c>
      <c r="S246" t="str">
        <f>IFERROR(J144+MATCH(R246,J246:N246,0)-1,"")</f>
        <v/>
      </c>
      <c r="T246" t="str">
        <f t="shared" si="60"/>
        <v/>
      </c>
      <c r="U246" t="str">
        <f t="shared" si="61"/>
        <v/>
      </c>
      <c r="V246" t="str">
        <f t="shared" si="62"/>
        <v/>
      </c>
      <c r="W246" t="str">
        <f t="shared" si="63"/>
        <v/>
      </c>
      <c r="X246" t="str">
        <f t="shared" si="64"/>
        <v/>
      </c>
      <c r="Y246" t="str">
        <f t="shared" si="65"/>
        <v/>
      </c>
      <c r="Z246" t="str">
        <f t="shared" si="66"/>
        <v/>
      </c>
      <c r="AA246">
        <f t="shared" si="67"/>
        <v>0</v>
      </c>
      <c r="AB246" t="str">
        <f>IFERROR(V144+MATCH(AA246,V246:Z246,0)-1,"")</f>
        <v/>
      </c>
      <c r="AC246" t="str">
        <f t="shared" si="68"/>
        <v/>
      </c>
      <c r="AE246">
        <f>IF(ISNUMBER(MATCH("N/A",J246:N246,0)),"",IFERROR((5 * SUMPRODUCT(J144:N144,J246:N246) - PRODUCT(SUM(J144:N144),SUM(J246:N246))) / ((5 * SUM((J144^2)+(K144^2)+(L144^2)+(M144^2)+(N144^2))) - SUM(J144:N144)^2),""))</f>
        <v>0</v>
      </c>
      <c r="AF246" t="str">
        <f>IFERROR(CORREL(J144:N144,J246:N246),"")</f>
        <v/>
      </c>
      <c r="AZ246">
        <f t="shared" si="69"/>
        <v>0</v>
      </c>
      <c r="BA246" t="str">
        <f>IF(AZ246=1,IF(Q246="","",IF(Q246=N144,"Yes","No")),"")</f>
        <v/>
      </c>
      <c r="BB246" t="str">
        <f t="shared" si="70"/>
        <v/>
      </c>
      <c r="BC246" t="str">
        <f>IF(AZ246=1,IF(S246="","",IF(S246=N144,"Yes","No")),"")</f>
        <v/>
      </c>
      <c r="BD246" t="str">
        <f t="shared" si="71"/>
        <v/>
      </c>
      <c r="BE246" t="str">
        <f t="shared" si="72"/>
        <v/>
      </c>
      <c r="BF246" t="str">
        <f t="shared" si="73"/>
        <v>No</v>
      </c>
      <c r="BG246" t="str">
        <f t="shared" si="74"/>
        <v>No</v>
      </c>
      <c r="BH246" t="str">
        <f t="shared" si="75"/>
        <v/>
      </c>
    </row>
    <row r="247" spans="1:60" x14ac:dyDescent="0.3">
      <c r="A247" s="1">
        <v>0</v>
      </c>
      <c r="B247" t="s">
        <v>623</v>
      </c>
      <c r="C247" t="s">
        <v>1380</v>
      </c>
      <c r="D247" t="s">
        <v>1381</v>
      </c>
      <c r="E247" t="s">
        <v>1382</v>
      </c>
      <c r="F247" t="s">
        <v>1383</v>
      </c>
      <c r="G247" t="s">
        <v>1384</v>
      </c>
      <c r="I247" t="str">
        <f t="shared" ref="I247:I270" si="82">IF(AND(K247&gt; J247, L247&gt; K247, M247&gt; L247, N247&gt; M247), "pos_trend", IF(AND(K247&lt; J247, L247&lt; K247, M247&lt; L247, N247&lt; M247), "neg_trend", "N/A"))</f>
        <v>N/A</v>
      </c>
      <c r="J247">
        <f t="shared" ref="J247:J270" si="83">IFERROR(IF(TRIM(C247)="-", "N/A", IF(RIGHT(C247,1)=")",IF(RIGHT(C247,2)="T)",-1000000000000*VALUE(MID(C247,2,LEN(C247)-3)),IF(RIGHT(C247,2)="M)",-1000000*VALUE(MID(C247,2,LEN(C247)-3)),IF(RIGHT(C247,2)="B)",-1000000000*VALUE(MID(C247,2,LEN(C247)-3)),IF(RIGHT(C247,2)="k)",-1000*VALUE(MID(C247,2,LEN(C247)-3)),VALUE(SUBSTITUTE(C247,",","")))))),IF(RIGHT(C247,1)="T",1000000000000*VALUE(LEFT(C247,LEN(C247)-1)),IF(RIGHT(C247,1)="M",1000000*VALUE(LEFT(C247,LEN(C247)-1)),IF(RIGHT(C247,1)="B",1000000000*VALUE(LEFT(C247,LEN(C247)-1)),IF(RIGHT(C247,1)="%",0.01*VALUE(LEFT(C247,LEN(C247)-1)),IF(RIGHT(C247,1)="k",1000*VALUE(LEFT(C247,LEN(C247)-1)),VALUE(SUBSTITUTE(C247,",",""))))))))),"N/A")</f>
        <v>56690000</v>
      </c>
      <c r="K247">
        <f t="shared" ref="K247:K270" si="84">IFERROR(IF(TRIM(D247)="-", "N/A", IF(RIGHT(D247,1)=")",IF(RIGHT(D247,2)="T)",-1000000000000*VALUE(MID(D247,2,LEN(D247)-3)),IF(RIGHT(D247,2)="M)",-1000000*VALUE(MID(D247,2,LEN(D247)-3)),IF(RIGHT(D247,2)="B)",-1000000000*VALUE(MID(D247,2,LEN(D247)-3)),IF(RIGHT(D247,2)="k)",-1000*VALUE(MID(D247,2,LEN(D247)-3)),VALUE(SUBSTITUTE(D247,",","")))))),IF(RIGHT(D247,1)="T",1000000000000*VALUE(LEFT(D247,LEN(D247)-1)),IF(RIGHT(D247,1)="M",1000000*VALUE(LEFT(D247,LEN(D247)-1)),IF(RIGHT(D247,1)="B",1000000000*VALUE(LEFT(D247,LEN(D247)-1)),IF(RIGHT(D247,1)="%",0.01*VALUE(LEFT(D247,LEN(D247)-1)),IF(RIGHT(D247,1)="k",1000*VALUE(LEFT(D247,LEN(D247)-1)),VALUE(SUBSTITUTE(D247,",",""))))))))),"N/A")</f>
        <v>45120000</v>
      </c>
      <c r="L247">
        <f t="shared" ref="L247:L270" si="85">IFERROR(IF(TRIM(E247)="-", "N/A", IF(RIGHT(E247,1)=")",IF(RIGHT(E247,2)="T)",-1000000000000*VALUE(MID(E247,2,LEN(E247)-3)),IF(RIGHT(E247,2)="M)",-1000000*VALUE(MID(E247,2,LEN(E247)-3)),IF(RIGHT(E247,2)="B)",-1000000000*VALUE(MID(E247,2,LEN(E247)-3)),IF(RIGHT(E247,2)="k)",-1000*VALUE(MID(E247,2,LEN(E247)-3)),VALUE(SUBSTITUTE(E247,",","")))))),IF(RIGHT(E247,1)="T",1000000000000*VALUE(LEFT(E247,LEN(E247)-1)),IF(RIGHT(E247,1)="M",1000000*VALUE(LEFT(E247,LEN(E247)-1)),IF(RIGHT(E247,1)="B",1000000000*VALUE(LEFT(E247,LEN(E247)-1)),IF(RIGHT(E247,1)="%",0.01*VALUE(LEFT(E247,LEN(E247)-1)),IF(RIGHT(E247,1)="k",1000*VALUE(LEFT(E247,LEN(E247)-1)),VALUE(SUBSTITUTE(E247,",",""))))))))),"N/A")</f>
        <v>41350000</v>
      </c>
      <c r="M247">
        <f t="shared" ref="M247:M270" si="86">IFERROR(IF(TRIM(F247)="-", "N/A", IF(RIGHT(F247,1)=")",IF(RIGHT(F247,2)="T)",-1000000000000*VALUE(MID(F247,2,LEN(F247)-3)),IF(RIGHT(F247,2)="M)",-1000000*VALUE(MID(F247,2,LEN(F247)-3)),IF(RIGHT(F247,2)="B)",-1000000000*VALUE(MID(F247,2,LEN(F247)-3)),IF(RIGHT(F247,2)="k)",-1000*VALUE(MID(F247,2,LEN(F247)-3)),VALUE(SUBSTITUTE(F247,",","")))))),IF(RIGHT(F247,1)="T",1000000000000*VALUE(LEFT(F247,LEN(F247)-1)),IF(RIGHT(F247,1)="M",1000000*VALUE(LEFT(F247,LEN(F247)-1)),IF(RIGHT(F247,1)="B",1000000000*VALUE(LEFT(F247,LEN(F247)-1)),IF(RIGHT(F247,1)="%",0.01*VALUE(LEFT(F247,LEN(F247)-1)),IF(RIGHT(F247,1)="k",1000*VALUE(LEFT(F247,LEN(F247)-1)),VALUE(SUBSTITUTE(F247,",",""))))))))),"N/A")</f>
        <v>44910000</v>
      </c>
      <c r="N247">
        <f t="shared" ref="N247:N270" si="87">IFERROR(IF(TRIM(G247)="-", "N/A", IF(RIGHT(G247,1)=")",IF(RIGHT(G247,2)="T)",-1000000000000*VALUE(MID(G247,2,LEN(G247)-3)),IF(RIGHT(G247,2)="M)",-1000000*VALUE(MID(G247,2,LEN(G247)-3)),IF(RIGHT(G247,2)="B)",-1000000000*VALUE(MID(G247,2,LEN(G247)-3)),IF(RIGHT(G247,2)="k)",-1000*VALUE(MID(G247,2,LEN(G247)-3)),VALUE(SUBSTITUTE(G247,",","")))))),IF(RIGHT(G247,1)="T",1000000000000*VALUE(LEFT(G247,LEN(G247)-1)),IF(RIGHT(G247,1)="M",1000000*VALUE(LEFT(G247,LEN(G247)-1)),IF(RIGHT(G247,1)="B",1000000000*VALUE(LEFT(G247,LEN(G247)-1)),IF(RIGHT(G247,1)="%",0.01*VALUE(LEFT(G247,LEN(G247)-1)),IF(RIGHT(G247,1)="k",1000*VALUE(LEFT(G247,LEN(G247)-1)),VALUE(SUBSTITUTE(G247,",",""))))))))),"N/A")</f>
        <v>64140000</v>
      </c>
      <c r="P247">
        <f t="shared" si="58"/>
        <v>64140000</v>
      </c>
      <c r="Q247">
        <f>IFERROR(J144+MATCH(P247,J247:N247,0)-1,"")</f>
        <v>2016</v>
      </c>
      <c r="R247">
        <f t="shared" si="59"/>
        <v>41350000</v>
      </c>
      <c r="S247">
        <f>IFERROR(J144+MATCH(R247,J247:N247,0)-1,"")</f>
        <v>2014</v>
      </c>
      <c r="T247">
        <f t="shared" si="60"/>
        <v>50442000</v>
      </c>
      <c r="U247">
        <f t="shared" si="61"/>
        <v>9595101.3543370143</v>
      </c>
      <c r="V247">
        <f t="shared" si="62"/>
        <v>0.65116560724769057</v>
      </c>
      <c r="W247">
        <f t="shared" si="63"/>
        <v>-0.55465802845265832</v>
      </c>
      <c r="X247">
        <f t="shared" si="64"/>
        <v>-0.94756685356850234</v>
      </c>
      <c r="Y247">
        <f t="shared" si="65"/>
        <v>-0.57654419642993349</v>
      </c>
      <c r="Z247">
        <f t="shared" si="66"/>
        <v>1.4276034712034036</v>
      </c>
      <c r="AA247">
        <f t="shared" si="67"/>
        <v>1.4276034712034036</v>
      </c>
      <c r="AB247">
        <f>IFERROR(V144+MATCH(AA247,V247:Z247,0)-1,"")</f>
        <v>2016</v>
      </c>
      <c r="AC247" t="str">
        <f t="shared" si="68"/>
        <v>High</v>
      </c>
      <c r="AE247">
        <f>IF(ISNUMBER(MATCH("N/A",J247:N247,0)),"",IFERROR((5 * SUMPRODUCT(J144:N144,J247:N247) - PRODUCT(SUM(J144:N144),SUM(J247:N247))) / ((5 * SUM((J144^2)+(K144^2)+(L144^2)+(M144^2)+(N144^2))) - SUM(J144:N144)^2),""))</f>
        <v>1469000</v>
      </c>
      <c r="AF247">
        <f>IFERROR(CORREL(J144:N144,J247:N247),"")</f>
        <v>0.24207070416653917</v>
      </c>
      <c r="AZ247">
        <f t="shared" si="69"/>
        <v>1</v>
      </c>
      <c r="BA247" t="str">
        <f>IF(AZ247=1,IF(Q247="","",IF(Q247=N144,"Yes","No")),"")</f>
        <v>Yes</v>
      </c>
      <c r="BB247">
        <f t="shared" si="70"/>
        <v>64140000</v>
      </c>
      <c r="BC247" t="str">
        <f>IF(AZ247=1,IF(S247="","",IF(S247=N144,"Yes","No")),"")</f>
        <v>No</v>
      </c>
      <c r="BD247" t="str">
        <f t="shared" si="71"/>
        <v/>
      </c>
      <c r="BE247" t="str">
        <f t="shared" si="72"/>
        <v>Increasing</v>
      </c>
      <c r="BF247" t="str">
        <f t="shared" si="73"/>
        <v>Yes</v>
      </c>
      <c r="BG247" t="str">
        <f t="shared" si="74"/>
        <v>No</v>
      </c>
      <c r="BH247" t="str">
        <f t="shared" si="75"/>
        <v>No</v>
      </c>
    </row>
    <row r="248" spans="1:60" x14ac:dyDescent="0.3">
      <c r="A248" s="1">
        <v>1</v>
      </c>
      <c r="B248" t="s">
        <v>628</v>
      </c>
      <c r="C248" t="s">
        <v>1385</v>
      </c>
      <c r="D248" t="s">
        <v>1386</v>
      </c>
      <c r="E248" t="s">
        <v>1387</v>
      </c>
      <c r="F248" t="s">
        <v>264</v>
      </c>
      <c r="G248" t="s">
        <v>264</v>
      </c>
      <c r="I248" t="str">
        <f t="shared" si="82"/>
        <v>N/A</v>
      </c>
      <c r="J248">
        <f t="shared" si="83"/>
        <v>13650000</v>
      </c>
      <c r="K248">
        <f t="shared" si="84"/>
        <v>13610000</v>
      </c>
      <c r="L248">
        <f t="shared" si="85"/>
        <v>16100000.000000002</v>
      </c>
      <c r="M248" t="str">
        <f t="shared" si="86"/>
        <v>N/A</v>
      </c>
      <c r="N248" t="str">
        <f t="shared" si="87"/>
        <v>N/A</v>
      </c>
      <c r="P248">
        <f t="shared" si="58"/>
        <v>16100000.000000002</v>
      </c>
      <c r="Q248">
        <f>IFERROR(J144+MATCH(P248,J248:N248,0)-1,"")</f>
        <v>2014</v>
      </c>
      <c r="R248">
        <f t="shared" si="59"/>
        <v>13610000</v>
      </c>
      <c r="S248">
        <f>IFERROR(J144+MATCH(R248,J248:N248,0)-1,"")</f>
        <v>2013</v>
      </c>
      <c r="T248">
        <f t="shared" si="60"/>
        <v>14453333.333333334</v>
      </c>
      <c r="U248">
        <f t="shared" si="61"/>
        <v>1426195.4050316305</v>
      </c>
      <c r="V248">
        <f t="shared" si="62"/>
        <v>-0.56327017356749753</v>
      </c>
      <c r="W248">
        <f t="shared" si="63"/>
        <v>-0.59131682121401186</v>
      </c>
      <c r="X248">
        <f t="shared" si="64"/>
        <v>1.1545869947815095</v>
      </c>
      <c r="Y248" t="str">
        <f t="shared" si="65"/>
        <v/>
      </c>
      <c r="Z248" t="str">
        <f t="shared" si="66"/>
        <v/>
      </c>
      <c r="AA248">
        <f t="shared" si="67"/>
        <v>1.1545869947815095</v>
      </c>
      <c r="AB248">
        <f>IFERROR(V144+MATCH(AA248,V248:Z248,0)-1,"")</f>
        <v>2014</v>
      </c>
      <c r="AC248" t="str">
        <f t="shared" si="68"/>
        <v>High</v>
      </c>
      <c r="AE248" t="str">
        <f>IF(ISNUMBER(MATCH("N/A",J248:N248,0)),"",IFERROR((5 * SUMPRODUCT(J144:N144,J248:N248) - PRODUCT(SUM(J144:N144),SUM(J248:N248))) / ((5 * SUM((J144^2)+(K144^2)+(L144^2)+(M144^2)+(N144^2))) - SUM(J144:N144)^2),""))</f>
        <v/>
      </c>
      <c r="AF248">
        <f>IFERROR(CORREL(J144:N144,J248:N248),"")</f>
        <v>0.85892858417450346</v>
      </c>
      <c r="AZ248">
        <f t="shared" si="69"/>
        <v>1</v>
      </c>
      <c r="BA248" t="str">
        <f>IF(AZ248=1,IF(Q248="","",IF(Q248=N144,"Yes","No")),"")</f>
        <v>No</v>
      </c>
      <c r="BB248" t="str">
        <f t="shared" si="70"/>
        <v/>
      </c>
      <c r="BC248" t="str">
        <f>IF(AZ248=1,IF(S248="","",IF(S248=N144,"Yes","No")),"")</f>
        <v>No</v>
      </c>
      <c r="BD248" t="str">
        <f t="shared" si="71"/>
        <v/>
      </c>
      <c r="BE248" t="str">
        <f t="shared" si="72"/>
        <v/>
      </c>
      <c r="BF248" t="str">
        <f t="shared" si="73"/>
        <v>No</v>
      </c>
      <c r="BG248" t="str">
        <f t="shared" si="74"/>
        <v>No</v>
      </c>
      <c r="BH248" t="str">
        <f t="shared" si="75"/>
        <v>Yes</v>
      </c>
    </row>
    <row r="249" spans="1:60" x14ac:dyDescent="0.3">
      <c r="A249" s="1">
        <v>2</v>
      </c>
      <c r="B249" t="s">
        <v>629</v>
      </c>
      <c r="C249" t="s">
        <v>1388</v>
      </c>
      <c r="D249" t="s">
        <v>1389</v>
      </c>
      <c r="E249" t="s">
        <v>1390</v>
      </c>
      <c r="F249" t="s">
        <v>1383</v>
      </c>
      <c r="G249" t="s">
        <v>1384</v>
      </c>
      <c r="I249" t="str">
        <f t="shared" si="82"/>
        <v>N/A</v>
      </c>
      <c r="J249">
        <f t="shared" si="83"/>
        <v>43040000</v>
      </c>
      <c r="K249">
        <f t="shared" si="84"/>
        <v>31510000</v>
      </c>
      <c r="L249">
        <f t="shared" si="85"/>
        <v>25260000</v>
      </c>
      <c r="M249">
        <f t="shared" si="86"/>
        <v>44910000</v>
      </c>
      <c r="N249">
        <f t="shared" si="87"/>
        <v>64140000</v>
      </c>
      <c r="P249">
        <f t="shared" si="58"/>
        <v>64140000</v>
      </c>
      <c r="Q249">
        <f>IFERROR(J144+MATCH(P249,J249:N249,0)-1,"")</f>
        <v>2016</v>
      </c>
      <c r="R249">
        <f t="shared" si="59"/>
        <v>25260000</v>
      </c>
      <c r="S249">
        <f>IFERROR(J144+MATCH(R249,J249:N249,0)-1,"")</f>
        <v>2014</v>
      </c>
      <c r="T249">
        <f t="shared" si="60"/>
        <v>41772000</v>
      </c>
      <c r="U249">
        <f t="shared" si="61"/>
        <v>14914230.452825919</v>
      </c>
      <c r="V249">
        <f t="shared" si="62"/>
        <v>8.5019472108246924E-2</v>
      </c>
      <c r="W249">
        <f t="shared" si="63"/>
        <v>-0.68806768357636428</v>
      </c>
      <c r="X249">
        <f t="shared" si="64"/>
        <v>-1.1071305389995056</v>
      </c>
      <c r="Y249">
        <f t="shared" si="65"/>
        <v>0.21040307845085082</v>
      </c>
      <c r="Z249">
        <f t="shared" si="66"/>
        <v>1.4997756720167721</v>
      </c>
      <c r="AA249">
        <f t="shared" si="67"/>
        <v>1.4997756720167721</v>
      </c>
      <c r="AB249">
        <f>IFERROR(V144+MATCH(AA249,V249:Z249,0)-1,"")</f>
        <v>2016</v>
      </c>
      <c r="AC249" t="str">
        <f t="shared" si="68"/>
        <v>High</v>
      </c>
      <c r="AE249">
        <f>IF(ISNUMBER(MATCH("N/A",J249:N249,0)),"",IFERROR((5 * SUMPRODUCT(J144:N144,J249:N249) - PRODUCT(SUM(J144:N144),SUM(J249:N249))) / ((5 * SUM((J144^2)+(K144^2)+(L144^2)+(M144^2)+(N144^2))) - SUM(J144:N144)^2),""))</f>
        <v>5560000</v>
      </c>
      <c r="AF249">
        <f>IFERROR(CORREL(J144:N144,J249:N249),"")</f>
        <v>0.58944589350919996</v>
      </c>
      <c r="AZ249">
        <f t="shared" si="69"/>
        <v>1</v>
      </c>
      <c r="BA249" t="str">
        <f>IF(AZ249=1,IF(Q249="","",IF(Q249=N144,"Yes","No")),"")</f>
        <v>Yes</v>
      </c>
      <c r="BB249">
        <f t="shared" si="70"/>
        <v>64140000</v>
      </c>
      <c r="BC249" t="str">
        <f>IF(AZ249=1,IF(S249="","",IF(S249=N144,"Yes","No")),"")</f>
        <v>No</v>
      </c>
      <c r="BD249" t="str">
        <f t="shared" si="71"/>
        <v/>
      </c>
      <c r="BE249" t="str">
        <f t="shared" si="72"/>
        <v>Increasing</v>
      </c>
      <c r="BF249" t="str">
        <f t="shared" si="73"/>
        <v>Yes</v>
      </c>
      <c r="BG249" t="str">
        <f t="shared" si="74"/>
        <v>No</v>
      </c>
      <c r="BH249" t="str">
        <f t="shared" si="75"/>
        <v>No</v>
      </c>
    </row>
    <row r="250" spans="1:60" x14ac:dyDescent="0.3">
      <c r="A250" s="1">
        <v>3</v>
      </c>
      <c r="B250" t="s">
        <v>630</v>
      </c>
      <c r="C250" t="s">
        <v>1391</v>
      </c>
      <c r="D250" t="s">
        <v>1392</v>
      </c>
      <c r="E250" t="s">
        <v>1393</v>
      </c>
      <c r="F250" t="s">
        <v>1394</v>
      </c>
      <c r="G250" t="s">
        <v>1395</v>
      </c>
      <c r="I250" t="str">
        <f t="shared" si="82"/>
        <v>pos_trend</v>
      </c>
      <c r="J250">
        <f t="shared" si="83"/>
        <v>84290000</v>
      </c>
      <c r="K250">
        <f t="shared" si="84"/>
        <v>89090000</v>
      </c>
      <c r="L250">
        <f t="shared" si="85"/>
        <v>104230000</v>
      </c>
      <c r="M250">
        <f t="shared" si="86"/>
        <v>130870000</v>
      </c>
      <c r="N250">
        <f t="shared" si="87"/>
        <v>133300000.00000001</v>
      </c>
      <c r="P250">
        <f t="shared" si="58"/>
        <v>133300000.00000001</v>
      </c>
      <c r="Q250">
        <f>IFERROR(J144+MATCH(P250,J250:N250,0)-1,"")</f>
        <v>2016</v>
      </c>
      <c r="R250">
        <f t="shared" si="59"/>
        <v>84290000</v>
      </c>
      <c r="S250">
        <f>IFERROR(J144+MATCH(R250,J250:N250,0)-1,"")</f>
        <v>2012</v>
      </c>
      <c r="T250">
        <f t="shared" si="60"/>
        <v>108356000</v>
      </c>
      <c r="U250">
        <f t="shared" si="61"/>
        <v>22893548.8729904</v>
      </c>
      <c r="V250">
        <f t="shared" si="62"/>
        <v>-1.0512131663602775</v>
      </c>
      <c r="W250">
        <f t="shared" si="63"/>
        <v>-0.84154711473020472</v>
      </c>
      <c r="X250">
        <f t="shared" si="64"/>
        <v>-0.18022544354701675</v>
      </c>
      <c r="Y250">
        <f t="shared" si="65"/>
        <v>0.98342114299988725</v>
      </c>
      <c r="Z250">
        <f t="shared" si="66"/>
        <v>1.0895645816376123</v>
      </c>
      <c r="AA250">
        <f t="shared" si="67"/>
        <v>1.0895645816376123</v>
      </c>
      <c r="AB250">
        <f>IFERROR(V144+MATCH(AA250,V250:Z250,0)-1,"")</f>
        <v>2016</v>
      </c>
      <c r="AC250" t="str">
        <f t="shared" si="68"/>
        <v>High</v>
      </c>
      <c r="AE250">
        <f>IF(ISNUMBER(MATCH("N/A",J250:N250,0)),"",IFERROR((5 * SUMPRODUCT(J144:N144,J250:N250) - PRODUCT(SUM(J144:N144),SUM(J250:N250))) / ((5 * SUM((J144^2)+(K144^2)+(L144^2)+(M144^2)+(N144^2))) - SUM(J144:N144)^2),""))</f>
        <v>13980000</v>
      </c>
      <c r="AF250">
        <f>IFERROR(CORREL(J144:N144,J250:N250),"")</f>
        <v>0.96552618238474375</v>
      </c>
      <c r="AZ250">
        <f t="shared" si="69"/>
        <v>1</v>
      </c>
      <c r="BA250" t="str">
        <f>IF(AZ250=1,IF(Q250="","",IF(Q250=N144,"Yes","No")),"")</f>
        <v>Yes</v>
      </c>
      <c r="BB250">
        <f t="shared" si="70"/>
        <v>133300000.00000001</v>
      </c>
      <c r="BC250" t="str">
        <f>IF(AZ250=1,IF(S250="","",IF(S250=N144,"Yes","No")),"")</f>
        <v>No</v>
      </c>
      <c r="BD250" t="str">
        <f t="shared" si="71"/>
        <v/>
      </c>
      <c r="BE250" t="str">
        <f t="shared" si="72"/>
        <v>Increasing</v>
      </c>
      <c r="BF250" t="str">
        <f t="shared" si="73"/>
        <v>Yes</v>
      </c>
      <c r="BG250" t="str">
        <f t="shared" si="74"/>
        <v>Yes</v>
      </c>
      <c r="BH250" t="str">
        <f t="shared" si="75"/>
        <v>Yes</v>
      </c>
    </row>
    <row r="251" spans="1:60" x14ac:dyDescent="0.3">
      <c r="A251" s="1">
        <v>4</v>
      </c>
      <c r="B251" t="s">
        <v>636</v>
      </c>
      <c r="C251" t="s">
        <v>264</v>
      </c>
      <c r="D251" t="s">
        <v>1396</v>
      </c>
      <c r="E251" t="s">
        <v>1397</v>
      </c>
      <c r="F251" t="s">
        <v>1398</v>
      </c>
      <c r="G251" t="s">
        <v>1051</v>
      </c>
      <c r="I251" t="str">
        <f t="shared" si="82"/>
        <v>N/A</v>
      </c>
      <c r="J251" t="str">
        <f t="shared" si="83"/>
        <v>N/A</v>
      </c>
      <c r="K251">
        <f t="shared" si="84"/>
        <v>5.6900000000000006E-2</v>
      </c>
      <c r="L251">
        <f t="shared" si="85"/>
        <v>0.1699</v>
      </c>
      <c r="M251">
        <f t="shared" si="86"/>
        <v>0.25559999999999999</v>
      </c>
      <c r="N251">
        <f t="shared" si="87"/>
        <v>1.8600000000000002E-2</v>
      </c>
      <c r="P251">
        <f t="shared" si="58"/>
        <v>0.25559999999999999</v>
      </c>
      <c r="Q251">
        <f>IFERROR(J144+MATCH(P251,J251:N251,0)-1,"")</f>
        <v>2015</v>
      </c>
      <c r="R251">
        <f t="shared" si="59"/>
        <v>1.8600000000000002E-2</v>
      </c>
      <c r="S251">
        <f>IFERROR(J144+MATCH(R251,J251:N251,0)-1,"")</f>
        <v>2016</v>
      </c>
      <c r="T251">
        <f t="shared" si="60"/>
        <v>0.12525</v>
      </c>
      <c r="U251">
        <f t="shared" si="61"/>
        <v>0.10805969029507102</v>
      </c>
      <c r="V251" t="str">
        <f t="shared" si="62"/>
        <v/>
      </c>
      <c r="W251">
        <f t="shared" si="63"/>
        <v>-0.63252078377572096</v>
      </c>
      <c r="X251">
        <f t="shared" si="64"/>
        <v>0.41319755662890917</v>
      </c>
      <c r="Y251">
        <f t="shared" si="65"/>
        <v>1.206277749307465</v>
      </c>
      <c r="Z251">
        <f t="shared" si="66"/>
        <v>-0.98695452216065316</v>
      </c>
      <c r="AA251">
        <f t="shared" si="67"/>
        <v>1.206277749307465</v>
      </c>
      <c r="AB251">
        <f>IFERROR(V144+MATCH(AA251,V251:Z251,0)-1,"")</f>
        <v>2015</v>
      </c>
      <c r="AC251" t="str">
        <f t="shared" si="68"/>
        <v>High</v>
      </c>
      <c r="AE251" t="str">
        <f>IF(ISNUMBER(MATCH("N/A",J251:N251,0)),"",IFERROR((5 * SUMPRODUCT(J144:N144,J251:N251) - PRODUCT(SUM(J144:N144),SUM(J251:N251))) / ((5 * SUM((J144^2)+(K144^2)+(L144^2)+(M144^2)+(N144^2))) - SUM(J144:N144)^2),""))</f>
        <v/>
      </c>
      <c r="AF251">
        <f>IFERROR(CORREL(J144:N144,J251:N251),"")</f>
        <v>-3.4885383994854018E-2</v>
      </c>
      <c r="AZ251">
        <f t="shared" si="69"/>
        <v>1</v>
      </c>
      <c r="BA251" t="str">
        <f>IF(AZ251=1,IF(Q251="","",IF(Q251=N144,"Yes","No")),"")</f>
        <v>No</v>
      </c>
      <c r="BB251" t="str">
        <f t="shared" si="70"/>
        <v/>
      </c>
      <c r="BC251" t="str">
        <f>IF(AZ251=1,IF(S251="","",IF(S251=N144,"Yes","No")),"")</f>
        <v>Yes</v>
      </c>
      <c r="BD251">
        <f t="shared" si="71"/>
        <v>1.8600000000000002E-2</v>
      </c>
      <c r="BE251" t="str">
        <f t="shared" si="72"/>
        <v/>
      </c>
      <c r="BF251" t="str">
        <f t="shared" si="73"/>
        <v>No</v>
      </c>
      <c r="BG251" t="str">
        <f t="shared" si="74"/>
        <v>No</v>
      </c>
      <c r="BH251" t="str">
        <f t="shared" si="75"/>
        <v>No</v>
      </c>
    </row>
    <row r="252" spans="1:60" x14ac:dyDescent="0.3">
      <c r="A252" s="1">
        <v>5</v>
      </c>
      <c r="B252" t="s">
        <v>641</v>
      </c>
      <c r="C252" t="s">
        <v>1399</v>
      </c>
      <c r="D252" t="s">
        <v>1400</v>
      </c>
      <c r="E252" t="s">
        <v>1401</v>
      </c>
      <c r="F252" t="s">
        <v>1402</v>
      </c>
      <c r="G252" t="s">
        <v>264</v>
      </c>
      <c r="I252" t="str">
        <f t="shared" si="82"/>
        <v>N/A</v>
      </c>
      <c r="J252">
        <f t="shared" si="83"/>
        <v>59000</v>
      </c>
      <c r="K252">
        <f t="shared" si="84"/>
        <v>1780000</v>
      </c>
      <c r="L252">
        <f t="shared" si="85"/>
        <v>527000</v>
      </c>
      <c r="M252">
        <f t="shared" si="86"/>
        <v>8060000.0000000009</v>
      </c>
      <c r="N252" t="str">
        <f t="shared" si="87"/>
        <v>N/A</v>
      </c>
      <c r="P252">
        <f t="shared" si="58"/>
        <v>8060000.0000000009</v>
      </c>
      <c r="Q252">
        <f>IFERROR(J144+MATCH(P252,J252:N252,0)-1,"")</f>
        <v>2015</v>
      </c>
      <c r="R252">
        <f t="shared" si="59"/>
        <v>59000</v>
      </c>
      <c r="S252">
        <f>IFERROR(J144+MATCH(R252,J252:N252,0)-1,"")</f>
        <v>2012</v>
      </c>
      <c r="T252">
        <f t="shared" si="60"/>
        <v>2606500</v>
      </c>
      <c r="U252">
        <f t="shared" si="61"/>
        <v>3707552.6968608289</v>
      </c>
      <c r="V252">
        <f t="shared" si="62"/>
        <v>-0.68711093497253828</v>
      </c>
      <c r="W252">
        <f t="shared" si="63"/>
        <v>-0.22292333179776366</v>
      </c>
      <c r="X252">
        <f t="shared" si="64"/>
        <v>-0.56088211551536538</v>
      </c>
      <c r="Y252">
        <f t="shared" si="65"/>
        <v>1.4709163822856677</v>
      </c>
      <c r="Z252" t="str">
        <f t="shared" si="66"/>
        <v/>
      </c>
      <c r="AA252">
        <f t="shared" si="67"/>
        <v>1.4709163822856677</v>
      </c>
      <c r="AB252">
        <f>IFERROR(V144+MATCH(AA252,V252:Z252,0)-1,"")</f>
        <v>2015</v>
      </c>
      <c r="AC252" t="str">
        <f t="shared" si="68"/>
        <v>High</v>
      </c>
      <c r="AE252" t="str">
        <f>IF(ISNUMBER(MATCH("N/A",J252:N252,0)),"",IFERROR((5 * SUMPRODUCT(J144:N144,J252:N252) - PRODUCT(SUM(J144:N144),SUM(J252:N252))) / ((5 * SUM((J144^2)+(K144^2)+(L144^2)+(M144^2)+(N144^2))) - SUM(J144:N144)^2),""))</f>
        <v/>
      </c>
      <c r="AF252">
        <f>IFERROR(CORREL(J144:N144,J252:N252),"")</f>
        <v>0.79217009467207722</v>
      </c>
      <c r="AZ252">
        <f t="shared" si="69"/>
        <v>1</v>
      </c>
      <c r="BA252" t="str">
        <f>IF(AZ252=1,IF(Q252="","",IF(Q252=N144,"Yes","No")),"")</f>
        <v>No</v>
      </c>
      <c r="BB252" t="str">
        <f t="shared" si="70"/>
        <v/>
      </c>
      <c r="BC252" t="str">
        <f>IF(AZ252=1,IF(S252="","",IF(S252=N144,"Yes","No")),"")</f>
        <v>No</v>
      </c>
      <c r="BD252" t="str">
        <f t="shared" si="71"/>
        <v/>
      </c>
      <c r="BE252" t="str">
        <f t="shared" si="72"/>
        <v/>
      </c>
      <c r="BF252" t="str">
        <f t="shared" si="73"/>
        <v>No</v>
      </c>
      <c r="BG252" t="str">
        <f t="shared" si="74"/>
        <v>No</v>
      </c>
      <c r="BH252" t="str">
        <f t="shared" si="75"/>
        <v>No</v>
      </c>
    </row>
    <row r="253" spans="1:60" x14ac:dyDescent="0.3">
      <c r="A253" s="1">
        <v>6</v>
      </c>
      <c r="B253" t="s">
        <v>644</v>
      </c>
      <c r="C253" t="s">
        <v>1403</v>
      </c>
      <c r="D253" t="s">
        <v>1404</v>
      </c>
      <c r="E253" t="s">
        <v>1405</v>
      </c>
      <c r="F253" t="s">
        <v>1406</v>
      </c>
      <c r="G253" t="s">
        <v>1407</v>
      </c>
      <c r="I253" t="str">
        <f t="shared" si="82"/>
        <v>N/A</v>
      </c>
      <c r="J253">
        <f t="shared" si="83"/>
        <v>158670000</v>
      </c>
      <c r="K253">
        <f t="shared" si="84"/>
        <v>173620000</v>
      </c>
      <c r="L253">
        <f t="shared" si="85"/>
        <v>194670000</v>
      </c>
      <c r="M253">
        <f t="shared" si="86"/>
        <v>180760000</v>
      </c>
      <c r="N253">
        <f t="shared" si="87"/>
        <v>190020000</v>
      </c>
      <c r="P253">
        <f t="shared" si="58"/>
        <v>194670000</v>
      </c>
      <c r="Q253">
        <f>IFERROR(J144+MATCH(P253,J253:N253,0)-1,"")</f>
        <v>2014</v>
      </c>
      <c r="R253">
        <f t="shared" si="59"/>
        <v>158670000</v>
      </c>
      <c r="S253">
        <f>IFERROR(J144+MATCH(R253,J253:N253,0)-1,"")</f>
        <v>2012</v>
      </c>
      <c r="T253">
        <f t="shared" si="60"/>
        <v>179548000</v>
      </c>
      <c r="U253">
        <f t="shared" si="61"/>
        <v>14237614.617624681</v>
      </c>
      <c r="V253">
        <f t="shared" si="62"/>
        <v>-1.4663973257258427</v>
      </c>
      <c r="W253">
        <f t="shared" si="63"/>
        <v>-0.41636188077894415</v>
      </c>
      <c r="X253">
        <f t="shared" si="64"/>
        <v>1.0621161203001339</v>
      </c>
      <c r="Y253">
        <f t="shared" si="65"/>
        <v>8.5126619349541216E-2</v>
      </c>
      <c r="Z253">
        <f t="shared" si="66"/>
        <v>0.73551646685511185</v>
      </c>
      <c r="AA253">
        <f t="shared" si="67"/>
        <v>-1.4663973257258427</v>
      </c>
      <c r="AB253">
        <f>IFERROR(V144+MATCH(AA253,V253:Z253,0)-1,"")</f>
        <v>2012</v>
      </c>
      <c r="AC253" t="str">
        <f t="shared" si="68"/>
        <v>Low</v>
      </c>
      <c r="AE253">
        <f>IF(ISNUMBER(MATCH("N/A",J253:N253,0)),"",IFERROR((5 * SUMPRODUCT(J144:N144,J253:N253) - PRODUCT(SUM(J144:N144),SUM(J253:N253))) / ((5 * SUM((J144^2)+(K144^2)+(L144^2)+(M144^2)+(N144^2))) - SUM(J144:N144)^2),""))</f>
        <v>6984000</v>
      </c>
      <c r="AF253">
        <f>IFERROR(CORREL(J144:N144,J253:N253),"")</f>
        <v>0.77559857362892115</v>
      </c>
      <c r="AZ253">
        <f t="shared" si="69"/>
        <v>1</v>
      </c>
      <c r="BA253" t="str">
        <f>IF(AZ253=1,IF(Q253="","",IF(Q253=N144,"Yes","No")),"")</f>
        <v>No</v>
      </c>
      <c r="BB253" t="str">
        <f t="shared" si="70"/>
        <v/>
      </c>
      <c r="BC253" t="str">
        <f>IF(AZ253=1,IF(S253="","",IF(S253=N144,"Yes","No")),"")</f>
        <v>No</v>
      </c>
      <c r="BD253" t="str">
        <f t="shared" si="71"/>
        <v/>
      </c>
      <c r="BE253" t="str">
        <f t="shared" si="72"/>
        <v>Increasing</v>
      </c>
      <c r="BF253" t="str">
        <f t="shared" si="73"/>
        <v>No</v>
      </c>
      <c r="BG253" t="str">
        <f t="shared" si="74"/>
        <v>No</v>
      </c>
      <c r="BH253" t="str">
        <f t="shared" si="75"/>
        <v>No</v>
      </c>
    </row>
    <row r="254" spans="1:60" x14ac:dyDescent="0.3">
      <c r="A254" s="1">
        <v>7</v>
      </c>
      <c r="B254" t="s">
        <v>650</v>
      </c>
      <c r="C254" t="s">
        <v>264</v>
      </c>
      <c r="D254" t="s">
        <v>264</v>
      </c>
      <c r="E254" t="s">
        <v>264</v>
      </c>
      <c r="F254" t="s">
        <v>264</v>
      </c>
      <c r="G254" t="s">
        <v>264</v>
      </c>
      <c r="I254" t="str">
        <f t="shared" si="82"/>
        <v>N/A</v>
      </c>
      <c r="J254" t="str">
        <f t="shared" si="83"/>
        <v>N/A</v>
      </c>
      <c r="K254" t="str">
        <f t="shared" si="84"/>
        <v>N/A</v>
      </c>
      <c r="L254" t="str">
        <f t="shared" si="85"/>
        <v>N/A</v>
      </c>
      <c r="M254" t="str">
        <f t="shared" si="86"/>
        <v>N/A</v>
      </c>
      <c r="N254" t="str">
        <f t="shared" si="87"/>
        <v>N/A</v>
      </c>
      <c r="P254">
        <f t="shared" si="58"/>
        <v>0</v>
      </c>
      <c r="Q254" t="str">
        <f>IFERROR(J144+MATCH(P254,J254:N254,0)-1,"")</f>
        <v/>
      </c>
      <c r="R254" t="str">
        <f t="shared" si="59"/>
        <v/>
      </c>
      <c r="S254" t="str">
        <f>IFERROR(J144+MATCH(R254,J254:N254,0)-1,"")</f>
        <v/>
      </c>
      <c r="T254" t="str">
        <f t="shared" si="60"/>
        <v/>
      </c>
      <c r="U254" t="str">
        <f t="shared" si="61"/>
        <v/>
      </c>
      <c r="V254" t="str">
        <f t="shared" si="62"/>
        <v/>
      </c>
      <c r="W254" t="str">
        <f t="shared" si="63"/>
        <v/>
      </c>
      <c r="X254" t="str">
        <f t="shared" si="64"/>
        <v/>
      </c>
      <c r="Y254" t="str">
        <f t="shared" si="65"/>
        <v/>
      </c>
      <c r="Z254" t="str">
        <f t="shared" si="66"/>
        <v/>
      </c>
      <c r="AA254">
        <f t="shared" si="67"/>
        <v>0</v>
      </c>
      <c r="AB254" t="str">
        <f>IFERROR(V144+MATCH(AA254,V254:Z254,0)-1,"")</f>
        <v/>
      </c>
      <c r="AC254" t="str">
        <f t="shared" si="68"/>
        <v/>
      </c>
      <c r="AE254" t="str">
        <f>IF(ISNUMBER(MATCH("N/A",J254:N254,0)),"",IFERROR((5 * SUMPRODUCT(J144:N144,J254:N254) - PRODUCT(SUM(J144:N144),SUM(J254:N254))) / ((5 * SUM((J144^2)+(K144^2)+(L144^2)+(M144^2)+(N144^2))) - SUM(J144:N144)^2),""))</f>
        <v/>
      </c>
      <c r="AF254" t="str">
        <f>IFERROR(CORREL(J144:N144,J254:N254),"")</f>
        <v/>
      </c>
      <c r="AZ254">
        <f t="shared" si="69"/>
        <v>0</v>
      </c>
      <c r="BA254" t="str">
        <f>IF(AZ254=1,IF(Q254="","",IF(Q254=N144,"Yes","No")),"")</f>
        <v/>
      </c>
      <c r="BB254" t="str">
        <f t="shared" si="70"/>
        <v/>
      </c>
      <c r="BC254" t="str">
        <f>IF(AZ254=1,IF(S254="","",IF(S254=N144,"Yes","No")),"")</f>
        <v/>
      </c>
      <c r="BD254" t="str">
        <f t="shared" si="71"/>
        <v/>
      </c>
      <c r="BE254" t="str">
        <f t="shared" si="72"/>
        <v/>
      </c>
      <c r="BF254" t="str">
        <f t="shared" si="73"/>
        <v>No</v>
      </c>
      <c r="BG254" t="str">
        <f t="shared" si="74"/>
        <v>No</v>
      </c>
      <c r="BH254" t="str">
        <f t="shared" si="75"/>
        <v/>
      </c>
    </row>
    <row r="255" spans="1:60" x14ac:dyDescent="0.3">
      <c r="A255" s="1">
        <v>8</v>
      </c>
      <c r="B255" t="s">
        <v>651</v>
      </c>
      <c r="C255" t="s">
        <v>1408</v>
      </c>
      <c r="D255" t="s">
        <v>1409</v>
      </c>
      <c r="E255" t="s">
        <v>1410</v>
      </c>
      <c r="F255" t="s">
        <v>1411</v>
      </c>
      <c r="G255" t="s">
        <v>1412</v>
      </c>
      <c r="I255" t="str">
        <f t="shared" si="82"/>
        <v>N/A</v>
      </c>
      <c r="J255">
        <f t="shared" si="83"/>
        <v>15840000</v>
      </c>
      <c r="K255">
        <f t="shared" si="84"/>
        <v>22730000</v>
      </c>
      <c r="L255">
        <f t="shared" si="85"/>
        <v>35310000</v>
      </c>
      <c r="M255">
        <f t="shared" si="86"/>
        <v>27520000</v>
      </c>
      <c r="N255">
        <f t="shared" si="87"/>
        <v>123610000</v>
      </c>
      <c r="P255">
        <f t="shared" si="58"/>
        <v>123610000</v>
      </c>
      <c r="Q255">
        <f>IFERROR(J144+MATCH(P255,J255:N255,0)-1,"")</f>
        <v>2016</v>
      </c>
      <c r="R255">
        <f t="shared" si="59"/>
        <v>15840000</v>
      </c>
      <c r="S255">
        <f>IFERROR(J144+MATCH(R255,J255:N255,0)-1,"")</f>
        <v>2012</v>
      </c>
      <c r="T255">
        <f t="shared" si="60"/>
        <v>45002000</v>
      </c>
      <c r="U255">
        <f t="shared" si="61"/>
        <v>44511900.318903483</v>
      </c>
      <c r="V255">
        <f t="shared" si="62"/>
        <v>-0.65515064041458981</v>
      </c>
      <c r="W255">
        <f t="shared" si="63"/>
        <v>-0.5003605741483349</v>
      </c>
      <c r="X255">
        <f t="shared" si="64"/>
        <v>-0.21773952427467952</v>
      </c>
      <c r="Y255">
        <f t="shared" si="65"/>
        <v>-0.39274890253507505</v>
      </c>
      <c r="Z255">
        <f t="shared" si="66"/>
        <v>1.7659996413726793</v>
      </c>
      <c r="AA255">
        <f t="shared" si="67"/>
        <v>1.7659996413726793</v>
      </c>
      <c r="AB255">
        <f>IFERROR(V144+MATCH(AA255,V255:Z255,0)-1,"")</f>
        <v>2016</v>
      </c>
      <c r="AC255" t="str">
        <f t="shared" si="68"/>
        <v>High</v>
      </c>
      <c r="AE255">
        <f>IF(ISNUMBER(MATCH("N/A",J255:N255,0)),"",IFERROR((5 * SUMPRODUCT(J144:N144,J255:N255) - PRODUCT(SUM(J144:N144),SUM(J255:N255))) / ((5 * SUM((J144^2)+(K144^2)+(L144^2)+(M144^2)+(N144^2))) - SUM(J144:N144)^2),""))</f>
        <v>22033000</v>
      </c>
      <c r="AF255">
        <f>IFERROR(CORREL(J144:N144,J255:N255),"")</f>
        <v>0.78264984405642501</v>
      </c>
      <c r="AZ255">
        <f t="shared" si="69"/>
        <v>1</v>
      </c>
      <c r="BA255" t="str">
        <f>IF(AZ255=1,IF(Q255="","",IF(Q255=N144,"Yes","No")),"")</f>
        <v>Yes</v>
      </c>
      <c r="BB255">
        <f t="shared" si="70"/>
        <v>123610000</v>
      </c>
      <c r="BC255" t="str">
        <f>IF(AZ255=1,IF(S255="","",IF(S255=N144,"Yes","No")),"")</f>
        <v>No</v>
      </c>
      <c r="BD255" t="str">
        <f t="shared" si="71"/>
        <v/>
      </c>
      <c r="BE255" t="str">
        <f t="shared" si="72"/>
        <v>Increasing</v>
      </c>
      <c r="BF255" t="str">
        <f t="shared" si="73"/>
        <v>Yes</v>
      </c>
      <c r="BG255" t="str">
        <f t="shared" si="74"/>
        <v>No</v>
      </c>
      <c r="BH255" t="str">
        <f t="shared" si="75"/>
        <v>No</v>
      </c>
    </row>
    <row r="256" spans="1:60" x14ac:dyDescent="0.3">
      <c r="A256" s="1">
        <v>9</v>
      </c>
      <c r="B256" t="s">
        <v>654</v>
      </c>
      <c r="C256" t="s">
        <v>1413</v>
      </c>
      <c r="D256" t="s">
        <v>1414</v>
      </c>
      <c r="E256" t="s">
        <v>1415</v>
      </c>
      <c r="F256" t="s">
        <v>1416</v>
      </c>
      <c r="G256" t="s">
        <v>1417</v>
      </c>
      <c r="I256" t="str">
        <f t="shared" si="82"/>
        <v>N/A</v>
      </c>
      <c r="J256">
        <f t="shared" si="83"/>
        <v>142830000</v>
      </c>
      <c r="K256">
        <f t="shared" si="84"/>
        <v>150890000</v>
      </c>
      <c r="L256">
        <f t="shared" si="85"/>
        <v>159370000</v>
      </c>
      <c r="M256">
        <f t="shared" si="86"/>
        <v>153230000</v>
      </c>
      <c r="N256">
        <f t="shared" si="87"/>
        <v>66410000</v>
      </c>
      <c r="P256">
        <f t="shared" si="58"/>
        <v>159370000</v>
      </c>
      <c r="Q256">
        <f>IFERROR(J144+MATCH(P256,J256:N256,0)-1,"")</f>
        <v>2014</v>
      </c>
      <c r="R256">
        <f t="shared" si="59"/>
        <v>66410000</v>
      </c>
      <c r="S256">
        <f>IFERROR(J144+MATCH(R256,J256:N256,0)-1,"")</f>
        <v>2016</v>
      </c>
      <c r="T256">
        <f t="shared" si="60"/>
        <v>134546000</v>
      </c>
      <c r="U256">
        <f t="shared" si="61"/>
        <v>38547335.575886436</v>
      </c>
      <c r="V256">
        <f t="shared" si="62"/>
        <v>0.21490460692650612</v>
      </c>
      <c r="W256">
        <f t="shared" si="63"/>
        <v>0.42399817667875617</v>
      </c>
      <c r="X256">
        <f t="shared" si="64"/>
        <v>0.64398744113273632</v>
      </c>
      <c r="Y256">
        <f t="shared" si="65"/>
        <v>0.48470276144553842</v>
      </c>
      <c r="Z256">
        <f t="shared" si="66"/>
        <v>-1.7675929861835371</v>
      </c>
      <c r="AA256">
        <f t="shared" si="67"/>
        <v>-1.7675929861835371</v>
      </c>
      <c r="AB256">
        <f>IFERROR(V144+MATCH(AA256,V256:Z256,0)-1,"")</f>
        <v>2016</v>
      </c>
      <c r="AC256" t="str">
        <f t="shared" si="68"/>
        <v>Low</v>
      </c>
      <c r="AE256">
        <f>IF(ISNUMBER(MATCH("N/A",J256:N256,0)),"",IFERROR((5 * SUMPRODUCT(J144:N144,J256:N256) - PRODUCT(SUM(J144:N144),SUM(J256:N256))) / ((5 * SUM((J144^2)+(K144^2)+(L144^2)+(M144^2)+(N144^2))) - SUM(J144:N144)^2),""))</f>
        <v>-15050000</v>
      </c>
      <c r="AF256">
        <f>IFERROR(CORREL(J144:N144,J256:N256),"")</f>
        <v>-0.61732254738905745</v>
      </c>
      <c r="AZ256">
        <f t="shared" si="69"/>
        <v>1</v>
      </c>
      <c r="BA256" t="str">
        <f>IF(AZ256=1,IF(Q256="","",IF(Q256=N144,"Yes","No")),"")</f>
        <v>No</v>
      </c>
      <c r="BB256" t="str">
        <f t="shared" si="70"/>
        <v/>
      </c>
      <c r="BC256" t="str">
        <f>IF(AZ256=1,IF(S256="","",IF(S256=N144,"Yes","No")),"")</f>
        <v>Yes</v>
      </c>
      <c r="BD256">
        <f t="shared" si="71"/>
        <v>66410000</v>
      </c>
      <c r="BE256" t="str">
        <f t="shared" si="72"/>
        <v>Decreasing</v>
      </c>
      <c r="BF256" t="str">
        <f t="shared" si="73"/>
        <v>Yes</v>
      </c>
      <c r="BG256" t="str">
        <f t="shared" si="74"/>
        <v>No</v>
      </c>
      <c r="BH256" t="str">
        <f t="shared" si="75"/>
        <v>No</v>
      </c>
    </row>
    <row r="257" spans="1:60" x14ac:dyDescent="0.3">
      <c r="A257" s="1">
        <v>10</v>
      </c>
      <c r="B257" t="s">
        <v>657</v>
      </c>
      <c r="C257" t="s">
        <v>1418</v>
      </c>
      <c r="D257" t="s">
        <v>1419</v>
      </c>
      <c r="E257" t="s">
        <v>1420</v>
      </c>
      <c r="F257" t="s">
        <v>1421</v>
      </c>
      <c r="G257" t="s">
        <v>1422</v>
      </c>
      <c r="I257" t="str">
        <f t="shared" si="82"/>
        <v>pos_trend</v>
      </c>
      <c r="J257">
        <f t="shared" si="83"/>
        <v>299710000</v>
      </c>
      <c r="K257">
        <f t="shared" si="84"/>
        <v>309620000</v>
      </c>
      <c r="L257">
        <f t="shared" si="85"/>
        <v>340780000</v>
      </c>
      <c r="M257">
        <f t="shared" si="86"/>
        <v>364600000</v>
      </c>
      <c r="N257">
        <f t="shared" si="87"/>
        <v>387470000</v>
      </c>
      <c r="P257">
        <f t="shared" si="58"/>
        <v>387470000</v>
      </c>
      <c r="Q257">
        <f>IFERROR(J144+MATCH(P257,J257:N257,0)-1,"")</f>
        <v>2016</v>
      </c>
      <c r="R257">
        <f t="shared" si="59"/>
        <v>299710000</v>
      </c>
      <c r="S257">
        <f>IFERROR(J144+MATCH(R257,J257:N257,0)-1,"")</f>
        <v>2012</v>
      </c>
      <c r="T257">
        <f t="shared" si="60"/>
        <v>340436000</v>
      </c>
      <c r="U257">
        <f t="shared" si="61"/>
        <v>36757473.117721245</v>
      </c>
      <c r="V257">
        <f t="shared" si="62"/>
        <v>-1.1079651713154754</v>
      </c>
      <c r="W257">
        <f t="shared" si="63"/>
        <v>-0.8383601315930288</v>
      </c>
      <c r="X257">
        <f t="shared" si="64"/>
        <v>9.3586411366823052E-3</v>
      </c>
      <c r="Y257">
        <f t="shared" si="65"/>
        <v>0.65739012914764883</v>
      </c>
      <c r="Z257">
        <f t="shared" si="66"/>
        <v>1.279576532624173</v>
      </c>
      <c r="AA257">
        <f t="shared" si="67"/>
        <v>1.279576532624173</v>
      </c>
      <c r="AB257">
        <f>IFERROR(V144+MATCH(AA257,V257:Z257,0)-1,"")</f>
        <v>2016</v>
      </c>
      <c r="AC257" t="str">
        <f t="shared" si="68"/>
        <v>High</v>
      </c>
      <c r="AE257">
        <f>IF(ISNUMBER(MATCH("N/A",J257:N257,0)),"",IFERROR((5 * SUMPRODUCT(J144:N144,J257:N257) - PRODUCT(SUM(J144:N144),SUM(J257:N257))) / ((5 * SUM((J144^2)+(K144^2)+(L144^2)+(M144^2)+(N144^2))) - SUM(J144:N144)^2),""))</f>
        <v>23050000</v>
      </c>
      <c r="AF257">
        <f>IFERROR(CORREL(J144:N144,J257:N257),"")</f>
        <v>0.99150586104543326</v>
      </c>
      <c r="AZ257">
        <f t="shared" si="69"/>
        <v>1</v>
      </c>
      <c r="BA257" t="str">
        <f>IF(AZ257=1,IF(Q257="","",IF(Q257=N144,"Yes","No")),"")</f>
        <v>Yes</v>
      </c>
      <c r="BB257">
        <f t="shared" si="70"/>
        <v>387470000</v>
      </c>
      <c r="BC257" t="str">
        <f>IF(AZ257=1,IF(S257="","",IF(S257=N144,"Yes","No")),"")</f>
        <v>No</v>
      </c>
      <c r="BD257" t="str">
        <f t="shared" si="71"/>
        <v/>
      </c>
      <c r="BE257" t="str">
        <f t="shared" si="72"/>
        <v>Increasing</v>
      </c>
      <c r="BF257" t="str">
        <f t="shared" si="73"/>
        <v>Yes</v>
      </c>
      <c r="BG257" t="str">
        <f t="shared" si="74"/>
        <v>Yes</v>
      </c>
      <c r="BH257" t="str">
        <f t="shared" si="75"/>
        <v>Yes</v>
      </c>
    </row>
    <row r="258" spans="1:60" x14ac:dyDescent="0.3">
      <c r="A258" s="1">
        <v>11</v>
      </c>
      <c r="B258" t="s">
        <v>663</v>
      </c>
      <c r="C258" t="s">
        <v>1423</v>
      </c>
      <c r="D258" t="s">
        <v>1424</v>
      </c>
      <c r="E258" t="s">
        <v>1425</v>
      </c>
      <c r="F258" t="s">
        <v>1426</v>
      </c>
      <c r="G258" t="s">
        <v>1427</v>
      </c>
      <c r="I258" t="str">
        <f t="shared" si="82"/>
        <v>N/A</v>
      </c>
      <c r="J258">
        <f t="shared" si="83"/>
        <v>112940000</v>
      </c>
      <c r="K258">
        <f t="shared" si="84"/>
        <v>81330000</v>
      </c>
      <c r="L258">
        <f t="shared" si="85"/>
        <v>102470000</v>
      </c>
      <c r="M258">
        <f t="shared" si="86"/>
        <v>167600000</v>
      </c>
      <c r="N258">
        <f t="shared" si="87"/>
        <v>179530000</v>
      </c>
      <c r="P258">
        <f t="shared" si="58"/>
        <v>179530000</v>
      </c>
      <c r="Q258">
        <f>IFERROR(J144+MATCH(P258,J258:N258,0)-1,"")</f>
        <v>2016</v>
      </c>
      <c r="R258">
        <f t="shared" si="59"/>
        <v>81330000</v>
      </c>
      <c r="S258">
        <f>IFERROR(J144+MATCH(R258,J258:N258,0)-1,"")</f>
        <v>2013</v>
      </c>
      <c r="T258">
        <f t="shared" si="60"/>
        <v>128774000</v>
      </c>
      <c r="U258">
        <f t="shared" si="61"/>
        <v>42653191.322572805</v>
      </c>
      <c r="V258">
        <f t="shared" si="62"/>
        <v>-0.37122661890062081</v>
      </c>
      <c r="W258">
        <f t="shared" si="63"/>
        <v>-1.1123200522370249</v>
      </c>
      <c r="X258">
        <f t="shared" si="64"/>
        <v>-0.61669476970834469</v>
      </c>
      <c r="Y258">
        <f t="shared" si="65"/>
        <v>0.91027186468583443</v>
      </c>
      <c r="Z258">
        <f t="shared" si="66"/>
        <v>1.1899695761601559</v>
      </c>
      <c r="AA258">
        <f t="shared" si="67"/>
        <v>1.1899695761601559</v>
      </c>
      <c r="AB258">
        <f>IFERROR(V144+MATCH(AA258,V258:Z258,0)-1,"")</f>
        <v>2016</v>
      </c>
      <c r="AC258" t="str">
        <f t="shared" si="68"/>
        <v>High</v>
      </c>
      <c r="AE258">
        <f>IF(ISNUMBER(MATCH("N/A",J258:N258,0)),"",IFERROR((5 * SUMPRODUCT(J144:N144,J258:N258) - PRODUCT(SUM(J144:N144),SUM(J258:N258))) / ((5 * SUM((J144^2)+(K144^2)+(L144^2)+(M144^2)+(N144^2))) - SUM(J144:N144)^2),""))</f>
        <v>21945000</v>
      </c>
      <c r="AF258">
        <f>IFERROR(CORREL(J144:N144,J258:N258),"")</f>
        <v>0.81349344680417179</v>
      </c>
      <c r="AZ258">
        <f t="shared" si="69"/>
        <v>1</v>
      </c>
      <c r="BA258" t="str">
        <f>IF(AZ258=1,IF(Q258="","",IF(Q258=N144,"Yes","No")),"")</f>
        <v>Yes</v>
      </c>
      <c r="BB258">
        <f t="shared" si="70"/>
        <v>179530000</v>
      </c>
      <c r="BC258" t="str">
        <f>IF(AZ258=1,IF(S258="","",IF(S258=N144,"Yes","No")),"")</f>
        <v>No</v>
      </c>
      <c r="BD258" t="str">
        <f t="shared" si="71"/>
        <v/>
      </c>
      <c r="BE258" t="str">
        <f t="shared" si="72"/>
        <v>Increasing</v>
      </c>
      <c r="BF258" t="str">
        <f t="shared" si="73"/>
        <v>Yes</v>
      </c>
      <c r="BG258" t="str">
        <f t="shared" si="74"/>
        <v>No</v>
      </c>
      <c r="BH258" t="str">
        <f t="shared" si="75"/>
        <v>Yes</v>
      </c>
    </row>
    <row r="259" spans="1:60" x14ac:dyDescent="0.3">
      <c r="A259" s="1">
        <v>12</v>
      </c>
      <c r="B259" t="s">
        <v>669</v>
      </c>
      <c r="C259" t="s">
        <v>1423</v>
      </c>
      <c r="D259" t="s">
        <v>1428</v>
      </c>
      <c r="E259" t="s">
        <v>1429</v>
      </c>
      <c r="F259" t="s">
        <v>1426</v>
      </c>
      <c r="G259" t="s">
        <v>1427</v>
      </c>
      <c r="I259" t="str">
        <f t="shared" si="82"/>
        <v>N/A</v>
      </c>
      <c r="J259">
        <f t="shared" si="83"/>
        <v>112940000</v>
      </c>
      <c r="K259">
        <f t="shared" si="84"/>
        <v>74320000</v>
      </c>
      <c r="L259">
        <f t="shared" si="85"/>
        <v>101500000</v>
      </c>
      <c r="M259">
        <f t="shared" si="86"/>
        <v>167600000</v>
      </c>
      <c r="N259">
        <f t="shared" si="87"/>
        <v>179530000</v>
      </c>
      <c r="P259">
        <f t="shared" si="58"/>
        <v>179530000</v>
      </c>
      <c r="Q259">
        <f>IFERROR(J144+MATCH(P259,J259:N259,0)-1,"")</f>
        <v>2016</v>
      </c>
      <c r="R259">
        <f t="shared" si="59"/>
        <v>74320000</v>
      </c>
      <c r="S259">
        <f>IFERROR(J144+MATCH(R259,J259:N259,0)-1,"")</f>
        <v>2013</v>
      </c>
      <c r="T259">
        <f t="shared" si="60"/>
        <v>127178000</v>
      </c>
      <c r="U259">
        <f t="shared" si="61"/>
        <v>44807138.047413826</v>
      </c>
      <c r="V259">
        <f t="shared" si="62"/>
        <v>-0.31776187055137717</v>
      </c>
      <c r="W259">
        <f t="shared" si="63"/>
        <v>-1.1796781116452237</v>
      </c>
      <c r="X259">
        <f t="shared" si="64"/>
        <v>-0.57307833347508519</v>
      </c>
      <c r="Y259">
        <f t="shared" si="65"/>
        <v>0.90213304757885715</v>
      </c>
      <c r="Z259">
        <f t="shared" si="66"/>
        <v>1.1683852680928291</v>
      </c>
      <c r="AA259">
        <f t="shared" si="67"/>
        <v>-1.1796781116452237</v>
      </c>
      <c r="AB259">
        <f>IFERROR(V144+MATCH(AA259,V259:Z259,0)-1,"")</f>
        <v>2013</v>
      </c>
      <c r="AC259" t="str">
        <f t="shared" si="68"/>
        <v>Low</v>
      </c>
      <c r="AE259">
        <f>IF(ISNUMBER(MATCH("N/A",J259:N259,0)),"",IFERROR((5 * SUMPRODUCT(J144:N144,J259:N259) - PRODUCT(SUM(J144:N144),SUM(J259:N259))) / ((5 * SUM((J144^2)+(K144^2)+(L144^2)+(M144^2)+(N144^2))) - SUM(J144:N144)^2),""))</f>
        <v>22646000</v>
      </c>
      <c r="AF259">
        <f>IFERROR(CORREL(J144:N144,J259:N259),"")</f>
        <v>0.79912423570095048</v>
      </c>
      <c r="AZ259">
        <f t="shared" si="69"/>
        <v>1</v>
      </c>
      <c r="BA259" t="str">
        <f>IF(AZ259=1,IF(Q259="","",IF(Q259=N144,"Yes","No")),"")</f>
        <v>Yes</v>
      </c>
      <c r="BB259">
        <f t="shared" si="70"/>
        <v>179530000</v>
      </c>
      <c r="BC259" t="str">
        <f>IF(AZ259=1,IF(S259="","",IF(S259=N144,"Yes","No")),"")</f>
        <v>No</v>
      </c>
      <c r="BD259" t="str">
        <f t="shared" si="71"/>
        <v/>
      </c>
      <c r="BE259" t="str">
        <f t="shared" si="72"/>
        <v>Increasing</v>
      </c>
      <c r="BF259" t="str">
        <f t="shared" si="73"/>
        <v>Yes</v>
      </c>
      <c r="BG259" t="str">
        <f t="shared" si="74"/>
        <v>No</v>
      </c>
      <c r="BH259" t="str">
        <f t="shared" si="75"/>
        <v>No</v>
      </c>
    </row>
    <row r="260" spans="1:60" x14ac:dyDescent="0.3">
      <c r="A260" s="1">
        <v>13</v>
      </c>
      <c r="B260" t="s">
        <v>673</v>
      </c>
      <c r="C260" t="s">
        <v>1423</v>
      </c>
      <c r="D260" t="s">
        <v>1428</v>
      </c>
      <c r="E260" t="s">
        <v>1429</v>
      </c>
      <c r="F260" t="s">
        <v>1426</v>
      </c>
      <c r="G260" t="s">
        <v>1427</v>
      </c>
      <c r="I260" t="str">
        <f t="shared" si="82"/>
        <v>N/A</v>
      </c>
      <c r="J260">
        <f t="shared" si="83"/>
        <v>112940000</v>
      </c>
      <c r="K260">
        <f t="shared" si="84"/>
        <v>74320000</v>
      </c>
      <c r="L260">
        <f t="shared" si="85"/>
        <v>101500000</v>
      </c>
      <c r="M260">
        <f t="shared" si="86"/>
        <v>167600000</v>
      </c>
      <c r="N260">
        <f t="shared" si="87"/>
        <v>179530000</v>
      </c>
      <c r="P260">
        <f t="shared" si="58"/>
        <v>179530000</v>
      </c>
      <c r="Q260">
        <f>IFERROR(J144+MATCH(P260,J260:N260,0)-1,"")</f>
        <v>2016</v>
      </c>
      <c r="R260">
        <f t="shared" si="59"/>
        <v>74320000</v>
      </c>
      <c r="S260">
        <f>IFERROR(J144+MATCH(R260,J260:N260,0)-1,"")</f>
        <v>2013</v>
      </c>
      <c r="T260">
        <f t="shared" si="60"/>
        <v>127178000</v>
      </c>
      <c r="U260">
        <f t="shared" si="61"/>
        <v>44807138.047413826</v>
      </c>
      <c r="V260">
        <f t="shared" si="62"/>
        <v>-0.31776187055137717</v>
      </c>
      <c r="W260">
        <f t="shared" si="63"/>
        <v>-1.1796781116452237</v>
      </c>
      <c r="X260">
        <f t="shared" si="64"/>
        <v>-0.57307833347508519</v>
      </c>
      <c r="Y260">
        <f t="shared" si="65"/>
        <v>0.90213304757885715</v>
      </c>
      <c r="Z260">
        <f t="shared" si="66"/>
        <v>1.1683852680928291</v>
      </c>
      <c r="AA260">
        <f t="shared" si="67"/>
        <v>-1.1796781116452237</v>
      </c>
      <c r="AB260">
        <f>IFERROR(V144+MATCH(AA260,V260:Z260,0)-1,"")</f>
        <v>2013</v>
      </c>
      <c r="AC260" t="str">
        <f t="shared" si="68"/>
        <v>Low</v>
      </c>
      <c r="AE260">
        <f>IF(ISNUMBER(MATCH("N/A",J260:N260,0)),"",IFERROR((5 * SUMPRODUCT(J144:N144,J260:N260) - PRODUCT(SUM(J144:N144),SUM(J260:N260))) / ((5 * SUM((J144^2)+(K144^2)+(L144^2)+(M144^2)+(N144^2))) - SUM(J144:N144)^2),""))</f>
        <v>22646000</v>
      </c>
      <c r="AF260">
        <f>IFERROR(CORREL(J144:N144,J260:N260),"")</f>
        <v>0.79912423570095048</v>
      </c>
      <c r="AZ260">
        <f t="shared" si="69"/>
        <v>1</v>
      </c>
      <c r="BA260" t="str">
        <f>IF(AZ260=1,IF(Q260="","",IF(Q260=N144,"Yes","No")),"")</f>
        <v>Yes</v>
      </c>
      <c r="BB260">
        <f t="shared" si="70"/>
        <v>179530000</v>
      </c>
      <c r="BC260" t="str">
        <f>IF(AZ260=1,IF(S260="","",IF(S260=N144,"Yes","No")),"")</f>
        <v>No</v>
      </c>
      <c r="BD260" t="str">
        <f t="shared" si="71"/>
        <v/>
      </c>
      <c r="BE260" t="str">
        <f t="shared" si="72"/>
        <v>Increasing</v>
      </c>
      <c r="BF260" t="str">
        <f t="shared" si="73"/>
        <v>Yes</v>
      </c>
      <c r="BG260" t="str">
        <f t="shared" si="74"/>
        <v>No</v>
      </c>
      <c r="BH260" t="str">
        <f t="shared" si="75"/>
        <v>No</v>
      </c>
    </row>
    <row r="261" spans="1:60" x14ac:dyDescent="0.3">
      <c r="A261" s="1">
        <v>14</v>
      </c>
      <c r="B261" t="s">
        <v>674</v>
      </c>
      <c r="C261" t="s">
        <v>264</v>
      </c>
      <c r="D261" t="s">
        <v>264</v>
      </c>
      <c r="E261" t="s">
        <v>264</v>
      </c>
      <c r="F261" t="s">
        <v>264</v>
      </c>
      <c r="G261" t="s">
        <v>264</v>
      </c>
      <c r="I261" t="str">
        <f t="shared" si="82"/>
        <v>N/A</v>
      </c>
      <c r="J261" t="str">
        <f t="shared" si="83"/>
        <v>N/A</v>
      </c>
      <c r="K261" t="str">
        <f t="shared" si="84"/>
        <v>N/A</v>
      </c>
      <c r="L261" t="str">
        <f t="shared" si="85"/>
        <v>N/A</v>
      </c>
      <c r="M261" t="str">
        <f t="shared" si="86"/>
        <v>N/A</v>
      </c>
      <c r="N261" t="str">
        <f t="shared" si="87"/>
        <v>N/A</v>
      </c>
      <c r="P261">
        <f t="shared" si="58"/>
        <v>0</v>
      </c>
      <c r="Q261" t="str">
        <f>IFERROR(J144+MATCH(P261,J261:N261,0)-1,"")</f>
        <v/>
      </c>
      <c r="R261" t="str">
        <f t="shared" si="59"/>
        <v/>
      </c>
      <c r="S261" t="str">
        <f>IFERROR(J144+MATCH(R261,J261:N261,0)-1,"")</f>
        <v/>
      </c>
      <c r="T261" t="str">
        <f t="shared" si="60"/>
        <v/>
      </c>
      <c r="U261" t="str">
        <f t="shared" si="61"/>
        <v/>
      </c>
      <c r="V261" t="str">
        <f t="shared" si="62"/>
        <v/>
      </c>
      <c r="W261" t="str">
        <f t="shared" si="63"/>
        <v/>
      </c>
      <c r="X261" t="str">
        <f t="shared" si="64"/>
        <v/>
      </c>
      <c r="Y261" t="str">
        <f t="shared" si="65"/>
        <v/>
      </c>
      <c r="Z261" t="str">
        <f t="shared" si="66"/>
        <v/>
      </c>
      <c r="AA261">
        <f t="shared" si="67"/>
        <v>0</v>
      </c>
      <c r="AB261" t="str">
        <f>IFERROR(V144+MATCH(AA261,V261:Z261,0)-1,"")</f>
        <v/>
      </c>
      <c r="AC261" t="str">
        <f t="shared" si="68"/>
        <v/>
      </c>
      <c r="AE261" t="str">
        <f>IF(ISNUMBER(MATCH("N/A",J261:N261,0)),"",IFERROR((5 * SUMPRODUCT(J144:N144,J261:N261) - PRODUCT(SUM(J144:N144),SUM(J261:N261))) / ((5 * SUM((J144^2)+(K144^2)+(L144^2)+(M144^2)+(N144^2))) - SUM(J144:N144)^2),""))</f>
        <v/>
      </c>
      <c r="AF261" t="str">
        <f>IFERROR(CORREL(J144:N144,J261:N261),"")</f>
        <v/>
      </c>
      <c r="AZ261">
        <f t="shared" si="69"/>
        <v>0</v>
      </c>
      <c r="BA261" t="str">
        <f>IF(AZ261=1,IF(Q261="","",IF(Q261=N144,"Yes","No")),"")</f>
        <v/>
      </c>
      <c r="BB261" t="str">
        <f t="shared" si="70"/>
        <v/>
      </c>
      <c r="BC261" t="str">
        <f>IF(AZ261=1,IF(S261="","",IF(S261=N144,"Yes","No")),"")</f>
        <v/>
      </c>
      <c r="BD261" t="str">
        <f t="shared" si="71"/>
        <v/>
      </c>
      <c r="BE261" t="str">
        <f t="shared" si="72"/>
        <v/>
      </c>
      <c r="BF261" t="str">
        <f t="shared" si="73"/>
        <v>No</v>
      </c>
      <c r="BG261" t="str">
        <f t="shared" si="74"/>
        <v>No</v>
      </c>
      <c r="BH261" t="str">
        <f t="shared" si="75"/>
        <v/>
      </c>
    </row>
    <row r="262" spans="1:60" x14ac:dyDescent="0.3">
      <c r="A262" s="1">
        <v>15</v>
      </c>
      <c r="B262" t="s">
        <v>675</v>
      </c>
      <c r="C262" t="s">
        <v>264</v>
      </c>
      <c r="D262" t="s">
        <v>1430</v>
      </c>
      <c r="E262" t="s">
        <v>1431</v>
      </c>
      <c r="F262" t="s">
        <v>264</v>
      </c>
      <c r="G262" t="s">
        <v>264</v>
      </c>
      <c r="I262" t="str">
        <f t="shared" si="82"/>
        <v>N/A</v>
      </c>
      <c r="J262" t="str">
        <f t="shared" si="83"/>
        <v>N/A</v>
      </c>
      <c r="K262">
        <f t="shared" si="84"/>
        <v>7010000</v>
      </c>
      <c r="L262">
        <f t="shared" si="85"/>
        <v>971000</v>
      </c>
      <c r="M262" t="str">
        <f t="shared" si="86"/>
        <v>N/A</v>
      </c>
      <c r="N262" t="str">
        <f t="shared" si="87"/>
        <v>N/A</v>
      </c>
      <c r="P262">
        <f t="shared" si="58"/>
        <v>7010000</v>
      </c>
      <c r="Q262">
        <f>IFERROR(J144+MATCH(P262,J262:N262,0)-1,"")</f>
        <v>2013</v>
      </c>
      <c r="R262">
        <f t="shared" si="59"/>
        <v>971000</v>
      </c>
      <c r="S262">
        <f>IFERROR(J144+MATCH(R262,J262:N262,0)-1,"")</f>
        <v>2014</v>
      </c>
      <c r="T262">
        <f t="shared" si="60"/>
        <v>3990500</v>
      </c>
      <c r="U262">
        <f t="shared" si="61"/>
        <v>4270217.8515855605</v>
      </c>
      <c r="V262" t="str">
        <f t="shared" si="62"/>
        <v/>
      </c>
      <c r="W262">
        <f t="shared" si="63"/>
        <v>0.70710678118654757</v>
      </c>
      <c r="X262">
        <f t="shared" si="64"/>
        <v>-0.70710678118654757</v>
      </c>
      <c r="Y262" t="str">
        <f t="shared" si="65"/>
        <v/>
      </c>
      <c r="Z262" t="str">
        <f t="shared" si="66"/>
        <v/>
      </c>
      <c r="AA262">
        <f t="shared" si="67"/>
        <v>-0.70710678118654757</v>
      </c>
      <c r="AB262">
        <f>IFERROR(V144+MATCH(AA262,V262:Z262,0)-1,"")</f>
        <v>2014</v>
      </c>
      <c r="AC262" t="str">
        <f t="shared" si="68"/>
        <v>Low</v>
      </c>
      <c r="AE262" t="str">
        <f>IF(ISNUMBER(MATCH("N/A",J262:N262,0)),"",IFERROR((5 * SUMPRODUCT(J144:N144,J262:N262) - PRODUCT(SUM(J144:N144),SUM(J262:N262))) / ((5 * SUM((J144^2)+(K144^2)+(L144^2)+(M144^2)+(N144^2))) - SUM(J144:N144)^2),""))</f>
        <v/>
      </c>
      <c r="AF262">
        <f>IFERROR(CORREL(J144:N144,J262:N262),"")</f>
        <v>-1</v>
      </c>
      <c r="AZ262">
        <f t="shared" si="69"/>
        <v>1</v>
      </c>
      <c r="BA262" t="str">
        <f>IF(AZ262=1,IF(Q262="","",IF(Q262=N144,"Yes","No")),"")</f>
        <v>No</v>
      </c>
      <c r="BB262" t="str">
        <f t="shared" si="70"/>
        <v/>
      </c>
      <c r="BC262" t="str">
        <f>IF(AZ262=1,IF(S262="","",IF(S262=N144,"Yes","No")),"")</f>
        <v>No</v>
      </c>
      <c r="BD262" t="str">
        <f t="shared" si="71"/>
        <v/>
      </c>
      <c r="BE262" t="str">
        <f t="shared" si="72"/>
        <v/>
      </c>
      <c r="BF262" t="str">
        <f t="shared" si="73"/>
        <v>No</v>
      </c>
      <c r="BG262" t="str">
        <f t="shared" si="74"/>
        <v>No</v>
      </c>
      <c r="BH262" t="str">
        <f t="shared" si="75"/>
        <v>Yes</v>
      </c>
    </row>
    <row r="263" spans="1:60" x14ac:dyDescent="0.3">
      <c r="A263" s="1">
        <v>16</v>
      </c>
      <c r="B263" t="s">
        <v>679</v>
      </c>
      <c r="C263" t="s">
        <v>1432</v>
      </c>
      <c r="D263" t="s">
        <v>1433</v>
      </c>
      <c r="E263" t="s">
        <v>1434</v>
      </c>
      <c r="F263" t="s">
        <v>1435</v>
      </c>
      <c r="G263" t="s">
        <v>1436</v>
      </c>
      <c r="I263" t="str">
        <f t="shared" si="82"/>
        <v>N/A</v>
      </c>
      <c r="J263">
        <f t="shared" si="83"/>
        <v>104670000</v>
      </c>
      <c r="K263">
        <f t="shared" si="84"/>
        <v>26850000</v>
      </c>
      <c r="L263">
        <f t="shared" si="85"/>
        <v>42420000</v>
      </c>
      <c r="M263">
        <f t="shared" si="86"/>
        <v>51240000</v>
      </c>
      <c r="N263">
        <f t="shared" si="87"/>
        <v>35850000</v>
      </c>
      <c r="P263">
        <f t="shared" si="58"/>
        <v>104670000</v>
      </c>
      <c r="Q263">
        <f>IFERROR(J144+MATCH(P263,J263:N263,0)-1,"")</f>
        <v>2012</v>
      </c>
      <c r="R263">
        <f t="shared" si="59"/>
        <v>26850000</v>
      </c>
      <c r="S263">
        <f>IFERROR(J144+MATCH(R263,J263:N263,0)-1,"")</f>
        <v>2013</v>
      </c>
      <c r="T263">
        <f t="shared" si="60"/>
        <v>52206000</v>
      </c>
      <c r="U263">
        <f t="shared" si="61"/>
        <v>30657852.664529525</v>
      </c>
      <c r="V263">
        <f t="shared" si="62"/>
        <v>1.7112744514132172</v>
      </c>
      <c r="W263">
        <f t="shared" si="63"/>
        <v>-0.82706379593690027</v>
      </c>
      <c r="X263">
        <f t="shared" si="64"/>
        <v>-0.31920043804379655</v>
      </c>
      <c r="Y263">
        <f t="shared" si="65"/>
        <v>-3.1509056115911246E-2</v>
      </c>
      <c r="Z263">
        <f t="shared" si="66"/>
        <v>-0.53350116131660907</v>
      </c>
      <c r="AA263">
        <f t="shared" si="67"/>
        <v>1.7112744514132172</v>
      </c>
      <c r="AB263">
        <f>IFERROR(V144+MATCH(AA263,V263:Z263,0)-1,"")</f>
        <v>2012</v>
      </c>
      <c r="AC263" t="str">
        <f t="shared" si="68"/>
        <v>High</v>
      </c>
      <c r="AE263">
        <f>IF(ISNUMBER(MATCH("N/A",J263:N263,0)),"",IFERROR((5 * SUMPRODUCT(J144:N144,J263:N263) - PRODUCT(SUM(J144:N144),SUM(J263:N263))) / ((5 * SUM((J144^2)+(K144^2)+(L144^2)+(M144^2)+(N144^2))) - SUM(J144:N144)^2),""))</f>
        <v>-11325000</v>
      </c>
      <c r="AF263">
        <f>IFERROR(CORREL(J144:N144,J263:N263),"")</f>
        <v>-0.5840721281637824</v>
      </c>
      <c r="AZ263">
        <f t="shared" si="69"/>
        <v>1</v>
      </c>
      <c r="BA263" t="str">
        <f>IF(AZ263=1,IF(Q263="","",IF(Q263=N144,"Yes","No")),"")</f>
        <v>No</v>
      </c>
      <c r="BB263" t="str">
        <f t="shared" si="70"/>
        <v/>
      </c>
      <c r="BC263" t="str">
        <f>IF(AZ263=1,IF(S263="","",IF(S263=N144,"Yes","No")),"")</f>
        <v>No</v>
      </c>
      <c r="BD263" t="str">
        <f t="shared" si="71"/>
        <v/>
      </c>
      <c r="BE263" t="str">
        <f t="shared" si="72"/>
        <v>Decreasing</v>
      </c>
      <c r="BF263" t="str">
        <f t="shared" si="73"/>
        <v>No</v>
      </c>
      <c r="BG263" t="str">
        <f t="shared" si="74"/>
        <v>No</v>
      </c>
      <c r="BH263" t="str">
        <f t="shared" si="75"/>
        <v>No</v>
      </c>
    </row>
    <row r="264" spans="1:60" x14ac:dyDescent="0.3">
      <c r="A264" s="1">
        <v>17</v>
      </c>
      <c r="B264" t="s">
        <v>680</v>
      </c>
      <c r="C264" t="s">
        <v>1437</v>
      </c>
      <c r="D264" t="s">
        <v>1438</v>
      </c>
      <c r="E264" t="s">
        <v>1439</v>
      </c>
      <c r="F264" t="s">
        <v>1440</v>
      </c>
      <c r="G264" t="s">
        <v>1441</v>
      </c>
      <c r="I264" t="str">
        <f t="shared" si="82"/>
        <v>pos_trend</v>
      </c>
      <c r="J264">
        <f t="shared" si="83"/>
        <v>45310000</v>
      </c>
      <c r="K264">
        <f t="shared" si="84"/>
        <v>64030000</v>
      </c>
      <c r="L264">
        <f t="shared" si="85"/>
        <v>64400000.000000007</v>
      </c>
      <c r="M264">
        <f t="shared" si="86"/>
        <v>78060000</v>
      </c>
      <c r="N264">
        <f t="shared" si="87"/>
        <v>91460000</v>
      </c>
      <c r="P264">
        <f t="shared" si="58"/>
        <v>91460000</v>
      </c>
      <c r="Q264">
        <f>IFERROR(J144+MATCH(P264,J264:N264,0)-1,"")</f>
        <v>2016</v>
      </c>
      <c r="R264">
        <f t="shared" si="59"/>
        <v>45310000</v>
      </c>
      <c r="S264">
        <f>IFERROR(J144+MATCH(R264,J264:N264,0)-1,"")</f>
        <v>2012</v>
      </c>
      <c r="T264">
        <f t="shared" si="60"/>
        <v>68652000</v>
      </c>
      <c r="U264">
        <f t="shared" si="61"/>
        <v>17269964.389077354</v>
      </c>
      <c r="V264">
        <f t="shared" si="62"/>
        <v>-1.3515951436913787</v>
      </c>
      <c r="W264">
        <f t="shared" si="63"/>
        <v>-0.26763228318659721</v>
      </c>
      <c r="X264">
        <f t="shared" si="64"/>
        <v>-0.24620780357191896</v>
      </c>
      <c r="Y264">
        <f t="shared" si="65"/>
        <v>0.54476082220240296</v>
      </c>
      <c r="Z264">
        <f t="shared" si="66"/>
        <v>1.3206744082474924</v>
      </c>
      <c r="AA264">
        <f t="shared" si="67"/>
        <v>-1.3515951436913787</v>
      </c>
      <c r="AB264">
        <f>IFERROR(V144+MATCH(AA264,V264:Z264,0)-1,"")</f>
        <v>2012</v>
      </c>
      <c r="AC264" t="str">
        <f t="shared" si="68"/>
        <v>Low</v>
      </c>
      <c r="AE264">
        <f>IF(ISNUMBER(MATCH("N/A",J264:N264,0)),"",IFERROR((5 * SUMPRODUCT(J144:N144,J264:N264) - PRODUCT(SUM(J144:N144),SUM(J264:N264))) / ((5 * SUM((J144^2)+(K144^2)+(L144^2)+(M144^2)+(N144^2))) - SUM(J144:N144)^2),""))</f>
        <v>10633000</v>
      </c>
      <c r="AF264">
        <f>IFERROR(CORREL(J144:N144,J264:N264),"")</f>
        <v>0.97349645902676796</v>
      </c>
      <c r="AZ264">
        <f t="shared" si="69"/>
        <v>1</v>
      </c>
      <c r="BA264" t="str">
        <f>IF(AZ264=1,IF(Q264="","",IF(Q264=N144,"Yes","No")),"")</f>
        <v>Yes</v>
      </c>
      <c r="BB264">
        <f t="shared" si="70"/>
        <v>91460000</v>
      </c>
      <c r="BC264" t="str">
        <f>IF(AZ264=1,IF(S264="","",IF(S264=N144,"Yes","No")),"")</f>
        <v>No</v>
      </c>
      <c r="BD264" t="str">
        <f t="shared" si="71"/>
        <v/>
      </c>
      <c r="BE264" t="str">
        <f t="shared" si="72"/>
        <v>Increasing</v>
      </c>
      <c r="BF264" t="str">
        <f t="shared" si="73"/>
        <v>Yes</v>
      </c>
      <c r="BG264" t="str">
        <f t="shared" si="74"/>
        <v>Yes</v>
      </c>
      <c r="BH264" t="str">
        <f t="shared" si="75"/>
        <v>Yes</v>
      </c>
    </row>
    <row r="265" spans="1:60" x14ac:dyDescent="0.3">
      <c r="A265" s="1">
        <v>18</v>
      </c>
      <c r="B265" t="s">
        <v>686</v>
      </c>
      <c r="C265" t="s">
        <v>1437</v>
      </c>
      <c r="D265" t="s">
        <v>1438</v>
      </c>
      <c r="E265" t="s">
        <v>1439</v>
      </c>
      <c r="F265" t="s">
        <v>1440</v>
      </c>
      <c r="G265" t="s">
        <v>1441</v>
      </c>
      <c r="I265" t="str">
        <f t="shared" si="82"/>
        <v>pos_trend</v>
      </c>
      <c r="J265">
        <f t="shared" si="83"/>
        <v>45310000</v>
      </c>
      <c r="K265">
        <f t="shared" si="84"/>
        <v>64030000</v>
      </c>
      <c r="L265">
        <f t="shared" si="85"/>
        <v>64400000.000000007</v>
      </c>
      <c r="M265">
        <f t="shared" si="86"/>
        <v>78060000</v>
      </c>
      <c r="N265">
        <f t="shared" si="87"/>
        <v>91460000</v>
      </c>
      <c r="P265">
        <f t="shared" si="58"/>
        <v>91460000</v>
      </c>
      <c r="Q265">
        <f>IFERROR(J144+MATCH(P265,J265:N265,0)-1,"")</f>
        <v>2016</v>
      </c>
      <c r="R265">
        <f t="shared" si="59"/>
        <v>45310000</v>
      </c>
      <c r="S265">
        <f>IFERROR(J144+MATCH(R265,J265:N265,0)-1,"")</f>
        <v>2012</v>
      </c>
      <c r="T265">
        <f t="shared" si="60"/>
        <v>68652000</v>
      </c>
      <c r="U265">
        <f t="shared" si="61"/>
        <v>17269964.389077354</v>
      </c>
      <c r="V265">
        <f t="shared" si="62"/>
        <v>-1.3515951436913787</v>
      </c>
      <c r="W265">
        <f t="shared" si="63"/>
        <v>-0.26763228318659721</v>
      </c>
      <c r="X265">
        <f t="shared" si="64"/>
        <v>-0.24620780357191896</v>
      </c>
      <c r="Y265">
        <f t="shared" si="65"/>
        <v>0.54476082220240296</v>
      </c>
      <c r="Z265">
        <f t="shared" si="66"/>
        <v>1.3206744082474924</v>
      </c>
      <c r="AA265">
        <f t="shared" si="67"/>
        <v>-1.3515951436913787</v>
      </c>
      <c r="AB265">
        <f>IFERROR(V144+MATCH(AA265,V265:Z265,0)-1,"")</f>
        <v>2012</v>
      </c>
      <c r="AC265" t="str">
        <f t="shared" si="68"/>
        <v>Low</v>
      </c>
      <c r="AE265">
        <f>IF(ISNUMBER(MATCH("N/A",J265:N265,0)),"",IFERROR((5 * SUMPRODUCT(J144:N144,J265:N265) - PRODUCT(SUM(J144:N144),SUM(J265:N265))) / ((5 * SUM((J144^2)+(K144^2)+(L144^2)+(M144^2)+(N144^2))) - SUM(J144:N144)^2),""))</f>
        <v>10633000</v>
      </c>
      <c r="AF265">
        <f>IFERROR(CORREL(J144:N144,J265:N265),"")</f>
        <v>0.97349645902676796</v>
      </c>
      <c r="AZ265">
        <f t="shared" si="69"/>
        <v>1</v>
      </c>
      <c r="BA265" t="str">
        <f>IF(AZ265=1,IF(Q265="","",IF(Q265=N144,"Yes","No")),"")</f>
        <v>Yes</v>
      </c>
      <c r="BB265">
        <f t="shared" si="70"/>
        <v>91460000</v>
      </c>
      <c r="BC265" t="str">
        <f>IF(AZ265=1,IF(S265="","",IF(S265=N144,"Yes","No")),"")</f>
        <v>No</v>
      </c>
      <c r="BD265" t="str">
        <f t="shared" si="71"/>
        <v/>
      </c>
      <c r="BE265" t="str">
        <f t="shared" si="72"/>
        <v>Increasing</v>
      </c>
      <c r="BF265" t="str">
        <f t="shared" si="73"/>
        <v>Yes</v>
      </c>
      <c r="BG265" t="str">
        <f t="shared" si="74"/>
        <v>Yes</v>
      </c>
      <c r="BH265" t="str">
        <f t="shared" si="75"/>
        <v>Yes</v>
      </c>
    </row>
    <row r="266" spans="1:60" x14ac:dyDescent="0.3">
      <c r="A266" s="1">
        <v>19</v>
      </c>
      <c r="B266" t="s">
        <v>690</v>
      </c>
      <c r="C266" t="s">
        <v>264</v>
      </c>
      <c r="D266" t="s">
        <v>264</v>
      </c>
      <c r="E266" t="s">
        <v>264</v>
      </c>
      <c r="F266" t="s">
        <v>264</v>
      </c>
      <c r="G266" t="s">
        <v>264</v>
      </c>
      <c r="I266" t="str">
        <f t="shared" si="82"/>
        <v>N/A</v>
      </c>
      <c r="J266" t="str">
        <f t="shared" si="83"/>
        <v>N/A</v>
      </c>
      <c r="K266" t="str">
        <f t="shared" si="84"/>
        <v>N/A</v>
      </c>
      <c r="L266" t="str">
        <f t="shared" si="85"/>
        <v>N/A</v>
      </c>
      <c r="M266" t="str">
        <f t="shared" si="86"/>
        <v>N/A</v>
      </c>
      <c r="N266" t="str">
        <f t="shared" si="87"/>
        <v>N/A</v>
      </c>
      <c r="P266">
        <f t="shared" si="58"/>
        <v>0</v>
      </c>
      <c r="Q266" t="str">
        <f>IFERROR(J144+MATCH(P266,J266:N266,0)-1,"")</f>
        <v/>
      </c>
      <c r="R266" t="str">
        <f t="shared" si="59"/>
        <v/>
      </c>
      <c r="S266" t="str">
        <f>IFERROR(J144+MATCH(R266,J266:N266,0)-1,"")</f>
        <v/>
      </c>
      <c r="T266" t="str">
        <f t="shared" si="60"/>
        <v/>
      </c>
      <c r="U266" t="str">
        <f t="shared" si="61"/>
        <v/>
      </c>
      <c r="V266" t="str">
        <f t="shared" si="62"/>
        <v/>
      </c>
      <c r="W266" t="str">
        <f t="shared" si="63"/>
        <v/>
      </c>
      <c r="X266" t="str">
        <f t="shared" si="64"/>
        <v/>
      </c>
      <c r="Y266" t="str">
        <f t="shared" si="65"/>
        <v/>
      </c>
      <c r="Z266" t="str">
        <f t="shared" si="66"/>
        <v/>
      </c>
      <c r="AA266">
        <f t="shared" si="67"/>
        <v>0</v>
      </c>
      <c r="AB266" t="str">
        <f>IFERROR(V144+MATCH(AA266,V266:Z266,0)-1,"")</f>
        <v/>
      </c>
      <c r="AC266" t="str">
        <f t="shared" si="68"/>
        <v/>
      </c>
      <c r="AE266" t="str">
        <f>IF(ISNUMBER(MATCH("N/A",J266:N266,0)),"",IFERROR((5 * SUMPRODUCT(J144:N144,J266:N266) - PRODUCT(SUM(J144:N144),SUM(J266:N266))) / ((5 * SUM((J144^2)+(K144^2)+(L144^2)+(M144^2)+(N144^2))) - SUM(J144:N144)^2),""))</f>
        <v/>
      </c>
      <c r="AF266" t="str">
        <f>IFERROR(CORREL(J144:N144,J266:N266),"")</f>
        <v/>
      </c>
      <c r="AZ266">
        <f t="shared" si="69"/>
        <v>0</v>
      </c>
      <c r="BA266" t="str">
        <f>IF(AZ266=1,IF(Q266="","",IF(Q266=N144,"Yes","No")),"")</f>
        <v/>
      </c>
      <c r="BB266" t="str">
        <f t="shared" si="70"/>
        <v/>
      </c>
      <c r="BC266" t="str">
        <f>IF(AZ266=1,IF(S266="","",IF(S266=N144,"Yes","No")),"")</f>
        <v/>
      </c>
      <c r="BD266" t="str">
        <f t="shared" si="71"/>
        <v/>
      </c>
      <c r="BE266" t="str">
        <f t="shared" si="72"/>
        <v/>
      </c>
      <c r="BF266" t="str">
        <f t="shared" si="73"/>
        <v>No</v>
      </c>
      <c r="BG266" t="str">
        <f t="shared" si="74"/>
        <v>No</v>
      </c>
      <c r="BH266" t="str">
        <f t="shared" si="75"/>
        <v/>
      </c>
    </row>
    <row r="267" spans="1:60" x14ac:dyDescent="0.3">
      <c r="A267" s="1">
        <v>20</v>
      </c>
      <c r="B267" t="s">
        <v>694</v>
      </c>
      <c r="C267" t="s">
        <v>1442</v>
      </c>
      <c r="D267" t="s">
        <v>1443</v>
      </c>
      <c r="E267" t="s">
        <v>1444</v>
      </c>
      <c r="F267" t="s">
        <v>1445</v>
      </c>
      <c r="G267" t="s">
        <v>1446</v>
      </c>
      <c r="I267" t="str">
        <f t="shared" si="82"/>
        <v>N/A</v>
      </c>
      <c r="J267">
        <f t="shared" si="83"/>
        <v>12830000</v>
      </c>
      <c r="K267">
        <f t="shared" si="84"/>
        <v>15040000</v>
      </c>
      <c r="L267">
        <f t="shared" si="85"/>
        <v>16670000.000000002</v>
      </c>
      <c r="M267">
        <f t="shared" si="86"/>
        <v>12690000</v>
      </c>
      <c r="N267">
        <f t="shared" si="87"/>
        <v>16790000</v>
      </c>
      <c r="P267">
        <f t="shared" si="58"/>
        <v>16790000</v>
      </c>
      <c r="Q267">
        <f>IFERROR(J144+MATCH(P267,J267:N267,0)-1,"")</f>
        <v>2016</v>
      </c>
      <c r="R267">
        <f t="shared" si="59"/>
        <v>12690000</v>
      </c>
      <c r="S267">
        <f>IFERROR(J144+MATCH(R267,J267:N267,0)-1,"")</f>
        <v>2015</v>
      </c>
      <c r="T267">
        <f t="shared" si="60"/>
        <v>14804000</v>
      </c>
      <c r="U267">
        <f t="shared" si="61"/>
        <v>1990447.185935864</v>
      </c>
      <c r="V267">
        <f t="shared" si="62"/>
        <v>-0.9917369392907901</v>
      </c>
      <c r="W267">
        <f t="shared" si="63"/>
        <v>0.1185663210094359</v>
      </c>
      <c r="X267">
        <f t="shared" si="64"/>
        <v>0.93747777543901534</v>
      </c>
      <c r="Y267">
        <f t="shared" si="65"/>
        <v>-1.0620728924319809</v>
      </c>
      <c r="Z267">
        <f t="shared" si="66"/>
        <v>0.99776573527432078</v>
      </c>
      <c r="AA267">
        <f t="shared" si="67"/>
        <v>-1.0620728924319809</v>
      </c>
      <c r="AB267">
        <f>IFERROR(V144+MATCH(AA267,V267:Z267,0)-1,"")</f>
        <v>2015</v>
      </c>
      <c r="AC267" t="str">
        <f t="shared" si="68"/>
        <v>Low</v>
      </c>
      <c r="AE267">
        <f>IF(ISNUMBER(MATCH("N/A",J267:N267,0)),"",IFERROR((5 * SUMPRODUCT(J144:N144,J267:N267) - PRODUCT(SUM(J144:N144),SUM(J267:N267))) / ((5 * SUM((J144^2)+(K144^2)+(L144^2)+(M144^2)+(N144^2))) - SUM(J144:N144)^2),""))</f>
        <v>557000</v>
      </c>
      <c r="AF267">
        <f>IFERROR(CORREL(J144:N144,J267:N267),"")</f>
        <v>0.44246053579302103</v>
      </c>
      <c r="AZ267">
        <f t="shared" si="69"/>
        <v>1</v>
      </c>
      <c r="BA267" t="str">
        <f>IF(AZ267=1,IF(Q267="","",IF(Q267=N144,"Yes","No")),"")</f>
        <v>Yes</v>
      </c>
      <c r="BB267">
        <f t="shared" si="70"/>
        <v>16790000</v>
      </c>
      <c r="BC267" t="str">
        <f>IF(AZ267=1,IF(S267="","",IF(S267=N144,"Yes","No")),"")</f>
        <v>No</v>
      </c>
      <c r="BD267" t="str">
        <f t="shared" si="71"/>
        <v/>
      </c>
      <c r="BE267" t="str">
        <f t="shared" si="72"/>
        <v>Increasing</v>
      </c>
      <c r="BF267" t="str">
        <f t="shared" si="73"/>
        <v>Yes</v>
      </c>
      <c r="BG267" t="str">
        <f t="shared" si="74"/>
        <v>No</v>
      </c>
      <c r="BH267" t="str">
        <f t="shared" si="75"/>
        <v>No</v>
      </c>
    </row>
    <row r="268" spans="1:60" x14ac:dyDescent="0.3">
      <c r="A268" s="1">
        <v>21</v>
      </c>
      <c r="B268" t="s">
        <v>697</v>
      </c>
      <c r="C268" t="s">
        <v>1442</v>
      </c>
      <c r="D268" t="s">
        <v>1443</v>
      </c>
      <c r="E268" t="s">
        <v>1444</v>
      </c>
      <c r="F268" t="s">
        <v>1445</v>
      </c>
      <c r="G268" t="s">
        <v>1446</v>
      </c>
      <c r="I268" t="str">
        <f t="shared" si="82"/>
        <v>N/A</v>
      </c>
      <c r="J268">
        <f t="shared" si="83"/>
        <v>12830000</v>
      </c>
      <c r="K268">
        <f t="shared" si="84"/>
        <v>15040000</v>
      </c>
      <c r="L268">
        <f t="shared" si="85"/>
        <v>16670000.000000002</v>
      </c>
      <c r="M268">
        <f t="shared" si="86"/>
        <v>12690000</v>
      </c>
      <c r="N268">
        <f t="shared" si="87"/>
        <v>16790000</v>
      </c>
      <c r="P268">
        <f t="shared" si="58"/>
        <v>16790000</v>
      </c>
      <c r="Q268">
        <f>IFERROR(J144+MATCH(P268,J268:N268,0)-1,"")</f>
        <v>2016</v>
      </c>
      <c r="R268">
        <f t="shared" si="59"/>
        <v>12690000</v>
      </c>
      <c r="S268">
        <f>IFERROR(J144+MATCH(R268,J268:N268,0)-1,"")</f>
        <v>2015</v>
      </c>
      <c r="T268">
        <f t="shared" si="60"/>
        <v>14804000</v>
      </c>
      <c r="U268">
        <f t="shared" si="61"/>
        <v>1990447.185935864</v>
      </c>
      <c r="V268">
        <f t="shared" si="62"/>
        <v>-0.9917369392907901</v>
      </c>
      <c r="W268">
        <f t="shared" si="63"/>
        <v>0.1185663210094359</v>
      </c>
      <c r="X268">
        <f t="shared" si="64"/>
        <v>0.93747777543901534</v>
      </c>
      <c r="Y268">
        <f t="shared" si="65"/>
        <v>-1.0620728924319809</v>
      </c>
      <c r="Z268">
        <f t="shared" si="66"/>
        <v>0.99776573527432078</v>
      </c>
      <c r="AA268">
        <f t="shared" si="67"/>
        <v>-1.0620728924319809</v>
      </c>
      <c r="AB268">
        <f>IFERROR(V144+MATCH(AA268,V268:Z268,0)-1,"")</f>
        <v>2015</v>
      </c>
      <c r="AC268" t="str">
        <f t="shared" si="68"/>
        <v>Low</v>
      </c>
      <c r="AE268">
        <f>IF(ISNUMBER(MATCH("N/A",J268:N268,0)),"",IFERROR((5 * SUMPRODUCT(J144:N144,J268:N268) - PRODUCT(SUM(J144:N144),SUM(J268:N268))) / ((5 * SUM((J144^2)+(K144^2)+(L144^2)+(M144^2)+(N144^2))) - SUM(J144:N144)^2),""))</f>
        <v>557000</v>
      </c>
      <c r="AF268">
        <f>IFERROR(CORREL(J144:N144,J268:N268),"")</f>
        <v>0.44246053579302103</v>
      </c>
      <c r="AZ268">
        <f t="shared" si="69"/>
        <v>1</v>
      </c>
      <c r="BA268" t="str">
        <f>IF(AZ268=1,IF(Q268="","",IF(Q268=N144,"Yes","No")),"")</f>
        <v>Yes</v>
      </c>
      <c r="BB268">
        <f t="shared" si="70"/>
        <v>16790000</v>
      </c>
      <c r="BC268" t="str">
        <f>IF(AZ268=1,IF(S268="","",IF(S268=N144,"Yes","No")),"")</f>
        <v>No</v>
      </c>
      <c r="BD268" t="str">
        <f t="shared" si="71"/>
        <v/>
      </c>
      <c r="BE268" t="str">
        <f t="shared" si="72"/>
        <v>Increasing</v>
      </c>
      <c r="BF268" t="str">
        <f t="shared" si="73"/>
        <v>Yes</v>
      </c>
      <c r="BG268" t="str">
        <f t="shared" si="74"/>
        <v>No</v>
      </c>
      <c r="BH268" t="str">
        <f t="shared" si="75"/>
        <v>No</v>
      </c>
    </row>
    <row r="269" spans="1:60" x14ac:dyDescent="0.3">
      <c r="A269" s="1">
        <v>22</v>
      </c>
      <c r="B269" t="s">
        <v>699</v>
      </c>
      <c r="C269" t="s">
        <v>264</v>
      </c>
      <c r="D269" t="s">
        <v>264</v>
      </c>
      <c r="E269" t="s">
        <v>264</v>
      </c>
      <c r="F269" t="s">
        <v>264</v>
      </c>
      <c r="G269" t="s">
        <v>264</v>
      </c>
      <c r="I269" t="str">
        <f t="shared" si="82"/>
        <v>N/A</v>
      </c>
      <c r="J269" t="str">
        <f t="shared" si="83"/>
        <v>N/A</v>
      </c>
      <c r="K269" t="str">
        <f t="shared" si="84"/>
        <v>N/A</v>
      </c>
      <c r="L269" t="str">
        <f t="shared" si="85"/>
        <v>N/A</v>
      </c>
      <c r="M269" t="str">
        <f t="shared" si="86"/>
        <v>N/A</v>
      </c>
      <c r="N269" t="str">
        <f t="shared" si="87"/>
        <v>N/A</v>
      </c>
      <c r="P269">
        <f t="shared" si="58"/>
        <v>0</v>
      </c>
      <c r="Q269" t="str">
        <f>IFERROR(J144+MATCH(P269,J269:N269,0)-1,"")</f>
        <v/>
      </c>
      <c r="R269" t="str">
        <f t="shared" si="59"/>
        <v/>
      </c>
      <c r="S269" t="str">
        <f>IFERROR(J144+MATCH(R269,J269:N269,0)-1,"")</f>
        <v/>
      </c>
      <c r="T269" t="str">
        <f t="shared" si="60"/>
        <v/>
      </c>
      <c r="U269" t="str">
        <f t="shared" si="61"/>
        <v/>
      </c>
      <c r="V269" t="str">
        <f t="shared" si="62"/>
        <v/>
      </c>
      <c r="W269" t="str">
        <f t="shared" si="63"/>
        <v/>
      </c>
      <c r="X269" t="str">
        <f t="shared" si="64"/>
        <v/>
      </c>
      <c r="Y269" t="str">
        <f t="shared" si="65"/>
        <v/>
      </c>
      <c r="Z269" t="str">
        <f t="shared" si="66"/>
        <v/>
      </c>
      <c r="AA269">
        <f t="shared" si="67"/>
        <v>0</v>
      </c>
      <c r="AB269" t="str">
        <f>IFERROR(V144+MATCH(AA269,V269:Z269,0)-1,"")</f>
        <v/>
      </c>
      <c r="AC269" t="str">
        <f t="shared" si="68"/>
        <v/>
      </c>
      <c r="AE269" t="str">
        <f>IF(ISNUMBER(MATCH("N/A",J269:N269,0)),"",IFERROR((5 * SUMPRODUCT(J144:N144,J269:N269) - PRODUCT(SUM(J144:N144),SUM(J269:N269))) / ((5 * SUM((J144^2)+(K144^2)+(L144^2)+(M144^2)+(N144^2))) - SUM(J144:N144)^2),""))</f>
        <v/>
      </c>
      <c r="AF269" t="str">
        <f>IFERROR(CORREL(J144:N144,J269:N269),"")</f>
        <v/>
      </c>
      <c r="AZ269">
        <f t="shared" si="69"/>
        <v>0</v>
      </c>
      <c r="BA269" t="str">
        <f>IF(AZ269=1,IF(Q269="","",IF(Q269=N144,"Yes","No")),"")</f>
        <v/>
      </c>
      <c r="BB269" t="str">
        <f t="shared" si="70"/>
        <v/>
      </c>
      <c r="BC269" t="str">
        <f>IF(AZ269=1,IF(S269="","",IF(S269=N144,"Yes","No")),"")</f>
        <v/>
      </c>
      <c r="BD269" t="str">
        <f t="shared" si="71"/>
        <v/>
      </c>
      <c r="BE269" t="str">
        <f t="shared" si="72"/>
        <v/>
      </c>
      <c r="BF269" t="str">
        <f t="shared" si="73"/>
        <v>No</v>
      </c>
      <c r="BG269" t="str">
        <f t="shared" si="74"/>
        <v>No</v>
      </c>
      <c r="BH269" t="str">
        <f t="shared" si="75"/>
        <v/>
      </c>
    </row>
    <row r="270" spans="1:60" x14ac:dyDescent="0.3">
      <c r="A270" s="1">
        <v>23</v>
      </c>
      <c r="B270" t="s">
        <v>700</v>
      </c>
      <c r="C270" t="s">
        <v>1447</v>
      </c>
      <c r="D270" t="s">
        <v>1448</v>
      </c>
      <c r="E270" t="s">
        <v>1449</v>
      </c>
      <c r="F270" t="s">
        <v>1450</v>
      </c>
      <c r="G270" t="s">
        <v>1451</v>
      </c>
      <c r="I270" t="str">
        <f t="shared" si="82"/>
        <v>N/A</v>
      </c>
      <c r="J270">
        <f t="shared" si="83"/>
        <v>575460000</v>
      </c>
      <c r="K270">
        <f t="shared" si="84"/>
        <v>496870000</v>
      </c>
      <c r="L270">
        <f t="shared" si="85"/>
        <v>566740000</v>
      </c>
      <c r="M270">
        <f t="shared" si="86"/>
        <v>674180000</v>
      </c>
      <c r="N270">
        <f t="shared" si="87"/>
        <v>711100000</v>
      </c>
      <c r="P270">
        <f t="shared" si="58"/>
        <v>711100000</v>
      </c>
      <c r="Q270">
        <f>IFERROR(J144+MATCH(P270,J270:N270,0)-1,"")</f>
        <v>2016</v>
      </c>
      <c r="R270">
        <f t="shared" si="59"/>
        <v>496870000</v>
      </c>
      <c r="S270">
        <f>IFERROR(J144+MATCH(R270,J270:N270,0)-1,"")</f>
        <v>2013</v>
      </c>
      <c r="T270">
        <f t="shared" si="60"/>
        <v>604870000</v>
      </c>
      <c r="U270">
        <f t="shared" si="61"/>
        <v>86705729.337800965</v>
      </c>
      <c r="V270">
        <f t="shared" si="62"/>
        <v>-0.33919327159362428</v>
      </c>
      <c r="W270">
        <f t="shared" si="63"/>
        <v>-1.2455924288375186</v>
      </c>
      <c r="X270">
        <f t="shared" si="64"/>
        <v>-0.43976332695902393</v>
      </c>
      <c r="Y270">
        <f t="shared" si="65"/>
        <v>0.79937047446970755</v>
      </c>
      <c r="Z270">
        <f t="shared" si="66"/>
        <v>1.2251785529204593</v>
      </c>
      <c r="AA270">
        <f t="shared" si="67"/>
        <v>-1.2455924288375186</v>
      </c>
      <c r="AB270">
        <f>IFERROR(V144+MATCH(AA270,V270:Z270,0)-1,"")</f>
        <v>2013</v>
      </c>
      <c r="AC270" t="str">
        <f t="shared" si="68"/>
        <v>Low</v>
      </c>
      <c r="AE270">
        <f>IF(ISNUMBER(MATCH("N/A",J270:N270,0)),"",IFERROR((5 * SUMPRODUCT(J144:N144,J270:N270) - PRODUCT(SUM(J144:N144),SUM(J270:N270))) / ((5 * SUM((J144^2)+(K144^2)+(L144^2)+(M144^2)+(N144^2))) - SUM(J144:N144)^2),""))</f>
        <v>44859000</v>
      </c>
      <c r="AF270">
        <f>IFERROR(CORREL(J144:N144,J270:N270),"")</f>
        <v>0.81803483253584885</v>
      </c>
      <c r="AZ270">
        <f t="shared" si="69"/>
        <v>1</v>
      </c>
      <c r="BA270" t="str">
        <f>IF(AZ270=1,IF(Q270="","",IF(Q270=N144,"Yes","No")),"")</f>
        <v>Yes</v>
      </c>
      <c r="BB270">
        <f t="shared" si="70"/>
        <v>711100000</v>
      </c>
      <c r="BC270" t="str">
        <f>IF(AZ270=1,IF(S270="","",IF(S270=N144,"Yes","No")),"")</f>
        <v>No</v>
      </c>
      <c r="BD270" t="str">
        <f t="shared" si="71"/>
        <v/>
      </c>
      <c r="BE270" t="str">
        <f t="shared" si="72"/>
        <v>Increasing</v>
      </c>
      <c r="BF270" t="str">
        <f t="shared" si="73"/>
        <v>Yes</v>
      </c>
      <c r="BG270" t="str">
        <f t="shared" si="74"/>
        <v>No</v>
      </c>
      <c r="BH270" t="str">
        <f t="shared" si="75"/>
        <v>Yes</v>
      </c>
    </row>
    <row r="271" spans="1:60" x14ac:dyDescent="0.3">
      <c r="A271" s="1">
        <v>24</v>
      </c>
      <c r="B271" t="s">
        <v>706</v>
      </c>
      <c r="C271" t="s">
        <v>264</v>
      </c>
      <c r="D271" t="s">
        <v>264</v>
      </c>
      <c r="E271" t="s">
        <v>264</v>
      </c>
      <c r="F271" t="s">
        <v>264</v>
      </c>
      <c r="G271" t="s">
        <v>264</v>
      </c>
      <c r="P271">
        <f t="shared" si="58"/>
        <v>0</v>
      </c>
      <c r="Q271" t="str">
        <f>IFERROR(J144+MATCH(P271,J271:N271,0)-1,"")</f>
        <v/>
      </c>
      <c r="R271" t="str">
        <f t="shared" si="59"/>
        <v/>
      </c>
      <c r="S271" t="str">
        <f>IFERROR(J144+MATCH(R271,J271:N271,0)-1,"")</f>
        <v/>
      </c>
      <c r="T271" t="str">
        <f t="shared" si="60"/>
        <v/>
      </c>
      <c r="U271" t="str">
        <f t="shared" si="61"/>
        <v/>
      </c>
      <c r="V271" t="str">
        <f t="shared" si="62"/>
        <v/>
      </c>
      <c r="W271" t="str">
        <f t="shared" si="63"/>
        <v/>
      </c>
      <c r="X271" t="str">
        <f t="shared" si="64"/>
        <v/>
      </c>
      <c r="Y271" t="str">
        <f t="shared" si="65"/>
        <v/>
      </c>
      <c r="Z271" t="str">
        <f t="shared" si="66"/>
        <v/>
      </c>
      <c r="AA271">
        <f t="shared" si="67"/>
        <v>0</v>
      </c>
      <c r="AB271" t="str">
        <f>IFERROR(V144+MATCH(AA271,V271:Z271,0)-1,"")</f>
        <v/>
      </c>
      <c r="AC271" t="str">
        <f t="shared" si="68"/>
        <v/>
      </c>
      <c r="AE271">
        <f>IF(ISNUMBER(MATCH("N/A",J271:N271,0)),"",IFERROR((5 * SUMPRODUCT(J144:N144,J271:N271) - PRODUCT(SUM(J144:N144),SUM(J271:N271))) / ((5 * SUM((J144^2)+(K144^2)+(L144^2)+(M144^2)+(N144^2))) - SUM(J144:N144)^2),""))</f>
        <v>0</v>
      </c>
      <c r="AF271" t="str">
        <f>IFERROR(CORREL(J144:N144,J271:N271),"")</f>
        <v/>
      </c>
      <c r="AZ271">
        <f t="shared" si="69"/>
        <v>0</v>
      </c>
      <c r="BA271" t="str">
        <f>IF(AZ271=1,IF(Q271="","",IF(Q271=N144,"Yes","No")),"")</f>
        <v/>
      </c>
      <c r="BB271" t="str">
        <f t="shared" si="70"/>
        <v/>
      </c>
      <c r="BC271" t="str">
        <f>IF(AZ271=1,IF(S271="","",IF(S271=N144,"Yes","No")),"")</f>
        <v/>
      </c>
      <c r="BD271" t="str">
        <f t="shared" si="71"/>
        <v/>
      </c>
      <c r="BE271" t="str">
        <f t="shared" si="72"/>
        <v/>
      </c>
      <c r="BF271" t="str">
        <f t="shared" si="73"/>
        <v>No</v>
      </c>
      <c r="BG271" t="str">
        <f t="shared" si="74"/>
        <v>No</v>
      </c>
      <c r="BH271" t="str">
        <f t="shared" si="75"/>
        <v/>
      </c>
    </row>
    <row r="272" spans="1:60" x14ac:dyDescent="0.3">
      <c r="A272" s="1">
        <v>25</v>
      </c>
      <c r="B272" t="s">
        <v>707</v>
      </c>
      <c r="C272" t="s">
        <v>1452</v>
      </c>
      <c r="D272" t="s">
        <v>1453</v>
      </c>
      <c r="E272" t="s">
        <v>1454</v>
      </c>
      <c r="F272" t="s">
        <v>1455</v>
      </c>
      <c r="G272" t="s">
        <v>1456</v>
      </c>
      <c r="I272" t="str">
        <f t="shared" ref="I272:I310" si="88">IF(AND(K272&gt; J272, L272&gt; K272, M272&gt; L272, N272&gt; M272), "pos_trend", IF(AND(K272&lt; J272, L272&lt; K272, M272&lt; L272, N272&lt; M272), "neg_trend", "N/A"))</f>
        <v>N/A</v>
      </c>
      <c r="J272">
        <f t="shared" ref="J272:J310" si="89">IFERROR(IF(TRIM(C272)="-", "N/A", IF(RIGHT(C272,1)=")",IF(RIGHT(C272,2)="T)",-1000000000000*VALUE(MID(C272,2,LEN(C272)-3)),IF(RIGHT(C272,2)="M)",-1000000*VALUE(MID(C272,2,LEN(C272)-3)),IF(RIGHT(C272,2)="B)",-1000000000*VALUE(MID(C272,2,LEN(C272)-3)),IF(RIGHT(C272,2)="k)",-1000*VALUE(MID(C272,2,LEN(C272)-3)),VALUE(SUBSTITUTE(C272,",","")))))),IF(RIGHT(C272,1)="T",1000000000000*VALUE(LEFT(C272,LEN(C272)-1)),IF(RIGHT(C272,1)="M",1000000*VALUE(LEFT(C272,LEN(C272)-1)),IF(RIGHT(C272,1)="B",1000000000*VALUE(LEFT(C272,LEN(C272)-1)),IF(RIGHT(C272,1)="%",0.01*VALUE(LEFT(C272,LEN(C272)-1)),IF(RIGHT(C272,1)="k",1000*VALUE(LEFT(C272,LEN(C272)-1)),VALUE(SUBSTITUTE(C272,",",""))))))))),"N/A")</f>
        <v>0.55630000000000002</v>
      </c>
      <c r="K272">
        <f t="shared" ref="K272:K310" si="90">IFERROR(IF(TRIM(D272)="-", "N/A", IF(RIGHT(D272,1)=")",IF(RIGHT(D272,2)="T)",-1000000000000*VALUE(MID(D272,2,LEN(D272)-3)),IF(RIGHT(D272,2)="M)",-1000000*VALUE(MID(D272,2,LEN(D272)-3)),IF(RIGHT(D272,2)="B)",-1000000000*VALUE(MID(D272,2,LEN(D272)-3)),IF(RIGHT(D272,2)="k)",-1000*VALUE(MID(D272,2,LEN(D272)-3)),VALUE(SUBSTITUTE(D272,",","")))))),IF(RIGHT(D272,1)="T",1000000000000*VALUE(LEFT(D272,LEN(D272)-1)),IF(RIGHT(D272,1)="M",1000000*VALUE(LEFT(D272,LEN(D272)-1)),IF(RIGHT(D272,1)="B",1000000000*VALUE(LEFT(D272,LEN(D272)-1)),IF(RIGHT(D272,1)="%",0.01*VALUE(LEFT(D272,LEN(D272)-1)),IF(RIGHT(D272,1)="k",1000*VALUE(LEFT(D272,LEN(D272)-1)),VALUE(SUBSTITUTE(D272,",",""))))))))),"N/A")</f>
        <v>0.48840000000000006</v>
      </c>
      <c r="L272">
        <f t="shared" ref="L272:L310" si="91">IFERROR(IF(TRIM(E272)="-", "N/A", IF(RIGHT(E272,1)=")",IF(RIGHT(E272,2)="T)",-1000000000000*VALUE(MID(E272,2,LEN(E272)-3)),IF(RIGHT(E272,2)="M)",-1000000*VALUE(MID(E272,2,LEN(E272)-3)),IF(RIGHT(E272,2)="B)",-1000000000*VALUE(MID(E272,2,LEN(E272)-3)),IF(RIGHT(E272,2)="k)",-1000*VALUE(MID(E272,2,LEN(E272)-3)),VALUE(SUBSTITUTE(E272,",","")))))),IF(RIGHT(E272,1)="T",1000000000000*VALUE(LEFT(E272,LEN(E272)-1)),IF(RIGHT(E272,1)="M",1000000*VALUE(LEFT(E272,LEN(E272)-1)),IF(RIGHT(E272,1)="B",1000000000*VALUE(LEFT(E272,LEN(E272)-1)),IF(RIGHT(E272,1)="%",0.01*VALUE(LEFT(E272,LEN(E272)-1)),IF(RIGHT(E272,1)="k",1000*VALUE(LEFT(E272,LEN(E272)-1)),VALUE(SUBSTITUTE(E272,",",""))))))))),"N/A")</f>
        <v>0.50259999999999994</v>
      </c>
      <c r="M272">
        <f t="shared" ref="M272:M310" si="92">IFERROR(IF(TRIM(F272)="-", "N/A", IF(RIGHT(F272,1)=")",IF(RIGHT(F272,2)="T)",-1000000000000*VALUE(MID(F272,2,LEN(F272)-3)),IF(RIGHT(F272,2)="M)",-1000000*VALUE(MID(F272,2,LEN(F272)-3)),IF(RIGHT(F272,2)="B)",-1000000000*VALUE(MID(F272,2,LEN(F272)-3)),IF(RIGHT(F272,2)="k)",-1000*VALUE(MID(F272,2,LEN(F272)-3)),VALUE(SUBSTITUTE(F272,",","")))))),IF(RIGHT(F272,1)="T",1000000000000*VALUE(LEFT(F272,LEN(F272)-1)),IF(RIGHT(F272,1)="M",1000000*VALUE(LEFT(F272,LEN(F272)-1)),IF(RIGHT(F272,1)="B",1000000000*VALUE(LEFT(F272,LEN(F272)-1)),IF(RIGHT(F272,1)="%",0.01*VALUE(LEFT(F272,LEN(F272)-1)),IF(RIGHT(F272,1)="k",1000*VALUE(LEFT(F272,LEN(F272)-1)),VALUE(SUBSTITUTE(F272,",",""))))))))),"N/A")</f>
        <v>0.53380000000000005</v>
      </c>
      <c r="N272">
        <f t="shared" ref="N272:N310" si="93">IFERROR(IF(TRIM(G272)="-", "N/A", IF(RIGHT(G272,1)=")",IF(RIGHT(G272,2)="T)",-1000000000000*VALUE(MID(G272,2,LEN(G272)-3)),IF(RIGHT(G272,2)="M)",-1000000*VALUE(MID(G272,2,LEN(G272)-3)),IF(RIGHT(G272,2)="B)",-1000000000*VALUE(MID(G272,2,LEN(G272)-3)),IF(RIGHT(G272,2)="k)",-1000*VALUE(MID(G272,2,LEN(G272)-3)),VALUE(SUBSTITUTE(G272,",","")))))),IF(RIGHT(G272,1)="T",1000000000000*VALUE(LEFT(G272,LEN(G272)-1)),IF(RIGHT(G272,1)="M",1000000*VALUE(LEFT(G272,LEN(G272)-1)),IF(RIGHT(G272,1)="B",1000000000*VALUE(LEFT(G272,LEN(G272)-1)),IF(RIGHT(G272,1)="%",0.01*VALUE(LEFT(G272,LEN(G272)-1)),IF(RIGHT(G272,1)="k",1000*VALUE(LEFT(G272,LEN(G272)-1)),VALUE(SUBSTITUTE(G272,",",""))))))))),"N/A")</f>
        <v>0.54280000000000006</v>
      </c>
      <c r="P272">
        <f t="shared" si="58"/>
        <v>0.55630000000000002</v>
      </c>
      <c r="Q272">
        <f>IFERROR(J144+MATCH(P272,J272:N272,0)-1,"")</f>
        <v>2012</v>
      </c>
      <c r="R272">
        <f t="shared" si="59"/>
        <v>0.48840000000000006</v>
      </c>
      <c r="S272">
        <f>IFERROR(J144+MATCH(R272,J272:N272,0)-1,"")</f>
        <v>2013</v>
      </c>
      <c r="T272">
        <f t="shared" si="60"/>
        <v>0.52478000000000002</v>
      </c>
      <c r="U272">
        <f t="shared" si="61"/>
        <v>2.8350696640470772E-2</v>
      </c>
      <c r="V272">
        <f t="shared" si="62"/>
        <v>1.1117892586457654</v>
      </c>
      <c r="W272">
        <f t="shared" si="63"/>
        <v>-1.2832136176882272</v>
      </c>
      <c r="X272">
        <f t="shared" si="64"/>
        <v>-0.78234409126786741</v>
      </c>
      <c r="Y272">
        <f t="shared" si="65"/>
        <v>0.3181579667825139</v>
      </c>
      <c r="Z272">
        <f t="shared" si="66"/>
        <v>0.63561048352781535</v>
      </c>
      <c r="AA272">
        <f t="shared" si="67"/>
        <v>-1.2832136176882272</v>
      </c>
      <c r="AB272">
        <f>IFERROR(V144+MATCH(AA272,V272:Z272,0)-1,"")</f>
        <v>2013</v>
      </c>
      <c r="AC272" t="str">
        <f t="shared" si="68"/>
        <v>Low</v>
      </c>
      <c r="AE272">
        <f>IF(ISNUMBER(MATCH("N/A",J272:N272,0)),"",IFERROR((5 * SUMPRODUCT(J144:N144,J272:N272) - PRODUCT(SUM(J144:N144),SUM(J272:N272))) / ((5 * SUM((J144^2)+(K144^2)+(L144^2)+(M144^2)+(N144^2))) - SUM(J144:N144)^2),""))</f>
        <v>1.8399999999382998E-3</v>
      </c>
      <c r="AF272">
        <f>IFERROR(CORREL(J144:N144,J272:N272),"")</f>
        <v>0.10261812907982963</v>
      </c>
      <c r="AZ272">
        <f t="shared" si="69"/>
        <v>1</v>
      </c>
      <c r="BA272" t="str">
        <f>IF(AZ272=1,IF(Q272="","",IF(Q272=N144,"Yes","No")),"")</f>
        <v>No</v>
      </c>
      <c r="BB272" t="str">
        <f t="shared" si="70"/>
        <v/>
      </c>
      <c r="BC272" t="str">
        <f>IF(AZ272=1,IF(S272="","",IF(S272=N144,"Yes","No")),"")</f>
        <v>No</v>
      </c>
      <c r="BD272" t="str">
        <f t="shared" si="71"/>
        <v/>
      </c>
      <c r="BE272" t="str">
        <f t="shared" si="72"/>
        <v>Increasing</v>
      </c>
      <c r="BF272" t="str">
        <f t="shared" si="73"/>
        <v>No</v>
      </c>
      <c r="BG272" t="str">
        <f t="shared" si="74"/>
        <v>No</v>
      </c>
      <c r="BH272" t="str">
        <f t="shared" si="75"/>
        <v>No</v>
      </c>
    </row>
    <row r="273" spans="1:60" x14ac:dyDescent="0.3">
      <c r="A273" s="1">
        <v>26</v>
      </c>
      <c r="B273" t="s">
        <v>713</v>
      </c>
      <c r="C273" t="s">
        <v>264</v>
      </c>
      <c r="D273" t="s">
        <v>264</v>
      </c>
      <c r="E273" t="s">
        <v>264</v>
      </c>
      <c r="F273" t="s">
        <v>264</v>
      </c>
      <c r="G273" t="s">
        <v>264</v>
      </c>
      <c r="I273" t="str">
        <f t="shared" si="88"/>
        <v>N/A</v>
      </c>
      <c r="J273" t="str">
        <f t="shared" si="89"/>
        <v>N/A</v>
      </c>
      <c r="K273" t="str">
        <f t="shared" si="90"/>
        <v>N/A</v>
      </c>
      <c r="L273" t="str">
        <f t="shared" si="91"/>
        <v>N/A</v>
      </c>
      <c r="M273" t="str">
        <f t="shared" si="92"/>
        <v>N/A</v>
      </c>
      <c r="N273" t="str">
        <f t="shared" si="93"/>
        <v>N/A</v>
      </c>
      <c r="P273">
        <f t="shared" ref="P273:P336" si="94">MAX(J273:N273)</f>
        <v>0</v>
      </c>
      <c r="Q273" t="str">
        <f>IFERROR(J144+MATCH(P273,J273:N273,0)-1,"")</f>
        <v/>
      </c>
      <c r="R273" t="str">
        <f t="shared" ref="R273:R336" si="95">IF(Q273="","",MIN(J273:N273))</f>
        <v/>
      </c>
      <c r="S273" t="str">
        <f>IFERROR(J144+MATCH(R273,J273:N273,0)-1,"")</f>
        <v/>
      </c>
      <c r="T273" t="str">
        <f t="shared" ref="T273:T336" si="96">IFERROR(AVERAGE(J273:N273),"")</f>
        <v/>
      </c>
      <c r="U273" t="str">
        <f t="shared" ref="U273:U336" si="97">IFERROR(STDEV(J273:N273),"")</f>
        <v/>
      </c>
      <c r="V273" t="str">
        <f t="shared" ref="V273:V336" si="98">IFERROR(IF(C273="-","",IF(ISBLANK(B273),"",IF(OR(ISNUMBER(FIND("Growth",B273)),ISNUMBER(FIND("Margin",B273))),"",(J273-T273)/U273))),"")</f>
        <v/>
      </c>
      <c r="W273" t="str">
        <f t="shared" ref="W273:W336" si="99">IFERROR(IF(OR(D273="-",ISBLANK(D273)),"",(K273-T273)/U273),"")</f>
        <v/>
      </c>
      <c r="X273" t="str">
        <f t="shared" ref="X273:X336" si="100">IFERROR(IF(OR(E273="-",ISBLANK(E273)),"",(L273-T273)/U273),"")</f>
        <v/>
      </c>
      <c r="Y273" t="str">
        <f t="shared" ref="Y273:Y336" si="101">IFERROR(IF(OR(F273="-",ISBLANK(F273)),"",(M273-T273)/U273),"")</f>
        <v/>
      </c>
      <c r="Z273" t="str">
        <f t="shared" ref="Z273:Z336" si="102">IFERROR(IF(OR(G273="-",ISBLANK(G273)),"",(N273-T273)/U273),"")</f>
        <v/>
      </c>
      <c r="AA273">
        <f t="shared" ref="AA273:AA336" si="103">IF(MAX(MAX(V273:Z273),ABS(MIN(V273:Z273)))=ABS(MIN(V273:Z273)),MIN(V273:Z273),MAX(V273:Z273))</f>
        <v>0</v>
      </c>
      <c r="AB273" t="str">
        <f>IFERROR(V144+MATCH(AA273,V273:Z273,0)-1,"")</f>
        <v/>
      </c>
      <c r="AC273" t="str">
        <f t="shared" ref="AC273:AC336" si="104">IF(AB273&lt;&gt;"",IF(S273=AB273,"Low",IF(AB273=Q273,"High","")),"")</f>
        <v/>
      </c>
      <c r="AE273" t="str">
        <f>IF(ISNUMBER(MATCH("N/A",J273:N273,0)),"",IFERROR((5 * SUMPRODUCT(J144:N144,J273:N273) - PRODUCT(SUM(J144:N144),SUM(J273:N273))) / ((5 * SUM((J144^2)+(K144^2)+(L144^2)+(M144^2)+(N144^2))) - SUM(J144:N144)^2),""))</f>
        <v/>
      </c>
      <c r="AF273" t="str">
        <f>IFERROR(CORREL(J144:N144,J273:N273),"")</f>
        <v/>
      </c>
      <c r="AZ273">
        <f t="shared" ref="AZ273:AZ336" si="105">IF(Q273=S273,0,1)</f>
        <v>0</v>
      </c>
      <c r="BA273" t="str">
        <f>IF(AZ273=1,IF(Q273="","",IF(Q273=N144,"Yes","No")),"")</f>
        <v/>
      </c>
      <c r="BB273" t="str">
        <f t="shared" ref="BB273:BB336" si="106">IF(BA273="Yes",P273,"")</f>
        <v/>
      </c>
      <c r="BC273" t="str">
        <f>IF(AZ273=1,IF(S273="","",IF(S273=N144,"Yes","No")),"")</f>
        <v/>
      </c>
      <c r="BD273" t="str">
        <f t="shared" ref="BD273:BD336" si="107">IF(BC273="Yes",R273,"")</f>
        <v/>
      </c>
      <c r="BE273" t="str">
        <f t="shared" ref="BE273:BE336" si="108">IFERROR(IF(SIGN(AE273)=1,"Increasing",IF(SIGN(AE273)=-1,"Decreasing","")),"")</f>
        <v/>
      </c>
      <c r="BF273" t="str">
        <f t="shared" ref="BF273:BF336" si="109">IF(OR(AND(BE273="Increasing",BA273="Yes"),AND(BE273="Decreasing",BC273="Yes")),"Yes","No")</f>
        <v>No</v>
      </c>
      <c r="BG273" t="str">
        <f t="shared" ref="BG273:BG336" si="110">IF(I273="pos_trend","Yes","No")</f>
        <v>No</v>
      </c>
      <c r="BH273" t="str">
        <f t="shared" ref="BH273:BH336" si="111">IF(AF273&lt;&gt;"",IF(ABS(AF273)&gt;0.8,"Yes","No"),"")</f>
        <v/>
      </c>
    </row>
    <row r="274" spans="1:60" x14ac:dyDescent="0.3">
      <c r="A274" s="1">
        <v>27</v>
      </c>
      <c r="B274" t="s">
        <v>714</v>
      </c>
      <c r="C274" t="s">
        <v>264</v>
      </c>
      <c r="D274" t="s">
        <v>264</v>
      </c>
      <c r="E274" t="s">
        <v>264</v>
      </c>
      <c r="F274" t="s">
        <v>264</v>
      </c>
      <c r="G274" t="s">
        <v>264</v>
      </c>
      <c r="I274" t="str">
        <f t="shared" si="88"/>
        <v>N/A</v>
      </c>
      <c r="J274" t="str">
        <f t="shared" si="89"/>
        <v>N/A</v>
      </c>
      <c r="K274" t="str">
        <f t="shared" si="90"/>
        <v>N/A</v>
      </c>
      <c r="L274" t="str">
        <f t="shared" si="91"/>
        <v>N/A</v>
      </c>
      <c r="M274" t="str">
        <f t="shared" si="92"/>
        <v>N/A</v>
      </c>
      <c r="N274" t="str">
        <f t="shared" si="93"/>
        <v>N/A</v>
      </c>
      <c r="P274">
        <f t="shared" si="94"/>
        <v>0</v>
      </c>
      <c r="Q274" t="str">
        <f>IFERROR(J144+MATCH(P274,J274:N274,0)-1,"")</f>
        <v/>
      </c>
      <c r="R274" t="str">
        <f t="shared" si="95"/>
        <v/>
      </c>
      <c r="S274" t="str">
        <f>IFERROR(J144+MATCH(R274,J274:N274,0)-1,"")</f>
        <v/>
      </c>
      <c r="T274" t="str">
        <f t="shared" si="96"/>
        <v/>
      </c>
      <c r="U274" t="str">
        <f t="shared" si="97"/>
        <v/>
      </c>
      <c r="V274" t="str">
        <f t="shared" si="98"/>
        <v/>
      </c>
      <c r="W274" t="str">
        <f t="shared" si="99"/>
        <v/>
      </c>
      <c r="X274" t="str">
        <f t="shared" si="100"/>
        <v/>
      </c>
      <c r="Y274" t="str">
        <f t="shared" si="101"/>
        <v/>
      </c>
      <c r="Z274" t="str">
        <f t="shared" si="102"/>
        <v/>
      </c>
      <c r="AA274">
        <f t="shared" si="103"/>
        <v>0</v>
      </c>
      <c r="AB274" t="str">
        <f>IFERROR(V144+MATCH(AA274,V274:Z274,0)-1,"")</f>
        <v/>
      </c>
      <c r="AC274" t="str">
        <f t="shared" si="104"/>
        <v/>
      </c>
      <c r="AE274" t="str">
        <f>IF(ISNUMBER(MATCH("N/A",J274:N274,0)),"",IFERROR((5 * SUMPRODUCT(J144:N144,J274:N274) - PRODUCT(SUM(J144:N144),SUM(J274:N274))) / ((5 * SUM((J144^2)+(K144^2)+(L144^2)+(M144^2)+(N144^2))) - SUM(J144:N144)^2),""))</f>
        <v/>
      </c>
      <c r="AF274" t="str">
        <f>IFERROR(CORREL(J144:N144,J274:N274),"")</f>
        <v/>
      </c>
      <c r="AZ274">
        <f t="shared" si="105"/>
        <v>0</v>
      </c>
      <c r="BA274" t="str">
        <f>IF(AZ274=1,IF(Q274="","",IF(Q274=N144,"Yes","No")),"")</f>
        <v/>
      </c>
      <c r="BB274" t="str">
        <f t="shared" si="106"/>
        <v/>
      </c>
      <c r="BC274" t="str">
        <f>IF(AZ274=1,IF(S274="","",IF(S274=N144,"Yes","No")),"")</f>
        <v/>
      </c>
      <c r="BD274" t="str">
        <f t="shared" si="107"/>
        <v/>
      </c>
      <c r="BE274" t="str">
        <f t="shared" si="108"/>
        <v/>
      </c>
      <c r="BF274" t="str">
        <f t="shared" si="109"/>
        <v>No</v>
      </c>
      <c r="BG274" t="str">
        <f t="shared" si="110"/>
        <v>No</v>
      </c>
      <c r="BH274" t="str">
        <f t="shared" si="111"/>
        <v/>
      </c>
    </row>
    <row r="275" spans="1:60" x14ac:dyDescent="0.3">
      <c r="A275" s="1">
        <v>28</v>
      </c>
      <c r="B275" t="s">
        <v>715</v>
      </c>
      <c r="C275" t="s">
        <v>264</v>
      </c>
      <c r="D275" t="s">
        <v>264</v>
      </c>
      <c r="E275" t="s">
        <v>264</v>
      </c>
      <c r="F275" t="s">
        <v>264</v>
      </c>
      <c r="G275" t="s">
        <v>264</v>
      </c>
      <c r="I275" t="str">
        <f t="shared" si="88"/>
        <v>N/A</v>
      </c>
      <c r="J275" t="str">
        <f t="shared" si="89"/>
        <v>N/A</v>
      </c>
      <c r="K275" t="str">
        <f t="shared" si="90"/>
        <v>N/A</v>
      </c>
      <c r="L275" t="str">
        <f t="shared" si="91"/>
        <v>N/A</v>
      </c>
      <c r="M275" t="str">
        <f t="shared" si="92"/>
        <v>N/A</v>
      </c>
      <c r="N275" t="str">
        <f t="shared" si="93"/>
        <v>N/A</v>
      </c>
      <c r="P275">
        <f t="shared" si="94"/>
        <v>0</v>
      </c>
      <c r="Q275" t="str">
        <f>IFERROR(J144+MATCH(P275,J275:N275,0)-1,"")</f>
        <v/>
      </c>
      <c r="R275" t="str">
        <f t="shared" si="95"/>
        <v/>
      </c>
      <c r="S275" t="str">
        <f>IFERROR(J144+MATCH(R275,J275:N275,0)-1,"")</f>
        <v/>
      </c>
      <c r="T275" t="str">
        <f t="shared" si="96"/>
        <v/>
      </c>
      <c r="U275" t="str">
        <f t="shared" si="97"/>
        <v/>
      </c>
      <c r="V275" t="str">
        <f t="shared" si="98"/>
        <v/>
      </c>
      <c r="W275" t="str">
        <f t="shared" si="99"/>
        <v/>
      </c>
      <c r="X275" t="str">
        <f t="shared" si="100"/>
        <v/>
      </c>
      <c r="Y275" t="str">
        <f t="shared" si="101"/>
        <v/>
      </c>
      <c r="Z275" t="str">
        <f t="shared" si="102"/>
        <v/>
      </c>
      <c r="AA275">
        <f t="shared" si="103"/>
        <v>0</v>
      </c>
      <c r="AB275" t="str">
        <f>IFERROR(V144+MATCH(AA275,V275:Z275,0)-1,"")</f>
        <v/>
      </c>
      <c r="AC275" t="str">
        <f t="shared" si="104"/>
        <v/>
      </c>
      <c r="AE275" t="str">
        <f>IF(ISNUMBER(MATCH("N/A",J275:N275,0)),"",IFERROR((5 * SUMPRODUCT(J144:N144,J275:N275) - PRODUCT(SUM(J144:N144),SUM(J275:N275))) / ((5 * SUM((J144^2)+(K144^2)+(L144^2)+(M144^2)+(N144^2))) - SUM(J144:N144)^2),""))</f>
        <v/>
      </c>
      <c r="AF275" t="str">
        <f>IFERROR(CORREL(J144:N144,J275:N275),"")</f>
        <v/>
      </c>
      <c r="AZ275">
        <f t="shared" si="105"/>
        <v>0</v>
      </c>
      <c r="BA275" t="str">
        <f>IF(AZ275=1,IF(Q275="","",IF(Q275=N144,"Yes","No")),"")</f>
        <v/>
      </c>
      <c r="BB275" t="str">
        <f t="shared" si="106"/>
        <v/>
      </c>
      <c r="BC275" t="str">
        <f>IF(AZ275=1,IF(S275="","",IF(S275=N144,"Yes","No")),"")</f>
        <v/>
      </c>
      <c r="BD275" t="str">
        <f t="shared" si="107"/>
        <v/>
      </c>
      <c r="BE275" t="str">
        <f t="shared" si="108"/>
        <v/>
      </c>
      <c r="BF275" t="str">
        <f t="shared" si="109"/>
        <v>No</v>
      </c>
      <c r="BG275" t="str">
        <f t="shared" si="110"/>
        <v>No</v>
      </c>
      <c r="BH275" t="str">
        <f t="shared" si="111"/>
        <v/>
      </c>
    </row>
    <row r="276" spans="1:60" x14ac:dyDescent="0.3">
      <c r="A276" s="1">
        <v>29</v>
      </c>
      <c r="B276" t="s">
        <v>716</v>
      </c>
      <c r="C276" t="s">
        <v>1457</v>
      </c>
      <c r="D276" t="s">
        <v>1458</v>
      </c>
      <c r="E276" t="s">
        <v>1459</v>
      </c>
      <c r="F276" t="s">
        <v>1460</v>
      </c>
      <c r="G276" t="s">
        <v>1461</v>
      </c>
      <c r="I276" t="str">
        <f t="shared" si="88"/>
        <v>pos_trend</v>
      </c>
      <c r="J276">
        <f t="shared" si="89"/>
        <v>459000000</v>
      </c>
      <c r="K276">
        <f t="shared" si="90"/>
        <v>520460000.00000006</v>
      </c>
      <c r="L276">
        <f t="shared" si="91"/>
        <v>560880000</v>
      </c>
      <c r="M276">
        <f t="shared" si="92"/>
        <v>588730000</v>
      </c>
      <c r="N276">
        <f t="shared" si="93"/>
        <v>598900000</v>
      </c>
      <c r="P276">
        <f t="shared" si="94"/>
        <v>598900000</v>
      </c>
      <c r="Q276">
        <f>IFERROR(J144+MATCH(P276,J276:N276,0)-1,"")</f>
        <v>2016</v>
      </c>
      <c r="R276">
        <f t="shared" si="95"/>
        <v>459000000</v>
      </c>
      <c r="S276">
        <f>IFERROR(J144+MATCH(R276,J276:N276,0)-1,"")</f>
        <v>2012</v>
      </c>
      <c r="T276">
        <f t="shared" si="96"/>
        <v>545594000</v>
      </c>
      <c r="U276">
        <f t="shared" si="97"/>
        <v>57153619.132999785</v>
      </c>
      <c r="V276">
        <f t="shared" si="98"/>
        <v>-1.5151096520850367</v>
      </c>
      <c r="W276">
        <f t="shared" si="99"/>
        <v>-0.43976217746616647</v>
      </c>
      <c r="X276">
        <f t="shared" si="100"/>
        <v>0.26745462897858824</v>
      </c>
      <c r="Y276">
        <f t="shared" si="101"/>
        <v>0.75473785657597692</v>
      </c>
      <c r="Z276">
        <f t="shared" si="102"/>
        <v>0.9326793439966391</v>
      </c>
      <c r="AA276">
        <f t="shared" si="103"/>
        <v>-1.5151096520850367</v>
      </c>
      <c r="AB276">
        <f>IFERROR(V144+MATCH(AA276,V276:Z276,0)-1,"")</f>
        <v>2012</v>
      </c>
      <c r="AC276" t="str">
        <f t="shared" si="104"/>
        <v>Low</v>
      </c>
      <c r="AE276">
        <f>IF(ISNUMBER(MATCH("N/A",J276:N276,0)),"",IFERROR((5 * SUMPRODUCT(J144:N144,J276:N276) - PRODUCT(SUM(J144:N144),SUM(J276:N276))) / ((5 * SUM((J144^2)+(K144^2)+(L144^2)+(M144^2)+(N144^2))) - SUM(J144:N144)^2),""))</f>
        <v>34807000</v>
      </c>
      <c r="AF276">
        <f>IFERROR(CORREL(J144:N144,J276:N276),"")</f>
        <v>0.96292588454759853</v>
      </c>
      <c r="AZ276">
        <f t="shared" si="105"/>
        <v>1</v>
      </c>
      <c r="BA276" t="str">
        <f>IF(AZ276=1,IF(Q276="","",IF(Q276=N144,"Yes","No")),"")</f>
        <v>Yes</v>
      </c>
      <c r="BB276">
        <f t="shared" si="106"/>
        <v>598900000</v>
      </c>
      <c r="BC276" t="str">
        <f>IF(AZ276=1,IF(S276="","",IF(S276=N144,"Yes","No")),"")</f>
        <v>No</v>
      </c>
      <c r="BD276" t="str">
        <f t="shared" si="107"/>
        <v/>
      </c>
      <c r="BE276" t="str">
        <f t="shared" si="108"/>
        <v>Increasing</v>
      </c>
      <c r="BF276" t="str">
        <f t="shared" si="109"/>
        <v>Yes</v>
      </c>
      <c r="BG276" t="str">
        <f t="shared" si="110"/>
        <v>Yes</v>
      </c>
      <c r="BH276" t="str">
        <f t="shared" si="111"/>
        <v>Yes</v>
      </c>
    </row>
    <row r="277" spans="1:60" x14ac:dyDescent="0.3">
      <c r="A277" s="1">
        <v>30</v>
      </c>
      <c r="B277" t="s">
        <v>718</v>
      </c>
      <c r="C277" t="s">
        <v>1462</v>
      </c>
      <c r="D277" t="s">
        <v>1463</v>
      </c>
      <c r="E277" t="s">
        <v>1464</v>
      </c>
      <c r="F277" t="s">
        <v>1465</v>
      </c>
      <c r="G277" t="s">
        <v>1466</v>
      </c>
      <c r="I277" t="str">
        <f t="shared" si="88"/>
        <v>pos_trend</v>
      </c>
      <c r="J277">
        <f t="shared" si="89"/>
        <v>273000</v>
      </c>
      <c r="K277">
        <f t="shared" si="90"/>
        <v>275000</v>
      </c>
      <c r="L277">
        <f t="shared" si="91"/>
        <v>277000</v>
      </c>
      <c r="M277">
        <f t="shared" si="92"/>
        <v>279000</v>
      </c>
      <c r="N277">
        <f t="shared" si="93"/>
        <v>282000</v>
      </c>
      <c r="P277">
        <f t="shared" si="94"/>
        <v>282000</v>
      </c>
      <c r="Q277">
        <f>IFERROR(J144+MATCH(P277,J277:N277,0)-1,"")</f>
        <v>2016</v>
      </c>
      <c r="R277">
        <f t="shared" si="95"/>
        <v>273000</v>
      </c>
      <c r="S277">
        <f>IFERROR(J144+MATCH(R277,J277:N277,0)-1,"")</f>
        <v>2012</v>
      </c>
      <c r="T277">
        <f t="shared" si="96"/>
        <v>277200</v>
      </c>
      <c r="U277">
        <f t="shared" si="97"/>
        <v>3492.849839314596</v>
      </c>
      <c r="V277">
        <f t="shared" si="98"/>
        <v>-1.2024565020591234</v>
      </c>
      <c r="W277">
        <f t="shared" si="99"/>
        <v>-0.62985816774525505</v>
      </c>
      <c r="X277">
        <f t="shared" si="100"/>
        <v>-5.7259833431386825E-2</v>
      </c>
      <c r="Y277">
        <f t="shared" si="101"/>
        <v>0.51533850088248145</v>
      </c>
      <c r="Z277">
        <f t="shared" si="102"/>
        <v>1.3742360023532838</v>
      </c>
      <c r="AA277">
        <f t="shared" si="103"/>
        <v>1.3742360023532838</v>
      </c>
      <c r="AB277">
        <f>IFERROR(V144+MATCH(AA277,V277:Z277,0)-1,"")</f>
        <v>2016</v>
      </c>
      <c r="AC277" t="str">
        <f t="shared" si="104"/>
        <v>High</v>
      </c>
      <c r="AE277">
        <f>IF(ISNUMBER(MATCH("N/A",J277:N277,0)),"",IFERROR((5 * SUMPRODUCT(J144:N144,J277:N277) - PRODUCT(SUM(J144:N144),SUM(J277:N277))) / ((5 * SUM((J144^2)+(K144^2)+(L144^2)+(M144^2)+(N144^2))) - SUM(J144:N144)^2),""))</f>
        <v>2200</v>
      </c>
      <c r="AF277">
        <f>IFERROR(CORREL(J144:N144,J277:N277),"")</f>
        <v>0.99589320646770363</v>
      </c>
      <c r="AZ277">
        <f t="shared" si="105"/>
        <v>1</v>
      </c>
      <c r="BA277" t="str">
        <f>IF(AZ277=1,IF(Q277="","",IF(Q277=N144,"Yes","No")),"")</f>
        <v>Yes</v>
      </c>
      <c r="BB277">
        <f t="shared" si="106"/>
        <v>282000</v>
      </c>
      <c r="BC277" t="str">
        <f>IF(AZ277=1,IF(S277="","",IF(S277=N144,"Yes","No")),"")</f>
        <v>No</v>
      </c>
      <c r="BD277" t="str">
        <f t="shared" si="107"/>
        <v/>
      </c>
      <c r="BE277" t="str">
        <f t="shared" si="108"/>
        <v>Increasing</v>
      </c>
      <c r="BF277" t="str">
        <f t="shared" si="109"/>
        <v>Yes</v>
      </c>
      <c r="BG277" t="str">
        <f t="shared" si="110"/>
        <v>Yes</v>
      </c>
      <c r="BH277" t="str">
        <f t="shared" si="111"/>
        <v>Yes</v>
      </c>
    </row>
    <row r="278" spans="1:60" x14ac:dyDescent="0.3">
      <c r="A278" s="1">
        <v>31</v>
      </c>
      <c r="B278" t="s">
        <v>720</v>
      </c>
      <c r="C278" t="s">
        <v>1467</v>
      </c>
      <c r="D278" t="s">
        <v>1468</v>
      </c>
      <c r="E278" t="s">
        <v>1469</v>
      </c>
      <c r="F278" t="s">
        <v>1470</v>
      </c>
      <c r="G278" t="s">
        <v>1471</v>
      </c>
      <c r="I278" t="str">
        <f t="shared" si="88"/>
        <v>pos_trend</v>
      </c>
      <c r="J278">
        <f t="shared" si="89"/>
        <v>284160000</v>
      </c>
      <c r="K278">
        <f t="shared" si="90"/>
        <v>296740000</v>
      </c>
      <c r="L278">
        <f t="shared" si="91"/>
        <v>338810000</v>
      </c>
      <c r="M278">
        <f t="shared" si="92"/>
        <v>376830000</v>
      </c>
      <c r="N278">
        <f t="shared" si="93"/>
        <v>387160000</v>
      </c>
      <c r="P278">
        <f t="shared" si="94"/>
        <v>387160000</v>
      </c>
      <c r="Q278">
        <f>IFERROR(J144+MATCH(P278,J278:N278,0)-1,"")</f>
        <v>2016</v>
      </c>
      <c r="R278">
        <f t="shared" si="95"/>
        <v>284160000</v>
      </c>
      <c r="S278">
        <f>IFERROR(J144+MATCH(R278,J278:N278,0)-1,"")</f>
        <v>2012</v>
      </c>
      <c r="T278">
        <f t="shared" si="96"/>
        <v>336740000</v>
      </c>
      <c r="U278">
        <f t="shared" si="97"/>
        <v>46147388.3334691</v>
      </c>
      <c r="V278">
        <f t="shared" si="98"/>
        <v>-1.1393927565314796</v>
      </c>
      <c r="W278">
        <f t="shared" si="99"/>
        <v>-0.86678794715213359</v>
      </c>
      <c r="X278">
        <f t="shared" si="100"/>
        <v>4.485627626512291E-2</v>
      </c>
      <c r="Y278">
        <f t="shared" si="101"/>
        <v>0.86873822003322587</v>
      </c>
      <c r="Z278">
        <f t="shared" si="102"/>
        <v>1.0925862073852644</v>
      </c>
      <c r="AA278">
        <f t="shared" si="103"/>
        <v>-1.1393927565314796</v>
      </c>
      <c r="AB278">
        <f>IFERROR(V144+MATCH(AA278,V278:Z278,0)-1,"")</f>
        <v>2012</v>
      </c>
      <c r="AC278" t="str">
        <f t="shared" si="104"/>
        <v>Low</v>
      </c>
      <c r="AE278">
        <f>IF(ISNUMBER(MATCH("N/A",J278:N278,0)),"",IFERROR((5 * SUMPRODUCT(J144:N144,J278:N278) - PRODUCT(SUM(J144:N144),SUM(J278:N278))) / ((5 * SUM((J144^2)+(K144^2)+(L144^2)+(M144^2)+(N144^2))) - SUM(J144:N144)^2),""))</f>
        <v>28609000</v>
      </c>
      <c r="AF278">
        <f>IFERROR(CORREL(J144:N144,J278:N278),"")</f>
        <v>0.98022450291236407</v>
      </c>
      <c r="AZ278">
        <f t="shared" si="105"/>
        <v>1</v>
      </c>
      <c r="BA278" t="str">
        <f>IF(AZ278=1,IF(Q278="","",IF(Q278=N144,"Yes","No")),"")</f>
        <v>Yes</v>
      </c>
      <c r="BB278">
        <f t="shared" si="106"/>
        <v>387160000</v>
      </c>
      <c r="BC278" t="str">
        <f>IF(AZ278=1,IF(S278="","",IF(S278=N144,"Yes","No")),"")</f>
        <v>No</v>
      </c>
      <c r="BD278" t="str">
        <f t="shared" si="107"/>
        <v/>
      </c>
      <c r="BE278" t="str">
        <f t="shared" si="108"/>
        <v>Increasing</v>
      </c>
      <c r="BF278" t="str">
        <f t="shared" si="109"/>
        <v>Yes</v>
      </c>
      <c r="BG278" t="str">
        <f t="shared" si="110"/>
        <v>Yes</v>
      </c>
      <c r="BH278" t="str">
        <f t="shared" si="111"/>
        <v>Yes</v>
      </c>
    </row>
    <row r="279" spans="1:60" x14ac:dyDescent="0.3">
      <c r="A279" s="1">
        <v>32</v>
      </c>
      <c r="B279" t="s">
        <v>724</v>
      </c>
      <c r="C279" t="s">
        <v>264</v>
      </c>
      <c r="D279" t="s">
        <v>264</v>
      </c>
      <c r="E279" t="s">
        <v>264</v>
      </c>
      <c r="F279" t="s">
        <v>264</v>
      </c>
      <c r="G279" t="s">
        <v>264</v>
      </c>
      <c r="I279" t="str">
        <f t="shared" si="88"/>
        <v>N/A</v>
      </c>
      <c r="J279" t="str">
        <f t="shared" si="89"/>
        <v>N/A</v>
      </c>
      <c r="K279" t="str">
        <f t="shared" si="90"/>
        <v>N/A</v>
      </c>
      <c r="L279" t="str">
        <f t="shared" si="91"/>
        <v>N/A</v>
      </c>
      <c r="M279" t="str">
        <f t="shared" si="92"/>
        <v>N/A</v>
      </c>
      <c r="N279" t="str">
        <f t="shared" si="93"/>
        <v>N/A</v>
      </c>
      <c r="P279">
        <f t="shared" si="94"/>
        <v>0</v>
      </c>
      <c r="Q279" t="str">
        <f>IFERROR(J144+MATCH(P279,J279:N279,0)-1,"")</f>
        <v/>
      </c>
      <c r="R279" t="str">
        <f t="shared" si="95"/>
        <v/>
      </c>
      <c r="S279" t="str">
        <f>IFERROR(J144+MATCH(R279,J279:N279,0)-1,"")</f>
        <v/>
      </c>
      <c r="T279" t="str">
        <f t="shared" si="96"/>
        <v/>
      </c>
      <c r="U279" t="str">
        <f t="shared" si="97"/>
        <v/>
      </c>
      <c r="V279" t="str">
        <f t="shared" si="98"/>
        <v/>
      </c>
      <c r="W279" t="str">
        <f t="shared" si="99"/>
        <v/>
      </c>
      <c r="X279" t="str">
        <f t="shared" si="100"/>
        <v/>
      </c>
      <c r="Y279" t="str">
        <f t="shared" si="101"/>
        <v/>
      </c>
      <c r="Z279" t="str">
        <f t="shared" si="102"/>
        <v/>
      </c>
      <c r="AA279">
        <f t="shared" si="103"/>
        <v>0</v>
      </c>
      <c r="AB279" t="str">
        <f>IFERROR(V144+MATCH(AA279,V279:Z279,0)-1,"")</f>
        <v/>
      </c>
      <c r="AC279" t="str">
        <f t="shared" si="104"/>
        <v/>
      </c>
      <c r="AE279" t="str">
        <f>IF(ISNUMBER(MATCH("N/A",J279:N279,0)),"",IFERROR((5 * SUMPRODUCT(J144:N144,J279:N279) - PRODUCT(SUM(J144:N144),SUM(J279:N279))) / ((5 * SUM((J144^2)+(K144^2)+(L144^2)+(M144^2)+(N144^2))) - SUM(J144:N144)^2),""))</f>
        <v/>
      </c>
      <c r="AF279" t="str">
        <f>IFERROR(CORREL(J144:N144,J279:N279),"")</f>
        <v/>
      </c>
      <c r="AZ279">
        <f t="shared" si="105"/>
        <v>0</v>
      </c>
      <c r="BA279" t="str">
        <f>IF(AZ279=1,IF(Q279="","",IF(Q279=N144,"Yes","No")),"")</f>
        <v/>
      </c>
      <c r="BB279" t="str">
        <f t="shared" si="106"/>
        <v/>
      </c>
      <c r="BC279" t="str">
        <f>IF(AZ279=1,IF(S279="","",IF(S279=N144,"Yes","No")),"")</f>
        <v/>
      </c>
      <c r="BD279" t="str">
        <f t="shared" si="107"/>
        <v/>
      </c>
      <c r="BE279" t="str">
        <f t="shared" si="108"/>
        <v/>
      </c>
      <c r="BF279" t="str">
        <f t="shared" si="109"/>
        <v>No</v>
      </c>
      <c r="BG279" t="str">
        <f t="shared" si="110"/>
        <v>No</v>
      </c>
      <c r="BH279" t="str">
        <f t="shared" si="111"/>
        <v/>
      </c>
    </row>
    <row r="280" spans="1:60" x14ac:dyDescent="0.3">
      <c r="A280" s="1">
        <v>33</v>
      </c>
      <c r="B280" t="s">
        <v>725</v>
      </c>
      <c r="C280" t="s">
        <v>1472</v>
      </c>
      <c r="D280" t="s">
        <v>1473</v>
      </c>
      <c r="E280" t="s">
        <v>1474</v>
      </c>
      <c r="F280" t="s">
        <v>1475</v>
      </c>
      <c r="G280" t="s">
        <v>1476</v>
      </c>
      <c r="I280" t="str">
        <f t="shared" si="88"/>
        <v>N/A</v>
      </c>
      <c r="J280">
        <f t="shared" si="89"/>
        <v>-404000</v>
      </c>
      <c r="K280">
        <f t="shared" si="90"/>
        <v>-526000</v>
      </c>
      <c r="L280">
        <f t="shared" si="91"/>
        <v>-742000</v>
      </c>
      <c r="M280">
        <f t="shared" si="92"/>
        <v>-1450000</v>
      </c>
      <c r="N280">
        <f t="shared" si="93"/>
        <v>-1200000</v>
      </c>
      <c r="P280">
        <f t="shared" si="94"/>
        <v>-404000</v>
      </c>
      <c r="Q280">
        <f>IFERROR(J144+MATCH(P280,J280:N280,0)-1,"")</f>
        <v>2012</v>
      </c>
      <c r="R280">
        <f t="shared" si="95"/>
        <v>-1450000</v>
      </c>
      <c r="S280">
        <f>IFERROR(J144+MATCH(R280,J280:N280,0)-1,"")</f>
        <v>2015</v>
      </c>
      <c r="T280">
        <f t="shared" si="96"/>
        <v>-864400</v>
      </c>
      <c r="U280">
        <f t="shared" si="97"/>
        <v>446379.65903477278</v>
      </c>
      <c r="V280">
        <f t="shared" si="98"/>
        <v>1.0314090050508664</v>
      </c>
      <c r="W280">
        <f t="shared" si="99"/>
        <v>0.75809906018508522</v>
      </c>
      <c r="X280">
        <f t="shared" si="100"/>
        <v>0.27420604304566909</v>
      </c>
      <c r="Y280">
        <f t="shared" si="101"/>
        <v>-1.3118877353557503</v>
      </c>
      <c r="Z280">
        <f t="shared" si="102"/>
        <v>-0.75182637292587051</v>
      </c>
      <c r="AA280">
        <f t="shared" si="103"/>
        <v>-1.3118877353557503</v>
      </c>
      <c r="AB280">
        <f>IFERROR(V144+MATCH(AA280,V280:Z280,0)-1,"")</f>
        <v>2015</v>
      </c>
      <c r="AC280" t="str">
        <f t="shared" si="104"/>
        <v>Low</v>
      </c>
      <c r="AE280">
        <f>IF(ISNUMBER(MATCH("N/A",J280:N280,0)),"",IFERROR((5 * SUMPRODUCT(J144:N144,J280:N280) - PRODUCT(SUM(J144:N144),SUM(J280:N280))) / ((5 * SUM((J144^2)+(K144^2)+(L144^2)+(M144^2)+(N144^2))) - SUM(J144:N144)^2),""))</f>
        <v>-251600</v>
      </c>
      <c r="AF280">
        <f>IFERROR(CORREL(J144:N144,J280:N280),"")</f>
        <v>-0.89120218987889077</v>
      </c>
      <c r="AZ280">
        <f t="shared" si="105"/>
        <v>1</v>
      </c>
      <c r="BA280" t="str">
        <f>IF(AZ280=1,IF(Q280="","",IF(Q280=N144,"Yes","No")),"")</f>
        <v>No</v>
      </c>
      <c r="BB280" t="str">
        <f t="shared" si="106"/>
        <v/>
      </c>
      <c r="BC280" t="str">
        <f>IF(AZ280=1,IF(S280="","",IF(S280=N144,"Yes","No")),"")</f>
        <v>No</v>
      </c>
      <c r="BD280" t="str">
        <f t="shared" si="107"/>
        <v/>
      </c>
      <c r="BE280" t="str">
        <f t="shared" si="108"/>
        <v>Decreasing</v>
      </c>
      <c r="BF280" t="str">
        <f t="shared" si="109"/>
        <v>No</v>
      </c>
      <c r="BG280" t="str">
        <f t="shared" si="110"/>
        <v>No</v>
      </c>
      <c r="BH280" t="str">
        <f t="shared" si="111"/>
        <v>Yes</v>
      </c>
    </row>
    <row r="281" spans="1:60" x14ac:dyDescent="0.3">
      <c r="A281" s="1">
        <v>34</v>
      </c>
      <c r="B281" t="s">
        <v>731</v>
      </c>
      <c r="C281" t="s">
        <v>264</v>
      </c>
      <c r="D281" t="s">
        <v>264</v>
      </c>
      <c r="E281" t="s">
        <v>1477</v>
      </c>
      <c r="F281" t="s">
        <v>264</v>
      </c>
      <c r="G281" t="s">
        <v>1478</v>
      </c>
      <c r="I281" t="str">
        <f t="shared" si="88"/>
        <v>N/A</v>
      </c>
      <c r="J281" t="str">
        <f t="shared" si="89"/>
        <v>N/A</v>
      </c>
      <c r="K281" t="str">
        <f t="shared" si="90"/>
        <v>N/A</v>
      </c>
      <c r="L281">
        <f t="shared" si="91"/>
        <v>-350000</v>
      </c>
      <c r="M281" t="str">
        <f t="shared" si="92"/>
        <v>N/A</v>
      </c>
      <c r="N281">
        <f t="shared" si="93"/>
        <v>-329000</v>
      </c>
      <c r="P281">
        <f t="shared" si="94"/>
        <v>-329000</v>
      </c>
      <c r="Q281">
        <f>IFERROR(J144+MATCH(P281,J281:N281,0)-1,"")</f>
        <v>2016</v>
      </c>
      <c r="R281">
        <f t="shared" si="95"/>
        <v>-350000</v>
      </c>
      <c r="S281">
        <f>IFERROR(J144+MATCH(R281,J281:N281,0)-1,"")</f>
        <v>2014</v>
      </c>
      <c r="T281">
        <f t="shared" si="96"/>
        <v>-339500</v>
      </c>
      <c r="U281">
        <f t="shared" si="97"/>
        <v>14849.242404917499</v>
      </c>
      <c r="V281" t="str">
        <f t="shared" si="98"/>
        <v/>
      </c>
      <c r="W281" t="str">
        <f t="shared" si="99"/>
        <v/>
      </c>
      <c r="X281">
        <f t="shared" si="100"/>
        <v>-0.70710678118654746</v>
      </c>
      <c r="Y281" t="str">
        <f t="shared" si="101"/>
        <v/>
      </c>
      <c r="Z281">
        <f t="shared" si="102"/>
        <v>0.70710678118654746</v>
      </c>
      <c r="AA281">
        <f t="shared" si="103"/>
        <v>-0.70710678118654746</v>
      </c>
      <c r="AB281">
        <f>IFERROR(V144+MATCH(AA281,V281:Z281,0)-1,"")</f>
        <v>2014</v>
      </c>
      <c r="AC281" t="str">
        <f t="shared" si="104"/>
        <v>Low</v>
      </c>
      <c r="AE281" t="str">
        <f>IF(ISNUMBER(MATCH("N/A",J281:N281,0)),"",IFERROR((5 * SUMPRODUCT(J144:N144,J281:N281) - PRODUCT(SUM(J144:N144),SUM(J281:N281))) / ((5 * SUM((J144^2)+(K144^2)+(L144^2)+(M144^2)+(N144^2))) - SUM(J144:N144)^2),""))</f>
        <v/>
      </c>
      <c r="AF281">
        <f>IFERROR(CORREL(J144:N144,J281:N281),"")</f>
        <v>1</v>
      </c>
      <c r="AZ281">
        <f t="shared" si="105"/>
        <v>1</v>
      </c>
      <c r="BA281" t="str">
        <f>IF(AZ281=1,IF(Q281="","",IF(Q281=N144,"Yes","No")),"")</f>
        <v>Yes</v>
      </c>
      <c r="BB281">
        <f t="shared" si="106"/>
        <v>-329000</v>
      </c>
      <c r="BC281" t="str">
        <f>IF(AZ281=1,IF(S281="","",IF(S281=N144,"Yes","No")),"")</f>
        <v>No</v>
      </c>
      <c r="BD281" t="str">
        <f t="shared" si="107"/>
        <v/>
      </c>
      <c r="BE281" t="str">
        <f t="shared" si="108"/>
        <v/>
      </c>
      <c r="BF281" t="str">
        <f t="shared" si="109"/>
        <v>No</v>
      </c>
      <c r="BG281" t="str">
        <f t="shared" si="110"/>
        <v>No</v>
      </c>
      <c r="BH281" t="str">
        <f t="shared" si="111"/>
        <v>Yes</v>
      </c>
    </row>
    <row r="282" spans="1:60" x14ac:dyDescent="0.3">
      <c r="A282" s="1">
        <v>35</v>
      </c>
      <c r="B282" t="s">
        <v>732</v>
      </c>
      <c r="C282" t="s">
        <v>264</v>
      </c>
      <c r="D282" t="s">
        <v>264</v>
      </c>
      <c r="E282" t="s">
        <v>264</v>
      </c>
      <c r="F282" t="s">
        <v>264</v>
      </c>
      <c r="G282" t="s">
        <v>264</v>
      </c>
      <c r="I282" t="str">
        <f t="shared" si="88"/>
        <v>N/A</v>
      </c>
      <c r="J282" t="str">
        <f t="shared" si="89"/>
        <v>N/A</v>
      </c>
      <c r="K282" t="str">
        <f t="shared" si="90"/>
        <v>N/A</v>
      </c>
      <c r="L282" t="str">
        <f t="shared" si="91"/>
        <v>N/A</v>
      </c>
      <c r="M282" t="str">
        <f t="shared" si="92"/>
        <v>N/A</v>
      </c>
      <c r="N282" t="str">
        <f t="shared" si="93"/>
        <v>N/A</v>
      </c>
      <c r="P282">
        <f t="shared" si="94"/>
        <v>0</v>
      </c>
      <c r="Q282" t="str">
        <f>IFERROR(J144+MATCH(P282,J282:N282,0)-1,"")</f>
        <v/>
      </c>
      <c r="R282" t="str">
        <f t="shared" si="95"/>
        <v/>
      </c>
      <c r="S282" t="str">
        <f>IFERROR(J144+MATCH(R282,J282:N282,0)-1,"")</f>
        <v/>
      </c>
      <c r="T282" t="str">
        <f t="shared" si="96"/>
        <v/>
      </c>
      <c r="U282" t="str">
        <f t="shared" si="97"/>
        <v/>
      </c>
      <c r="V282" t="str">
        <f t="shared" si="98"/>
        <v/>
      </c>
      <c r="W282" t="str">
        <f t="shared" si="99"/>
        <v/>
      </c>
      <c r="X282" t="str">
        <f t="shared" si="100"/>
        <v/>
      </c>
      <c r="Y282" t="str">
        <f t="shared" si="101"/>
        <v/>
      </c>
      <c r="Z282" t="str">
        <f t="shared" si="102"/>
        <v/>
      </c>
      <c r="AA282">
        <f t="shared" si="103"/>
        <v>0</v>
      </c>
      <c r="AB282" t="str">
        <f>IFERROR(V144+MATCH(AA282,V282:Z282,0)-1,"")</f>
        <v/>
      </c>
      <c r="AC282" t="str">
        <f t="shared" si="104"/>
        <v/>
      </c>
      <c r="AE282" t="str">
        <f>IF(ISNUMBER(MATCH("N/A",J282:N282,0)),"",IFERROR((5 * SUMPRODUCT(J144:N144,J282:N282) - PRODUCT(SUM(J144:N144),SUM(J282:N282))) / ((5 * SUM((J144^2)+(K144^2)+(L144^2)+(M144^2)+(N144^2))) - SUM(J144:N144)^2),""))</f>
        <v/>
      </c>
      <c r="AF282" t="str">
        <f>IFERROR(CORREL(J144:N144,J282:N282),"")</f>
        <v/>
      </c>
      <c r="AZ282">
        <f t="shared" si="105"/>
        <v>0</v>
      </c>
      <c r="BA282" t="str">
        <f>IF(AZ282=1,IF(Q282="","",IF(Q282=N144,"Yes","No")),"")</f>
        <v/>
      </c>
      <c r="BB282" t="str">
        <f t="shared" si="106"/>
        <v/>
      </c>
      <c r="BC282" t="str">
        <f>IF(AZ282=1,IF(S282="","",IF(S282=N144,"Yes","No")),"")</f>
        <v/>
      </c>
      <c r="BD282" t="str">
        <f t="shared" si="107"/>
        <v/>
      </c>
      <c r="BE282" t="str">
        <f t="shared" si="108"/>
        <v/>
      </c>
      <c r="BF282" t="str">
        <f t="shared" si="109"/>
        <v>No</v>
      </c>
      <c r="BG282" t="str">
        <f t="shared" si="110"/>
        <v>No</v>
      </c>
      <c r="BH282" t="str">
        <f t="shared" si="111"/>
        <v/>
      </c>
    </row>
    <row r="283" spans="1:60" x14ac:dyDescent="0.3">
      <c r="A283" s="1">
        <v>36</v>
      </c>
      <c r="B283" t="s">
        <v>733</v>
      </c>
      <c r="C283" t="s">
        <v>1479</v>
      </c>
      <c r="D283" t="s">
        <v>1479</v>
      </c>
      <c r="E283" t="s">
        <v>1479</v>
      </c>
      <c r="F283" t="s">
        <v>1480</v>
      </c>
      <c r="G283" t="s">
        <v>1481</v>
      </c>
      <c r="I283" t="str">
        <f t="shared" si="88"/>
        <v>N/A</v>
      </c>
      <c r="J283">
        <f t="shared" si="89"/>
        <v>-57770000</v>
      </c>
      <c r="K283">
        <f t="shared" si="90"/>
        <v>-57770000</v>
      </c>
      <c r="L283">
        <f t="shared" si="91"/>
        <v>-57770000</v>
      </c>
      <c r="M283">
        <f t="shared" si="92"/>
        <v>-70540000</v>
      </c>
      <c r="N283">
        <f t="shared" si="93"/>
        <v>-80050000</v>
      </c>
      <c r="P283">
        <f t="shared" si="94"/>
        <v>-57770000</v>
      </c>
      <c r="Q283">
        <f>IFERROR(J144+MATCH(P283,J283:N283,0)-1,"")</f>
        <v>2012</v>
      </c>
      <c r="R283">
        <f t="shared" si="95"/>
        <v>-80050000</v>
      </c>
      <c r="S283">
        <f>IFERROR(J144+MATCH(R283,J283:N283,0)-1,"")</f>
        <v>2016</v>
      </c>
      <c r="T283">
        <f t="shared" si="96"/>
        <v>-64780000</v>
      </c>
      <c r="U283">
        <f t="shared" si="97"/>
        <v>10170678.443447124</v>
      </c>
      <c r="V283">
        <f t="shared" si="98"/>
        <v>0.68923622342189761</v>
      </c>
      <c r="W283">
        <f t="shared" si="99"/>
        <v>0.68923622342189761</v>
      </c>
      <c r="X283">
        <f t="shared" si="100"/>
        <v>0.68923622342189761</v>
      </c>
      <c r="Y283">
        <f t="shared" si="101"/>
        <v>-0.56633390112840665</v>
      </c>
      <c r="Z283">
        <f t="shared" si="102"/>
        <v>-1.5013747691372863</v>
      </c>
      <c r="AA283">
        <f t="shared" si="103"/>
        <v>-1.5013747691372863</v>
      </c>
      <c r="AB283">
        <f>IFERROR(V144+MATCH(AA283,V283:Z283,0)-1,"")</f>
        <v>2016</v>
      </c>
      <c r="AC283" t="str">
        <f t="shared" si="104"/>
        <v>Low</v>
      </c>
      <c r="AE283">
        <f>IF(ISNUMBER(MATCH("N/A",J283:N283,0)),"",IFERROR((5 * SUMPRODUCT(J144:N144,J283:N283) - PRODUCT(SUM(J144:N144),SUM(J283:N283))) / ((5 * SUM((J144^2)+(K144^2)+(L144^2)+(M144^2)+(N144^2))) - SUM(J144:N144)^2),""))</f>
        <v>-5733000</v>
      </c>
      <c r="AF283">
        <f>IFERROR(CORREL(J144:N144,J283:N283),"")</f>
        <v>-0.89125508817093146</v>
      </c>
      <c r="AZ283">
        <f t="shared" si="105"/>
        <v>1</v>
      </c>
      <c r="BA283" t="str">
        <f>IF(AZ283=1,IF(Q283="","",IF(Q283=N144,"Yes","No")),"")</f>
        <v>No</v>
      </c>
      <c r="BB283" t="str">
        <f t="shared" si="106"/>
        <v/>
      </c>
      <c r="BC283" t="str">
        <f>IF(AZ283=1,IF(S283="","",IF(S283=N144,"Yes","No")),"")</f>
        <v>Yes</v>
      </c>
      <c r="BD283">
        <f t="shared" si="107"/>
        <v>-80050000</v>
      </c>
      <c r="BE283" t="str">
        <f t="shared" si="108"/>
        <v>Decreasing</v>
      </c>
      <c r="BF283" t="str">
        <f t="shared" si="109"/>
        <v>Yes</v>
      </c>
      <c r="BG283" t="str">
        <f t="shared" si="110"/>
        <v>No</v>
      </c>
      <c r="BH283" t="str">
        <f t="shared" si="111"/>
        <v>Yes</v>
      </c>
    </row>
    <row r="284" spans="1:60" x14ac:dyDescent="0.3">
      <c r="A284" s="1">
        <v>37</v>
      </c>
      <c r="B284" t="s">
        <v>739</v>
      </c>
      <c r="C284" t="s">
        <v>1482</v>
      </c>
      <c r="D284" t="s">
        <v>1483</v>
      </c>
      <c r="E284" t="s">
        <v>1484</v>
      </c>
      <c r="F284" t="s">
        <v>1485</v>
      </c>
      <c r="G284" t="s">
        <v>1486</v>
      </c>
      <c r="I284" t="str">
        <f t="shared" si="88"/>
        <v>N/A</v>
      </c>
      <c r="J284">
        <f t="shared" si="89"/>
        <v>0.44369999999999998</v>
      </c>
      <c r="K284">
        <f t="shared" si="90"/>
        <v>0.51159999999999994</v>
      </c>
      <c r="L284">
        <f t="shared" si="91"/>
        <v>0.49740000000000001</v>
      </c>
      <c r="M284">
        <f t="shared" si="92"/>
        <v>0.4662</v>
      </c>
      <c r="N284">
        <f t="shared" si="93"/>
        <v>0.4572</v>
      </c>
      <c r="P284">
        <f t="shared" si="94"/>
        <v>0.51159999999999994</v>
      </c>
      <c r="Q284">
        <f>IFERROR(J144+MATCH(P284,J284:N284,0)-1,"")</f>
        <v>2013</v>
      </c>
      <c r="R284">
        <f t="shared" si="95"/>
        <v>0.44369999999999998</v>
      </c>
      <c r="S284">
        <f>IFERROR(J144+MATCH(R284,J284:N284,0)-1,"")</f>
        <v>2012</v>
      </c>
      <c r="T284">
        <f t="shared" si="96"/>
        <v>0.47521999999999992</v>
      </c>
      <c r="U284">
        <f t="shared" si="97"/>
        <v>2.8350696640470748E-2</v>
      </c>
      <c r="V284">
        <f t="shared" si="98"/>
        <v>-1.1117892586457645</v>
      </c>
      <c r="W284">
        <f t="shared" si="99"/>
        <v>1.2832136176882303</v>
      </c>
      <c r="X284">
        <f t="shared" si="100"/>
        <v>0.78234409126786808</v>
      </c>
      <c r="Y284">
        <f t="shared" si="101"/>
        <v>-0.31815796678251024</v>
      </c>
      <c r="Z284">
        <f t="shared" si="102"/>
        <v>-0.63561048352781191</v>
      </c>
      <c r="AA284">
        <f t="shared" si="103"/>
        <v>1.2832136176882303</v>
      </c>
      <c r="AB284">
        <f>IFERROR(V144+MATCH(AA284,V284:Z284,0)-1,"")</f>
        <v>2013</v>
      </c>
      <c r="AC284" t="str">
        <f t="shared" si="104"/>
        <v>High</v>
      </c>
      <c r="AE284">
        <f>IF(ISNUMBER(MATCH("N/A",J284:N284,0)),"",IFERROR((5 * SUMPRODUCT(J144:N144,J284:N284) - PRODUCT(SUM(J144:N144),SUM(J284:N284))) / ((5 * SUM((J144^2)+(K144^2)+(L144^2)+(M144^2)+(N144^2))) - SUM(J144:N144)^2),""))</f>
        <v>-1.8400000000110594E-3</v>
      </c>
      <c r="AF284">
        <f>IFERROR(CORREL(J144:N144,J284:N284),"")</f>
        <v>-0.10261812907982878</v>
      </c>
      <c r="AZ284">
        <f t="shared" si="105"/>
        <v>1</v>
      </c>
      <c r="BA284" t="str">
        <f>IF(AZ284=1,IF(Q284="","",IF(Q284=N144,"Yes","No")),"")</f>
        <v>No</v>
      </c>
      <c r="BB284" t="str">
        <f t="shared" si="106"/>
        <v/>
      </c>
      <c r="BC284" t="str">
        <f>IF(AZ284=1,IF(S284="","",IF(S284=N144,"Yes","No")),"")</f>
        <v>No</v>
      </c>
      <c r="BD284" t="str">
        <f t="shared" si="107"/>
        <v/>
      </c>
      <c r="BE284" t="str">
        <f t="shared" si="108"/>
        <v>Decreasing</v>
      </c>
      <c r="BF284" t="str">
        <f t="shared" si="109"/>
        <v>No</v>
      </c>
      <c r="BG284" t="str">
        <f t="shared" si="110"/>
        <v>No</v>
      </c>
      <c r="BH284" t="str">
        <f t="shared" si="111"/>
        <v>No</v>
      </c>
    </row>
    <row r="285" spans="1:60" x14ac:dyDescent="0.3">
      <c r="A285" s="1">
        <v>38</v>
      </c>
      <c r="B285" t="s">
        <v>745</v>
      </c>
      <c r="C285" t="s">
        <v>1457</v>
      </c>
      <c r="D285" t="s">
        <v>1458</v>
      </c>
      <c r="E285" t="s">
        <v>1459</v>
      </c>
      <c r="F285" t="s">
        <v>1460</v>
      </c>
      <c r="G285" t="s">
        <v>1461</v>
      </c>
      <c r="I285" t="str">
        <f t="shared" si="88"/>
        <v>pos_trend</v>
      </c>
      <c r="J285">
        <f t="shared" si="89"/>
        <v>459000000</v>
      </c>
      <c r="K285">
        <f t="shared" si="90"/>
        <v>520460000.00000006</v>
      </c>
      <c r="L285">
        <f t="shared" si="91"/>
        <v>560880000</v>
      </c>
      <c r="M285">
        <f t="shared" si="92"/>
        <v>588730000</v>
      </c>
      <c r="N285">
        <f t="shared" si="93"/>
        <v>598900000</v>
      </c>
      <c r="P285">
        <f t="shared" si="94"/>
        <v>598900000</v>
      </c>
      <c r="Q285">
        <f>IFERROR(J144+MATCH(P285,J285:N285,0)-1,"")</f>
        <v>2016</v>
      </c>
      <c r="R285">
        <f t="shared" si="95"/>
        <v>459000000</v>
      </c>
      <c r="S285">
        <f>IFERROR(J144+MATCH(R285,J285:N285,0)-1,"")</f>
        <v>2012</v>
      </c>
      <c r="T285">
        <f t="shared" si="96"/>
        <v>545594000</v>
      </c>
      <c r="U285">
        <f t="shared" si="97"/>
        <v>57153619.132999785</v>
      </c>
      <c r="V285">
        <f t="shared" si="98"/>
        <v>-1.5151096520850367</v>
      </c>
      <c r="W285">
        <f t="shared" si="99"/>
        <v>-0.43976217746616647</v>
      </c>
      <c r="X285">
        <f t="shared" si="100"/>
        <v>0.26745462897858824</v>
      </c>
      <c r="Y285">
        <f t="shared" si="101"/>
        <v>0.75473785657597692</v>
      </c>
      <c r="Z285">
        <f t="shared" si="102"/>
        <v>0.9326793439966391</v>
      </c>
      <c r="AA285">
        <f t="shared" si="103"/>
        <v>-1.5151096520850367</v>
      </c>
      <c r="AB285">
        <f>IFERROR(V144+MATCH(AA285,V285:Z285,0)-1,"")</f>
        <v>2012</v>
      </c>
      <c r="AC285" t="str">
        <f t="shared" si="104"/>
        <v>Low</v>
      </c>
      <c r="AE285">
        <f>IF(ISNUMBER(MATCH("N/A",J285:N285,0)),"",IFERROR((5 * SUMPRODUCT(J144:N144,J285:N285) - PRODUCT(SUM(J144:N144),SUM(J285:N285))) / ((5 * SUM((J144^2)+(K144^2)+(L144^2)+(M144^2)+(N144^2))) - SUM(J144:N144)^2),""))</f>
        <v>34807000</v>
      </c>
      <c r="AF285">
        <f>IFERROR(CORREL(J144:N144,J285:N285),"")</f>
        <v>0.96292588454759853</v>
      </c>
      <c r="AZ285">
        <f t="shared" si="105"/>
        <v>1</v>
      </c>
      <c r="BA285" t="str">
        <f>IF(AZ285=1,IF(Q285="","",IF(Q285=N144,"Yes","No")),"")</f>
        <v>Yes</v>
      </c>
      <c r="BB285">
        <f t="shared" si="106"/>
        <v>598900000</v>
      </c>
      <c r="BC285" t="str">
        <f>IF(AZ285=1,IF(S285="","",IF(S285=N144,"Yes","No")),"")</f>
        <v>No</v>
      </c>
      <c r="BD285" t="str">
        <f t="shared" si="107"/>
        <v/>
      </c>
      <c r="BE285" t="str">
        <f t="shared" si="108"/>
        <v>Increasing</v>
      </c>
      <c r="BF285" t="str">
        <f t="shared" si="109"/>
        <v>Yes</v>
      </c>
      <c r="BG285" t="str">
        <f t="shared" si="110"/>
        <v>Yes</v>
      </c>
      <c r="BH285" t="str">
        <f t="shared" si="111"/>
        <v>Yes</v>
      </c>
    </row>
    <row r="286" spans="1:60" x14ac:dyDescent="0.3">
      <c r="A286" s="1">
        <v>39</v>
      </c>
      <c r="B286" t="s">
        <v>746</v>
      </c>
      <c r="C286" t="s">
        <v>1482</v>
      </c>
      <c r="D286" t="s">
        <v>1483</v>
      </c>
      <c r="E286" t="s">
        <v>1484</v>
      </c>
      <c r="F286" t="s">
        <v>1485</v>
      </c>
      <c r="G286" t="s">
        <v>1486</v>
      </c>
      <c r="I286" t="str">
        <f t="shared" si="88"/>
        <v>N/A</v>
      </c>
      <c r="J286">
        <f t="shared" si="89"/>
        <v>0.44369999999999998</v>
      </c>
      <c r="K286">
        <f t="shared" si="90"/>
        <v>0.51159999999999994</v>
      </c>
      <c r="L286">
        <f t="shared" si="91"/>
        <v>0.49740000000000001</v>
      </c>
      <c r="M286">
        <f t="shared" si="92"/>
        <v>0.4662</v>
      </c>
      <c r="N286">
        <f t="shared" si="93"/>
        <v>0.4572</v>
      </c>
      <c r="P286">
        <f t="shared" si="94"/>
        <v>0.51159999999999994</v>
      </c>
      <c r="Q286">
        <f>IFERROR(J144+MATCH(P286,J286:N286,0)-1,"")</f>
        <v>2013</v>
      </c>
      <c r="R286">
        <f t="shared" si="95"/>
        <v>0.44369999999999998</v>
      </c>
      <c r="S286">
        <f>IFERROR(J144+MATCH(R286,J286:N286,0)-1,"")</f>
        <v>2012</v>
      </c>
      <c r="T286">
        <f t="shared" si="96"/>
        <v>0.47521999999999992</v>
      </c>
      <c r="U286">
        <f t="shared" si="97"/>
        <v>2.8350696640470748E-2</v>
      </c>
      <c r="V286">
        <f t="shared" si="98"/>
        <v>-1.1117892586457645</v>
      </c>
      <c r="W286">
        <f t="shared" si="99"/>
        <v>1.2832136176882303</v>
      </c>
      <c r="X286">
        <f t="shared" si="100"/>
        <v>0.78234409126786808</v>
      </c>
      <c r="Y286">
        <f t="shared" si="101"/>
        <v>-0.31815796678251024</v>
      </c>
      <c r="Z286">
        <f t="shared" si="102"/>
        <v>-0.63561048352781191</v>
      </c>
      <c r="AA286">
        <f t="shared" si="103"/>
        <v>1.2832136176882303</v>
      </c>
      <c r="AB286">
        <f>IFERROR(V144+MATCH(AA286,V286:Z286,0)-1,"")</f>
        <v>2013</v>
      </c>
      <c r="AC286" t="str">
        <f t="shared" si="104"/>
        <v>High</v>
      </c>
      <c r="AE286">
        <f>IF(ISNUMBER(MATCH("N/A",J286:N286,0)),"",IFERROR((5 * SUMPRODUCT(J144:N144,J286:N286) - PRODUCT(SUM(J144:N144),SUM(J286:N286))) / ((5 * SUM((J144^2)+(K144^2)+(L144^2)+(M144^2)+(N144^2))) - SUM(J144:N144)^2),""))</f>
        <v>-1.8400000000110594E-3</v>
      </c>
      <c r="AF286">
        <f>IFERROR(CORREL(J144:N144,J286:N286),"")</f>
        <v>-0.10261812907982878</v>
      </c>
      <c r="AZ286">
        <f t="shared" si="105"/>
        <v>1</v>
      </c>
      <c r="BA286" t="str">
        <f>IF(AZ286=1,IF(Q286="","",IF(Q286=N144,"Yes","No")),"")</f>
        <v>No</v>
      </c>
      <c r="BB286" t="str">
        <f t="shared" si="106"/>
        <v/>
      </c>
      <c r="BC286" t="str">
        <f>IF(AZ286=1,IF(S286="","",IF(S286=N144,"Yes","No")),"")</f>
        <v>No</v>
      </c>
      <c r="BD286" t="str">
        <f t="shared" si="107"/>
        <v/>
      </c>
      <c r="BE286" t="str">
        <f t="shared" si="108"/>
        <v>Decreasing</v>
      </c>
      <c r="BF286" t="str">
        <f t="shared" si="109"/>
        <v>No</v>
      </c>
      <c r="BG286" t="str">
        <f t="shared" si="110"/>
        <v>No</v>
      </c>
      <c r="BH286" t="str">
        <f t="shared" si="111"/>
        <v>No</v>
      </c>
    </row>
    <row r="287" spans="1:60" x14ac:dyDescent="0.3">
      <c r="A287" s="1">
        <v>40</v>
      </c>
      <c r="B287" t="s">
        <v>747</v>
      </c>
      <c r="C287" t="s">
        <v>264</v>
      </c>
      <c r="D287" t="s">
        <v>264</v>
      </c>
      <c r="E287" t="s">
        <v>264</v>
      </c>
      <c r="F287" t="s">
        <v>264</v>
      </c>
      <c r="G287" t="s">
        <v>264</v>
      </c>
      <c r="I287" t="str">
        <f t="shared" si="88"/>
        <v>N/A</v>
      </c>
      <c r="J287" t="str">
        <f t="shared" si="89"/>
        <v>N/A</v>
      </c>
      <c r="K287" t="str">
        <f t="shared" si="90"/>
        <v>N/A</v>
      </c>
      <c r="L287" t="str">
        <f t="shared" si="91"/>
        <v>N/A</v>
      </c>
      <c r="M287" t="str">
        <f t="shared" si="92"/>
        <v>N/A</v>
      </c>
      <c r="N287" t="str">
        <f t="shared" si="93"/>
        <v>N/A</v>
      </c>
      <c r="P287">
        <f t="shared" si="94"/>
        <v>0</v>
      </c>
      <c r="Q287" t="str">
        <f>IFERROR(J144+MATCH(P287,J287:N287,0)-1,"")</f>
        <v/>
      </c>
      <c r="R287" t="str">
        <f t="shared" si="95"/>
        <v/>
      </c>
      <c r="S287" t="str">
        <f>IFERROR(J144+MATCH(R287,J287:N287,0)-1,"")</f>
        <v/>
      </c>
      <c r="T287" t="str">
        <f t="shared" si="96"/>
        <v/>
      </c>
      <c r="U287" t="str">
        <f t="shared" si="97"/>
        <v/>
      </c>
      <c r="V287" t="str">
        <f t="shared" si="98"/>
        <v/>
      </c>
      <c r="W287" t="str">
        <f t="shared" si="99"/>
        <v/>
      </c>
      <c r="X287" t="str">
        <f t="shared" si="100"/>
        <v/>
      </c>
      <c r="Y287" t="str">
        <f t="shared" si="101"/>
        <v/>
      </c>
      <c r="Z287" t="str">
        <f t="shared" si="102"/>
        <v/>
      </c>
      <c r="AA287">
        <f t="shared" si="103"/>
        <v>0</v>
      </c>
      <c r="AB287" t="str">
        <f>IFERROR(V144+MATCH(AA287,V287:Z287,0)-1,"")</f>
        <v/>
      </c>
      <c r="AC287" t="str">
        <f t="shared" si="104"/>
        <v/>
      </c>
      <c r="AE287" t="str">
        <f>IF(ISNUMBER(MATCH("N/A",J287:N287,0)),"",IFERROR((5 * SUMPRODUCT(J144:N144,J287:N287) - PRODUCT(SUM(J144:N144),SUM(J287:N287))) / ((5 * SUM((J144^2)+(K144^2)+(L144^2)+(M144^2)+(N144^2))) - SUM(J144:N144)^2),""))</f>
        <v/>
      </c>
      <c r="AF287" t="str">
        <f>IFERROR(CORREL(J144:N144,J287:N287),"")</f>
        <v/>
      </c>
      <c r="AZ287">
        <f t="shared" si="105"/>
        <v>0</v>
      </c>
      <c r="BA287" t="str">
        <f>IF(AZ287=1,IF(Q287="","",IF(Q287=N144,"Yes","No")),"")</f>
        <v/>
      </c>
      <c r="BB287" t="str">
        <f t="shared" si="106"/>
        <v/>
      </c>
      <c r="BC287" t="str">
        <f>IF(AZ287=1,IF(S287="","",IF(S287=N144,"Yes","No")),"")</f>
        <v/>
      </c>
      <c r="BD287" t="str">
        <f t="shared" si="107"/>
        <v/>
      </c>
      <c r="BE287" t="str">
        <f t="shared" si="108"/>
        <v/>
      </c>
      <c r="BF287" t="str">
        <f t="shared" si="109"/>
        <v>No</v>
      </c>
      <c r="BG287" t="str">
        <f t="shared" si="110"/>
        <v>No</v>
      </c>
      <c r="BH287" t="str">
        <f t="shared" si="111"/>
        <v/>
      </c>
    </row>
    <row r="288" spans="1:60" x14ac:dyDescent="0.3">
      <c r="A288" s="1">
        <v>41</v>
      </c>
      <c r="B288" t="s">
        <v>748</v>
      </c>
      <c r="C288" t="s">
        <v>1457</v>
      </c>
      <c r="D288" t="s">
        <v>1458</v>
      </c>
      <c r="E288" t="s">
        <v>1459</v>
      </c>
      <c r="F288" t="s">
        <v>1460</v>
      </c>
      <c r="G288" t="s">
        <v>1461</v>
      </c>
      <c r="I288" t="str">
        <f t="shared" si="88"/>
        <v>pos_trend</v>
      </c>
      <c r="J288">
        <f t="shared" si="89"/>
        <v>459000000</v>
      </c>
      <c r="K288">
        <f t="shared" si="90"/>
        <v>520460000.00000006</v>
      </c>
      <c r="L288">
        <f t="shared" si="91"/>
        <v>560880000</v>
      </c>
      <c r="M288">
        <f t="shared" si="92"/>
        <v>588730000</v>
      </c>
      <c r="N288">
        <f t="shared" si="93"/>
        <v>598900000</v>
      </c>
      <c r="P288">
        <f t="shared" si="94"/>
        <v>598900000</v>
      </c>
      <c r="Q288">
        <f>IFERROR(J144+MATCH(P288,J288:N288,0)-1,"")</f>
        <v>2016</v>
      </c>
      <c r="R288">
        <f t="shared" si="95"/>
        <v>459000000</v>
      </c>
      <c r="S288">
        <f>IFERROR(J144+MATCH(R288,J288:N288,0)-1,"")</f>
        <v>2012</v>
      </c>
      <c r="T288">
        <f t="shared" si="96"/>
        <v>545594000</v>
      </c>
      <c r="U288">
        <f t="shared" si="97"/>
        <v>57153619.132999785</v>
      </c>
      <c r="V288">
        <f t="shared" si="98"/>
        <v>-1.5151096520850367</v>
      </c>
      <c r="W288">
        <f t="shared" si="99"/>
        <v>-0.43976217746616647</v>
      </c>
      <c r="X288">
        <f t="shared" si="100"/>
        <v>0.26745462897858824</v>
      </c>
      <c r="Y288">
        <f t="shared" si="101"/>
        <v>0.75473785657597692</v>
      </c>
      <c r="Z288">
        <f t="shared" si="102"/>
        <v>0.9326793439966391</v>
      </c>
      <c r="AA288">
        <f t="shared" si="103"/>
        <v>-1.5151096520850367</v>
      </c>
      <c r="AB288">
        <f>IFERROR(V144+MATCH(AA288,V288:Z288,0)-1,"")</f>
        <v>2012</v>
      </c>
      <c r="AC288" t="str">
        <f t="shared" si="104"/>
        <v>Low</v>
      </c>
      <c r="AE288">
        <f>IF(ISNUMBER(MATCH("N/A",J288:N288,0)),"",IFERROR((5 * SUMPRODUCT(J144:N144,J288:N288) - PRODUCT(SUM(J144:N144),SUM(J288:N288))) / ((5 * SUM((J144^2)+(K144^2)+(L144^2)+(M144^2)+(N144^2))) - SUM(J144:N144)^2),""))</f>
        <v>34807000</v>
      </c>
      <c r="AF288">
        <f>IFERROR(CORREL(J144:N144,J288:N288),"")</f>
        <v>0.96292588454759853</v>
      </c>
      <c r="AZ288">
        <f t="shared" si="105"/>
        <v>1</v>
      </c>
      <c r="BA288" t="str">
        <f>IF(AZ288=1,IF(Q288="","",IF(Q288=N144,"Yes","No")),"")</f>
        <v>Yes</v>
      </c>
      <c r="BB288">
        <f t="shared" si="106"/>
        <v>598900000</v>
      </c>
      <c r="BC288" t="str">
        <f>IF(AZ288=1,IF(S288="","",IF(S288=N144,"Yes","No")),"")</f>
        <v>No</v>
      </c>
      <c r="BD288" t="str">
        <f t="shared" si="107"/>
        <v/>
      </c>
      <c r="BE288" t="str">
        <f t="shared" si="108"/>
        <v>Increasing</v>
      </c>
      <c r="BF288" t="str">
        <f t="shared" si="109"/>
        <v>Yes</v>
      </c>
      <c r="BG288" t="str">
        <f t="shared" si="110"/>
        <v>Yes</v>
      </c>
      <c r="BH288" t="str">
        <f t="shared" si="111"/>
        <v>Yes</v>
      </c>
    </row>
    <row r="289" spans="1:60" x14ac:dyDescent="0.3">
      <c r="A289" s="1">
        <v>42</v>
      </c>
      <c r="B289" t="s">
        <v>749</v>
      </c>
      <c r="C289" t="s">
        <v>1374</v>
      </c>
      <c r="D289" t="s">
        <v>276</v>
      </c>
      <c r="E289" t="s">
        <v>705</v>
      </c>
      <c r="F289" t="s">
        <v>1375</v>
      </c>
      <c r="G289" t="s">
        <v>1376</v>
      </c>
      <c r="I289" t="str">
        <f t="shared" si="88"/>
        <v>N/A</v>
      </c>
      <c r="J289">
        <f t="shared" si="89"/>
        <v>1030000000</v>
      </c>
      <c r="K289">
        <f t="shared" si="90"/>
        <v>1020000000</v>
      </c>
      <c r="L289">
        <f t="shared" si="91"/>
        <v>1130000000</v>
      </c>
      <c r="M289">
        <f t="shared" si="92"/>
        <v>1260000000</v>
      </c>
      <c r="N289">
        <f t="shared" si="93"/>
        <v>1310000000</v>
      </c>
      <c r="P289">
        <f t="shared" si="94"/>
        <v>1310000000</v>
      </c>
      <c r="Q289">
        <f>IFERROR(J144+MATCH(P289,J289:N289,0)-1,"")</f>
        <v>2016</v>
      </c>
      <c r="R289">
        <f t="shared" si="95"/>
        <v>1020000000</v>
      </c>
      <c r="S289">
        <f>IFERROR(J144+MATCH(R289,J289:N289,0)-1,"")</f>
        <v>2013</v>
      </c>
      <c r="T289">
        <f t="shared" si="96"/>
        <v>1150000000</v>
      </c>
      <c r="U289">
        <f t="shared" si="97"/>
        <v>131719398.72319491</v>
      </c>
      <c r="V289">
        <f t="shared" si="98"/>
        <v>-0.91102754160134802</v>
      </c>
      <c r="W289">
        <f t="shared" si="99"/>
        <v>-0.9869465034014604</v>
      </c>
      <c r="X289">
        <f t="shared" si="100"/>
        <v>-0.15183792360022466</v>
      </c>
      <c r="Y289">
        <f t="shared" si="101"/>
        <v>0.83510857980123565</v>
      </c>
      <c r="Z289">
        <f t="shared" si="102"/>
        <v>1.2147033888017973</v>
      </c>
      <c r="AA289">
        <f t="shared" si="103"/>
        <v>1.2147033888017973</v>
      </c>
      <c r="AB289">
        <f>IFERROR(V144+MATCH(AA289,V289:Z289,0)-1,"")</f>
        <v>2016</v>
      </c>
      <c r="AC289" t="str">
        <f t="shared" si="104"/>
        <v>High</v>
      </c>
      <c r="AE289">
        <f>IF(ISNUMBER(MATCH("N/A",J289:N289,0)),"",IFERROR((5 * SUMPRODUCT(J144:N144,J289:N289) - PRODUCT(SUM(J144:N144),SUM(J289:N289))) / ((5 * SUM((J144^2)+(K144^2)+(L144^2)+(M144^2)+(N144^2))) - SUM(J144:N144)^2),""))</f>
        <v>80000000</v>
      </c>
      <c r="AF289">
        <f>IFERROR(CORREL(J144:N144,J289:N289),"")</f>
        <v>0.96030734753468727</v>
      </c>
      <c r="AZ289">
        <f t="shared" si="105"/>
        <v>1</v>
      </c>
      <c r="BA289" t="str">
        <f>IF(AZ289=1,IF(Q289="","",IF(Q289=N144,"Yes","No")),"")</f>
        <v>Yes</v>
      </c>
      <c r="BB289">
        <f t="shared" si="106"/>
        <v>1310000000</v>
      </c>
      <c r="BC289" t="str">
        <f>IF(AZ289=1,IF(S289="","",IF(S289=N144,"Yes","No")),"")</f>
        <v>No</v>
      </c>
      <c r="BD289" t="str">
        <f t="shared" si="107"/>
        <v/>
      </c>
      <c r="BE289" t="str">
        <f t="shared" si="108"/>
        <v>Increasing</v>
      </c>
      <c r="BF289" t="str">
        <f t="shared" si="109"/>
        <v>Yes</v>
      </c>
      <c r="BG289" t="str">
        <f t="shared" si="110"/>
        <v>No</v>
      </c>
      <c r="BH289" t="str">
        <f t="shared" si="111"/>
        <v>Yes</v>
      </c>
    </row>
    <row r="290" spans="1:60" x14ac:dyDescent="0.3">
      <c r="I290" t="str">
        <f t="shared" si="88"/>
        <v>N/A</v>
      </c>
      <c r="J290" t="str">
        <f t="shared" si="89"/>
        <v>N/A</v>
      </c>
      <c r="K290" t="str">
        <f t="shared" si="90"/>
        <v>N/A</v>
      </c>
      <c r="L290" t="str">
        <f t="shared" si="91"/>
        <v>N/A</v>
      </c>
      <c r="M290" t="str">
        <f t="shared" si="92"/>
        <v>N/A</v>
      </c>
      <c r="N290" t="str">
        <f t="shared" si="93"/>
        <v>N/A</v>
      </c>
      <c r="P290">
        <f t="shared" si="94"/>
        <v>0</v>
      </c>
      <c r="Q290" t="str">
        <f>IFERROR(J144+MATCH(P290,J290:N290,0)-1,"")</f>
        <v/>
      </c>
      <c r="R290" t="str">
        <f t="shared" si="95"/>
        <v/>
      </c>
      <c r="S290" t="str">
        <f>IFERROR(J144+MATCH(R290,J290:N290,0)-1,"")</f>
        <v/>
      </c>
      <c r="T290" t="str">
        <f t="shared" si="96"/>
        <v/>
      </c>
      <c r="U290" t="str">
        <f t="shared" si="97"/>
        <v/>
      </c>
      <c r="V290" t="str">
        <f t="shared" si="98"/>
        <v/>
      </c>
      <c r="W290" t="str">
        <f t="shared" si="99"/>
        <v/>
      </c>
      <c r="X290" t="str">
        <f t="shared" si="100"/>
        <v/>
      </c>
      <c r="Y290" t="str">
        <f t="shared" si="101"/>
        <v/>
      </c>
      <c r="Z290" t="str">
        <f t="shared" si="102"/>
        <v/>
      </c>
      <c r="AA290">
        <f t="shared" si="103"/>
        <v>0</v>
      </c>
      <c r="AB290" t="str">
        <f>IFERROR(V144+MATCH(AA290,V290:Z290,0)-1,"")</f>
        <v/>
      </c>
      <c r="AC290" t="str">
        <f t="shared" si="104"/>
        <v/>
      </c>
      <c r="AE290" t="str">
        <f>IF(ISNUMBER(MATCH("N/A",J290:N290,0)),"",IFERROR((5 * SUMPRODUCT(J144:N144,J290:N290) - PRODUCT(SUM(J144:N144),SUM(J290:N290))) / ((5 * SUM((J144^2)+(K144^2)+(L144^2)+(M144^2)+(N144^2))) - SUM(J144:N144)^2),""))</f>
        <v/>
      </c>
      <c r="AF290" t="str">
        <f>IFERROR(CORREL(J144:N144,J290:N290),"")</f>
        <v/>
      </c>
      <c r="AZ290">
        <f t="shared" si="105"/>
        <v>0</v>
      </c>
      <c r="BA290" t="str">
        <f>IF(AZ290=1,IF(Q290="","",IF(Q290=N144,"Yes","No")),"")</f>
        <v/>
      </c>
      <c r="BB290" t="str">
        <f t="shared" si="106"/>
        <v/>
      </c>
      <c r="BC290" t="str">
        <f>IF(AZ290=1,IF(S290="","",IF(S290=N144,"Yes","No")),"")</f>
        <v/>
      </c>
      <c r="BD290" t="str">
        <f t="shared" si="107"/>
        <v/>
      </c>
      <c r="BE290" t="str">
        <f t="shared" si="108"/>
        <v/>
      </c>
      <c r="BF290" t="str">
        <f t="shared" si="109"/>
        <v>No</v>
      </c>
      <c r="BG290" t="str">
        <f t="shared" si="110"/>
        <v>No</v>
      </c>
      <c r="BH290" t="str">
        <f t="shared" si="111"/>
        <v/>
      </c>
    </row>
    <row r="291" spans="1:60" x14ac:dyDescent="0.3">
      <c r="B291" s="1" t="s">
        <v>251</v>
      </c>
      <c r="C291" s="1" t="s">
        <v>252</v>
      </c>
      <c r="D291" s="1" t="s">
        <v>253</v>
      </c>
      <c r="E291" s="1" t="s">
        <v>254</v>
      </c>
      <c r="F291" s="1" t="s">
        <v>255</v>
      </c>
      <c r="G291" s="1" t="s">
        <v>256</v>
      </c>
      <c r="H291" s="1" t="s">
        <v>257</v>
      </c>
      <c r="I291" t="str">
        <f t="shared" si="88"/>
        <v>pos_trend</v>
      </c>
      <c r="J291">
        <f t="shared" si="89"/>
        <v>2012</v>
      </c>
      <c r="K291">
        <f t="shared" si="90"/>
        <v>2013</v>
      </c>
      <c r="L291">
        <f t="shared" si="91"/>
        <v>2014</v>
      </c>
      <c r="M291">
        <f t="shared" si="92"/>
        <v>2015</v>
      </c>
      <c r="N291">
        <f t="shared" si="93"/>
        <v>2016</v>
      </c>
      <c r="P291">
        <f t="shared" si="94"/>
        <v>2016</v>
      </c>
      <c r="Q291">
        <f>IFERROR(J144+MATCH(P291,J291:N291,0)-1,"")</f>
        <v>2016</v>
      </c>
      <c r="R291">
        <f t="shared" si="95"/>
        <v>2012</v>
      </c>
      <c r="S291">
        <f>IFERROR(J144+MATCH(R291,J291:N291,0)-1,"")</f>
        <v>2012</v>
      </c>
      <c r="T291">
        <f t="shared" si="96"/>
        <v>2014</v>
      </c>
      <c r="U291">
        <f t="shared" si="97"/>
        <v>1.5811388300841898</v>
      </c>
      <c r="V291">
        <f t="shared" si="98"/>
        <v>-1.2649110640673518</v>
      </c>
      <c r="W291">
        <f t="shared" si="99"/>
        <v>-0.63245553203367588</v>
      </c>
      <c r="X291">
        <f t="shared" si="100"/>
        <v>0</v>
      </c>
      <c r="Y291">
        <f t="shared" si="101"/>
        <v>0.63245553203367588</v>
      </c>
      <c r="Z291">
        <f t="shared" si="102"/>
        <v>1.2649110640673518</v>
      </c>
      <c r="AA291">
        <f t="shared" si="103"/>
        <v>-1.2649110640673518</v>
      </c>
      <c r="AB291">
        <f>IFERROR(V144+MATCH(AA291,V291:Z291,0)-1,"")</f>
        <v>2012</v>
      </c>
      <c r="AC291" t="str">
        <f t="shared" si="104"/>
        <v>Low</v>
      </c>
      <c r="AE291">
        <f>IF(ISNUMBER(MATCH("N/A",J291:N291,0)),"",IFERROR((5 * SUMPRODUCT(J144:N144,J291:N291) - PRODUCT(SUM(J144:N144),SUM(J291:N291))) / ((5 * SUM((J144^2)+(K144^2)+(L144^2)+(M144^2)+(N144^2))) - SUM(J144:N144)^2),""))</f>
        <v>1</v>
      </c>
      <c r="AF291">
        <f>IFERROR(CORREL(J144:N144,J291:N291),"")</f>
        <v>0.99999999999999978</v>
      </c>
      <c r="AZ291">
        <f t="shared" si="105"/>
        <v>1</v>
      </c>
      <c r="BA291" t="str">
        <f>IF(AZ291=1,IF(Q291="","",IF(Q291=N144,"Yes","No")),"")</f>
        <v>Yes</v>
      </c>
      <c r="BB291">
        <f t="shared" si="106"/>
        <v>2016</v>
      </c>
      <c r="BC291" t="str">
        <f>IF(AZ291=1,IF(S291="","",IF(S291=N144,"Yes","No")),"")</f>
        <v>No</v>
      </c>
      <c r="BD291" t="str">
        <f t="shared" si="107"/>
        <v/>
      </c>
      <c r="BE291" t="str">
        <f t="shared" si="108"/>
        <v>Increasing</v>
      </c>
      <c r="BF291" t="str">
        <f t="shared" si="109"/>
        <v>Yes</v>
      </c>
      <c r="BG291" t="str">
        <f t="shared" si="110"/>
        <v>Yes</v>
      </c>
      <c r="BH291" t="str">
        <f t="shared" si="111"/>
        <v>Yes</v>
      </c>
    </row>
    <row r="292" spans="1:60" x14ac:dyDescent="0.3">
      <c r="A292" s="1">
        <v>0</v>
      </c>
      <c r="B292" t="s">
        <v>750</v>
      </c>
      <c r="C292" t="s">
        <v>776</v>
      </c>
      <c r="D292" t="s">
        <v>1487</v>
      </c>
      <c r="E292" t="s">
        <v>1488</v>
      </c>
      <c r="F292" t="s">
        <v>1489</v>
      </c>
      <c r="G292" t="s">
        <v>1490</v>
      </c>
      <c r="I292" t="str">
        <f t="shared" si="88"/>
        <v>N/A</v>
      </c>
      <c r="J292">
        <f t="shared" si="89"/>
        <v>-7730000</v>
      </c>
      <c r="K292">
        <f t="shared" si="90"/>
        <v>15810000</v>
      </c>
      <c r="L292">
        <f t="shared" si="91"/>
        <v>46180000</v>
      </c>
      <c r="M292">
        <f t="shared" si="92"/>
        <v>44850000</v>
      </c>
      <c r="N292">
        <f t="shared" si="93"/>
        <v>18650000</v>
      </c>
      <c r="P292">
        <f t="shared" si="94"/>
        <v>46180000</v>
      </c>
      <c r="Q292">
        <f>IFERROR(J144+MATCH(P292,J292:N292,0)-1,"")</f>
        <v>2014</v>
      </c>
      <c r="R292">
        <f t="shared" si="95"/>
        <v>-7730000</v>
      </c>
      <c r="S292">
        <f>IFERROR(J144+MATCH(R292,J292:N292,0)-1,"")</f>
        <v>2012</v>
      </c>
      <c r="T292">
        <f t="shared" si="96"/>
        <v>23552000</v>
      </c>
      <c r="U292">
        <f t="shared" si="97"/>
        <v>22517564.699585076</v>
      </c>
      <c r="V292">
        <f t="shared" si="98"/>
        <v>-1.3892266067554109</v>
      </c>
      <c r="W292">
        <f t="shared" si="99"/>
        <v>-0.34382048428810152</v>
      </c>
      <c r="X292">
        <f t="shared" si="100"/>
        <v>1.0049044069324673</v>
      </c>
      <c r="Y292">
        <f t="shared" si="101"/>
        <v>0.94583940511082232</v>
      </c>
      <c r="Z292">
        <f t="shared" si="102"/>
        <v>-0.21769672099977702</v>
      </c>
      <c r="AA292">
        <f t="shared" si="103"/>
        <v>-1.3892266067554109</v>
      </c>
      <c r="AB292">
        <f>IFERROR(V144+MATCH(AA292,V292:Z292,0)-1,"")</f>
        <v>2012</v>
      </c>
      <c r="AC292" t="str">
        <f t="shared" si="104"/>
        <v>Low</v>
      </c>
      <c r="AE292">
        <f>IF(ISNUMBER(MATCH("N/A",J292:N292,0)),"",IFERROR((5 * SUMPRODUCT(J144:N144,J292:N292) - PRODUCT(SUM(J144:N144),SUM(J292:N292))) / ((5 * SUM((J144^2)+(K144^2)+(L144^2)+(M144^2)+(N144^2))) - SUM(J144:N144)^2),""))</f>
        <v>8180000</v>
      </c>
      <c r="AF292">
        <f>IFERROR(CORREL(J144:N144,J292:N292),"")</f>
        <v>0.57438341146753735</v>
      </c>
      <c r="AZ292">
        <f t="shared" si="105"/>
        <v>1</v>
      </c>
      <c r="BA292" t="str">
        <f>IF(AZ292=1,IF(Q292="","",IF(Q292=N144,"Yes","No")),"")</f>
        <v>No</v>
      </c>
      <c r="BB292" t="str">
        <f t="shared" si="106"/>
        <v/>
      </c>
      <c r="BC292" t="str">
        <f>IF(AZ292=1,IF(S292="","",IF(S292=N144,"Yes","No")),"")</f>
        <v>No</v>
      </c>
      <c r="BD292" t="str">
        <f t="shared" si="107"/>
        <v/>
      </c>
      <c r="BE292" t="str">
        <f t="shared" si="108"/>
        <v>Increasing</v>
      </c>
      <c r="BF292" t="str">
        <f t="shared" si="109"/>
        <v>No</v>
      </c>
      <c r="BG292" t="str">
        <f t="shared" si="110"/>
        <v>No</v>
      </c>
      <c r="BH292" t="str">
        <f t="shared" si="111"/>
        <v>No</v>
      </c>
    </row>
    <row r="293" spans="1:60" x14ac:dyDescent="0.3">
      <c r="A293" s="1">
        <v>1</v>
      </c>
      <c r="B293" t="s">
        <v>409</v>
      </c>
      <c r="C293" t="s">
        <v>264</v>
      </c>
      <c r="D293" t="s">
        <v>1491</v>
      </c>
      <c r="E293" t="s">
        <v>1492</v>
      </c>
      <c r="F293" t="s">
        <v>1493</v>
      </c>
      <c r="G293" t="s">
        <v>1494</v>
      </c>
      <c r="I293" t="str">
        <f t="shared" si="88"/>
        <v>neg_trend</v>
      </c>
      <c r="J293" t="str">
        <f t="shared" si="89"/>
        <v>N/A</v>
      </c>
      <c r="K293">
        <f t="shared" si="90"/>
        <v>3.0449000000000002</v>
      </c>
      <c r="L293">
        <f t="shared" si="91"/>
        <v>1.9206000000000001</v>
      </c>
      <c r="M293">
        <f t="shared" si="92"/>
        <v>-2.8700000000000003E-2</v>
      </c>
      <c r="N293">
        <f t="shared" si="93"/>
        <v>-0.58420000000000005</v>
      </c>
      <c r="P293">
        <f t="shared" si="94"/>
        <v>3.0449000000000002</v>
      </c>
      <c r="Q293">
        <f>IFERROR(J144+MATCH(P293,J293:N293,0)-1,"")</f>
        <v>2013</v>
      </c>
      <c r="R293">
        <f t="shared" si="95"/>
        <v>-0.58420000000000005</v>
      </c>
      <c r="S293">
        <f>IFERROR(J144+MATCH(R293,J293:N293,0)-1,"")</f>
        <v>2016</v>
      </c>
      <c r="T293">
        <f t="shared" si="96"/>
        <v>1.0881500000000002</v>
      </c>
      <c r="U293">
        <f t="shared" si="97"/>
        <v>1.6897684269350837</v>
      </c>
      <c r="V293" t="str">
        <f t="shared" si="98"/>
        <v/>
      </c>
      <c r="W293">
        <f t="shared" si="99"/>
        <v>1.1579989120456995</v>
      </c>
      <c r="X293">
        <f t="shared" si="100"/>
        <v>0.49264146893187299</v>
      </c>
      <c r="Y293">
        <f t="shared" si="101"/>
        <v>-0.66094855496013272</v>
      </c>
      <c r="Z293">
        <f t="shared" si="102"/>
        <v>-0.9896918260174401</v>
      </c>
      <c r="AA293">
        <f t="shared" si="103"/>
        <v>1.1579989120456995</v>
      </c>
      <c r="AB293">
        <f>IFERROR(V144+MATCH(AA293,V293:Z293,0)-1,"")</f>
        <v>2013</v>
      </c>
      <c r="AC293" t="str">
        <f t="shared" si="104"/>
        <v>High</v>
      </c>
      <c r="AE293" t="str">
        <f>IF(ISNUMBER(MATCH("N/A",J293:N293,0)),"",IFERROR((5 * SUMPRODUCT(J144:N144,J293:N293) - PRODUCT(SUM(J144:N144),SUM(J293:N293))) / ((5 * SUM((J144^2)+(K144^2)+(L144^2)+(M144^2)+(N144^2))) - SUM(J144:N144)^2),""))</f>
        <v/>
      </c>
      <c r="AF293">
        <f>IFERROR(CORREL(J144:N144,J293:N293),"")</f>
        <v>-0.9807248778284039</v>
      </c>
      <c r="AZ293">
        <f t="shared" si="105"/>
        <v>1</v>
      </c>
      <c r="BA293" t="str">
        <f>IF(AZ293=1,IF(Q293="","",IF(Q293=N144,"Yes","No")),"")</f>
        <v>No</v>
      </c>
      <c r="BB293" t="str">
        <f t="shared" si="106"/>
        <v/>
      </c>
      <c r="BC293" t="str">
        <f>IF(AZ293=1,IF(S293="","",IF(S293=N144,"Yes","No")),"")</f>
        <v>Yes</v>
      </c>
      <c r="BD293">
        <f t="shared" si="107"/>
        <v>-0.58420000000000005</v>
      </c>
      <c r="BE293" t="str">
        <f t="shared" si="108"/>
        <v/>
      </c>
      <c r="BF293" t="str">
        <f t="shared" si="109"/>
        <v>No</v>
      </c>
      <c r="BG293" t="str">
        <f t="shared" si="110"/>
        <v>No</v>
      </c>
      <c r="BH293" t="str">
        <f t="shared" si="111"/>
        <v>Yes</v>
      </c>
    </row>
    <row r="294" spans="1:60" x14ac:dyDescent="0.3">
      <c r="A294" s="1">
        <v>2</v>
      </c>
      <c r="B294" t="s">
        <v>751</v>
      </c>
      <c r="C294" t="s">
        <v>1495</v>
      </c>
      <c r="D294" t="s">
        <v>1119</v>
      </c>
      <c r="E294" t="s">
        <v>1120</v>
      </c>
      <c r="F294" t="s">
        <v>1121</v>
      </c>
      <c r="G294" t="s">
        <v>1122</v>
      </c>
      <c r="I294" t="str">
        <f t="shared" si="88"/>
        <v>N/A</v>
      </c>
      <c r="J294">
        <f t="shared" si="89"/>
        <v>87750000</v>
      </c>
      <c r="K294">
        <f t="shared" si="90"/>
        <v>88390000</v>
      </c>
      <c r="L294">
        <f t="shared" si="91"/>
        <v>86220000</v>
      </c>
      <c r="M294">
        <f t="shared" si="92"/>
        <v>93040000</v>
      </c>
      <c r="N294">
        <f t="shared" si="93"/>
        <v>103050000</v>
      </c>
      <c r="P294">
        <f t="shared" si="94"/>
        <v>103050000</v>
      </c>
      <c r="Q294">
        <f>IFERROR(J144+MATCH(P294,J294:N294,0)-1,"")</f>
        <v>2016</v>
      </c>
      <c r="R294">
        <f t="shared" si="95"/>
        <v>86220000</v>
      </c>
      <c r="S294">
        <f>IFERROR(J144+MATCH(R294,J294:N294,0)-1,"")</f>
        <v>2014</v>
      </c>
      <c r="T294">
        <f t="shared" si="96"/>
        <v>91690000</v>
      </c>
      <c r="U294">
        <f t="shared" si="97"/>
        <v>6841173.1450095605</v>
      </c>
      <c r="V294">
        <f t="shared" si="98"/>
        <v>-0.57592461358387292</v>
      </c>
      <c r="W294">
        <f t="shared" si="99"/>
        <v>-0.48237340731644179</v>
      </c>
      <c r="X294">
        <f t="shared" si="100"/>
        <v>-0.79957046606695048</v>
      </c>
      <c r="Y294">
        <f t="shared" si="101"/>
        <v>0.19733457572036256</v>
      </c>
      <c r="Z294">
        <f t="shared" si="102"/>
        <v>1.6605339112469026</v>
      </c>
      <c r="AA294">
        <f t="shared" si="103"/>
        <v>1.6605339112469026</v>
      </c>
      <c r="AB294">
        <f>IFERROR(V144+MATCH(AA294,V294:Z294,0)-1,"")</f>
        <v>2016</v>
      </c>
      <c r="AC294" t="str">
        <f t="shared" si="104"/>
        <v>High</v>
      </c>
      <c r="AE294">
        <f>IF(ISNUMBER(MATCH("N/A",J294:N294,0)),"",IFERROR((5 * SUMPRODUCT(J144:N144,J294:N294) - PRODUCT(SUM(J144:N144),SUM(J294:N294))) / ((5 * SUM((J144^2)+(K144^2)+(L144^2)+(M144^2)+(N144^2))) - SUM(J144:N144)^2),""))</f>
        <v>3525000</v>
      </c>
      <c r="AF294">
        <f>IFERROR(CORREL(J144:N144,J294:N294),"")</f>
        <v>0.81470155160631874</v>
      </c>
      <c r="AZ294">
        <f t="shared" si="105"/>
        <v>1</v>
      </c>
      <c r="BA294" t="str">
        <f>IF(AZ294=1,IF(Q294="","",IF(Q294=N144,"Yes","No")),"")</f>
        <v>Yes</v>
      </c>
      <c r="BB294">
        <f t="shared" si="106"/>
        <v>103050000</v>
      </c>
      <c r="BC294" t="str">
        <f>IF(AZ294=1,IF(S294="","",IF(S294=N144,"Yes","No")),"")</f>
        <v>No</v>
      </c>
      <c r="BD294" t="str">
        <f t="shared" si="107"/>
        <v/>
      </c>
      <c r="BE294" t="str">
        <f t="shared" si="108"/>
        <v>Increasing</v>
      </c>
      <c r="BF294" t="str">
        <f t="shared" si="109"/>
        <v>Yes</v>
      </c>
      <c r="BG294" t="str">
        <f t="shared" si="110"/>
        <v>No</v>
      </c>
      <c r="BH294" t="str">
        <f t="shared" si="111"/>
        <v>Yes</v>
      </c>
    </row>
    <row r="295" spans="1:60" x14ac:dyDescent="0.3">
      <c r="A295" s="1">
        <v>3</v>
      </c>
      <c r="B295" t="s">
        <v>752</v>
      </c>
      <c r="C295" t="s">
        <v>1118</v>
      </c>
      <c r="D295" t="s">
        <v>1124</v>
      </c>
      <c r="E295" t="s">
        <v>1125</v>
      </c>
      <c r="F295" t="s">
        <v>1126</v>
      </c>
      <c r="G295" t="s">
        <v>1127</v>
      </c>
      <c r="I295" t="str">
        <f t="shared" si="88"/>
        <v>N/A</v>
      </c>
      <c r="J295">
        <f t="shared" si="89"/>
        <v>85490000</v>
      </c>
      <c r="K295">
        <f t="shared" si="90"/>
        <v>84220000</v>
      </c>
      <c r="L295">
        <f t="shared" si="91"/>
        <v>81870000</v>
      </c>
      <c r="M295">
        <f t="shared" si="92"/>
        <v>89040000</v>
      </c>
      <c r="N295">
        <f t="shared" si="93"/>
        <v>98810000</v>
      </c>
      <c r="P295">
        <f t="shared" si="94"/>
        <v>98810000</v>
      </c>
      <c r="Q295">
        <f>IFERROR(J144+MATCH(P295,J295:N295,0)-1,"")</f>
        <v>2016</v>
      </c>
      <c r="R295">
        <f t="shared" si="95"/>
        <v>81870000</v>
      </c>
      <c r="S295">
        <f>IFERROR(J144+MATCH(R295,J295:N295,0)-1,"")</f>
        <v>2014</v>
      </c>
      <c r="T295">
        <f t="shared" si="96"/>
        <v>87886000</v>
      </c>
      <c r="U295">
        <f t="shared" si="97"/>
        <v>6633967.8925964059</v>
      </c>
      <c r="V295">
        <f t="shared" si="98"/>
        <v>-0.36117147969226188</v>
      </c>
      <c r="W295">
        <f t="shared" si="99"/>
        <v>-0.55261045265101505</v>
      </c>
      <c r="X295">
        <f t="shared" si="100"/>
        <v>-0.90684792229910161</v>
      </c>
      <c r="Y295">
        <f t="shared" si="101"/>
        <v>0.17395320849952844</v>
      </c>
      <c r="Z295">
        <f t="shared" si="102"/>
        <v>1.6466766461428499</v>
      </c>
      <c r="AA295">
        <f t="shared" si="103"/>
        <v>1.6466766461428499</v>
      </c>
      <c r="AB295">
        <f>IFERROR(V144+MATCH(AA295,V295:Z295,0)-1,"")</f>
        <v>2016</v>
      </c>
      <c r="AC295" t="str">
        <f t="shared" si="104"/>
        <v>High</v>
      </c>
      <c r="AE295">
        <f>IF(ISNUMBER(MATCH("N/A",J295:N295,0)),"",IFERROR((5 * SUMPRODUCT(J144:N144,J295:N295) - PRODUCT(SUM(J144:N144),SUM(J295:N295))) / ((5 * SUM((J144^2)+(K144^2)+(L144^2)+(M144^2)+(N144^2))) - SUM(J144:N144)^2),""))</f>
        <v>3146000</v>
      </c>
      <c r="AF295">
        <f>IFERROR(CORREL(J144:N144,J295:N295),"")</f>
        <v>0.74981712905125797</v>
      </c>
      <c r="AZ295">
        <f t="shared" si="105"/>
        <v>1</v>
      </c>
      <c r="BA295" t="str">
        <f>IF(AZ295=1,IF(Q295="","",IF(Q295=N144,"Yes","No")),"")</f>
        <v>Yes</v>
      </c>
      <c r="BB295">
        <f t="shared" si="106"/>
        <v>98810000</v>
      </c>
      <c r="BC295" t="str">
        <f>IF(AZ295=1,IF(S295="","",IF(S295=N144,"Yes","No")),"")</f>
        <v>No</v>
      </c>
      <c r="BD295" t="str">
        <f t="shared" si="107"/>
        <v/>
      </c>
      <c r="BE295" t="str">
        <f t="shared" si="108"/>
        <v>Increasing</v>
      </c>
      <c r="BF295" t="str">
        <f t="shared" si="109"/>
        <v>Yes</v>
      </c>
      <c r="BG295" t="str">
        <f t="shared" si="110"/>
        <v>No</v>
      </c>
      <c r="BH295" t="str">
        <f t="shared" si="111"/>
        <v>No</v>
      </c>
    </row>
    <row r="296" spans="1:60" x14ac:dyDescent="0.3">
      <c r="A296" s="1">
        <v>4</v>
      </c>
      <c r="B296" t="s">
        <v>753</v>
      </c>
      <c r="C296" t="s">
        <v>1128</v>
      </c>
      <c r="D296" t="s">
        <v>1129</v>
      </c>
      <c r="E296" t="s">
        <v>1130</v>
      </c>
      <c r="F296" t="s">
        <v>1131</v>
      </c>
      <c r="G296" t="s">
        <v>1132</v>
      </c>
      <c r="I296" t="str">
        <f t="shared" si="88"/>
        <v>N/A</v>
      </c>
      <c r="J296">
        <f t="shared" si="89"/>
        <v>2260000</v>
      </c>
      <c r="K296">
        <f t="shared" si="90"/>
        <v>4170000</v>
      </c>
      <c r="L296">
        <f t="shared" si="91"/>
        <v>4350000</v>
      </c>
      <c r="M296">
        <f t="shared" si="92"/>
        <v>4000000</v>
      </c>
      <c r="N296">
        <f t="shared" si="93"/>
        <v>4240000</v>
      </c>
      <c r="P296">
        <f t="shared" si="94"/>
        <v>4350000</v>
      </c>
      <c r="Q296">
        <f>IFERROR(J144+MATCH(P296,J296:N296,0)-1,"")</f>
        <v>2014</v>
      </c>
      <c r="R296">
        <f t="shared" si="95"/>
        <v>2260000</v>
      </c>
      <c r="S296">
        <f>IFERROR(J144+MATCH(R296,J296:N296,0)-1,"")</f>
        <v>2012</v>
      </c>
      <c r="T296">
        <f t="shared" si="96"/>
        <v>3804000</v>
      </c>
      <c r="U296">
        <f t="shared" si="97"/>
        <v>872427.64742985996</v>
      </c>
      <c r="V296">
        <f t="shared" si="98"/>
        <v>-1.7697742667240861</v>
      </c>
      <c r="W296">
        <f t="shared" si="99"/>
        <v>0.41951902954728987</v>
      </c>
      <c r="X296">
        <f t="shared" si="100"/>
        <v>0.62583986375087508</v>
      </c>
      <c r="Y296">
        <f t="shared" si="101"/>
        <v>0.22466046391057051</v>
      </c>
      <c r="Z296">
        <f t="shared" si="102"/>
        <v>0.49975490951535073</v>
      </c>
      <c r="AA296">
        <f t="shared" si="103"/>
        <v>-1.7697742667240861</v>
      </c>
      <c r="AB296">
        <f>IFERROR(V144+MATCH(AA296,V296:Z296,0)-1,"")</f>
        <v>2012</v>
      </c>
      <c r="AC296" t="str">
        <f t="shared" si="104"/>
        <v>Low</v>
      </c>
      <c r="AE296">
        <f>IF(ISNUMBER(MATCH("N/A",J296:N296,0)),"",IFERROR((5 * SUMPRODUCT(J144:N144,J296:N296) - PRODUCT(SUM(J144:N144),SUM(J296:N296))) / ((5 * SUM((J144^2)+(K144^2)+(L144^2)+(M144^2)+(N144^2))) - SUM(J144:N144)^2),""))</f>
        <v>379000</v>
      </c>
      <c r="AF296">
        <f>IFERROR(CORREL(J144:N144,J296:N296),"")</f>
        <v>0.686878296861959</v>
      </c>
      <c r="AZ296">
        <f t="shared" si="105"/>
        <v>1</v>
      </c>
      <c r="BA296" t="str">
        <f>IF(AZ296=1,IF(Q296="","",IF(Q296=N144,"Yes","No")),"")</f>
        <v>No</v>
      </c>
      <c r="BB296" t="str">
        <f t="shared" si="106"/>
        <v/>
      </c>
      <c r="BC296" t="str">
        <f>IF(AZ296=1,IF(S296="","",IF(S296=N144,"Yes","No")),"")</f>
        <v>No</v>
      </c>
      <c r="BD296" t="str">
        <f t="shared" si="107"/>
        <v/>
      </c>
      <c r="BE296" t="str">
        <f t="shared" si="108"/>
        <v>Increasing</v>
      </c>
      <c r="BF296" t="str">
        <f t="shared" si="109"/>
        <v>No</v>
      </c>
      <c r="BG296" t="str">
        <f t="shared" si="110"/>
        <v>No</v>
      </c>
      <c r="BH296" t="str">
        <f t="shared" si="111"/>
        <v>No</v>
      </c>
    </row>
    <row r="297" spans="1:60" x14ac:dyDescent="0.3">
      <c r="A297" s="1">
        <v>5</v>
      </c>
      <c r="B297" t="s">
        <v>754</v>
      </c>
      <c r="C297" t="s">
        <v>1200</v>
      </c>
      <c r="D297" t="s">
        <v>1496</v>
      </c>
      <c r="E297" t="s">
        <v>1497</v>
      </c>
      <c r="F297" t="s">
        <v>1498</v>
      </c>
      <c r="G297" t="s">
        <v>1204</v>
      </c>
      <c r="I297" t="str">
        <f t="shared" si="88"/>
        <v>N/A</v>
      </c>
      <c r="J297">
        <f t="shared" si="89"/>
        <v>-10360000</v>
      </c>
      <c r="K297">
        <f t="shared" si="90"/>
        <v>-10370000</v>
      </c>
      <c r="L297">
        <f t="shared" si="91"/>
        <v>4690000</v>
      </c>
      <c r="M297">
        <f t="shared" si="92"/>
        <v>16440000.000000002</v>
      </c>
      <c r="N297">
        <f t="shared" si="93"/>
        <v>9520000</v>
      </c>
      <c r="P297">
        <f t="shared" si="94"/>
        <v>16440000.000000002</v>
      </c>
      <c r="Q297">
        <f>IFERROR(J144+MATCH(P297,J297:N297,0)-1,"")</f>
        <v>2015</v>
      </c>
      <c r="R297">
        <f t="shared" si="95"/>
        <v>-10370000</v>
      </c>
      <c r="S297">
        <f>IFERROR(J144+MATCH(R297,J297:N297,0)-1,"")</f>
        <v>2013</v>
      </c>
      <c r="T297">
        <f t="shared" si="96"/>
        <v>1984000.0000000005</v>
      </c>
      <c r="U297">
        <f t="shared" si="97"/>
        <v>12021702.45847068</v>
      </c>
      <c r="V297">
        <f t="shared" si="98"/>
        <v>-1.0268096421985744</v>
      </c>
      <c r="W297">
        <f t="shared" si="99"/>
        <v>-1.0276414711374908</v>
      </c>
      <c r="X297">
        <f t="shared" si="100"/>
        <v>0.22509291087081509</v>
      </c>
      <c r="Y297">
        <f t="shared" si="101"/>
        <v>1.2024919140977472</v>
      </c>
      <c r="Z297">
        <f t="shared" si="102"/>
        <v>0.62686628836750291</v>
      </c>
      <c r="AA297">
        <f t="shared" si="103"/>
        <v>1.2024919140977472</v>
      </c>
      <c r="AB297">
        <f>IFERROR(V144+MATCH(AA297,V297:Z297,0)-1,"")</f>
        <v>2015</v>
      </c>
      <c r="AC297" t="str">
        <f t="shared" si="104"/>
        <v>High</v>
      </c>
      <c r="AE297">
        <f>IF(ISNUMBER(MATCH("N/A",J297:N297,0)),"",IFERROR((5 * SUMPRODUCT(J144:N144,J297:N297) - PRODUCT(SUM(J144:N144),SUM(J297:N297))) / ((5 * SUM((J144^2)+(K144^2)+(L144^2)+(M144^2)+(N144^2))) - SUM(J144:N144)^2),""))</f>
        <v>6657000</v>
      </c>
      <c r="AF297">
        <f>IFERROR(CORREL(J144:N144,J297:N297),"")</f>
        <v>0.87555329440497986</v>
      </c>
      <c r="AZ297">
        <f t="shared" si="105"/>
        <v>1</v>
      </c>
      <c r="BA297" t="str">
        <f>IF(AZ297=1,IF(Q297="","",IF(Q297=N144,"Yes","No")),"")</f>
        <v>No</v>
      </c>
      <c r="BB297" t="str">
        <f t="shared" si="106"/>
        <v/>
      </c>
      <c r="BC297" t="str">
        <f>IF(AZ297=1,IF(S297="","",IF(S297=N144,"Yes","No")),"")</f>
        <v>No</v>
      </c>
      <c r="BD297" t="str">
        <f t="shared" si="107"/>
        <v/>
      </c>
      <c r="BE297" t="str">
        <f t="shared" si="108"/>
        <v>Increasing</v>
      </c>
      <c r="BF297" t="str">
        <f t="shared" si="109"/>
        <v>No</v>
      </c>
      <c r="BG297" t="str">
        <f t="shared" si="110"/>
        <v>No</v>
      </c>
      <c r="BH297" t="str">
        <f t="shared" si="111"/>
        <v>Yes</v>
      </c>
    </row>
    <row r="298" spans="1:60" x14ac:dyDescent="0.3">
      <c r="A298" s="1">
        <v>6</v>
      </c>
      <c r="B298" t="s">
        <v>680</v>
      </c>
      <c r="C298" t="s">
        <v>1200</v>
      </c>
      <c r="D298" t="s">
        <v>1496</v>
      </c>
      <c r="E298" t="s">
        <v>1497</v>
      </c>
      <c r="F298" t="s">
        <v>1498</v>
      </c>
      <c r="G298" t="s">
        <v>1204</v>
      </c>
      <c r="I298" t="str">
        <f t="shared" si="88"/>
        <v>N/A</v>
      </c>
      <c r="J298">
        <f t="shared" si="89"/>
        <v>-10360000</v>
      </c>
      <c r="K298">
        <f t="shared" si="90"/>
        <v>-10370000</v>
      </c>
      <c r="L298">
        <f t="shared" si="91"/>
        <v>4690000</v>
      </c>
      <c r="M298">
        <f t="shared" si="92"/>
        <v>16440000.000000002</v>
      </c>
      <c r="N298">
        <f t="shared" si="93"/>
        <v>9520000</v>
      </c>
      <c r="P298">
        <f t="shared" si="94"/>
        <v>16440000.000000002</v>
      </c>
      <c r="Q298">
        <f>IFERROR(J144+MATCH(P298,J298:N298,0)-1,"")</f>
        <v>2015</v>
      </c>
      <c r="R298">
        <f t="shared" si="95"/>
        <v>-10370000</v>
      </c>
      <c r="S298">
        <f>IFERROR(J144+MATCH(R298,J298:N298,0)-1,"")</f>
        <v>2013</v>
      </c>
      <c r="T298">
        <f t="shared" si="96"/>
        <v>1984000.0000000005</v>
      </c>
      <c r="U298">
        <f t="shared" si="97"/>
        <v>12021702.45847068</v>
      </c>
      <c r="V298">
        <f t="shared" si="98"/>
        <v>-1.0268096421985744</v>
      </c>
      <c r="W298">
        <f t="shared" si="99"/>
        <v>-1.0276414711374908</v>
      </c>
      <c r="X298">
        <f t="shared" si="100"/>
        <v>0.22509291087081509</v>
      </c>
      <c r="Y298">
        <f t="shared" si="101"/>
        <v>1.2024919140977472</v>
      </c>
      <c r="Z298">
        <f t="shared" si="102"/>
        <v>0.62686628836750291</v>
      </c>
      <c r="AA298">
        <f t="shared" si="103"/>
        <v>1.2024919140977472</v>
      </c>
      <c r="AB298">
        <f>IFERROR(V144+MATCH(AA298,V298:Z298,0)-1,"")</f>
        <v>2015</v>
      </c>
      <c r="AC298" t="str">
        <f t="shared" si="104"/>
        <v>High</v>
      </c>
      <c r="AE298">
        <f>IF(ISNUMBER(MATCH("N/A",J298:N298,0)),"",IFERROR((5 * SUMPRODUCT(J144:N144,J298:N298) - PRODUCT(SUM(J144:N144),SUM(J298:N298))) / ((5 * SUM((J144^2)+(K144^2)+(L144^2)+(M144^2)+(N144^2))) - SUM(J144:N144)^2),""))</f>
        <v>6657000</v>
      </c>
      <c r="AF298">
        <f>IFERROR(CORREL(J144:N144,J298:N298),"")</f>
        <v>0.87555329440497986</v>
      </c>
      <c r="AZ298">
        <f t="shared" si="105"/>
        <v>1</v>
      </c>
      <c r="BA298" t="str">
        <f>IF(AZ298=1,IF(Q298="","",IF(Q298=N144,"Yes","No")),"")</f>
        <v>No</v>
      </c>
      <c r="BB298" t="str">
        <f t="shared" si="106"/>
        <v/>
      </c>
      <c r="BC298" t="str">
        <f>IF(AZ298=1,IF(S298="","",IF(S298=N144,"Yes","No")),"")</f>
        <v>No</v>
      </c>
      <c r="BD298" t="str">
        <f t="shared" si="107"/>
        <v/>
      </c>
      <c r="BE298" t="str">
        <f t="shared" si="108"/>
        <v>Increasing</v>
      </c>
      <c r="BF298" t="str">
        <f t="shared" si="109"/>
        <v>No</v>
      </c>
      <c r="BG298" t="str">
        <f t="shared" si="110"/>
        <v>No</v>
      </c>
      <c r="BH298" t="str">
        <f t="shared" si="111"/>
        <v>Yes</v>
      </c>
    </row>
    <row r="299" spans="1:60" x14ac:dyDescent="0.3">
      <c r="A299" s="1">
        <v>7</v>
      </c>
      <c r="B299" t="s">
        <v>756</v>
      </c>
      <c r="C299" t="s">
        <v>264</v>
      </c>
      <c r="D299" t="s">
        <v>264</v>
      </c>
      <c r="E299" t="s">
        <v>264</v>
      </c>
      <c r="F299" t="s">
        <v>264</v>
      </c>
      <c r="G299" t="s">
        <v>264</v>
      </c>
      <c r="I299" t="str">
        <f t="shared" si="88"/>
        <v>N/A</v>
      </c>
      <c r="J299" t="str">
        <f t="shared" si="89"/>
        <v>N/A</v>
      </c>
      <c r="K299" t="str">
        <f t="shared" si="90"/>
        <v>N/A</v>
      </c>
      <c r="L299" t="str">
        <f t="shared" si="91"/>
        <v>N/A</v>
      </c>
      <c r="M299" t="str">
        <f t="shared" si="92"/>
        <v>N/A</v>
      </c>
      <c r="N299" t="str">
        <f t="shared" si="93"/>
        <v>N/A</v>
      </c>
      <c r="P299">
        <f t="shared" si="94"/>
        <v>0</v>
      </c>
      <c r="Q299" t="str">
        <f>IFERROR(J144+MATCH(P299,J299:N299,0)-1,"")</f>
        <v/>
      </c>
      <c r="R299" t="str">
        <f t="shared" si="95"/>
        <v/>
      </c>
      <c r="S299" t="str">
        <f>IFERROR(J144+MATCH(R299,J299:N299,0)-1,"")</f>
        <v/>
      </c>
      <c r="T299" t="str">
        <f t="shared" si="96"/>
        <v/>
      </c>
      <c r="U299" t="str">
        <f t="shared" si="97"/>
        <v/>
      </c>
      <c r="V299" t="str">
        <f t="shared" si="98"/>
        <v/>
      </c>
      <c r="W299" t="str">
        <f t="shared" si="99"/>
        <v/>
      </c>
      <c r="X299" t="str">
        <f t="shared" si="100"/>
        <v/>
      </c>
      <c r="Y299" t="str">
        <f t="shared" si="101"/>
        <v/>
      </c>
      <c r="Z299" t="str">
        <f t="shared" si="102"/>
        <v/>
      </c>
      <c r="AA299">
        <f t="shared" si="103"/>
        <v>0</v>
      </c>
      <c r="AB299" t="str">
        <f>IFERROR(V144+MATCH(AA299,V299:Z299,0)-1,"")</f>
        <v/>
      </c>
      <c r="AC299" t="str">
        <f t="shared" si="104"/>
        <v/>
      </c>
      <c r="AE299" t="str">
        <f>IF(ISNUMBER(MATCH("N/A",J299:N299,0)),"",IFERROR((5 * SUMPRODUCT(J144:N144,J299:N299) - PRODUCT(SUM(J144:N144),SUM(J299:N299))) / ((5 * SUM((J144^2)+(K144^2)+(L144^2)+(M144^2)+(N144^2))) - SUM(J144:N144)^2),""))</f>
        <v/>
      </c>
      <c r="AF299" t="str">
        <f>IFERROR(CORREL(J144:N144,J299:N299),"")</f>
        <v/>
      </c>
      <c r="AZ299">
        <f t="shared" si="105"/>
        <v>0</v>
      </c>
      <c r="BA299" t="str">
        <f>IF(AZ299=1,IF(Q299="","",IF(Q299=N144,"Yes","No")),"")</f>
        <v/>
      </c>
      <c r="BB299" t="str">
        <f t="shared" si="106"/>
        <v/>
      </c>
      <c r="BC299" t="str">
        <f>IF(AZ299=1,IF(S299="","",IF(S299=N144,"Yes","No")),"")</f>
        <v/>
      </c>
      <c r="BD299" t="str">
        <f t="shared" si="107"/>
        <v/>
      </c>
      <c r="BE299" t="str">
        <f t="shared" si="108"/>
        <v/>
      </c>
      <c r="BF299" t="str">
        <f t="shared" si="109"/>
        <v>No</v>
      </c>
      <c r="BG299" t="str">
        <f t="shared" si="110"/>
        <v>No</v>
      </c>
      <c r="BH299" t="str">
        <f t="shared" si="111"/>
        <v/>
      </c>
    </row>
    <row r="300" spans="1:60" x14ac:dyDescent="0.3">
      <c r="A300" s="1">
        <v>8</v>
      </c>
      <c r="B300" t="s">
        <v>757</v>
      </c>
      <c r="C300" t="s">
        <v>1499</v>
      </c>
      <c r="D300" t="s">
        <v>1204</v>
      </c>
      <c r="E300" t="s">
        <v>1500</v>
      </c>
      <c r="F300" t="s">
        <v>1501</v>
      </c>
      <c r="G300" t="s">
        <v>1502</v>
      </c>
      <c r="I300" t="str">
        <f t="shared" si="88"/>
        <v>N/A</v>
      </c>
      <c r="J300">
        <f t="shared" si="89"/>
        <v>6860000</v>
      </c>
      <c r="K300">
        <f t="shared" si="90"/>
        <v>9520000</v>
      </c>
      <c r="L300">
        <f t="shared" si="91"/>
        <v>14070000</v>
      </c>
      <c r="M300">
        <f t="shared" si="92"/>
        <v>10000000</v>
      </c>
      <c r="N300">
        <f t="shared" si="93"/>
        <v>15370000</v>
      </c>
      <c r="P300">
        <f t="shared" si="94"/>
        <v>15370000</v>
      </c>
      <c r="Q300">
        <f>IFERROR(J144+MATCH(P300,J300:N300,0)-1,"")</f>
        <v>2016</v>
      </c>
      <c r="R300">
        <f t="shared" si="95"/>
        <v>6860000</v>
      </c>
      <c r="S300">
        <f>IFERROR(J144+MATCH(R300,J300:N300,0)-1,"")</f>
        <v>2012</v>
      </c>
      <c r="T300">
        <f t="shared" si="96"/>
        <v>11164000</v>
      </c>
      <c r="U300">
        <f t="shared" si="97"/>
        <v>3489889.6830702256</v>
      </c>
      <c r="V300">
        <f t="shared" si="98"/>
        <v>-1.2332768055331658</v>
      </c>
      <c r="W300">
        <f t="shared" si="99"/>
        <v>-0.47107506233655305</v>
      </c>
      <c r="X300">
        <f t="shared" si="100"/>
        <v>0.83269107734186332</v>
      </c>
      <c r="Y300">
        <f t="shared" si="101"/>
        <v>-0.33353489815069814</v>
      </c>
      <c r="Z300">
        <f t="shared" si="102"/>
        <v>1.2051956886785538</v>
      </c>
      <c r="AA300">
        <f t="shared" si="103"/>
        <v>-1.2332768055331658</v>
      </c>
      <c r="AB300">
        <f>IFERROR(V144+MATCH(AA300,V300:Z300,0)-1,"")</f>
        <v>2012</v>
      </c>
      <c r="AC300" t="str">
        <f t="shared" si="104"/>
        <v>Low</v>
      </c>
      <c r="AE300">
        <f>IF(ISNUMBER(MATCH("N/A",J300:N300,0)),"",IFERROR((5 * SUMPRODUCT(J144:N144,J300:N300) - PRODUCT(SUM(J144:N144),SUM(J300:N300))) / ((5 * SUM((J144^2)+(K144^2)+(L144^2)+(M144^2)+(N144^2))) - SUM(J144:N144)^2),""))</f>
        <v>1750000</v>
      </c>
      <c r="AF300">
        <f>IFERROR(CORREL(J144:N144,J300:N300),"")</f>
        <v>0.79285971876711969</v>
      </c>
      <c r="AZ300">
        <f t="shared" si="105"/>
        <v>1</v>
      </c>
      <c r="BA300" t="str">
        <f>IF(AZ300=1,IF(Q300="","",IF(Q300=N144,"Yes","No")),"")</f>
        <v>Yes</v>
      </c>
      <c r="BB300">
        <f t="shared" si="106"/>
        <v>15370000</v>
      </c>
      <c r="BC300" t="str">
        <f>IF(AZ300=1,IF(S300="","",IF(S300=N144,"Yes","No")),"")</f>
        <v>No</v>
      </c>
      <c r="BD300" t="str">
        <f t="shared" si="107"/>
        <v/>
      </c>
      <c r="BE300" t="str">
        <f t="shared" si="108"/>
        <v>Increasing</v>
      </c>
      <c r="BF300" t="str">
        <f t="shared" si="109"/>
        <v>Yes</v>
      </c>
      <c r="BG300" t="str">
        <f t="shared" si="110"/>
        <v>No</v>
      </c>
      <c r="BH300" t="str">
        <f t="shared" si="111"/>
        <v>No</v>
      </c>
    </row>
    <row r="301" spans="1:60" x14ac:dyDescent="0.3">
      <c r="A301" s="1">
        <v>9</v>
      </c>
      <c r="B301" t="s">
        <v>763</v>
      </c>
      <c r="C301" t="s">
        <v>1503</v>
      </c>
      <c r="D301" t="s">
        <v>1504</v>
      </c>
      <c r="E301" t="s">
        <v>1505</v>
      </c>
      <c r="F301" t="s">
        <v>1506</v>
      </c>
      <c r="G301" t="s">
        <v>1507</v>
      </c>
      <c r="I301" t="str">
        <f t="shared" si="88"/>
        <v>N/A</v>
      </c>
      <c r="J301">
        <f t="shared" si="89"/>
        <v>76520000</v>
      </c>
      <c r="K301">
        <f t="shared" si="90"/>
        <v>103350000</v>
      </c>
      <c r="L301">
        <f t="shared" si="91"/>
        <v>151170000</v>
      </c>
      <c r="M301">
        <f t="shared" si="92"/>
        <v>164340000</v>
      </c>
      <c r="N301">
        <f t="shared" si="93"/>
        <v>146600000</v>
      </c>
      <c r="P301">
        <f t="shared" si="94"/>
        <v>164340000</v>
      </c>
      <c r="Q301">
        <f>IFERROR(J144+MATCH(P301,J301:N301,0)-1,"")</f>
        <v>2015</v>
      </c>
      <c r="R301">
        <f t="shared" si="95"/>
        <v>76520000</v>
      </c>
      <c r="S301">
        <f>IFERROR(J144+MATCH(R301,J301:N301,0)-1,"")</f>
        <v>2012</v>
      </c>
      <c r="T301">
        <f t="shared" si="96"/>
        <v>128396000</v>
      </c>
      <c r="U301">
        <f t="shared" si="97"/>
        <v>36947372.437021822</v>
      </c>
      <c r="V301">
        <f t="shared" si="98"/>
        <v>-1.4040511294388953</v>
      </c>
      <c r="W301">
        <f t="shared" si="99"/>
        <v>-0.67788311720114447</v>
      </c>
      <c r="X301">
        <f t="shared" si="100"/>
        <v>0.61639024639219298</v>
      </c>
      <c r="Y301">
        <f t="shared" si="101"/>
        <v>0.9728431991007721</v>
      </c>
      <c r="Z301">
        <f t="shared" si="102"/>
        <v>0.49270080114707476</v>
      </c>
      <c r="AA301">
        <f t="shared" si="103"/>
        <v>-1.4040511294388953</v>
      </c>
      <c r="AB301">
        <f>IFERROR(V144+MATCH(AA301,V301:Z301,0)-1,"")</f>
        <v>2012</v>
      </c>
      <c r="AC301" t="str">
        <f t="shared" si="104"/>
        <v>Low</v>
      </c>
      <c r="AE301">
        <f>IF(ISNUMBER(MATCH("N/A",J301:N301,0)),"",IFERROR((5 * SUMPRODUCT(J144:N144,J301:N301) - PRODUCT(SUM(J144:N144),SUM(J301:N301))) / ((5 * SUM((J144^2)+(K144^2)+(L144^2)+(M144^2)+(N144^2))) - SUM(J144:N144)^2),""))</f>
        <v>20115000</v>
      </c>
      <c r="AF301">
        <f>IFERROR(CORREL(J144:N144,J301:N301),"")</f>
        <v>0.86080837335200522</v>
      </c>
      <c r="AZ301">
        <f t="shared" si="105"/>
        <v>1</v>
      </c>
      <c r="BA301" t="str">
        <f>IF(AZ301=1,IF(Q301="","",IF(Q301=N144,"Yes","No")),"")</f>
        <v>No</v>
      </c>
      <c r="BB301" t="str">
        <f t="shared" si="106"/>
        <v/>
      </c>
      <c r="BC301" t="str">
        <f>IF(AZ301=1,IF(S301="","",IF(S301=N144,"Yes","No")),"")</f>
        <v>No</v>
      </c>
      <c r="BD301" t="str">
        <f t="shared" si="107"/>
        <v/>
      </c>
      <c r="BE301" t="str">
        <f t="shared" si="108"/>
        <v>Increasing</v>
      </c>
      <c r="BF301" t="str">
        <f t="shared" si="109"/>
        <v>No</v>
      </c>
      <c r="BG301" t="str">
        <f t="shared" si="110"/>
        <v>No</v>
      </c>
      <c r="BH301" t="str">
        <f t="shared" si="111"/>
        <v>Yes</v>
      </c>
    </row>
    <row r="302" spans="1:60" x14ac:dyDescent="0.3">
      <c r="A302" s="1">
        <v>10</v>
      </c>
      <c r="B302" t="s">
        <v>767</v>
      </c>
      <c r="C302" t="s">
        <v>264</v>
      </c>
      <c r="D302" t="s">
        <v>264</v>
      </c>
      <c r="E302" t="s">
        <v>264</v>
      </c>
      <c r="F302" t="s">
        <v>264</v>
      </c>
      <c r="G302" t="s">
        <v>264</v>
      </c>
      <c r="I302" t="str">
        <f t="shared" si="88"/>
        <v>N/A</v>
      </c>
      <c r="J302" t="str">
        <f t="shared" si="89"/>
        <v>N/A</v>
      </c>
      <c r="K302" t="str">
        <f t="shared" si="90"/>
        <v>N/A</v>
      </c>
      <c r="L302" t="str">
        <f t="shared" si="91"/>
        <v>N/A</v>
      </c>
      <c r="M302" t="str">
        <f t="shared" si="92"/>
        <v>N/A</v>
      </c>
      <c r="N302" t="str">
        <f t="shared" si="93"/>
        <v>N/A</v>
      </c>
      <c r="P302">
        <f t="shared" si="94"/>
        <v>0</v>
      </c>
      <c r="Q302" t="str">
        <f>IFERROR(J144+MATCH(P302,J302:N302,0)-1,"")</f>
        <v/>
      </c>
      <c r="R302" t="str">
        <f t="shared" si="95"/>
        <v/>
      </c>
      <c r="S302" t="str">
        <f>IFERROR(J144+MATCH(R302,J302:N302,0)-1,"")</f>
        <v/>
      </c>
      <c r="T302" t="str">
        <f t="shared" si="96"/>
        <v/>
      </c>
      <c r="U302" t="str">
        <f t="shared" si="97"/>
        <v/>
      </c>
      <c r="V302" t="str">
        <f t="shared" si="98"/>
        <v/>
      </c>
      <c r="W302" t="str">
        <f t="shared" si="99"/>
        <v/>
      </c>
      <c r="X302" t="str">
        <f t="shared" si="100"/>
        <v/>
      </c>
      <c r="Y302" t="str">
        <f t="shared" si="101"/>
        <v/>
      </c>
      <c r="Z302" t="str">
        <f t="shared" si="102"/>
        <v/>
      </c>
      <c r="AA302">
        <f t="shared" si="103"/>
        <v>0</v>
      </c>
      <c r="AB302" t="str">
        <f>IFERROR(V144+MATCH(AA302,V302:Z302,0)-1,"")</f>
        <v/>
      </c>
      <c r="AC302" t="str">
        <f t="shared" si="104"/>
        <v/>
      </c>
      <c r="AE302" t="str">
        <f>IF(ISNUMBER(MATCH("N/A",J302:N302,0)),"",IFERROR((5 * SUMPRODUCT(J144:N144,J302:N302) - PRODUCT(SUM(J144:N144),SUM(J302:N302))) / ((5 * SUM((J144^2)+(K144^2)+(L144^2)+(M144^2)+(N144^2))) - SUM(J144:N144)^2),""))</f>
        <v/>
      </c>
      <c r="AF302" t="str">
        <f>IFERROR(CORREL(J144:N144,J302:N302),"")</f>
        <v/>
      </c>
      <c r="AZ302">
        <f t="shared" si="105"/>
        <v>0</v>
      </c>
      <c r="BA302" t="str">
        <f>IF(AZ302=1,IF(Q302="","",IF(Q302=N144,"Yes","No")),"")</f>
        <v/>
      </c>
      <c r="BB302" t="str">
        <f t="shared" si="106"/>
        <v/>
      </c>
      <c r="BC302" t="str">
        <f>IF(AZ302=1,IF(S302="","",IF(S302=N144,"Yes","No")),"")</f>
        <v/>
      </c>
      <c r="BD302" t="str">
        <f t="shared" si="107"/>
        <v/>
      </c>
      <c r="BE302" t="str">
        <f t="shared" si="108"/>
        <v/>
      </c>
      <c r="BF302" t="str">
        <f t="shared" si="109"/>
        <v>No</v>
      </c>
      <c r="BG302" t="str">
        <f t="shared" si="110"/>
        <v>No</v>
      </c>
      <c r="BH302" t="str">
        <f t="shared" si="111"/>
        <v/>
      </c>
    </row>
    <row r="303" spans="1:60" x14ac:dyDescent="0.3">
      <c r="A303" s="1">
        <v>11</v>
      </c>
      <c r="B303" t="s">
        <v>768</v>
      </c>
      <c r="C303" t="s">
        <v>1508</v>
      </c>
      <c r="D303" t="s">
        <v>1509</v>
      </c>
      <c r="E303" t="s">
        <v>1510</v>
      </c>
      <c r="F303" t="s">
        <v>1511</v>
      </c>
      <c r="G303" t="s">
        <v>1512</v>
      </c>
      <c r="I303" t="str">
        <f t="shared" si="88"/>
        <v>N/A</v>
      </c>
      <c r="J303">
        <f t="shared" si="89"/>
        <v>8010000</v>
      </c>
      <c r="K303">
        <f t="shared" si="90"/>
        <v>-9850000</v>
      </c>
      <c r="L303">
        <f t="shared" si="91"/>
        <v>-7400000</v>
      </c>
      <c r="M303">
        <f t="shared" si="92"/>
        <v>-18320000</v>
      </c>
      <c r="N303">
        <f t="shared" si="93"/>
        <v>-36340000</v>
      </c>
      <c r="P303">
        <f t="shared" si="94"/>
        <v>8010000</v>
      </c>
      <c r="Q303">
        <f>IFERROR(J144+MATCH(P303,J303:N303,0)-1,"")</f>
        <v>2012</v>
      </c>
      <c r="R303">
        <f t="shared" si="95"/>
        <v>-36340000</v>
      </c>
      <c r="S303">
        <f>IFERROR(J144+MATCH(R303,J303:N303,0)-1,"")</f>
        <v>2016</v>
      </c>
      <c r="T303">
        <f t="shared" si="96"/>
        <v>-12780000</v>
      </c>
      <c r="U303">
        <f t="shared" si="97"/>
        <v>16244372.871859351</v>
      </c>
      <c r="V303">
        <f t="shared" si="98"/>
        <v>1.2798278003095573</v>
      </c>
      <c r="W303">
        <f t="shared" si="99"/>
        <v>0.1803701517511786</v>
      </c>
      <c r="X303">
        <f t="shared" si="100"/>
        <v>0.33119160970011635</v>
      </c>
      <c r="Y303">
        <f t="shared" si="101"/>
        <v>-0.34104117430086328</v>
      </c>
      <c r="Z303">
        <f t="shared" si="102"/>
        <v>-1.450348387459989</v>
      </c>
      <c r="AA303">
        <f t="shared" si="103"/>
        <v>-1.450348387459989</v>
      </c>
      <c r="AB303">
        <f>IFERROR(V144+MATCH(AA303,V303:Z303,0)-1,"")</f>
        <v>2016</v>
      </c>
      <c r="AC303" t="str">
        <f t="shared" si="104"/>
        <v>Low</v>
      </c>
      <c r="AE303">
        <f>IF(ISNUMBER(MATCH("N/A",J303:N303,0)),"",IFERROR((5 * SUMPRODUCT(J144:N144,J303:N303) - PRODUCT(SUM(J144:N144),SUM(J303:N303))) / ((5 * SUM((J144^2)+(K144^2)+(L144^2)+(M144^2)+(N144^2))) - SUM(J144:N144)^2),""))</f>
        <v>-9717000</v>
      </c>
      <c r="AF303">
        <f>IFERROR(CORREL(J144:N144,J303:N303),"")</f>
        <v>-0.94579988609738774</v>
      </c>
      <c r="AZ303">
        <f t="shared" si="105"/>
        <v>1</v>
      </c>
      <c r="BA303" t="str">
        <f>IF(AZ303=1,IF(Q303="","",IF(Q303=N144,"Yes","No")),"")</f>
        <v>No</v>
      </c>
      <c r="BB303" t="str">
        <f t="shared" si="106"/>
        <v/>
      </c>
      <c r="BC303" t="str">
        <f>IF(AZ303=1,IF(S303="","",IF(S303=N144,"Yes","No")),"")</f>
        <v>Yes</v>
      </c>
      <c r="BD303">
        <f t="shared" si="107"/>
        <v>-36340000</v>
      </c>
      <c r="BE303" t="str">
        <f t="shared" si="108"/>
        <v>Decreasing</v>
      </c>
      <c r="BF303" t="str">
        <f t="shared" si="109"/>
        <v>Yes</v>
      </c>
      <c r="BG303" t="str">
        <f t="shared" si="110"/>
        <v>No</v>
      </c>
      <c r="BH303" t="str">
        <f t="shared" si="111"/>
        <v>Yes</v>
      </c>
    </row>
    <row r="304" spans="1:60" x14ac:dyDescent="0.3">
      <c r="A304" s="1">
        <v>12</v>
      </c>
      <c r="B304" t="s">
        <v>774</v>
      </c>
      <c r="C304" t="s">
        <v>1513</v>
      </c>
      <c r="D304" t="s">
        <v>1514</v>
      </c>
      <c r="E304" t="s">
        <v>1515</v>
      </c>
      <c r="F304" t="s">
        <v>1132</v>
      </c>
      <c r="G304" t="s">
        <v>1516</v>
      </c>
      <c r="I304" t="str">
        <f t="shared" si="88"/>
        <v>N/A</v>
      </c>
      <c r="J304">
        <f t="shared" si="89"/>
        <v>508000</v>
      </c>
      <c r="K304">
        <f t="shared" si="90"/>
        <v>-24200000</v>
      </c>
      <c r="L304">
        <f t="shared" si="91"/>
        <v>-26890000</v>
      </c>
      <c r="M304">
        <f t="shared" si="92"/>
        <v>4240000</v>
      </c>
      <c r="N304">
        <f t="shared" si="93"/>
        <v>-25570000</v>
      </c>
      <c r="P304">
        <f t="shared" si="94"/>
        <v>4240000</v>
      </c>
      <c r="Q304">
        <f>IFERROR(J144+MATCH(P304,J304:N304,0)-1,"")</f>
        <v>2015</v>
      </c>
      <c r="R304">
        <f t="shared" si="95"/>
        <v>-26890000</v>
      </c>
      <c r="S304">
        <f>IFERROR(J144+MATCH(R304,J304:N304,0)-1,"")</f>
        <v>2014</v>
      </c>
      <c r="T304">
        <f t="shared" si="96"/>
        <v>-14382400</v>
      </c>
      <c r="U304">
        <f t="shared" si="97"/>
        <v>15382664.879662432</v>
      </c>
      <c r="V304">
        <f t="shared" si="98"/>
        <v>0.96799872561006906</v>
      </c>
      <c r="W304">
        <f t="shared" si="99"/>
        <v>-0.63822491595587849</v>
      </c>
      <c r="X304">
        <f t="shared" si="100"/>
        <v>-0.81309708674317005</v>
      </c>
      <c r="Y304">
        <f t="shared" si="101"/>
        <v>1.2106094844867128</v>
      </c>
      <c r="Z304">
        <f t="shared" si="102"/>
        <v>-0.72728620739773331</v>
      </c>
      <c r="AA304">
        <f t="shared" si="103"/>
        <v>1.2106094844867128</v>
      </c>
      <c r="AB304">
        <f>IFERROR(V144+MATCH(AA304,V304:Z304,0)-1,"")</f>
        <v>2015</v>
      </c>
      <c r="AC304" t="str">
        <f t="shared" si="104"/>
        <v>High</v>
      </c>
      <c r="AE304">
        <f>IF(ISNUMBER(MATCH("N/A",J304:N304,0)),"",IFERROR((5 * SUMPRODUCT(J144:N144,J304:N304) - PRODUCT(SUM(J144:N144),SUM(J304:N304))) / ((5 * SUM((J144^2)+(K144^2)+(L144^2)+(M144^2)+(N144^2))) - SUM(J144:N144)^2),""))</f>
        <v>-2371600</v>
      </c>
      <c r="AF304">
        <f>IFERROR(CORREL(J144:N144,J304:N304),"")</f>
        <v>-0.24376978103354177</v>
      </c>
      <c r="AZ304">
        <f t="shared" si="105"/>
        <v>1</v>
      </c>
      <c r="BA304" t="str">
        <f>IF(AZ304=1,IF(Q304="","",IF(Q304=N144,"Yes","No")),"")</f>
        <v>No</v>
      </c>
      <c r="BB304" t="str">
        <f t="shared" si="106"/>
        <v/>
      </c>
      <c r="BC304" t="str">
        <f>IF(AZ304=1,IF(S304="","",IF(S304=N144,"Yes","No")),"")</f>
        <v>No</v>
      </c>
      <c r="BD304" t="str">
        <f t="shared" si="107"/>
        <v/>
      </c>
      <c r="BE304" t="str">
        <f t="shared" si="108"/>
        <v>Decreasing</v>
      </c>
      <c r="BF304" t="str">
        <f t="shared" si="109"/>
        <v>No</v>
      </c>
      <c r="BG304" t="str">
        <f t="shared" si="110"/>
        <v>No</v>
      </c>
      <c r="BH304" t="str">
        <f t="shared" si="111"/>
        <v>No</v>
      </c>
    </row>
    <row r="305" spans="1:60" x14ac:dyDescent="0.3">
      <c r="A305" s="1">
        <v>13</v>
      </c>
      <c r="B305" t="s">
        <v>630</v>
      </c>
      <c r="C305" t="s">
        <v>210</v>
      </c>
      <c r="D305" t="s">
        <v>264</v>
      </c>
      <c r="E305" t="s">
        <v>1517</v>
      </c>
      <c r="F305" t="s">
        <v>264</v>
      </c>
      <c r="G305" t="s">
        <v>264</v>
      </c>
      <c r="I305" t="str">
        <f t="shared" si="88"/>
        <v>N/A</v>
      </c>
      <c r="J305">
        <f t="shared" si="89"/>
        <v>3610000</v>
      </c>
      <c r="K305" t="str">
        <f t="shared" si="90"/>
        <v>N/A</v>
      </c>
      <c r="L305">
        <f t="shared" si="91"/>
        <v>32460000</v>
      </c>
      <c r="M305" t="str">
        <f t="shared" si="92"/>
        <v>N/A</v>
      </c>
      <c r="N305" t="str">
        <f t="shared" si="93"/>
        <v>N/A</v>
      </c>
      <c r="P305">
        <f t="shared" si="94"/>
        <v>32460000</v>
      </c>
      <c r="Q305">
        <f>IFERROR(J144+MATCH(P305,J305:N305,0)-1,"")</f>
        <v>2014</v>
      </c>
      <c r="R305">
        <f t="shared" si="95"/>
        <v>3610000</v>
      </c>
      <c r="S305">
        <f>IFERROR(J144+MATCH(R305,J305:N305,0)-1,"")</f>
        <v>2012</v>
      </c>
      <c r="T305">
        <f t="shared" si="96"/>
        <v>18035000</v>
      </c>
      <c r="U305">
        <f t="shared" si="97"/>
        <v>20400030.637231898</v>
      </c>
      <c r="V305">
        <f t="shared" si="98"/>
        <v>-0.70710678118654746</v>
      </c>
      <c r="W305" t="str">
        <f t="shared" si="99"/>
        <v/>
      </c>
      <c r="X305">
        <f t="shared" si="100"/>
        <v>0.70710678118654746</v>
      </c>
      <c r="Y305" t="str">
        <f t="shared" si="101"/>
        <v/>
      </c>
      <c r="Z305" t="str">
        <f t="shared" si="102"/>
        <v/>
      </c>
      <c r="AA305">
        <f t="shared" si="103"/>
        <v>-0.70710678118654746</v>
      </c>
      <c r="AB305">
        <f>IFERROR(V144+MATCH(AA305,V305:Z305,0)-1,"")</f>
        <v>2012</v>
      </c>
      <c r="AC305" t="str">
        <f t="shared" si="104"/>
        <v>Low</v>
      </c>
      <c r="AE305" t="str">
        <f>IF(ISNUMBER(MATCH("N/A",J305:N305,0)),"",IFERROR((5 * SUMPRODUCT(J144:N144,J305:N305) - PRODUCT(SUM(J144:N144),SUM(J305:N305))) / ((5 * SUM((J144^2)+(K144^2)+(L144^2)+(M144^2)+(N144^2))) - SUM(J144:N144)^2),""))</f>
        <v/>
      </c>
      <c r="AF305">
        <f>IFERROR(CORREL(J144:N144,J305:N305),"")</f>
        <v>1</v>
      </c>
      <c r="AZ305">
        <f t="shared" si="105"/>
        <v>1</v>
      </c>
      <c r="BA305" t="str">
        <f>IF(AZ305=1,IF(Q305="","",IF(Q305=N144,"Yes","No")),"")</f>
        <v>No</v>
      </c>
      <c r="BB305" t="str">
        <f t="shared" si="106"/>
        <v/>
      </c>
      <c r="BC305" t="str">
        <f>IF(AZ305=1,IF(S305="","",IF(S305=N144,"Yes","No")),"")</f>
        <v>No</v>
      </c>
      <c r="BD305" t="str">
        <f t="shared" si="107"/>
        <v/>
      </c>
      <c r="BE305" t="str">
        <f t="shared" si="108"/>
        <v/>
      </c>
      <c r="BF305" t="str">
        <f t="shared" si="109"/>
        <v>No</v>
      </c>
      <c r="BG305" t="str">
        <f t="shared" si="110"/>
        <v>No</v>
      </c>
      <c r="BH305" t="str">
        <f t="shared" si="111"/>
        <v>Yes</v>
      </c>
    </row>
    <row r="306" spans="1:60" x14ac:dyDescent="0.3">
      <c r="A306" s="1">
        <v>14</v>
      </c>
      <c r="B306" t="s">
        <v>784</v>
      </c>
      <c r="C306" t="s">
        <v>1518</v>
      </c>
      <c r="D306" t="s">
        <v>1519</v>
      </c>
      <c r="E306" t="s">
        <v>1520</v>
      </c>
      <c r="F306" t="s">
        <v>1521</v>
      </c>
      <c r="G306" t="s">
        <v>1522</v>
      </c>
      <c r="I306" t="str">
        <f t="shared" si="88"/>
        <v>N/A</v>
      </c>
      <c r="J306">
        <f t="shared" si="89"/>
        <v>1270000</v>
      </c>
      <c r="K306">
        <f t="shared" si="90"/>
        <v>5890000</v>
      </c>
      <c r="L306">
        <f t="shared" si="91"/>
        <v>-999000</v>
      </c>
      <c r="M306">
        <f t="shared" si="92"/>
        <v>-13640000</v>
      </c>
      <c r="N306">
        <f t="shared" si="93"/>
        <v>-17000000</v>
      </c>
      <c r="P306">
        <f t="shared" si="94"/>
        <v>5890000</v>
      </c>
      <c r="Q306">
        <f>IFERROR(J144+MATCH(P306,J306:N306,0)-1,"")</f>
        <v>2013</v>
      </c>
      <c r="R306">
        <f t="shared" si="95"/>
        <v>-17000000</v>
      </c>
      <c r="S306">
        <f>IFERROR(J144+MATCH(R306,J306:N306,0)-1,"")</f>
        <v>2016</v>
      </c>
      <c r="T306">
        <f t="shared" si="96"/>
        <v>-4895800</v>
      </c>
      <c r="U306">
        <f t="shared" si="97"/>
        <v>9905911.2755970117</v>
      </c>
      <c r="V306">
        <f t="shared" si="98"/>
        <v>0.62243642492430851</v>
      </c>
      <c r="W306">
        <f t="shared" si="99"/>
        <v>1.0888246118830656</v>
      </c>
      <c r="X306">
        <f t="shared" si="100"/>
        <v>0.39338127422962882</v>
      </c>
      <c r="Y306">
        <f t="shared" si="101"/>
        <v>-0.88272545116986245</v>
      </c>
      <c r="Z306">
        <f t="shared" si="102"/>
        <v>-1.2219168598671404</v>
      </c>
      <c r="AA306">
        <f t="shared" si="103"/>
        <v>-1.2219168598671404</v>
      </c>
      <c r="AB306">
        <f>IFERROR(V144+MATCH(AA306,V306:Z306,0)-1,"")</f>
        <v>2016</v>
      </c>
      <c r="AC306" t="str">
        <f t="shared" si="104"/>
        <v>Low</v>
      </c>
      <c r="AE306">
        <f>IF(ISNUMBER(MATCH("N/A",J306:N306,0)),"",IFERROR((5 * SUMPRODUCT(J144:N144,J306:N306) - PRODUCT(SUM(J144:N144),SUM(J306:N306))) / ((5 * SUM((J144^2)+(K144^2)+(L144^2)+(M144^2)+(N144^2))) - SUM(J144:N144)^2),""))</f>
        <v>-5607000</v>
      </c>
      <c r="AF306">
        <f>IFERROR(CORREL(J144:N144,J306:N306),"")</f>
        <v>-0.89496515501020857</v>
      </c>
      <c r="AZ306">
        <f t="shared" si="105"/>
        <v>1</v>
      </c>
      <c r="BA306" t="str">
        <f>IF(AZ306=1,IF(Q306="","",IF(Q306=N144,"Yes","No")),"")</f>
        <v>No</v>
      </c>
      <c r="BB306" t="str">
        <f t="shared" si="106"/>
        <v/>
      </c>
      <c r="BC306" t="str">
        <f>IF(AZ306=1,IF(S306="","",IF(S306=N144,"Yes","No")),"")</f>
        <v>Yes</v>
      </c>
      <c r="BD306">
        <f t="shared" si="107"/>
        <v>-17000000</v>
      </c>
      <c r="BE306" t="str">
        <f t="shared" si="108"/>
        <v>Decreasing</v>
      </c>
      <c r="BF306" t="str">
        <f t="shared" si="109"/>
        <v>Yes</v>
      </c>
      <c r="BG306" t="str">
        <f t="shared" si="110"/>
        <v>No</v>
      </c>
      <c r="BH306" t="str">
        <f t="shared" si="111"/>
        <v>Yes</v>
      </c>
    </row>
    <row r="307" spans="1:60" x14ac:dyDescent="0.3">
      <c r="A307" s="1">
        <v>15</v>
      </c>
      <c r="B307" t="s">
        <v>790</v>
      </c>
      <c r="C307" t="s">
        <v>1523</v>
      </c>
      <c r="D307" t="s">
        <v>1524</v>
      </c>
      <c r="E307" t="s">
        <v>1525</v>
      </c>
      <c r="F307" t="s">
        <v>1526</v>
      </c>
      <c r="G307" t="s">
        <v>1527</v>
      </c>
      <c r="I307" t="str">
        <f t="shared" si="88"/>
        <v>N/A</v>
      </c>
      <c r="J307">
        <f t="shared" si="89"/>
        <v>84530000</v>
      </c>
      <c r="K307">
        <f t="shared" si="90"/>
        <v>93500000</v>
      </c>
      <c r="L307">
        <f t="shared" si="91"/>
        <v>143770000</v>
      </c>
      <c r="M307">
        <f t="shared" si="92"/>
        <v>146020000</v>
      </c>
      <c r="N307">
        <f t="shared" si="93"/>
        <v>110260000</v>
      </c>
      <c r="P307">
        <f t="shared" si="94"/>
        <v>146020000</v>
      </c>
      <c r="Q307">
        <f>IFERROR(J144+MATCH(P307,J307:N307,0)-1,"")</f>
        <v>2015</v>
      </c>
      <c r="R307">
        <f t="shared" si="95"/>
        <v>84530000</v>
      </c>
      <c r="S307">
        <f>IFERROR(J144+MATCH(R307,J307:N307,0)-1,"")</f>
        <v>2012</v>
      </c>
      <c r="T307">
        <f t="shared" si="96"/>
        <v>115616000</v>
      </c>
      <c r="U307">
        <f t="shared" si="97"/>
        <v>28289549.837351602</v>
      </c>
      <c r="V307">
        <f t="shared" si="98"/>
        <v>-1.0988509954639205</v>
      </c>
      <c r="W307">
        <f t="shared" si="99"/>
        <v>-0.78177277924725175</v>
      </c>
      <c r="X307">
        <f t="shared" si="100"/>
        <v>0.99520848376411308</v>
      </c>
      <c r="Y307">
        <f t="shared" si="101"/>
        <v>1.0747431533836789</v>
      </c>
      <c r="Z307">
        <f t="shared" si="102"/>
        <v>-0.18932786243661964</v>
      </c>
      <c r="AA307">
        <f t="shared" si="103"/>
        <v>-1.0988509954639205</v>
      </c>
      <c r="AB307">
        <f>IFERROR(V144+MATCH(AA307,V307:Z307,0)-1,"")</f>
        <v>2012</v>
      </c>
      <c r="AC307" t="str">
        <f t="shared" si="104"/>
        <v>Low</v>
      </c>
      <c r="AE307">
        <f>IF(ISNUMBER(MATCH("N/A",J307:N307,0)),"",IFERROR((5 * SUMPRODUCT(J144:N144,J307:N307) - PRODUCT(SUM(J144:N144),SUM(J307:N307))) / ((5 * SUM((J144^2)+(K144^2)+(L144^2)+(M144^2)+(N144^2))) - SUM(J144:N144)^2),""))</f>
        <v>10398000</v>
      </c>
      <c r="AF307">
        <f>IFERROR(CORREL(J144:N144,J307:N307),"")</f>
        <v>0.58115741147313149</v>
      </c>
      <c r="AZ307">
        <f t="shared" si="105"/>
        <v>1</v>
      </c>
      <c r="BA307" t="str">
        <f>IF(AZ307=1,IF(Q307="","",IF(Q307=N144,"Yes","No")),"")</f>
        <v>No</v>
      </c>
      <c r="BB307" t="str">
        <f t="shared" si="106"/>
        <v/>
      </c>
      <c r="BC307" t="str">
        <f>IF(AZ307=1,IF(S307="","",IF(S307=N144,"Yes","No")),"")</f>
        <v>No</v>
      </c>
      <c r="BD307" t="str">
        <f t="shared" si="107"/>
        <v/>
      </c>
      <c r="BE307" t="str">
        <f t="shared" si="108"/>
        <v>Increasing</v>
      </c>
      <c r="BF307" t="str">
        <f t="shared" si="109"/>
        <v>No</v>
      </c>
      <c r="BG307" t="str">
        <f t="shared" si="110"/>
        <v>No</v>
      </c>
      <c r="BH307" t="str">
        <f t="shared" si="111"/>
        <v>No</v>
      </c>
    </row>
    <row r="308" spans="1:60" x14ac:dyDescent="0.3">
      <c r="A308" s="1">
        <v>16</v>
      </c>
      <c r="B308" t="s">
        <v>796</v>
      </c>
      <c r="C308" t="s">
        <v>264</v>
      </c>
      <c r="D308" t="s">
        <v>1528</v>
      </c>
      <c r="E308" t="s">
        <v>1529</v>
      </c>
      <c r="F308" t="s">
        <v>1530</v>
      </c>
      <c r="G308" t="s">
        <v>1531</v>
      </c>
      <c r="I308" t="str">
        <f t="shared" si="88"/>
        <v>N/A</v>
      </c>
      <c r="J308" t="str">
        <f t="shared" si="89"/>
        <v>N/A</v>
      </c>
      <c r="K308">
        <f t="shared" si="90"/>
        <v>0.1061</v>
      </c>
      <c r="L308">
        <f t="shared" si="91"/>
        <v>0.53749999999999998</v>
      </c>
      <c r="M308">
        <f t="shared" si="92"/>
        <v>1.5700000000000002E-2</v>
      </c>
      <c r="N308">
        <f t="shared" si="93"/>
        <v>-0.24489999999999998</v>
      </c>
      <c r="P308">
        <f t="shared" si="94"/>
        <v>0.53749999999999998</v>
      </c>
      <c r="Q308">
        <f>IFERROR(J144+MATCH(P308,J308:N308,0)-1,"")</f>
        <v>2014</v>
      </c>
      <c r="R308">
        <f t="shared" si="95"/>
        <v>-0.24489999999999998</v>
      </c>
      <c r="S308">
        <f>IFERROR(J144+MATCH(R308,J308:N308,0)-1,"")</f>
        <v>2016</v>
      </c>
      <c r="T308">
        <f t="shared" si="96"/>
        <v>0.1036</v>
      </c>
      <c r="U308">
        <f t="shared" si="97"/>
        <v>0.3252968490471434</v>
      </c>
      <c r="V308" t="str">
        <f t="shared" si="98"/>
        <v/>
      </c>
      <c r="W308">
        <f t="shared" si="99"/>
        <v>7.6852880909328812E-3</v>
      </c>
      <c r="X308">
        <f t="shared" si="100"/>
        <v>1.3338586010623095</v>
      </c>
      <c r="Y308">
        <f t="shared" si="101"/>
        <v>-0.27021472927719981</v>
      </c>
      <c r="Z308">
        <f t="shared" si="102"/>
        <v>-1.0713291598760426</v>
      </c>
      <c r="AA308">
        <f t="shared" si="103"/>
        <v>1.3338586010623095</v>
      </c>
      <c r="AB308">
        <f>IFERROR(V144+MATCH(AA308,V308:Z308,0)-1,"")</f>
        <v>2014</v>
      </c>
      <c r="AC308" t="str">
        <f t="shared" si="104"/>
        <v>High</v>
      </c>
      <c r="AE308" t="str">
        <f>IF(ISNUMBER(MATCH("N/A",J308:N308,0)),"",IFERROR((5 * SUMPRODUCT(J144:N144,J308:N308) - PRODUCT(SUM(J144:N144),SUM(J308:N308))) / ((5 * SUM((J144^2)+(K144^2)+(L144^2)+(M144^2)+(N144^2))) - SUM(J144:N144)^2),""))</f>
        <v/>
      </c>
      <c r="AF308">
        <f>IFERROR(CORREL(J144:N144,J308:N308),"")</f>
        <v>-0.62498547521267478</v>
      </c>
      <c r="AZ308">
        <f t="shared" si="105"/>
        <v>1</v>
      </c>
      <c r="BA308" t="str">
        <f>IF(AZ308=1,IF(Q308="","",IF(Q308=N144,"Yes","No")),"")</f>
        <v>No</v>
      </c>
      <c r="BB308" t="str">
        <f t="shared" si="106"/>
        <v/>
      </c>
      <c r="BC308" t="str">
        <f>IF(AZ308=1,IF(S308="","",IF(S308=N144,"Yes","No")),"")</f>
        <v>Yes</v>
      </c>
      <c r="BD308">
        <f t="shared" si="107"/>
        <v>-0.24489999999999998</v>
      </c>
      <c r="BE308" t="str">
        <f t="shared" si="108"/>
        <v/>
      </c>
      <c r="BF308" t="str">
        <f t="shared" si="109"/>
        <v>No</v>
      </c>
      <c r="BG308" t="str">
        <f t="shared" si="110"/>
        <v>No</v>
      </c>
      <c r="BH308" t="str">
        <f t="shared" si="111"/>
        <v>No</v>
      </c>
    </row>
    <row r="309" spans="1:60" x14ac:dyDescent="0.3">
      <c r="A309" s="1">
        <v>17</v>
      </c>
      <c r="B309" t="s">
        <v>801</v>
      </c>
      <c r="C309" t="s">
        <v>1532</v>
      </c>
      <c r="D309" t="s">
        <v>1533</v>
      </c>
      <c r="E309" t="s">
        <v>1023</v>
      </c>
      <c r="F309" t="s">
        <v>1534</v>
      </c>
      <c r="G309" t="s">
        <v>1535</v>
      </c>
      <c r="I309" t="str">
        <f t="shared" si="88"/>
        <v>N/A</v>
      </c>
      <c r="J309">
        <f t="shared" si="89"/>
        <v>4.0899999999999999E-2</v>
      </c>
      <c r="K309">
        <f t="shared" si="90"/>
        <v>4.0700000000000007E-2</v>
      </c>
      <c r="L309">
        <f t="shared" si="91"/>
        <v>5.5E-2</v>
      </c>
      <c r="M309">
        <f t="shared" si="92"/>
        <v>5.4800000000000008E-2</v>
      </c>
      <c r="N309">
        <f t="shared" si="93"/>
        <v>4.0800000000000003E-2</v>
      </c>
      <c r="P309">
        <f t="shared" si="94"/>
        <v>5.5E-2</v>
      </c>
      <c r="Q309">
        <f>IFERROR(J144+MATCH(P309,J309:N309,0)-1,"")</f>
        <v>2014</v>
      </c>
      <c r="R309">
        <f t="shared" si="95"/>
        <v>4.0700000000000007E-2</v>
      </c>
      <c r="S309">
        <f>IFERROR(J144+MATCH(R309,J309:N309,0)-1,"")</f>
        <v>2013</v>
      </c>
      <c r="T309">
        <f t="shared" si="96"/>
        <v>4.6440000000000002E-2</v>
      </c>
      <c r="U309">
        <f t="shared" si="97"/>
        <v>7.7235354598784757E-3</v>
      </c>
      <c r="V309">
        <f t="shared" si="98"/>
        <v>-0.71728809025072715</v>
      </c>
      <c r="W309">
        <f t="shared" si="99"/>
        <v>-0.74318296715508447</v>
      </c>
      <c r="X309">
        <f t="shared" si="100"/>
        <v>1.1083007315065379</v>
      </c>
      <c r="Y309">
        <f t="shared" si="101"/>
        <v>1.0824058546021804</v>
      </c>
      <c r="Z309">
        <f t="shared" si="102"/>
        <v>-0.73023552870290576</v>
      </c>
      <c r="AA309">
        <f t="shared" si="103"/>
        <v>1.1083007315065379</v>
      </c>
      <c r="AB309">
        <f>IFERROR(V144+MATCH(AA309,V309:Z309,0)-1,"")</f>
        <v>2014</v>
      </c>
      <c r="AC309" t="str">
        <f t="shared" si="104"/>
        <v>High</v>
      </c>
      <c r="AE309">
        <f>IF(ISNUMBER(MATCH("N/A",J309:N309,0)),"",IFERROR((5 * SUMPRODUCT(J144:N144,J309:N309) - PRODUCT(SUM(J144:N144),SUM(J309:N309))) / ((5 * SUM((J144^2)+(K144^2)+(L144^2)+(M144^2)+(N144^2))) - SUM(J144:N144)^2),""))</f>
        <v>1.3900000000012368E-3</v>
      </c>
      <c r="AF309">
        <f>IFERROR(CORREL(J144:N144,J309:N309),"")</f>
        <v>0.28455659784743309</v>
      </c>
      <c r="AZ309">
        <f t="shared" si="105"/>
        <v>1</v>
      </c>
      <c r="BA309" t="str">
        <f>IF(AZ309=1,IF(Q309="","",IF(Q309=N144,"Yes","No")),"")</f>
        <v>No</v>
      </c>
      <c r="BB309" t="str">
        <f t="shared" si="106"/>
        <v/>
      </c>
      <c r="BC309" t="str">
        <f>IF(AZ309=1,IF(S309="","",IF(S309=N144,"Yes","No")),"")</f>
        <v>No</v>
      </c>
      <c r="BD309" t="str">
        <f t="shared" si="107"/>
        <v/>
      </c>
      <c r="BE309" t="str">
        <f t="shared" si="108"/>
        <v>Increasing</v>
      </c>
      <c r="BF309" t="str">
        <f t="shared" si="109"/>
        <v>No</v>
      </c>
      <c r="BG309" t="str">
        <f t="shared" si="110"/>
        <v>No</v>
      </c>
      <c r="BH309" t="str">
        <f t="shared" si="111"/>
        <v>No</v>
      </c>
    </row>
    <row r="310" spans="1:60" x14ac:dyDescent="0.3">
      <c r="I310" t="str">
        <f t="shared" si="88"/>
        <v>N/A</v>
      </c>
      <c r="J310" t="str">
        <f t="shared" si="89"/>
        <v>N/A</v>
      </c>
      <c r="K310" t="str">
        <f t="shared" si="90"/>
        <v>N/A</v>
      </c>
      <c r="L310" t="str">
        <f t="shared" si="91"/>
        <v>N/A</v>
      </c>
      <c r="M310" t="str">
        <f t="shared" si="92"/>
        <v>N/A</v>
      </c>
      <c r="N310" t="str">
        <f t="shared" si="93"/>
        <v>N/A</v>
      </c>
      <c r="P310">
        <f t="shared" si="94"/>
        <v>0</v>
      </c>
      <c r="Q310" t="str">
        <f>IFERROR(J144+MATCH(P310,J310:N310,0)-1,"")</f>
        <v/>
      </c>
      <c r="R310" t="str">
        <f t="shared" si="95"/>
        <v/>
      </c>
      <c r="S310" t="str">
        <f>IFERROR(J144+MATCH(R310,J310:N310,0)-1,"")</f>
        <v/>
      </c>
      <c r="T310" t="str">
        <f t="shared" si="96"/>
        <v/>
      </c>
      <c r="U310" t="str">
        <f t="shared" si="97"/>
        <v/>
      </c>
      <c r="V310" t="str">
        <f t="shared" si="98"/>
        <v/>
      </c>
      <c r="W310" t="str">
        <f t="shared" si="99"/>
        <v/>
      </c>
      <c r="X310" t="str">
        <f t="shared" si="100"/>
        <v/>
      </c>
      <c r="Y310" t="str">
        <f t="shared" si="101"/>
        <v/>
      </c>
      <c r="Z310" t="str">
        <f t="shared" si="102"/>
        <v/>
      </c>
      <c r="AA310">
        <f t="shared" si="103"/>
        <v>0</v>
      </c>
      <c r="AB310" t="str">
        <f>IFERROR(V144+MATCH(AA310,V310:Z310,0)-1,"")</f>
        <v/>
      </c>
      <c r="AC310" t="str">
        <f t="shared" si="104"/>
        <v/>
      </c>
      <c r="AE310" t="str">
        <f>IF(ISNUMBER(MATCH("N/A",J310:N310,0)),"",IFERROR((5 * SUMPRODUCT(J144:N144,J310:N310) - PRODUCT(SUM(J144:N144),SUM(J310:N310))) / ((5 * SUM((J144^2)+(K144^2)+(L144^2)+(M144^2)+(N144^2))) - SUM(J144:N144)^2),""))</f>
        <v/>
      </c>
      <c r="AF310" t="str">
        <f>IFERROR(CORREL(J144:N144,J310:N310),"")</f>
        <v/>
      </c>
      <c r="AZ310">
        <f t="shared" si="105"/>
        <v>0</v>
      </c>
      <c r="BA310" t="str">
        <f>IF(AZ310=1,IF(Q310="","",IF(Q310=N144,"Yes","No")),"")</f>
        <v/>
      </c>
      <c r="BB310" t="str">
        <f t="shared" si="106"/>
        <v/>
      </c>
      <c r="BC310" t="str">
        <f>IF(AZ310=1,IF(S310="","",IF(S310=N144,"Yes","No")),"")</f>
        <v/>
      </c>
      <c r="BD310" t="str">
        <f t="shared" si="107"/>
        <v/>
      </c>
      <c r="BE310" t="str">
        <f t="shared" si="108"/>
        <v/>
      </c>
      <c r="BF310" t="str">
        <f t="shared" si="109"/>
        <v>No</v>
      </c>
      <c r="BG310" t="str">
        <f t="shared" si="110"/>
        <v>No</v>
      </c>
      <c r="BH310" t="str">
        <f t="shared" si="111"/>
        <v/>
      </c>
    </row>
    <row r="311" spans="1:60" x14ac:dyDescent="0.3">
      <c r="B311" s="1" t="s">
        <v>316</v>
      </c>
      <c r="C311" s="1" t="s">
        <v>252</v>
      </c>
      <c r="D311" s="1" t="s">
        <v>253</v>
      </c>
      <c r="E311" s="1" t="s">
        <v>254</v>
      </c>
      <c r="F311" s="1" t="s">
        <v>255</v>
      </c>
      <c r="G311" s="1" t="s">
        <v>256</v>
      </c>
      <c r="H311" s="1" t="s">
        <v>257</v>
      </c>
      <c r="P311">
        <f t="shared" si="94"/>
        <v>0</v>
      </c>
      <c r="Q311" t="str">
        <f>IFERROR(J144+MATCH(P311,J311:N311,0)-1,"")</f>
        <v/>
      </c>
      <c r="R311" t="str">
        <f t="shared" si="95"/>
        <v/>
      </c>
      <c r="S311" t="str">
        <f>IFERROR(J144+MATCH(R311,J311:N311,0)-1,"")</f>
        <v/>
      </c>
      <c r="T311" t="str">
        <f t="shared" si="96"/>
        <v/>
      </c>
      <c r="U311" t="str">
        <f t="shared" si="97"/>
        <v/>
      </c>
      <c r="V311" t="str">
        <f t="shared" si="98"/>
        <v/>
      </c>
      <c r="W311" t="str">
        <f t="shared" si="99"/>
        <v/>
      </c>
      <c r="X311" t="str">
        <f t="shared" si="100"/>
        <v/>
      </c>
      <c r="Y311" t="str">
        <f t="shared" si="101"/>
        <v/>
      </c>
      <c r="Z311" t="str">
        <f t="shared" si="102"/>
        <v/>
      </c>
      <c r="AA311">
        <f t="shared" si="103"/>
        <v>0</v>
      </c>
      <c r="AB311" t="str">
        <f>IFERROR(V144+MATCH(AA311,V311:Z311,0)-1,"")</f>
        <v/>
      </c>
      <c r="AC311" t="str">
        <f t="shared" si="104"/>
        <v/>
      </c>
      <c r="AE311">
        <f>IF(ISNUMBER(MATCH("N/A",J311:N311,0)),"",IFERROR((5 * SUMPRODUCT(J144:N144,J311:N311) - PRODUCT(SUM(J144:N144),SUM(J311:N311))) / ((5 * SUM((J144^2)+(K144^2)+(L144^2)+(M144^2)+(N144^2))) - SUM(J144:N144)^2),""))</f>
        <v>0</v>
      </c>
      <c r="AF311" t="str">
        <f>IFERROR(CORREL(J144:N144,J311:N311),"")</f>
        <v/>
      </c>
      <c r="AZ311">
        <f t="shared" si="105"/>
        <v>0</v>
      </c>
      <c r="BA311" t="str">
        <f>IF(AZ311=1,IF(Q311="","",IF(Q311=N144,"Yes","No")),"")</f>
        <v/>
      </c>
      <c r="BB311" t="str">
        <f t="shared" si="106"/>
        <v/>
      </c>
      <c r="BC311" t="str">
        <f>IF(AZ311=1,IF(S311="","",IF(S311=N144,"Yes","No")),"")</f>
        <v/>
      </c>
      <c r="BD311" t="str">
        <f t="shared" si="107"/>
        <v/>
      </c>
      <c r="BE311" t="str">
        <f t="shared" si="108"/>
        <v/>
      </c>
      <c r="BF311" t="str">
        <f t="shared" si="109"/>
        <v>No</v>
      </c>
      <c r="BG311" t="str">
        <f t="shared" si="110"/>
        <v>No</v>
      </c>
      <c r="BH311" t="str">
        <f t="shared" si="111"/>
        <v/>
      </c>
    </row>
    <row r="312" spans="1:60" x14ac:dyDescent="0.3">
      <c r="A312" s="1">
        <v>0</v>
      </c>
      <c r="B312" t="s">
        <v>805</v>
      </c>
      <c r="C312" t="s">
        <v>1536</v>
      </c>
      <c r="D312" t="s">
        <v>1537</v>
      </c>
      <c r="E312" t="s">
        <v>1538</v>
      </c>
      <c r="F312" t="s">
        <v>1539</v>
      </c>
      <c r="G312" t="s">
        <v>1540</v>
      </c>
      <c r="I312" t="str">
        <f t="shared" ref="I312:I327" si="112">IF(AND(K312&gt; J312, L312&gt; K312, M312&gt; L312, N312&gt; M312), "pos_trend", IF(AND(K312&lt; J312, L312&lt; K312, M312&lt; L312, N312&lt; M312), "neg_trend", "N/A"))</f>
        <v>N/A</v>
      </c>
      <c r="J312">
        <f t="shared" ref="J312:J327" si="113">IFERROR(IF(TRIM(C312)="-", "N/A", IF(RIGHT(C312,1)=")",IF(RIGHT(C312,2)="T)",-1000000000000*VALUE(MID(C312,2,LEN(C312)-3)),IF(RIGHT(C312,2)="M)",-1000000*VALUE(MID(C312,2,LEN(C312)-3)),IF(RIGHT(C312,2)="B)",-1000000000*VALUE(MID(C312,2,LEN(C312)-3)),IF(RIGHT(C312,2)="k)",-1000*VALUE(MID(C312,2,LEN(C312)-3)),VALUE(SUBSTITUTE(C312,",","")))))),IF(RIGHT(C312,1)="T",1000000000000*VALUE(LEFT(C312,LEN(C312)-1)),IF(RIGHT(C312,1)="M",1000000*VALUE(LEFT(C312,LEN(C312)-1)),IF(RIGHT(C312,1)="B",1000000000*VALUE(LEFT(C312,LEN(C312)-1)),IF(RIGHT(C312,1)="%",0.01*VALUE(LEFT(C312,LEN(C312)-1)),IF(RIGHT(C312,1)="k",1000*VALUE(LEFT(C312,LEN(C312)-1)),VALUE(SUBSTITUTE(C312,",",""))))))))),"N/A")</f>
        <v>-44500000</v>
      </c>
      <c r="K312">
        <f t="shared" ref="K312:K327" si="114">IFERROR(IF(TRIM(D312)="-", "N/A", IF(RIGHT(D312,1)=")",IF(RIGHT(D312,2)="T)",-1000000000000*VALUE(MID(D312,2,LEN(D312)-3)),IF(RIGHT(D312,2)="M)",-1000000*VALUE(MID(D312,2,LEN(D312)-3)),IF(RIGHT(D312,2)="B)",-1000000000*VALUE(MID(D312,2,LEN(D312)-3)),IF(RIGHT(D312,2)="k)",-1000*VALUE(MID(D312,2,LEN(D312)-3)),VALUE(SUBSTITUTE(D312,",","")))))),IF(RIGHT(D312,1)="T",1000000000000*VALUE(LEFT(D312,LEN(D312)-1)),IF(RIGHT(D312,1)="M",1000000*VALUE(LEFT(D312,LEN(D312)-1)),IF(RIGHT(D312,1)="B",1000000000*VALUE(LEFT(D312,LEN(D312)-1)),IF(RIGHT(D312,1)="%",0.01*VALUE(LEFT(D312,LEN(D312)-1)),IF(RIGHT(D312,1)="k",1000*VALUE(LEFT(D312,LEN(D312)-1)),VALUE(SUBSTITUTE(D312,",",""))))))))),"N/A")</f>
        <v>-34040000</v>
      </c>
      <c r="L312">
        <f t="shared" ref="L312:L327" si="115">IFERROR(IF(TRIM(E312)="-", "N/A", IF(RIGHT(E312,1)=")",IF(RIGHT(E312,2)="T)",-1000000000000*VALUE(MID(E312,2,LEN(E312)-3)),IF(RIGHT(E312,2)="M)",-1000000*VALUE(MID(E312,2,LEN(E312)-3)),IF(RIGHT(E312,2)="B)",-1000000000*VALUE(MID(E312,2,LEN(E312)-3)),IF(RIGHT(E312,2)="k)",-1000*VALUE(MID(E312,2,LEN(E312)-3)),VALUE(SUBSTITUTE(E312,",","")))))),IF(RIGHT(E312,1)="T",1000000000000*VALUE(LEFT(E312,LEN(E312)-1)),IF(RIGHT(E312,1)="M",1000000*VALUE(LEFT(E312,LEN(E312)-1)),IF(RIGHT(E312,1)="B",1000000000*VALUE(LEFT(E312,LEN(E312)-1)),IF(RIGHT(E312,1)="%",0.01*VALUE(LEFT(E312,LEN(E312)-1)),IF(RIGHT(E312,1)="k",1000*VALUE(LEFT(E312,LEN(E312)-1)),VALUE(SUBSTITUTE(E312,",",""))))))))),"N/A")</f>
        <v>-43900000</v>
      </c>
      <c r="M312">
        <f t="shared" ref="M312:M327" si="116">IFERROR(IF(TRIM(F312)="-", "N/A", IF(RIGHT(F312,1)=")",IF(RIGHT(F312,2)="T)",-1000000000000*VALUE(MID(F312,2,LEN(F312)-3)),IF(RIGHT(F312,2)="M)",-1000000*VALUE(MID(F312,2,LEN(F312)-3)),IF(RIGHT(F312,2)="B)",-1000000000*VALUE(MID(F312,2,LEN(F312)-3)),IF(RIGHT(F312,2)="k)",-1000*VALUE(MID(F312,2,LEN(F312)-3)),VALUE(SUBSTITUTE(F312,",","")))))),IF(RIGHT(F312,1)="T",1000000000000*VALUE(LEFT(F312,LEN(F312)-1)),IF(RIGHT(F312,1)="M",1000000*VALUE(LEFT(F312,LEN(F312)-1)),IF(RIGHT(F312,1)="B",1000000000*VALUE(LEFT(F312,LEN(F312)-1)),IF(RIGHT(F312,1)="%",0.01*VALUE(LEFT(F312,LEN(F312)-1)),IF(RIGHT(F312,1)="k",1000*VALUE(LEFT(F312,LEN(F312)-1)),VALUE(SUBSTITUTE(F312,",",""))))))))),"N/A")</f>
        <v>-86940000</v>
      </c>
      <c r="N312">
        <f t="shared" ref="N312:N327" si="117">IFERROR(IF(TRIM(G312)="-", "N/A", IF(RIGHT(G312,1)=")",IF(RIGHT(G312,2)="T)",-1000000000000*VALUE(MID(G312,2,LEN(G312)-3)),IF(RIGHT(G312,2)="M)",-1000000*VALUE(MID(G312,2,LEN(G312)-3)),IF(RIGHT(G312,2)="B)",-1000000000*VALUE(MID(G312,2,LEN(G312)-3)),IF(RIGHT(G312,2)="k)",-1000*VALUE(MID(G312,2,LEN(G312)-3)),VALUE(SUBSTITUTE(G312,",","")))))),IF(RIGHT(G312,1)="T",1000000000000*VALUE(LEFT(G312,LEN(G312)-1)),IF(RIGHT(G312,1)="M",1000000*VALUE(LEFT(G312,LEN(G312)-1)),IF(RIGHT(G312,1)="B",1000000000*VALUE(LEFT(G312,LEN(G312)-1)),IF(RIGHT(G312,1)="%",0.01*VALUE(LEFT(G312,LEN(G312)-1)),IF(RIGHT(G312,1)="k",1000*VALUE(LEFT(G312,LEN(G312)-1)),VALUE(SUBSTITUTE(G312,",",""))))))))),"N/A")</f>
        <v>-78740000</v>
      </c>
      <c r="P312">
        <f t="shared" si="94"/>
        <v>-34040000</v>
      </c>
      <c r="Q312">
        <f>IFERROR(J144+MATCH(P312,J312:N312,0)-1,"")</f>
        <v>2013</v>
      </c>
      <c r="R312">
        <f t="shared" si="95"/>
        <v>-86940000</v>
      </c>
      <c r="S312">
        <f>IFERROR(J144+MATCH(R312,J312:N312,0)-1,"")</f>
        <v>2015</v>
      </c>
      <c r="T312">
        <f t="shared" si="96"/>
        <v>-57624000</v>
      </c>
      <c r="U312">
        <f t="shared" si="97"/>
        <v>23569609.245806348</v>
      </c>
      <c r="V312">
        <f t="shared" si="98"/>
        <v>0.55681873480083699</v>
      </c>
      <c r="W312">
        <f t="shared" si="99"/>
        <v>1.0006105639700502</v>
      </c>
      <c r="X312">
        <f t="shared" si="100"/>
        <v>0.5822752450782297</v>
      </c>
      <c r="Y312">
        <f t="shared" si="101"/>
        <v>-1.2438050921534087</v>
      </c>
      <c r="Z312">
        <f t="shared" si="102"/>
        <v>-0.89589945169570817</v>
      </c>
      <c r="AA312">
        <f t="shared" si="103"/>
        <v>-1.2438050921534087</v>
      </c>
      <c r="AB312">
        <f>IFERROR(V144+MATCH(AA312,V312:Z312,0)-1,"")</f>
        <v>2015</v>
      </c>
      <c r="AC312" t="str">
        <f t="shared" si="104"/>
        <v>Low</v>
      </c>
      <c r="AE312">
        <f>IF(ISNUMBER(MATCH("N/A",J312:N312,0)),"",IFERROR((5 * SUMPRODUCT(J144:N144,J312:N312) - PRODUCT(SUM(J144:N144),SUM(J312:N312))) / ((5 * SUM((J144^2)+(K144^2)+(L144^2)+(M144^2)+(N144^2))) - SUM(J144:N144)^2),""))</f>
        <v>-12138000</v>
      </c>
      <c r="AF312">
        <f>IFERROR(CORREL(J144:N144,J312:N312),"")</f>
        <v>-0.81426310124240309</v>
      </c>
      <c r="AZ312">
        <f t="shared" si="105"/>
        <v>1</v>
      </c>
      <c r="BA312" t="str">
        <f>IF(AZ312=1,IF(Q312="","",IF(Q312=N144,"Yes","No")),"")</f>
        <v>No</v>
      </c>
      <c r="BB312" t="str">
        <f t="shared" si="106"/>
        <v/>
      </c>
      <c r="BC312" t="str">
        <f>IF(AZ312=1,IF(S312="","",IF(S312=N144,"Yes","No")),"")</f>
        <v>No</v>
      </c>
      <c r="BD312" t="str">
        <f t="shared" si="107"/>
        <v/>
      </c>
      <c r="BE312" t="str">
        <f t="shared" si="108"/>
        <v>Decreasing</v>
      </c>
      <c r="BF312" t="str">
        <f t="shared" si="109"/>
        <v>No</v>
      </c>
      <c r="BG312" t="str">
        <f t="shared" si="110"/>
        <v>No</v>
      </c>
      <c r="BH312" t="str">
        <f t="shared" si="111"/>
        <v>Yes</v>
      </c>
    </row>
    <row r="313" spans="1:60" x14ac:dyDescent="0.3">
      <c r="A313" s="1">
        <v>1</v>
      </c>
      <c r="B313" t="s">
        <v>811</v>
      </c>
      <c r="C313" t="s">
        <v>1541</v>
      </c>
      <c r="D313" t="s">
        <v>1537</v>
      </c>
      <c r="E313" t="s">
        <v>1542</v>
      </c>
      <c r="F313" t="s">
        <v>1543</v>
      </c>
      <c r="G313" t="s">
        <v>1540</v>
      </c>
      <c r="I313" t="str">
        <f t="shared" si="112"/>
        <v>N/A</v>
      </c>
      <c r="J313">
        <f t="shared" si="113"/>
        <v>-37280000</v>
      </c>
      <c r="K313">
        <f t="shared" si="114"/>
        <v>-34040000</v>
      </c>
      <c r="L313">
        <f t="shared" si="115"/>
        <v>-35480000</v>
      </c>
      <c r="M313">
        <f t="shared" si="116"/>
        <v>-78430000</v>
      </c>
      <c r="N313">
        <f t="shared" si="117"/>
        <v>-78740000</v>
      </c>
      <c r="P313">
        <f t="shared" si="94"/>
        <v>-34040000</v>
      </c>
      <c r="Q313">
        <f>IFERROR(J144+MATCH(P313,J313:N313,0)-1,"")</f>
        <v>2013</v>
      </c>
      <c r="R313">
        <f t="shared" si="95"/>
        <v>-78740000</v>
      </c>
      <c r="S313">
        <f>IFERROR(J144+MATCH(R313,J313:N313,0)-1,"")</f>
        <v>2016</v>
      </c>
      <c r="T313">
        <f t="shared" si="96"/>
        <v>-52794000</v>
      </c>
      <c r="U313">
        <f t="shared" si="97"/>
        <v>23572074.155661397</v>
      </c>
      <c r="V313">
        <f t="shared" si="98"/>
        <v>0.6581516712339861</v>
      </c>
      <c r="W313">
        <f t="shared" si="99"/>
        <v>0.79560245212854042</v>
      </c>
      <c r="X313">
        <f t="shared" si="100"/>
        <v>0.7345132161754051</v>
      </c>
      <c r="Y313">
        <f t="shared" si="101"/>
        <v>-1.0875580922878991</v>
      </c>
      <c r="Z313">
        <f t="shared" si="102"/>
        <v>-1.1007092472500324</v>
      </c>
      <c r="AA313">
        <f t="shared" si="103"/>
        <v>-1.1007092472500324</v>
      </c>
      <c r="AB313">
        <f>IFERROR(V144+MATCH(AA313,V313:Z313,0)-1,"")</f>
        <v>2016</v>
      </c>
      <c r="AC313" t="str">
        <f t="shared" si="104"/>
        <v>Low</v>
      </c>
      <c r="AE313">
        <f>IF(ISNUMBER(MATCH("N/A",J313:N313,0)),"",IFERROR((5 * SUMPRODUCT(J144:N144,J313:N313) - PRODUCT(SUM(J144:N144),SUM(J313:N313))) / ((5 * SUM((J144^2)+(K144^2)+(L144^2)+(M144^2)+(N144^2))) - SUM(J144:N144)^2),""))</f>
        <v>-12731000</v>
      </c>
      <c r="AF313">
        <f>IFERROR(CORREL(J144:N144,J313:N313),"")</f>
        <v>-0.85395448499245619</v>
      </c>
      <c r="AZ313">
        <f t="shared" si="105"/>
        <v>1</v>
      </c>
      <c r="BA313" t="str">
        <f>IF(AZ313=1,IF(Q313="","",IF(Q313=N144,"Yes","No")),"")</f>
        <v>No</v>
      </c>
      <c r="BB313" t="str">
        <f t="shared" si="106"/>
        <v/>
      </c>
      <c r="BC313" t="str">
        <f>IF(AZ313=1,IF(S313="","",IF(S313=N144,"Yes","No")),"")</f>
        <v>Yes</v>
      </c>
      <c r="BD313">
        <f t="shared" si="107"/>
        <v>-78740000</v>
      </c>
      <c r="BE313" t="str">
        <f t="shared" si="108"/>
        <v>Decreasing</v>
      </c>
      <c r="BF313" t="str">
        <f t="shared" si="109"/>
        <v>Yes</v>
      </c>
      <c r="BG313" t="str">
        <f t="shared" si="110"/>
        <v>No</v>
      </c>
      <c r="BH313" t="str">
        <f t="shared" si="111"/>
        <v>Yes</v>
      </c>
    </row>
    <row r="314" spans="1:60" x14ac:dyDescent="0.3">
      <c r="A314" s="1">
        <v>2</v>
      </c>
      <c r="B314" t="s">
        <v>812</v>
      </c>
      <c r="C314" t="s">
        <v>1544</v>
      </c>
      <c r="D314" t="s">
        <v>264</v>
      </c>
      <c r="E314" t="s">
        <v>1545</v>
      </c>
      <c r="F314" t="s">
        <v>1546</v>
      </c>
      <c r="G314" t="s">
        <v>264</v>
      </c>
      <c r="I314" t="str">
        <f t="shared" si="112"/>
        <v>N/A</v>
      </c>
      <c r="J314">
        <f t="shared" si="113"/>
        <v>-7220000</v>
      </c>
      <c r="K314" t="str">
        <f t="shared" si="114"/>
        <v>N/A</v>
      </c>
      <c r="L314">
        <f t="shared" si="115"/>
        <v>-8420000</v>
      </c>
      <c r="M314">
        <f t="shared" si="116"/>
        <v>-8510000</v>
      </c>
      <c r="N314" t="str">
        <f t="shared" si="117"/>
        <v>N/A</v>
      </c>
      <c r="P314">
        <f t="shared" si="94"/>
        <v>-7220000</v>
      </c>
      <c r="Q314">
        <f>IFERROR(J144+MATCH(P314,J314:N314,0)-1,"")</f>
        <v>2012</v>
      </c>
      <c r="R314">
        <f t="shared" si="95"/>
        <v>-8510000</v>
      </c>
      <c r="S314">
        <f>IFERROR(J144+MATCH(R314,J314:N314,0)-1,"")</f>
        <v>2015</v>
      </c>
      <c r="T314">
        <f t="shared" si="96"/>
        <v>-8050000</v>
      </c>
      <c r="U314">
        <f t="shared" si="97"/>
        <v>720208.30320123362</v>
      </c>
      <c r="V314">
        <f t="shared" si="98"/>
        <v>1.1524443640968263</v>
      </c>
      <c r="W314" t="str">
        <f t="shared" si="99"/>
        <v/>
      </c>
      <c r="X314">
        <f t="shared" si="100"/>
        <v>-0.51374025869376594</v>
      </c>
      <c r="Y314">
        <f t="shared" si="101"/>
        <v>-0.63870410540306044</v>
      </c>
      <c r="Z314" t="str">
        <f t="shared" si="102"/>
        <v/>
      </c>
      <c r="AA314">
        <f t="shared" si="103"/>
        <v>1.1524443640968263</v>
      </c>
      <c r="AB314">
        <f>IFERROR(V144+MATCH(AA314,V314:Z314,0)-1,"")</f>
        <v>2012</v>
      </c>
      <c r="AC314" t="str">
        <f t="shared" si="104"/>
        <v>High</v>
      </c>
      <c r="AE314" t="str">
        <f>IF(ISNUMBER(MATCH("N/A",J314:N314,0)),"",IFERROR((5 * SUMPRODUCT(J144:N144,J314:N314) - PRODUCT(SUM(J144:N144),SUM(J314:N314))) / ((5 * SUM((J144^2)+(K144^2)+(L144^2)+(M144^2)+(N144^2))) - SUM(J144:N144)^2),""))</f>
        <v/>
      </c>
      <c r="AF314">
        <f>IFERROR(CORREL(J144:N144,J314:N314),"")</f>
        <v>-0.96351692679189194</v>
      </c>
      <c r="AZ314">
        <f t="shared" si="105"/>
        <v>1</v>
      </c>
      <c r="BA314" t="str">
        <f>IF(AZ314=1,IF(Q314="","",IF(Q314=N144,"Yes","No")),"")</f>
        <v>No</v>
      </c>
      <c r="BB314" t="str">
        <f t="shared" si="106"/>
        <v/>
      </c>
      <c r="BC314" t="str">
        <f>IF(AZ314=1,IF(S314="","",IF(S314=N144,"Yes","No")),"")</f>
        <v>No</v>
      </c>
      <c r="BD314" t="str">
        <f t="shared" si="107"/>
        <v/>
      </c>
      <c r="BE314" t="str">
        <f t="shared" si="108"/>
        <v/>
      </c>
      <c r="BF314" t="str">
        <f t="shared" si="109"/>
        <v>No</v>
      </c>
      <c r="BG314" t="str">
        <f t="shared" si="110"/>
        <v>No</v>
      </c>
      <c r="BH314" t="str">
        <f t="shared" si="111"/>
        <v>Yes</v>
      </c>
    </row>
    <row r="315" spans="1:60" x14ac:dyDescent="0.3">
      <c r="A315" s="1">
        <v>3</v>
      </c>
      <c r="B315" t="s">
        <v>813</v>
      </c>
      <c r="C315" t="s">
        <v>264</v>
      </c>
      <c r="D315" t="s">
        <v>1547</v>
      </c>
      <c r="E315" t="s">
        <v>1548</v>
      </c>
      <c r="F315" t="s">
        <v>1549</v>
      </c>
      <c r="G315" t="s">
        <v>1550</v>
      </c>
      <c r="I315" t="str">
        <f t="shared" si="112"/>
        <v>N/A</v>
      </c>
      <c r="J315" t="str">
        <f t="shared" si="113"/>
        <v>N/A</v>
      </c>
      <c r="K315">
        <f t="shared" si="114"/>
        <v>0.23510000000000003</v>
      </c>
      <c r="L315">
        <f t="shared" si="115"/>
        <v>-0.2898</v>
      </c>
      <c r="M315">
        <f t="shared" si="116"/>
        <v>-0.98030000000000006</v>
      </c>
      <c r="N315">
        <f t="shared" si="117"/>
        <v>9.4299999999999995E-2</v>
      </c>
      <c r="P315">
        <f t="shared" si="94"/>
        <v>0.23510000000000003</v>
      </c>
      <c r="Q315">
        <f>IFERROR(J144+MATCH(P315,J315:N315,0)-1,"")</f>
        <v>2013</v>
      </c>
      <c r="R315">
        <f t="shared" si="95"/>
        <v>-0.98030000000000006</v>
      </c>
      <c r="S315">
        <f>IFERROR(J144+MATCH(R315,J315:N315,0)-1,"")</f>
        <v>2015</v>
      </c>
      <c r="T315">
        <f t="shared" si="96"/>
        <v>-0.23517500000000002</v>
      </c>
      <c r="U315">
        <f t="shared" si="97"/>
        <v>0.54403048551222444</v>
      </c>
      <c r="V315" t="str">
        <f t="shared" si="98"/>
        <v/>
      </c>
      <c r="W315">
        <f t="shared" si="99"/>
        <v>0.86442766080878553</v>
      </c>
      <c r="X315">
        <f t="shared" si="100"/>
        <v>-0.10040797612392725</v>
      </c>
      <c r="Y315">
        <f t="shared" si="101"/>
        <v>-1.3696383196218092</v>
      </c>
      <c r="Z315">
        <f t="shared" si="102"/>
        <v>0.60561863493695089</v>
      </c>
      <c r="AA315">
        <f t="shared" si="103"/>
        <v>-1.3696383196218092</v>
      </c>
      <c r="AB315">
        <f>IFERROR(V144+MATCH(AA315,V315:Z315,0)-1,"")</f>
        <v>2015</v>
      </c>
      <c r="AC315" t="str">
        <f t="shared" si="104"/>
        <v>Low</v>
      </c>
      <c r="AE315" t="str">
        <f>IF(ISNUMBER(MATCH("N/A",J315:N315,0)),"",IFERROR((5 * SUMPRODUCT(J144:N144,J315:N315) - PRODUCT(SUM(J144:N144),SUM(J315:N315))) / ((5 * SUM((J144^2)+(K144^2)+(L144^2)+(M144^2)+(N144^2))) - SUM(J144:N144)^2),""))</f>
        <v/>
      </c>
      <c r="AF315">
        <f>IFERROR(CORREL(J144:N144,J315:N315),"")</f>
        <v>-0.26409323746725843</v>
      </c>
      <c r="AZ315">
        <f t="shared" si="105"/>
        <v>1</v>
      </c>
      <c r="BA315" t="str">
        <f>IF(AZ315=1,IF(Q315="","",IF(Q315=N144,"Yes","No")),"")</f>
        <v>No</v>
      </c>
      <c r="BB315" t="str">
        <f t="shared" si="106"/>
        <v/>
      </c>
      <c r="BC315" t="str">
        <f>IF(AZ315=1,IF(S315="","",IF(S315=N144,"Yes","No")),"")</f>
        <v>No</v>
      </c>
      <c r="BD315" t="str">
        <f t="shared" si="107"/>
        <v/>
      </c>
      <c r="BE315" t="str">
        <f t="shared" si="108"/>
        <v/>
      </c>
      <c r="BF315" t="str">
        <f t="shared" si="109"/>
        <v>No</v>
      </c>
      <c r="BG315" t="str">
        <f t="shared" si="110"/>
        <v>No</v>
      </c>
      <c r="BH315" t="str">
        <f t="shared" si="111"/>
        <v>No</v>
      </c>
    </row>
    <row r="316" spans="1:60" x14ac:dyDescent="0.3">
      <c r="A316" s="1">
        <v>4</v>
      </c>
      <c r="B316" t="s">
        <v>818</v>
      </c>
      <c r="C316" t="s">
        <v>1551</v>
      </c>
      <c r="D316" t="s">
        <v>1552</v>
      </c>
      <c r="E316" t="s">
        <v>1553</v>
      </c>
      <c r="F316" t="s">
        <v>1554</v>
      </c>
      <c r="G316" t="s">
        <v>1555</v>
      </c>
      <c r="I316" t="str">
        <f t="shared" si="112"/>
        <v>N/A</v>
      </c>
      <c r="J316">
        <f t="shared" si="113"/>
        <v>-2.1499999999999998E-2</v>
      </c>
      <c r="K316">
        <f t="shared" si="114"/>
        <v>-1.4800000000000001E-2</v>
      </c>
      <c r="L316">
        <f t="shared" si="115"/>
        <v>-1.6799999999999999E-2</v>
      </c>
      <c r="M316">
        <f t="shared" si="116"/>
        <v>-3.2599999999999997E-2</v>
      </c>
      <c r="N316">
        <f t="shared" si="117"/>
        <v>-2.92E-2</v>
      </c>
      <c r="P316">
        <f t="shared" si="94"/>
        <v>-1.4800000000000001E-2</v>
      </c>
      <c r="Q316">
        <f>IFERROR(J144+MATCH(P316,J316:N316,0)-1,"")</f>
        <v>2013</v>
      </c>
      <c r="R316">
        <f t="shared" si="95"/>
        <v>-3.2599999999999997E-2</v>
      </c>
      <c r="S316">
        <f>IFERROR(J144+MATCH(R316,J316:N316,0)-1,"")</f>
        <v>2015</v>
      </c>
      <c r="T316">
        <f t="shared" si="96"/>
        <v>-2.298E-2</v>
      </c>
      <c r="U316">
        <f t="shared" si="97"/>
        <v>7.7221758591733717E-3</v>
      </c>
      <c r="V316">
        <f t="shared" si="98"/>
        <v>0.19165582693145639</v>
      </c>
      <c r="W316">
        <f t="shared" si="99"/>
        <v>1.0592869353373722</v>
      </c>
      <c r="X316">
        <f t="shared" si="100"/>
        <v>0.80029257461918846</v>
      </c>
      <c r="Y316">
        <f t="shared" si="101"/>
        <v>-1.2457628750544643</v>
      </c>
      <c r="Z316">
        <f t="shared" si="102"/>
        <v>-0.80547246183355192</v>
      </c>
      <c r="AA316">
        <f t="shared" si="103"/>
        <v>-1.2457628750544643</v>
      </c>
      <c r="AB316">
        <f>IFERROR(V144+MATCH(AA316,V316:Z316,0)-1,"")</f>
        <v>2015</v>
      </c>
      <c r="AC316" t="str">
        <f t="shared" si="104"/>
        <v>Low</v>
      </c>
      <c r="AE316">
        <f>IF(ISNUMBER(MATCH("N/A",J316:N316,0)),"",IFERROR((5 * SUMPRODUCT(J144:N144,J316:N316) - PRODUCT(SUM(J144:N144),SUM(J316:N316))) / ((5 * SUM((J144^2)+(K144^2)+(L144^2)+(M144^2)+(N144^2))) - SUM(J144:N144)^2),""))</f>
        <v>-3.319999999994252E-3</v>
      </c>
      <c r="AF316">
        <f>IFERROR(CORREL(J144:N144,J316:N316),"")</f>
        <v>-0.67978002723722419</v>
      </c>
      <c r="AZ316">
        <f t="shared" si="105"/>
        <v>1</v>
      </c>
      <c r="BA316" t="str">
        <f>IF(AZ316=1,IF(Q316="","",IF(Q316=N144,"Yes","No")),"")</f>
        <v>No</v>
      </c>
      <c r="BB316" t="str">
        <f t="shared" si="106"/>
        <v/>
      </c>
      <c r="BC316" t="str">
        <f>IF(AZ316=1,IF(S316="","",IF(S316=N144,"Yes","No")),"")</f>
        <v>No</v>
      </c>
      <c r="BD316" t="str">
        <f t="shared" si="107"/>
        <v/>
      </c>
      <c r="BE316" t="str">
        <f t="shared" si="108"/>
        <v>Decreasing</v>
      </c>
      <c r="BF316" t="str">
        <f t="shared" si="109"/>
        <v>No</v>
      </c>
      <c r="BG316" t="str">
        <f t="shared" si="110"/>
        <v>No</v>
      </c>
      <c r="BH316" t="str">
        <f t="shared" si="111"/>
        <v>No</v>
      </c>
    </row>
    <row r="317" spans="1:60" x14ac:dyDescent="0.3">
      <c r="A317" s="1">
        <v>5</v>
      </c>
      <c r="B317" t="s">
        <v>824</v>
      </c>
      <c r="C317" t="s">
        <v>1556</v>
      </c>
      <c r="D317" t="s">
        <v>1557</v>
      </c>
      <c r="E317" t="s">
        <v>1558</v>
      </c>
      <c r="F317" t="s">
        <v>1559</v>
      </c>
      <c r="G317" t="s">
        <v>1560</v>
      </c>
      <c r="I317" t="str">
        <f t="shared" si="112"/>
        <v>N/A</v>
      </c>
      <c r="J317">
        <f t="shared" si="113"/>
        <v>-180040000</v>
      </c>
      <c r="K317">
        <f t="shared" si="114"/>
        <v>-4150000.0000000005</v>
      </c>
      <c r="L317">
        <f t="shared" si="115"/>
        <v>-2650000</v>
      </c>
      <c r="M317">
        <f t="shared" si="116"/>
        <v>-29810000</v>
      </c>
      <c r="N317">
        <f t="shared" si="117"/>
        <v>-24780000</v>
      </c>
      <c r="P317">
        <f t="shared" si="94"/>
        <v>-2650000</v>
      </c>
      <c r="Q317">
        <f>IFERROR(J144+MATCH(P317,J317:N317,0)-1,"")</f>
        <v>2014</v>
      </c>
      <c r="R317">
        <f t="shared" si="95"/>
        <v>-180040000</v>
      </c>
      <c r="S317">
        <f>IFERROR(J144+MATCH(R317,J317:N317,0)-1,"")</f>
        <v>2012</v>
      </c>
      <c r="T317">
        <f t="shared" si="96"/>
        <v>-48286000</v>
      </c>
      <c r="U317">
        <f t="shared" si="97"/>
        <v>74638532.47485511</v>
      </c>
      <c r="V317">
        <f t="shared" si="98"/>
        <v>-1.765227632850183</v>
      </c>
      <c r="W317">
        <f t="shared" si="99"/>
        <v>0.59132995433516766</v>
      </c>
      <c r="X317">
        <f t="shared" si="100"/>
        <v>0.61142681248957109</v>
      </c>
      <c r="Y317">
        <f t="shared" si="101"/>
        <v>0.24753970084050567</v>
      </c>
      <c r="Z317">
        <f t="shared" si="102"/>
        <v>0.31493116518493863</v>
      </c>
      <c r="AA317">
        <f t="shared" si="103"/>
        <v>-1.765227632850183</v>
      </c>
      <c r="AB317">
        <f>IFERROR(V144+MATCH(AA317,V317:Z317,0)-1,"")</f>
        <v>2012</v>
      </c>
      <c r="AC317" t="str">
        <f t="shared" si="104"/>
        <v>Low</v>
      </c>
      <c r="AE317">
        <f>IF(ISNUMBER(MATCH("N/A",J317:N317,0)),"",IFERROR((5 * SUMPRODUCT(J144:N144,J317:N317) - PRODUCT(SUM(J144:N144),SUM(J317:N317))) / ((5 * SUM((J144^2)+(K144^2)+(L144^2)+(M144^2)+(N144^2))) - SUM(J144:N144)^2),""))</f>
        <v>28486000</v>
      </c>
      <c r="AF317">
        <f>IFERROR(CORREL(J144:N144,J317:N317),"")</f>
        <v>0.6034459577424276</v>
      </c>
      <c r="AZ317">
        <f t="shared" si="105"/>
        <v>1</v>
      </c>
      <c r="BA317" t="str">
        <f>IF(AZ317=1,IF(Q317="","",IF(Q317=N144,"Yes","No")),"")</f>
        <v>No</v>
      </c>
      <c r="BB317" t="str">
        <f t="shared" si="106"/>
        <v/>
      </c>
      <c r="BC317" t="str">
        <f>IF(AZ317=1,IF(S317="","",IF(S317=N144,"Yes","No")),"")</f>
        <v>No</v>
      </c>
      <c r="BD317" t="str">
        <f t="shared" si="107"/>
        <v/>
      </c>
      <c r="BE317" t="str">
        <f t="shared" si="108"/>
        <v>Increasing</v>
      </c>
      <c r="BF317" t="str">
        <f t="shared" si="109"/>
        <v>No</v>
      </c>
      <c r="BG317" t="str">
        <f t="shared" si="110"/>
        <v>No</v>
      </c>
      <c r="BH317" t="str">
        <f t="shared" si="111"/>
        <v>No</v>
      </c>
    </row>
    <row r="318" spans="1:60" x14ac:dyDescent="0.3">
      <c r="A318" s="1">
        <v>6</v>
      </c>
      <c r="B318" t="s">
        <v>830</v>
      </c>
      <c r="C318" t="s">
        <v>1561</v>
      </c>
      <c r="D318" t="s">
        <v>351</v>
      </c>
      <c r="E318" t="s">
        <v>1562</v>
      </c>
      <c r="F318" t="s">
        <v>1563</v>
      </c>
      <c r="G318" t="s">
        <v>1564</v>
      </c>
      <c r="I318" t="str">
        <f t="shared" si="112"/>
        <v>N/A</v>
      </c>
      <c r="J318">
        <f t="shared" si="113"/>
        <v>6400000</v>
      </c>
      <c r="K318">
        <f t="shared" si="114"/>
        <v>2190000</v>
      </c>
      <c r="L318">
        <f t="shared" si="115"/>
        <v>4930000</v>
      </c>
      <c r="M318">
        <f t="shared" si="116"/>
        <v>6640000</v>
      </c>
      <c r="N318">
        <f t="shared" si="117"/>
        <v>11580000</v>
      </c>
      <c r="P318">
        <f t="shared" si="94"/>
        <v>11580000</v>
      </c>
      <c r="Q318">
        <f>IFERROR(J144+MATCH(P318,J318:N318,0)-1,"")</f>
        <v>2016</v>
      </c>
      <c r="R318">
        <f t="shared" si="95"/>
        <v>2190000</v>
      </c>
      <c r="S318">
        <f>IFERROR(J144+MATCH(R318,J318:N318,0)-1,"")</f>
        <v>2013</v>
      </c>
      <c r="T318">
        <f t="shared" si="96"/>
        <v>6348000</v>
      </c>
      <c r="U318">
        <f t="shared" si="97"/>
        <v>3419118.3074003155</v>
      </c>
      <c r="V318">
        <f t="shared" si="98"/>
        <v>1.5208599213268394E-2</v>
      </c>
      <c r="W318">
        <f t="shared" si="99"/>
        <v>-1.2161029909378842</v>
      </c>
      <c r="X318">
        <f t="shared" si="100"/>
        <v>-0.41472680162335734</v>
      </c>
      <c r="Y318">
        <f t="shared" si="101"/>
        <v>8.5402134043737907E-2</v>
      </c>
      <c r="Z318">
        <f t="shared" si="102"/>
        <v>1.5302190593042353</v>
      </c>
      <c r="AA318">
        <f t="shared" si="103"/>
        <v>1.5302190593042353</v>
      </c>
      <c r="AB318">
        <f>IFERROR(V144+MATCH(AA318,V318:Z318,0)-1,"")</f>
        <v>2016</v>
      </c>
      <c r="AC318" t="str">
        <f t="shared" si="104"/>
        <v>High</v>
      </c>
      <c r="AE318">
        <f>IF(ISNUMBER(MATCH("N/A",J318:N318,0)),"",IFERROR((5 * SUMPRODUCT(J144:N144,J318:N318) - PRODUCT(SUM(J144:N144),SUM(J318:N318))) / ((5 * SUM((J144^2)+(K144^2)+(L144^2)+(M144^2)+(N144^2))) - SUM(J144:N144)^2),""))</f>
        <v>1481000</v>
      </c>
      <c r="AF318">
        <f>IFERROR(CORREL(J144:N144,J318:N318),"")</f>
        <v>0.68487440235290997</v>
      </c>
      <c r="AZ318">
        <f t="shared" si="105"/>
        <v>1</v>
      </c>
      <c r="BA318" t="str">
        <f>IF(AZ318=1,IF(Q318="","",IF(Q318=N144,"Yes","No")),"")</f>
        <v>Yes</v>
      </c>
      <c r="BB318">
        <f t="shared" si="106"/>
        <v>11580000</v>
      </c>
      <c r="BC318" t="str">
        <f>IF(AZ318=1,IF(S318="","",IF(S318=N144,"Yes","No")),"")</f>
        <v>No</v>
      </c>
      <c r="BD318" t="str">
        <f t="shared" si="107"/>
        <v/>
      </c>
      <c r="BE318" t="str">
        <f t="shared" si="108"/>
        <v>Increasing</v>
      </c>
      <c r="BF318" t="str">
        <f t="shared" si="109"/>
        <v>Yes</v>
      </c>
      <c r="BG318" t="str">
        <f t="shared" si="110"/>
        <v>No</v>
      </c>
      <c r="BH318" t="str">
        <f t="shared" si="111"/>
        <v>No</v>
      </c>
    </row>
    <row r="319" spans="1:60" x14ac:dyDescent="0.3">
      <c r="A319" s="1">
        <v>7</v>
      </c>
      <c r="B319" t="s">
        <v>836</v>
      </c>
      <c r="C319" t="s">
        <v>1565</v>
      </c>
      <c r="D319" t="s">
        <v>1566</v>
      </c>
      <c r="E319" t="s">
        <v>1567</v>
      </c>
      <c r="F319" t="s">
        <v>1568</v>
      </c>
      <c r="G319" t="s">
        <v>1569</v>
      </c>
      <c r="I319" t="str">
        <f t="shared" si="112"/>
        <v>N/A</v>
      </c>
      <c r="J319">
        <f t="shared" si="113"/>
        <v>4870000</v>
      </c>
      <c r="K319">
        <f t="shared" si="114"/>
        <v>-6890000</v>
      </c>
      <c r="L319">
        <f t="shared" si="115"/>
        <v>-9980000</v>
      </c>
      <c r="M319">
        <f t="shared" si="116"/>
        <v>-15530000</v>
      </c>
      <c r="N319">
        <f t="shared" si="117"/>
        <v>4770000</v>
      </c>
      <c r="P319">
        <f t="shared" si="94"/>
        <v>4870000</v>
      </c>
      <c r="Q319">
        <f>IFERROR(J144+MATCH(P319,J319:N319,0)-1,"")</f>
        <v>2012</v>
      </c>
      <c r="R319">
        <f t="shared" si="95"/>
        <v>-15530000</v>
      </c>
      <c r="S319">
        <f>IFERROR(J144+MATCH(R319,J319:N319,0)-1,"")</f>
        <v>2015</v>
      </c>
      <c r="T319">
        <f t="shared" si="96"/>
        <v>-4552000</v>
      </c>
      <c r="U319">
        <f t="shared" si="97"/>
        <v>9098347.1026335321</v>
      </c>
      <c r="V319">
        <f t="shared" si="98"/>
        <v>1.0355727137814721</v>
      </c>
      <c r="W319">
        <f t="shared" si="99"/>
        <v>-0.25696975215676943</v>
      </c>
      <c r="X319">
        <f t="shared" si="100"/>
        <v>-0.59659187968646044</v>
      </c>
      <c r="Y319">
        <f t="shared" si="101"/>
        <v>-1.2065927883562937</v>
      </c>
      <c r="Z319">
        <f t="shared" si="102"/>
        <v>1.0245817064180516</v>
      </c>
      <c r="AA319">
        <f t="shared" si="103"/>
        <v>-1.2065927883562937</v>
      </c>
      <c r="AB319">
        <f>IFERROR(V144+MATCH(AA319,V319:Z319,0)-1,"")</f>
        <v>2015</v>
      </c>
      <c r="AC319" t="str">
        <f t="shared" si="104"/>
        <v>Low</v>
      </c>
      <c r="AE319">
        <f>IF(ISNUMBER(MATCH("N/A",J319:N319,0)),"",IFERROR((5 * SUMPRODUCT(J144:N144,J319:N319) - PRODUCT(SUM(J144:N144),SUM(J319:N319))) / ((5 * SUM((J144^2)+(K144^2)+(L144^2)+(M144^2)+(N144^2))) - SUM(J144:N144)^2),""))</f>
        <v>-884000</v>
      </c>
      <c r="AF319">
        <f>IFERROR(CORREL(J144:N144,J319:N319),"")</f>
        <v>-0.15362424735256025</v>
      </c>
      <c r="AZ319">
        <f t="shared" si="105"/>
        <v>1</v>
      </c>
      <c r="BA319" t="str">
        <f>IF(AZ319=1,IF(Q319="","",IF(Q319=N144,"Yes","No")),"")</f>
        <v>No</v>
      </c>
      <c r="BB319" t="str">
        <f t="shared" si="106"/>
        <v/>
      </c>
      <c r="BC319" t="str">
        <f>IF(AZ319=1,IF(S319="","",IF(S319=N144,"Yes","No")),"")</f>
        <v>No</v>
      </c>
      <c r="BD319" t="str">
        <f t="shared" si="107"/>
        <v/>
      </c>
      <c r="BE319" t="str">
        <f t="shared" si="108"/>
        <v>Decreasing</v>
      </c>
      <c r="BF319" t="str">
        <f t="shared" si="109"/>
        <v>No</v>
      </c>
      <c r="BG319" t="str">
        <f t="shared" si="110"/>
        <v>No</v>
      </c>
      <c r="BH319" t="str">
        <f t="shared" si="111"/>
        <v>No</v>
      </c>
    </row>
    <row r="320" spans="1:60" x14ac:dyDescent="0.3">
      <c r="A320" s="1">
        <v>8</v>
      </c>
      <c r="B320" t="s">
        <v>840</v>
      </c>
      <c r="C320" t="s">
        <v>1570</v>
      </c>
      <c r="D320" t="s">
        <v>1571</v>
      </c>
      <c r="E320" t="s">
        <v>1572</v>
      </c>
      <c r="F320" t="s">
        <v>1573</v>
      </c>
      <c r="G320" t="s">
        <v>1574</v>
      </c>
      <c r="I320" t="str">
        <f t="shared" si="112"/>
        <v>N/A</v>
      </c>
      <c r="J320">
        <f t="shared" si="113"/>
        <v>-55860000</v>
      </c>
      <c r="K320">
        <f t="shared" si="114"/>
        <v>-39610000</v>
      </c>
      <c r="L320">
        <f t="shared" si="115"/>
        <v>-45830000</v>
      </c>
      <c r="M320">
        <f t="shared" si="116"/>
        <v>-61360000</v>
      </c>
      <c r="N320">
        <f t="shared" si="117"/>
        <v>-69400000</v>
      </c>
      <c r="P320">
        <f t="shared" si="94"/>
        <v>-39610000</v>
      </c>
      <c r="Q320">
        <f>IFERROR(J144+MATCH(P320,J320:N320,0)-1,"")</f>
        <v>2013</v>
      </c>
      <c r="R320">
        <f t="shared" si="95"/>
        <v>-69400000</v>
      </c>
      <c r="S320">
        <f>IFERROR(J144+MATCH(R320,J320:N320,0)-1,"")</f>
        <v>2016</v>
      </c>
      <c r="T320">
        <f t="shared" si="96"/>
        <v>-54412000</v>
      </c>
      <c r="U320">
        <f t="shared" si="97"/>
        <v>11913873.005870089</v>
      </c>
      <c r="V320">
        <f t="shared" si="98"/>
        <v>-0.12153898226769375</v>
      </c>
      <c r="W320">
        <f t="shared" si="99"/>
        <v>1.242417137794477</v>
      </c>
      <c r="X320">
        <f t="shared" si="100"/>
        <v>0.72033670291529539</v>
      </c>
      <c r="Y320">
        <f t="shared" si="101"/>
        <v>-0.58318566905796698</v>
      </c>
      <c r="Z320">
        <f t="shared" si="102"/>
        <v>-1.2580291893841118</v>
      </c>
      <c r="AA320">
        <f t="shared" si="103"/>
        <v>-1.2580291893841118</v>
      </c>
      <c r="AB320">
        <f>IFERROR(V144+MATCH(AA320,V320:Z320,0)-1,"")</f>
        <v>2016</v>
      </c>
      <c r="AC320" t="str">
        <f t="shared" si="104"/>
        <v>Low</v>
      </c>
      <c r="AE320">
        <f>IF(ISNUMBER(MATCH("N/A",J320:N320,0)),"",IFERROR((5 * SUMPRODUCT(J144:N144,J320:N320) - PRODUCT(SUM(J144:N144),SUM(J320:N320))) / ((5 * SUM((J144^2)+(K144^2)+(L144^2)+(M144^2)+(N144^2))) - SUM(J144:N144)^2),""))</f>
        <v>-4883000</v>
      </c>
      <c r="AF320">
        <f>IFERROR(CORREL(J144:N144,J320:N320),"")</f>
        <v>-0.64804290791894681</v>
      </c>
      <c r="AZ320">
        <f t="shared" si="105"/>
        <v>1</v>
      </c>
      <c r="BA320" t="str">
        <f>IF(AZ320=1,IF(Q320="","",IF(Q320=N144,"Yes","No")),"")</f>
        <v>No</v>
      </c>
      <c r="BB320" t="str">
        <f t="shared" si="106"/>
        <v/>
      </c>
      <c r="BC320" t="str">
        <f>IF(AZ320=1,IF(S320="","",IF(S320=N144,"Yes","No")),"")</f>
        <v>Yes</v>
      </c>
      <c r="BD320">
        <f t="shared" si="107"/>
        <v>-69400000</v>
      </c>
      <c r="BE320" t="str">
        <f t="shared" si="108"/>
        <v>Decreasing</v>
      </c>
      <c r="BF320" t="str">
        <f t="shared" si="109"/>
        <v>Yes</v>
      </c>
      <c r="BG320" t="str">
        <f t="shared" si="110"/>
        <v>No</v>
      </c>
      <c r="BH320" t="str">
        <f t="shared" si="111"/>
        <v>No</v>
      </c>
    </row>
    <row r="321" spans="1:60" x14ac:dyDescent="0.3">
      <c r="A321" s="1">
        <v>9</v>
      </c>
      <c r="B321" t="s">
        <v>843</v>
      </c>
      <c r="C321" t="s">
        <v>1575</v>
      </c>
      <c r="D321" t="s">
        <v>1576</v>
      </c>
      <c r="E321" t="s">
        <v>1436</v>
      </c>
      <c r="F321" t="s">
        <v>1577</v>
      </c>
      <c r="G321" t="s">
        <v>1578</v>
      </c>
      <c r="I321" t="str">
        <f t="shared" si="112"/>
        <v>N/A</v>
      </c>
      <c r="J321">
        <f t="shared" si="113"/>
        <v>60730000</v>
      </c>
      <c r="K321">
        <f t="shared" si="114"/>
        <v>32720000</v>
      </c>
      <c r="L321">
        <f t="shared" si="115"/>
        <v>35850000</v>
      </c>
      <c r="M321">
        <f t="shared" si="116"/>
        <v>45830000</v>
      </c>
      <c r="N321">
        <f t="shared" si="117"/>
        <v>74170000</v>
      </c>
      <c r="P321">
        <f t="shared" si="94"/>
        <v>74170000</v>
      </c>
      <c r="Q321">
        <f>IFERROR(J144+MATCH(P321,J321:N321,0)-1,"")</f>
        <v>2016</v>
      </c>
      <c r="R321">
        <f t="shared" si="95"/>
        <v>32720000</v>
      </c>
      <c r="S321">
        <f>IFERROR(J144+MATCH(R321,J321:N321,0)-1,"")</f>
        <v>2013</v>
      </c>
      <c r="T321">
        <f t="shared" si="96"/>
        <v>49860000</v>
      </c>
      <c r="U321">
        <f t="shared" si="97"/>
        <v>17431534.642710034</v>
      </c>
      <c r="V321">
        <f t="shared" si="98"/>
        <v>0.62358250279162286</v>
      </c>
      <c r="W321">
        <f t="shared" si="99"/>
        <v>-0.9832754459842149</v>
      </c>
      <c r="X321">
        <f t="shared" si="100"/>
        <v>-0.80371581086574384</v>
      </c>
      <c r="Y321">
        <f t="shared" si="101"/>
        <v>-0.231190201126977</v>
      </c>
      <c r="Z321">
        <f t="shared" si="102"/>
        <v>1.3945989551853128</v>
      </c>
      <c r="AA321">
        <f t="shared" si="103"/>
        <v>1.3945989551853128</v>
      </c>
      <c r="AB321">
        <f>IFERROR(V144+MATCH(AA321,V321:Z321,0)-1,"")</f>
        <v>2016</v>
      </c>
      <c r="AC321" t="str">
        <f t="shared" si="104"/>
        <v>High</v>
      </c>
      <c r="AE321">
        <f>IF(ISNUMBER(MATCH("N/A",J321:N321,0)),"",IFERROR((5 * SUMPRODUCT(J144:N144,J321:N321) - PRODUCT(SUM(J144:N144),SUM(J321:N321))) / ((5 * SUM((J144^2)+(K144^2)+(L144^2)+(M144^2)+(N144^2))) - SUM(J144:N144)^2),""))</f>
        <v>3999000</v>
      </c>
      <c r="AF321">
        <f>IFERROR(CORREL(J144:N144,J321:N321),"")</f>
        <v>0.36273192872039972</v>
      </c>
      <c r="AZ321">
        <f t="shared" si="105"/>
        <v>1</v>
      </c>
      <c r="BA321" t="str">
        <f>IF(AZ321=1,IF(Q321="","",IF(Q321=N144,"Yes","No")),"")</f>
        <v>Yes</v>
      </c>
      <c r="BB321">
        <f t="shared" si="106"/>
        <v>74170000</v>
      </c>
      <c r="BC321" t="str">
        <f>IF(AZ321=1,IF(S321="","",IF(S321=N144,"Yes","No")),"")</f>
        <v>No</v>
      </c>
      <c r="BD321" t="str">
        <f t="shared" si="107"/>
        <v/>
      </c>
      <c r="BE321" t="str">
        <f t="shared" si="108"/>
        <v>Increasing</v>
      </c>
      <c r="BF321" t="str">
        <f t="shared" si="109"/>
        <v>Yes</v>
      </c>
      <c r="BG321" t="str">
        <f t="shared" si="110"/>
        <v>No</v>
      </c>
      <c r="BH321" t="str">
        <f t="shared" si="111"/>
        <v>No</v>
      </c>
    </row>
    <row r="322" spans="1:60" x14ac:dyDescent="0.3">
      <c r="A322" s="1">
        <v>10</v>
      </c>
      <c r="B322" t="s">
        <v>846</v>
      </c>
      <c r="C322" t="s">
        <v>264</v>
      </c>
      <c r="D322" t="s">
        <v>264</v>
      </c>
      <c r="E322" t="s">
        <v>264</v>
      </c>
      <c r="F322" t="s">
        <v>264</v>
      </c>
      <c r="G322" t="s">
        <v>264</v>
      </c>
      <c r="I322" t="str">
        <f t="shared" si="112"/>
        <v>N/A</v>
      </c>
      <c r="J322" t="str">
        <f t="shared" si="113"/>
        <v>N/A</v>
      </c>
      <c r="K322" t="str">
        <f t="shared" si="114"/>
        <v>N/A</v>
      </c>
      <c r="L322" t="str">
        <f t="shared" si="115"/>
        <v>N/A</v>
      </c>
      <c r="M322" t="str">
        <f t="shared" si="116"/>
        <v>N/A</v>
      </c>
      <c r="N322" t="str">
        <f t="shared" si="117"/>
        <v>N/A</v>
      </c>
      <c r="P322">
        <f t="shared" si="94"/>
        <v>0</v>
      </c>
      <c r="Q322" t="str">
        <f>IFERROR(J144+MATCH(P322,J322:N322,0)-1,"")</f>
        <v/>
      </c>
      <c r="R322" t="str">
        <f t="shared" si="95"/>
        <v/>
      </c>
      <c r="S322" t="str">
        <f>IFERROR(J144+MATCH(R322,J322:N322,0)-1,"")</f>
        <v/>
      </c>
      <c r="T322" t="str">
        <f t="shared" si="96"/>
        <v/>
      </c>
      <c r="U322" t="str">
        <f t="shared" si="97"/>
        <v/>
      </c>
      <c r="V322" t="str">
        <f t="shared" si="98"/>
        <v/>
      </c>
      <c r="W322" t="str">
        <f t="shared" si="99"/>
        <v/>
      </c>
      <c r="X322" t="str">
        <f t="shared" si="100"/>
        <v/>
      </c>
      <c r="Y322" t="str">
        <f t="shared" si="101"/>
        <v/>
      </c>
      <c r="Z322" t="str">
        <f t="shared" si="102"/>
        <v/>
      </c>
      <c r="AA322">
        <f t="shared" si="103"/>
        <v>0</v>
      </c>
      <c r="AB322" t="str">
        <f>IFERROR(V144+MATCH(AA322,V322:Z322,0)-1,"")</f>
        <v/>
      </c>
      <c r="AC322" t="str">
        <f t="shared" si="104"/>
        <v/>
      </c>
      <c r="AE322" t="str">
        <f>IF(ISNUMBER(MATCH("N/A",J322:N322,0)),"",IFERROR((5 * SUMPRODUCT(J144:N144,J322:N322) - PRODUCT(SUM(J144:N144),SUM(J322:N322))) / ((5 * SUM((J144^2)+(K144^2)+(L144^2)+(M144^2)+(N144^2))) - SUM(J144:N144)^2),""))</f>
        <v/>
      </c>
      <c r="AF322" t="str">
        <f>IFERROR(CORREL(J144:N144,J322:N322),"")</f>
        <v/>
      </c>
      <c r="AZ322">
        <f t="shared" si="105"/>
        <v>0</v>
      </c>
      <c r="BA322" t="str">
        <f>IF(AZ322=1,IF(Q322="","",IF(Q322=N144,"Yes","No")),"")</f>
        <v/>
      </c>
      <c r="BB322" t="str">
        <f t="shared" si="106"/>
        <v/>
      </c>
      <c r="BC322" t="str">
        <f>IF(AZ322=1,IF(S322="","",IF(S322=N144,"Yes","No")),"")</f>
        <v/>
      </c>
      <c r="BD322" t="str">
        <f t="shared" si="107"/>
        <v/>
      </c>
      <c r="BE322" t="str">
        <f t="shared" si="108"/>
        <v/>
      </c>
      <c r="BF322" t="str">
        <f t="shared" si="109"/>
        <v>No</v>
      </c>
      <c r="BG322" t="str">
        <f t="shared" si="110"/>
        <v>No</v>
      </c>
      <c r="BH322" t="str">
        <f t="shared" si="111"/>
        <v/>
      </c>
    </row>
    <row r="323" spans="1:60" x14ac:dyDescent="0.3">
      <c r="A323" s="1">
        <v>11</v>
      </c>
      <c r="B323" t="s">
        <v>849</v>
      </c>
      <c r="C323" t="s">
        <v>264</v>
      </c>
      <c r="D323" t="s">
        <v>264</v>
      </c>
      <c r="E323" t="s">
        <v>264</v>
      </c>
      <c r="F323" t="s">
        <v>264</v>
      </c>
      <c r="G323" t="s">
        <v>264</v>
      </c>
      <c r="I323" t="str">
        <f t="shared" si="112"/>
        <v>N/A</v>
      </c>
      <c r="J323" t="str">
        <f t="shared" si="113"/>
        <v>N/A</v>
      </c>
      <c r="K323" t="str">
        <f t="shared" si="114"/>
        <v>N/A</v>
      </c>
      <c r="L323" t="str">
        <f t="shared" si="115"/>
        <v>N/A</v>
      </c>
      <c r="M323" t="str">
        <f t="shared" si="116"/>
        <v>N/A</v>
      </c>
      <c r="N323" t="str">
        <f t="shared" si="117"/>
        <v>N/A</v>
      </c>
      <c r="P323">
        <f t="shared" si="94"/>
        <v>0</v>
      </c>
      <c r="Q323" t="str">
        <f>IFERROR(J144+MATCH(P323,J323:N323,0)-1,"")</f>
        <v/>
      </c>
      <c r="R323" t="str">
        <f t="shared" si="95"/>
        <v/>
      </c>
      <c r="S323" t="str">
        <f>IFERROR(J144+MATCH(R323,J323:N323,0)-1,"")</f>
        <v/>
      </c>
      <c r="T323" t="str">
        <f t="shared" si="96"/>
        <v/>
      </c>
      <c r="U323" t="str">
        <f t="shared" si="97"/>
        <v/>
      </c>
      <c r="V323" t="str">
        <f t="shared" si="98"/>
        <v/>
      </c>
      <c r="W323" t="str">
        <f t="shared" si="99"/>
        <v/>
      </c>
      <c r="X323" t="str">
        <f t="shared" si="100"/>
        <v/>
      </c>
      <c r="Y323" t="str">
        <f t="shared" si="101"/>
        <v/>
      </c>
      <c r="Z323" t="str">
        <f t="shared" si="102"/>
        <v/>
      </c>
      <c r="AA323">
        <f t="shared" si="103"/>
        <v>0</v>
      </c>
      <c r="AB323" t="str">
        <f>IFERROR(V144+MATCH(AA323,V323:Z323,0)-1,"")</f>
        <v/>
      </c>
      <c r="AC323" t="str">
        <f t="shared" si="104"/>
        <v/>
      </c>
      <c r="AE323" t="str">
        <f>IF(ISNUMBER(MATCH("N/A",J323:N323,0)),"",IFERROR((5 * SUMPRODUCT(J144:N144,J323:N323) - PRODUCT(SUM(J144:N144),SUM(J323:N323))) / ((5 * SUM((J144^2)+(K144^2)+(L144^2)+(M144^2)+(N144^2))) - SUM(J144:N144)^2),""))</f>
        <v/>
      </c>
      <c r="AF323" t="str">
        <f>IFERROR(CORREL(J144:N144,J323:N323),"")</f>
        <v/>
      </c>
      <c r="AZ323">
        <f t="shared" si="105"/>
        <v>0</v>
      </c>
      <c r="BA323" t="str">
        <f>IF(AZ323=1,IF(Q323="","",IF(Q323=N144,"Yes","No")),"")</f>
        <v/>
      </c>
      <c r="BB323" t="str">
        <f t="shared" si="106"/>
        <v/>
      </c>
      <c r="BC323" t="str">
        <f>IF(AZ323=1,IF(S323="","",IF(S323=N144,"Yes","No")),"")</f>
        <v/>
      </c>
      <c r="BD323" t="str">
        <f t="shared" si="107"/>
        <v/>
      </c>
      <c r="BE323" t="str">
        <f t="shared" si="108"/>
        <v/>
      </c>
      <c r="BF323" t="str">
        <f t="shared" si="109"/>
        <v>No</v>
      </c>
      <c r="BG323" t="str">
        <f t="shared" si="110"/>
        <v>No</v>
      </c>
      <c r="BH323" t="str">
        <f t="shared" si="111"/>
        <v/>
      </c>
    </row>
    <row r="324" spans="1:60" x14ac:dyDescent="0.3">
      <c r="A324" s="1">
        <v>12</v>
      </c>
      <c r="B324" t="s">
        <v>852</v>
      </c>
      <c r="C324" t="s">
        <v>1579</v>
      </c>
      <c r="D324" t="s">
        <v>1580</v>
      </c>
      <c r="E324" t="s">
        <v>1581</v>
      </c>
      <c r="F324" t="s">
        <v>1582</v>
      </c>
      <c r="G324" t="s">
        <v>1583</v>
      </c>
      <c r="I324" t="str">
        <f t="shared" si="112"/>
        <v>N/A</v>
      </c>
      <c r="J324">
        <f t="shared" si="113"/>
        <v>-213270000</v>
      </c>
      <c r="K324">
        <f t="shared" si="114"/>
        <v>-42880000</v>
      </c>
      <c r="L324">
        <f t="shared" si="115"/>
        <v>-51600000</v>
      </c>
      <c r="M324">
        <f t="shared" si="116"/>
        <v>-125640000</v>
      </c>
      <c r="N324">
        <f t="shared" si="117"/>
        <v>-87170000</v>
      </c>
      <c r="P324">
        <f t="shared" si="94"/>
        <v>-42880000</v>
      </c>
      <c r="Q324">
        <f>IFERROR(J144+MATCH(P324,J324:N324,0)-1,"")</f>
        <v>2013</v>
      </c>
      <c r="R324">
        <f t="shared" si="95"/>
        <v>-213270000</v>
      </c>
      <c r="S324">
        <f>IFERROR(J144+MATCH(R324,J324:N324,0)-1,"")</f>
        <v>2012</v>
      </c>
      <c r="T324">
        <f t="shared" si="96"/>
        <v>-104112000</v>
      </c>
      <c r="U324">
        <f t="shared" si="97"/>
        <v>69232981.80780603</v>
      </c>
      <c r="V324">
        <f t="shared" si="98"/>
        <v>-1.5766762769661962</v>
      </c>
      <c r="W324">
        <f t="shared" si="99"/>
        <v>0.88443395620288134</v>
      </c>
      <c r="X324">
        <f t="shared" si="100"/>
        <v>0.75848242598846527</v>
      </c>
      <c r="Y324">
        <f t="shared" si="101"/>
        <v>-0.31095006220825105</v>
      </c>
      <c r="Z324">
        <f t="shared" si="102"/>
        <v>0.24470995698310061</v>
      </c>
      <c r="AA324">
        <f t="shared" si="103"/>
        <v>-1.5766762769661962</v>
      </c>
      <c r="AB324">
        <f>IFERROR(V144+MATCH(AA324,V324:Z324,0)-1,"")</f>
        <v>2012</v>
      </c>
      <c r="AC324" t="str">
        <f t="shared" si="104"/>
        <v>Low</v>
      </c>
      <c r="AE324">
        <f>IF(ISNUMBER(MATCH("N/A",J324:N324,0)),"",IFERROR((5 * SUMPRODUCT(J144:N144,J324:N324) - PRODUCT(SUM(J144:N144),SUM(J324:N324))) / ((5 * SUM((J144^2)+(K144^2)+(L144^2)+(M144^2)+(N144^2))) - SUM(J144:N144)^2),""))</f>
        <v>16944000</v>
      </c>
      <c r="AF324">
        <f>IFERROR(CORREL(J144:N144,J324:N324),"")</f>
        <v>0.38696609097841633</v>
      </c>
      <c r="AZ324">
        <f t="shared" si="105"/>
        <v>1</v>
      </c>
      <c r="BA324" t="str">
        <f>IF(AZ324=1,IF(Q324="","",IF(Q324=N144,"Yes","No")),"")</f>
        <v>No</v>
      </c>
      <c r="BB324" t="str">
        <f t="shared" si="106"/>
        <v/>
      </c>
      <c r="BC324" t="str">
        <f>IF(AZ324=1,IF(S324="","",IF(S324=N144,"Yes","No")),"")</f>
        <v>No</v>
      </c>
      <c r="BD324" t="str">
        <f t="shared" si="107"/>
        <v/>
      </c>
      <c r="BE324" t="str">
        <f t="shared" si="108"/>
        <v>Increasing</v>
      </c>
      <c r="BF324" t="str">
        <f t="shared" si="109"/>
        <v>No</v>
      </c>
      <c r="BG324" t="str">
        <f t="shared" si="110"/>
        <v>No</v>
      </c>
      <c r="BH324" t="str">
        <f t="shared" si="111"/>
        <v>No</v>
      </c>
    </row>
    <row r="325" spans="1:60" x14ac:dyDescent="0.3">
      <c r="A325" s="1">
        <v>13</v>
      </c>
      <c r="B325" t="s">
        <v>858</v>
      </c>
      <c r="C325" t="s">
        <v>264</v>
      </c>
      <c r="D325" t="s">
        <v>1584</v>
      </c>
      <c r="E325" t="s">
        <v>1585</v>
      </c>
      <c r="F325" t="s">
        <v>1586</v>
      </c>
      <c r="G325" t="s">
        <v>1587</v>
      </c>
      <c r="I325" t="str">
        <f t="shared" si="112"/>
        <v>N/A</v>
      </c>
      <c r="J325" t="str">
        <f t="shared" si="113"/>
        <v>N/A</v>
      </c>
      <c r="K325">
        <f t="shared" si="114"/>
        <v>0.79900000000000004</v>
      </c>
      <c r="L325">
        <f t="shared" si="115"/>
        <v>-0.2034</v>
      </c>
      <c r="M325">
        <f t="shared" si="116"/>
        <v>-1.4350000000000001</v>
      </c>
      <c r="N325">
        <f t="shared" si="117"/>
        <v>0.30620000000000003</v>
      </c>
      <c r="P325">
        <f t="shared" si="94"/>
        <v>0.79900000000000004</v>
      </c>
      <c r="Q325">
        <f>IFERROR(J144+MATCH(P325,J325:N325,0)-1,"")</f>
        <v>2013</v>
      </c>
      <c r="R325">
        <f t="shared" si="95"/>
        <v>-1.4350000000000001</v>
      </c>
      <c r="S325">
        <f>IFERROR(J144+MATCH(R325,J325:N325,0)-1,"")</f>
        <v>2015</v>
      </c>
      <c r="T325">
        <f t="shared" si="96"/>
        <v>-0.1333</v>
      </c>
      <c r="U325">
        <f t="shared" si="97"/>
        <v>0.95945825686512631</v>
      </c>
      <c r="V325" t="str">
        <f t="shared" si="98"/>
        <v/>
      </c>
      <c r="W325">
        <f t="shared" si="99"/>
        <v>0.97169417567590544</v>
      </c>
      <c r="X325">
        <f t="shared" si="100"/>
        <v>-7.3062063407573707E-2</v>
      </c>
      <c r="Y325">
        <f t="shared" si="101"/>
        <v>-1.3567031089534765</v>
      </c>
      <c r="Z325">
        <f t="shared" si="102"/>
        <v>0.45807099668514473</v>
      </c>
      <c r="AA325">
        <f t="shared" si="103"/>
        <v>-1.3567031089534765</v>
      </c>
      <c r="AB325">
        <f>IFERROR(V144+MATCH(AA325,V325:Z325,0)-1,"")</f>
        <v>2015</v>
      </c>
      <c r="AC325" t="str">
        <f t="shared" si="104"/>
        <v>Low</v>
      </c>
      <c r="AE325" t="str">
        <f>IF(ISNUMBER(MATCH("N/A",J325:N325,0)),"",IFERROR((5 * SUMPRODUCT(J144:N144,J325:N325) - PRODUCT(SUM(J144:N144),SUM(J325:N325))) / ((5 * SUM((J144^2)+(K144^2)+(L144^2)+(M144^2)+(N144^2))) - SUM(J144:N144)^2),""))</f>
        <v/>
      </c>
      <c r="AF325">
        <f>IFERROR(CORREL(J144:N144,J325:N325),"")</f>
        <v>-0.36464274824265125</v>
      </c>
      <c r="AZ325">
        <f t="shared" si="105"/>
        <v>1</v>
      </c>
      <c r="BA325" t="str">
        <f>IF(AZ325=1,IF(Q325="","",IF(Q325=N144,"Yes","No")),"")</f>
        <v>No</v>
      </c>
      <c r="BB325" t="str">
        <f t="shared" si="106"/>
        <v/>
      </c>
      <c r="BC325" t="str">
        <f>IF(AZ325=1,IF(S325="","",IF(S325=N144,"Yes","No")),"")</f>
        <v>No</v>
      </c>
      <c r="BD325" t="str">
        <f t="shared" si="107"/>
        <v/>
      </c>
      <c r="BE325" t="str">
        <f t="shared" si="108"/>
        <v/>
      </c>
      <c r="BF325" t="str">
        <f t="shared" si="109"/>
        <v>No</v>
      </c>
      <c r="BG325" t="str">
        <f t="shared" si="110"/>
        <v>No</v>
      </c>
      <c r="BH325" t="str">
        <f t="shared" si="111"/>
        <v>No</v>
      </c>
    </row>
    <row r="326" spans="1:60" x14ac:dyDescent="0.3">
      <c r="A326" s="1">
        <v>14</v>
      </c>
      <c r="B326" t="s">
        <v>863</v>
      </c>
      <c r="C326" t="s">
        <v>1588</v>
      </c>
      <c r="D326" t="s">
        <v>1589</v>
      </c>
      <c r="E326" t="s">
        <v>1590</v>
      </c>
      <c r="F326" t="s">
        <v>1591</v>
      </c>
      <c r="G326" t="s">
        <v>1592</v>
      </c>
      <c r="I326" t="str">
        <f t="shared" si="112"/>
        <v>N/A</v>
      </c>
      <c r="J326">
        <f t="shared" si="113"/>
        <v>-0.1032</v>
      </c>
      <c r="K326">
        <f t="shared" si="114"/>
        <v>-1.8600000000000002E-2</v>
      </c>
      <c r="L326">
        <f t="shared" si="115"/>
        <v>-1.9699999999999999E-2</v>
      </c>
      <c r="M326">
        <f t="shared" si="116"/>
        <v>-4.7100000000000003E-2</v>
      </c>
      <c r="N326">
        <f t="shared" si="117"/>
        <v>-3.2300000000000002E-2</v>
      </c>
      <c r="P326">
        <f t="shared" si="94"/>
        <v>-1.8600000000000002E-2</v>
      </c>
      <c r="Q326">
        <f>IFERROR(J144+MATCH(P326,J326:N326,0)-1,"")</f>
        <v>2013</v>
      </c>
      <c r="R326">
        <f t="shared" si="95"/>
        <v>-0.1032</v>
      </c>
      <c r="S326">
        <f>IFERROR(J144+MATCH(R326,J326:N326,0)-1,"")</f>
        <v>2012</v>
      </c>
      <c r="T326">
        <f t="shared" si="96"/>
        <v>-4.4180000000000004E-2</v>
      </c>
      <c r="U326">
        <f t="shared" si="97"/>
        <v>3.495221023054193E-2</v>
      </c>
      <c r="V326">
        <f t="shared" si="98"/>
        <v>-1.6885913540433892</v>
      </c>
      <c r="W326">
        <f t="shared" si="99"/>
        <v>0.73185643572399017</v>
      </c>
      <c r="X326">
        <f t="shared" si="100"/>
        <v>0.70038489235822055</v>
      </c>
      <c r="Y326">
        <f t="shared" si="101"/>
        <v>-8.35426423891341E-2</v>
      </c>
      <c r="Z326">
        <f t="shared" si="102"/>
        <v>0.3398926683503129</v>
      </c>
      <c r="AA326">
        <f t="shared" si="103"/>
        <v>-1.6885913540433892</v>
      </c>
      <c r="AB326">
        <f>IFERROR(V144+MATCH(AA326,V326:Z326,0)-1,"")</f>
        <v>2012</v>
      </c>
      <c r="AC326" t="str">
        <f t="shared" si="104"/>
        <v>Low</v>
      </c>
      <c r="AE326">
        <f>IF(ISNUMBER(MATCH("N/A",J326:N326,0)),"",IFERROR((5 * SUMPRODUCT(J144:N144,J326:N326) - PRODUCT(SUM(J144:N144),SUM(J326:N326))) / ((5 * SUM((J144^2)+(K144^2)+(L144^2)+(M144^2)+(N144^2))) - SUM(J144:N144)^2),""))</f>
        <v>1.1330000000007202E-2</v>
      </c>
      <c r="AF326">
        <f>IFERROR(CORREL(J144:N144,J326:N326),"")</f>
        <v>0.51253705636045854</v>
      </c>
      <c r="AZ326">
        <f t="shared" si="105"/>
        <v>1</v>
      </c>
      <c r="BA326" t="str">
        <f>IF(AZ326=1,IF(Q326="","",IF(Q326=N144,"Yes","No")),"")</f>
        <v>No</v>
      </c>
      <c r="BB326" t="str">
        <f t="shared" si="106"/>
        <v/>
      </c>
      <c r="BC326" t="str">
        <f>IF(AZ326=1,IF(S326="","",IF(S326=N144,"Yes","No")),"")</f>
        <v>No</v>
      </c>
      <c r="BD326" t="str">
        <f t="shared" si="107"/>
        <v/>
      </c>
      <c r="BE326" t="str">
        <f t="shared" si="108"/>
        <v>Increasing</v>
      </c>
      <c r="BF326" t="str">
        <f t="shared" si="109"/>
        <v>No</v>
      </c>
      <c r="BG326" t="str">
        <f t="shared" si="110"/>
        <v>No</v>
      </c>
      <c r="BH326" t="str">
        <f t="shared" si="111"/>
        <v>No</v>
      </c>
    </row>
    <row r="327" spans="1:60" x14ac:dyDescent="0.3">
      <c r="I327" t="str">
        <f t="shared" si="112"/>
        <v>N/A</v>
      </c>
      <c r="J327" t="str">
        <f t="shared" si="113"/>
        <v>N/A</v>
      </c>
      <c r="K327" t="str">
        <f t="shared" si="114"/>
        <v>N/A</v>
      </c>
      <c r="L327" t="str">
        <f t="shared" si="115"/>
        <v>N/A</v>
      </c>
      <c r="M327" t="str">
        <f t="shared" si="116"/>
        <v>N/A</v>
      </c>
      <c r="N327" t="str">
        <f t="shared" si="117"/>
        <v>N/A</v>
      </c>
      <c r="P327">
        <f t="shared" si="94"/>
        <v>0</v>
      </c>
      <c r="Q327" t="str">
        <f>IFERROR(J144+MATCH(P327,J327:N327,0)-1,"")</f>
        <v/>
      </c>
      <c r="R327" t="str">
        <f t="shared" si="95"/>
        <v/>
      </c>
      <c r="S327" t="str">
        <f>IFERROR(J144+MATCH(R327,J327:N327,0)-1,"")</f>
        <v/>
      </c>
      <c r="T327" t="str">
        <f t="shared" si="96"/>
        <v/>
      </c>
      <c r="U327" t="str">
        <f t="shared" si="97"/>
        <v/>
      </c>
      <c r="V327" t="str">
        <f t="shared" si="98"/>
        <v/>
      </c>
      <c r="W327" t="str">
        <f t="shared" si="99"/>
        <v/>
      </c>
      <c r="X327" t="str">
        <f t="shared" si="100"/>
        <v/>
      </c>
      <c r="Y327" t="str">
        <f t="shared" si="101"/>
        <v/>
      </c>
      <c r="Z327" t="str">
        <f t="shared" si="102"/>
        <v/>
      </c>
      <c r="AA327">
        <f t="shared" si="103"/>
        <v>0</v>
      </c>
      <c r="AB327" t="str">
        <f>IFERROR(V144+MATCH(AA327,V327:Z327,0)-1,"")</f>
        <v/>
      </c>
      <c r="AC327" t="str">
        <f t="shared" si="104"/>
        <v/>
      </c>
      <c r="AE327" t="str">
        <f>IF(ISNUMBER(MATCH("N/A",J327:N327,0)),"",IFERROR((5 * SUMPRODUCT(J144:N144,J327:N327) - PRODUCT(SUM(J144:N144),SUM(J327:N327))) / ((5 * SUM((J144^2)+(K144^2)+(L144^2)+(M144^2)+(N144^2))) - SUM(J144:N144)^2),""))</f>
        <v/>
      </c>
      <c r="AF327" t="str">
        <f>IFERROR(CORREL(J144:N144,J327:N327),"")</f>
        <v/>
      </c>
      <c r="AZ327">
        <f t="shared" si="105"/>
        <v>0</v>
      </c>
      <c r="BA327" t="str">
        <f>IF(AZ327=1,IF(Q327="","",IF(Q327=N144,"Yes","No")),"")</f>
        <v/>
      </c>
      <c r="BB327" t="str">
        <f t="shared" si="106"/>
        <v/>
      </c>
      <c r="BC327" t="str">
        <f>IF(AZ327=1,IF(S327="","",IF(S327=N144,"Yes","No")),"")</f>
        <v/>
      </c>
      <c r="BD327" t="str">
        <f t="shared" si="107"/>
        <v/>
      </c>
      <c r="BE327" t="str">
        <f t="shared" si="108"/>
        <v/>
      </c>
      <c r="BF327" t="str">
        <f t="shared" si="109"/>
        <v>No</v>
      </c>
      <c r="BG327" t="str">
        <f t="shared" si="110"/>
        <v>No</v>
      </c>
      <c r="BH327" t="str">
        <f t="shared" si="111"/>
        <v/>
      </c>
    </row>
    <row r="328" spans="1:60" x14ac:dyDescent="0.3">
      <c r="B328" s="1" t="s">
        <v>316</v>
      </c>
      <c r="C328" s="1" t="s">
        <v>252</v>
      </c>
      <c r="D328" s="1" t="s">
        <v>253</v>
      </c>
      <c r="E328" s="1" t="s">
        <v>254</v>
      </c>
      <c r="F328" s="1" t="s">
        <v>255</v>
      </c>
      <c r="G328" s="1" t="s">
        <v>256</v>
      </c>
      <c r="H328" s="1" t="s">
        <v>257</v>
      </c>
      <c r="P328">
        <f t="shared" si="94"/>
        <v>0</v>
      </c>
      <c r="Q328" t="str">
        <f>IFERROR(J144+MATCH(P328,J328:N328,0)-1,"")</f>
        <v/>
      </c>
      <c r="R328" t="str">
        <f t="shared" si="95"/>
        <v/>
      </c>
      <c r="S328" t="str">
        <f>IFERROR(J144+MATCH(R328,J328:N328,0)-1,"")</f>
        <v/>
      </c>
      <c r="T328" t="str">
        <f t="shared" si="96"/>
        <v/>
      </c>
      <c r="U328" t="str">
        <f t="shared" si="97"/>
        <v/>
      </c>
      <c r="V328" t="str">
        <f t="shared" si="98"/>
        <v/>
      </c>
      <c r="W328" t="str">
        <f t="shared" si="99"/>
        <v/>
      </c>
      <c r="X328" t="str">
        <f t="shared" si="100"/>
        <v/>
      </c>
      <c r="Y328" t="str">
        <f t="shared" si="101"/>
        <v/>
      </c>
      <c r="Z328" t="str">
        <f t="shared" si="102"/>
        <v/>
      </c>
      <c r="AA328">
        <f t="shared" si="103"/>
        <v>0</v>
      </c>
      <c r="AB328" t="str">
        <f>IFERROR(V144+MATCH(AA328,V328:Z328,0)-1,"")</f>
        <v/>
      </c>
      <c r="AC328" t="str">
        <f t="shared" si="104"/>
        <v/>
      </c>
      <c r="AE328">
        <f>IF(ISNUMBER(MATCH("N/A",J328:N328,0)),"",IFERROR((5 * SUMPRODUCT(J144:N144,J328:N328) - PRODUCT(SUM(J144:N144),SUM(J328:N328))) / ((5 * SUM((J144^2)+(K144^2)+(L144^2)+(M144^2)+(N144^2))) - SUM(J144:N144)^2),""))</f>
        <v>0</v>
      </c>
      <c r="AF328" t="str">
        <f>IFERROR(CORREL(J144:N144,J328:N328),"")</f>
        <v/>
      </c>
      <c r="AZ328">
        <f t="shared" si="105"/>
        <v>0</v>
      </c>
      <c r="BA328" t="str">
        <f>IF(AZ328=1,IF(Q328="","",IF(Q328=N144,"Yes","No")),"")</f>
        <v/>
      </c>
      <c r="BB328" t="str">
        <f t="shared" si="106"/>
        <v/>
      </c>
      <c r="BC328" t="str">
        <f>IF(AZ328=1,IF(S328="","",IF(S328=N144,"Yes","No")),"")</f>
        <v/>
      </c>
      <c r="BD328" t="str">
        <f t="shared" si="107"/>
        <v/>
      </c>
      <c r="BE328" t="str">
        <f t="shared" si="108"/>
        <v/>
      </c>
      <c r="BF328" t="str">
        <f t="shared" si="109"/>
        <v>No</v>
      </c>
      <c r="BG328" t="str">
        <f t="shared" si="110"/>
        <v>No</v>
      </c>
      <c r="BH328" t="str">
        <f t="shared" si="111"/>
        <v/>
      </c>
    </row>
    <row r="329" spans="1:60" x14ac:dyDescent="0.3">
      <c r="A329" s="1">
        <v>0</v>
      </c>
      <c r="B329" t="s">
        <v>868</v>
      </c>
      <c r="C329" t="s">
        <v>1593</v>
      </c>
      <c r="D329" t="s">
        <v>1594</v>
      </c>
      <c r="E329" t="s">
        <v>1595</v>
      </c>
      <c r="F329" t="s">
        <v>1596</v>
      </c>
      <c r="G329" t="s">
        <v>1597</v>
      </c>
      <c r="I329" t="str">
        <f t="shared" ref="I329:I360" si="118">IF(AND(K329&gt; J329, L329&gt; K329, M329&gt; L329, N329&gt; M329), "pos_trend", IF(AND(K329&lt; J329, L329&lt; K329, M329&lt; L329, N329&lt; M329), "neg_trend", "N/A"))</f>
        <v>neg_trend</v>
      </c>
      <c r="J329">
        <f t="shared" ref="J329:J360" si="119">IFERROR(IF(TRIM(C329)="-", "N/A", IF(RIGHT(C329,1)=")",IF(RIGHT(C329,2)="T)",-1000000000000*VALUE(MID(C329,2,LEN(C329)-3)),IF(RIGHT(C329,2)="M)",-1000000*VALUE(MID(C329,2,LEN(C329)-3)),IF(RIGHT(C329,2)="B)",-1000000000*VALUE(MID(C329,2,LEN(C329)-3)),IF(RIGHT(C329,2)="k)",-1000*VALUE(MID(C329,2,LEN(C329)-3)),VALUE(SUBSTITUTE(C329,",","")))))),IF(RIGHT(C329,1)="T",1000000000000*VALUE(LEFT(C329,LEN(C329)-1)),IF(RIGHT(C329,1)="M",1000000*VALUE(LEFT(C329,LEN(C329)-1)),IF(RIGHT(C329,1)="B",1000000000*VALUE(LEFT(C329,LEN(C329)-1)),IF(RIGHT(C329,1)="%",0.01*VALUE(LEFT(C329,LEN(C329)-1)),IF(RIGHT(C329,1)="k",1000*VALUE(LEFT(C329,LEN(C329)-1)),VALUE(SUBSTITUTE(C329,",",""))))))))),"N/A")</f>
        <v>-3220000</v>
      </c>
      <c r="K329">
        <f t="shared" ref="K329:K360" si="120">IFERROR(IF(TRIM(D329)="-", "N/A", IF(RIGHT(D329,1)=")",IF(RIGHT(D329,2)="T)",-1000000000000*VALUE(MID(D329,2,LEN(D329)-3)),IF(RIGHT(D329,2)="M)",-1000000*VALUE(MID(D329,2,LEN(D329)-3)),IF(RIGHT(D329,2)="B)",-1000000000*VALUE(MID(D329,2,LEN(D329)-3)),IF(RIGHT(D329,2)="k)",-1000*VALUE(MID(D329,2,LEN(D329)-3)),VALUE(SUBSTITUTE(D329,",","")))))),IF(RIGHT(D329,1)="T",1000000000000*VALUE(LEFT(D329,LEN(D329)-1)),IF(RIGHT(D329,1)="M",1000000*VALUE(LEFT(D329,LEN(D329)-1)),IF(RIGHT(D329,1)="B",1000000000*VALUE(LEFT(D329,LEN(D329)-1)),IF(RIGHT(D329,1)="%",0.01*VALUE(LEFT(D329,LEN(D329)-1)),IF(RIGHT(D329,1)="k",1000*VALUE(LEFT(D329,LEN(D329)-1)),VALUE(SUBSTITUTE(D329,",",""))))))))),"N/A")</f>
        <v>-3230000</v>
      </c>
      <c r="L329">
        <f t="shared" ref="L329:L360" si="121">IFERROR(IF(TRIM(E329)="-", "N/A", IF(RIGHT(E329,1)=")",IF(RIGHT(E329,2)="T)",-1000000000000*VALUE(MID(E329,2,LEN(E329)-3)),IF(RIGHT(E329,2)="M)",-1000000*VALUE(MID(E329,2,LEN(E329)-3)),IF(RIGHT(E329,2)="B)",-1000000000*VALUE(MID(E329,2,LEN(E329)-3)),IF(RIGHT(E329,2)="k)",-1000*VALUE(MID(E329,2,LEN(E329)-3)),VALUE(SUBSTITUTE(E329,",","")))))),IF(RIGHT(E329,1)="T",1000000000000*VALUE(LEFT(E329,LEN(E329)-1)),IF(RIGHT(E329,1)="M",1000000*VALUE(LEFT(E329,LEN(E329)-1)),IF(RIGHT(E329,1)="B",1000000000*VALUE(LEFT(E329,LEN(E329)-1)),IF(RIGHT(E329,1)="%",0.01*VALUE(LEFT(E329,LEN(E329)-1)),IF(RIGHT(E329,1)="k",1000*VALUE(LEFT(E329,LEN(E329)-1)),VALUE(SUBSTITUTE(E329,",",""))))))))),"N/A")</f>
        <v>-4099999.9999999995</v>
      </c>
      <c r="M329">
        <f t="shared" ref="M329:M360" si="122">IFERROR(IF(TRIM(F329)="-", "N/A", IF(RIGHT(F329,1)=")",IF(RIGHT(F329,2)="T)",-1000000000000*VALUE(MID(F329,2,LEN(F329)-3)),IF(RIGHT(F329,2)="M)",-1000000*VALUE(MID(F329,2,LEN(F329)-3)),IF(RIGHT(F329,2)="B)",-1000000000*VALUE(MID(F329,2,LEN(F329)-3)),IF(RIGHT(F329,2)="k)",-1000*VALUE(MID(F329,2,LEN(F329)-3)),VALUE(SUBSTITUTE(F329,",","")))))),IF(RIGHT(F329,1)="T",1000000000000*VALUE(LEFT(F329,LEN(F329)-1)),IF(RIGHT(F329,1)="M",1000000*VALUE(LEFT(F329,LEN(F329)-1)),IF(RIGHT(F329,1)="B",1000000000*VALUE(LEFT(F329,LEN(F329)-1)),IF(RIGHT(F329,1)="%",0.01*VALUE(LEFT(F329,LEN(F329)-1)),IF(RIGHT(F329,1)="k",1000*VALUE(LEFT(F329,LEN(F329)-1)),VALUE(SUBSTITUTE(F329,",",""))))))))),"N/A")</f>
        <v>-6840000</v>
      </c>
      <c r="N329">
        <f t="shared" ref="N329:N360" si="123">IFERROR(IF(TRIM(G329)="-", "N/A", IF(RIGHT(G329,1)=")",IF(RIGHT(G329,2)="T)",-1000000000000*VALUE(MID(G329,2,LEN(G329)-3)),IF(RIGHT(G329,2)="M)",-1000000*VALUE(MID(G329,2,LEN(G329)-3)),IF(RIGHT(G329,2)="B)",-1000000000*VALUE(MID(G329,2,LEN(G329)-3)),IF(RIGHT(G329,2)="k)",-1000*VALUE(MID(G329,2,LEN(G329)-3)),VALUE(SUBSTITUTE(G329,",","")))))),IF(RIGHT(G329,1)="T",1000000000000*VALUE(LEFT(G329,LEN(G329)-1)),IF(RIGHT(G329,1)="M",1000000*VALUE(LEFT(G329,LEN(G329)-1)),IF(RIGHT(G329,1)="B",1000000000*VALUE(LEFT(G329,LEN(G329)-1)),IF(RIGHT(G329,1)="%",0.01*VALUE(LEFT(G329,LEN(G329)-1)),IF(RIGHT(G329,1)="k",1000*VALUE(LEFT(G329,LEN(G329)-1)),VALUE(SUBSTITUTE(G329,",",""))))))))),"N/A")</f>
        <v>-8320000</v>
      </c>
      <c r="P329">
        <f t="shared" si="94"/>
        <v>-3220000</v>
      </c>
      <c r="Q329">
        <f>IFERROR(J144+MATCH(P329,J329:N329,0)-1,"")</f>
        <v>2012</v>
      </c>
      <c r="R329">
        <f t="shared" si="95"/>
        <v>-8320000</v>
      </c>
      <c r="S329">
        <f>IFERROR(J144+MATCH(R329,J329:N329,0)-1,"")</f>
        <v>2016</v>
      </c>
      <c r="T329">
        <f t="shared" si="96"/>
        <v>-5142000</v>
      </c>
      <c r="U329">
        <f t="shared" si="97"/>
        <v>2314005.1858195998</v>
      </c>
      <c r="V329">
        <f t="shared" si="98"/>
        <v>0.83059450850765704</v>
      </c>
      <c r="W329">
        <f t="shared" si="99"/>
        <v>0.82627299701698242</v>
      </c>
      <c r="X329">
        <f t="shared" si="100"/>
        <v>0.45030149732829294</v>
      </c>
      <c r="Y329">
        <f t="shared" si="101"/>
        <v>-0.73379265111654612</v>
      </c>
      <c r="Z329">
        <f t="shared" si="102"/>
        <v>-1.3733763517363859</v>
      </c>
      <c r="AA329">
        <f t="shared" si="103"/>
        <v>-1.3733763517363859</v>
      </c>
      <c r="AB329">
        <f>IFERROR(V144+MATCH(AA329,V329:Z329,0)-1,"")</f>
        <v>2016</v>
      </c>
      <c r="AC329" t="str">
        <f t="shared" si="104"/>
        <v>Low</v>
      </c>
      <c r="AE329">
        <f>IF(ISNUMBER(MATCH("N/A",J329:N329,0)),"",IFERROR((5 * SUMPRODUCT(J144:N144,J329:N329) - PRODUCT(SUM(J144:N144),SUM(J329:N329))) / ((5 * SUM((J144^2)+(K144^2)+(L144^2)+(M144^2)+(N144^2))) - SUM(J144:N144)^2),""))</f>
        <v>-1381000</v>
      </c>
      <c r="AF329">
        <f>IFERROR(CORREL(J144:N144,J329:N329),"")</f>
        <v>-0.94362481887562033</v>
      </c>
      <c r="AZ329">
        <f t="shared" si="105"/>
        <v>1</v>
      </c>
      <c r="BA329" t="str">
        <f>IF(AZ329=1,IF(Q329="","",IF(Q329=N144,"Yes","No")),"")</f>
        <v>No</v>
      </c>
      <c r="BB329" t="str">
        <f t="shared" si="106"/>
        <v/>
      </c>
      <c r="BC329" t="str">
        <f>IF(AZ329=1,IF(S329="","",IF(S329=N144,"Yes","No")),"")</f>
        <v>Yes</v>
      </c>
      <c r="BD329">
        <f t="shared" si="107"/>
        <v>-8320000</v>
      </c>
      <c r="BE329" t="str">
        <f t="shared" si="108"/>
        <v>Decreasing</v>
      </c>
      <c r="BF329" t="str">
        <f t="shared" si="109"/>
        <v>Yes</v>
      </c>
      <c r="BG329" t="str">
        <f t="shared" si="110"/>
        <v>No</v>
      </c>
      <c r="BH329" t="str">
        <f t="shared" si="111"/>
        <v>Yes</v>
      </c>
    </row>
    <row r="330" spans="1:60" x14ac:dyDescent="0.3">
      <c r="A330" s="1">
        <v>1</v>
      </c>
      <c r="B330" t="s">
        <v>874</v>
      </c>
      <c r="C330" t="s">
        <v>1593</v>
      </c>
      <c r="D330" t="s">
        <v>1594</v>
      </c>
      <c r="E330" t="s">
        <v>1595</v>
      </c>
      <c r="F330" t="s">
        <v>1596</v>
      </c>
      <c r="G330" t="s">
        <v>1597</v>
      </c>
      <c r="I330" t="str">
        <f t="shared" si="118"/>
        <v>neg_trend</v>
      </c>
      <c r="J330">
        <f t="shared" si="119"/>
        <v>-3220000</v>
      </c>
      <c r="K330">
        <f t="shared" si="120"/>
        <v>-3230000</v>
      </c>
      <c r="L330">
        <f t="shared" si="121"/>
        <v>-4099999.9999999995</v>
      </c>
      <c r="M330">
        <f t="shared" si="122"/>
        <v>-6840000</v>
      </c>
      <c r="N330">
        <f t="shared" si="123"/>
        <v>-8320000</v>
      </c>
      <c r="P330">
        <f t="shared" si="94"/>
        <v>-3220000</v>
      </c>
      <c r="Q330">
        <f>IFERROR(J144+MATCH(P330,J330:N330,0)-1,"")</f>
        <v>2012</v>
      </c>
      <c r="R330">
        <f t="shared" si="95"/>
        <v>-8320000</v>
      </c>
      <c r="S330">
        <f>IFERROR(J144+MATCH(R330,J330:N330,0)-1,"")</f>
        <v>2016</v>
      </c>
      <c r="T330">
        <f t="shared" si="96"/>
        <v>-5142000</v>
      </c>
      <c r="U330">
        <f t="shared" si="97"/>
        <v>2314005.1858195998</v>
      </c>
      <c r="V330">
        <f t="shared" si="98"/>
        <v>0.83059450850765704</v>
      </c>
      <c r="W330">
        <f t="shared" si="99"/>
        <v>0.82627299701698242</v>
      </c>
      <c r="X330">
        <f t="shared" si="100"/>
        <v>0.45030149732829294</v>
      </c>
      <c r="Y330">
        <f t="shared" si="101"/>
        <v>-0.73379265111654612</v>
      </c>
      <c r="Z330">
        <f t="shared" si="102"/>
        <v>-1.3733763517363859</v>
      </c>
      <c r="AA330">
        <f t="shared" si="103"/>
        <v>-1.3733763517363859</v>
      </c>
      <c r="AB330">
        <f>IFERROR(V144+MATCH(AA330,V330:Z330,0)-1,"")</f>
        <v>2016</v>
      </c>
      <c r="AC330" t="str">
        <f t="shared" si="104"/>
        <v>Low</v>
      </c>
      <c r="AE330">
        <f>IF(ISNUMBER(MATCH("N/A",J330:N330,0)),"",IFERROR((5 * SUMPRODUCT(J144:N144,J330:N330) - PRODUCT(SUM(J144:N144),SUM(J330:N330))) / ((5 * SUM((J144^2)+(K144^2)+(L144^2)+(M144^2)+(N144^2))) - SUM(J144:N144)^2),""))</f>
        <v>-1381000</v>
      </c>
      <c r="AF330">
        <f>IFERROR(CORREL(J144:N144,J330:N330),"")</f>
        <v>-0.94362481887562033</v>
      </c>
      <c r="AZ330">
        <f t="shared" si="105"/>
        <v>1</v>
      </c>
      <c r="BA330" t="str">
        <f>IF(AZ330=1,IF(Q330="","",IF(Q330=N144,"Yes","No")),"")</f>
        <v>No</v>
      </c>
      <c r="BB330" t="str">
        <f t="shared" si="106"/>
        <v/>
      </c>
      <c r="BC330" t="str">
        <f>IF(AZ330=1,IF(S330="","",IF(S330=N144,"Yes","No")),"")</f>
        <v>Yes</v>
      </c>
      <c r="BD330">
        <f t="shared" si="107"/>
        <v>-8320000</v>
      </c>
      <c r="BE330" t="str">
        <f t="shared" si="108"/>
        <v>Decreasing</v>
      </c>
      <c r="BF330" t="str">
        <f t="shared" si="109"/>
        <v>Yes</v>
      </c>
      <c r="BG330" t="str">
        <f t="shared" si="110"/>
        <v>No</v>
      </c>
      <c r="BH330" t="str">
        <f t="shared" si="111"/>
        <v>Yes</v>
      </c>
    </row>
    <row r="331" spans="1:60" x14ac:dyDescent="0.3">
      <c r="A331" s="1">
        <v>2</v>
      </c>
      <c r="B331" t="s">
        <v>421</v>
      </c>
      <c r="C331" t="s">
        <v>264</v>
      </c>
      <c r="D331" t="s">
        <v>264</v>
      </c>
      <c r="E331" t="s">
        <v>264</v>
      </c>
      <c r="F331" t="s">
        <v>264</v>
      </c>
      <c r="G331" t="s">
        <v>264</v>
      </c>
      <c r="I331" t="str">
        <f t="shared" si="118"/>
        <v>N/A</v>
      </c>
      <c r="J331" t="str">
        <f t="shared" si="119"/>
        <v>N/A</v>
      </c>
      <c r="K331" t="str">
        <f t="shared" si="120"/>
        <v>N/A</v>
      </c>
      <c r="L331" t="str">
        <f t="shared" si="121"/>
        <v>N/A</v>
      </c>
      <c r="M331" t="str">
        <f t="shared" si="122"/>
        <v>N/A</v>
      </c>
      <c r="N331" t="str">
        <f t="shared" si="123"/>
        <v>N/A</v>
      </c>
      <c r="P331">
        <f t="shared" si="94"/>
        <v>0</v>
      </c>
      <c r="Q331" t="str">
        <f>IFERROR(J144+MATCH(P331,J331:N331,0)-1,"")</f>
        <v/>
      </c>
      <c r="R331" t="str">
        <f t="shared" si="95"/>
        <v/>
      </c>
      <c r="S331" t="str">
        <f>IFERROR(J144+MATCH(R331,J331:N331,0)-1,"")</f>
        <v/>
      </c>
      <c r="T331" t="str">
        <f t="shared" si="96"/>
        <v/>
      </c>
      <c r="U331" t="str">
        <f t="shared" si="97"/>
        <v/>
      </c>
      <c r="V331" t="str">
        <f t="shared" si="98"/>
        <v/>
      </c>
      <c r="W331" t="str">
        <f t="shared" si="99"/>
        <v/>
      </c>
      <c r="X331" t="str">
        <f t="shared" si="100"/>
        <v/>
      </c>
      <c r="Y331" t="str">
        <f t="shared" si="101"/>
        <v/>
      </c>
      <c r="Z331" t="str">
        <f t="shared" si="102"/>
        <v/>
      </c>
      <c r="AA331">
        <f t="shared" si="103"/>
        <v>0</v>
      </c>
      <c r="AB331" t="str">
        <f>IFERROR(V144+MATCH(AA331,V331:Z331,0)-1,"")</f>
        <v/>
      </c>
      <c r="AC331" t="str">
        <f t="shared" si="104"/>
        <v/>
      </c>
      <c r="AE331" t="str">
        <f>IF(ISNUMBER(MATCH("N/A",J331:N331,0)),"",IFERROR((5 * SUMPRODUCT(J144:N144,J331:N331) - PRODUCT(SUM(J144:N144),SUM(J331:N331))) / ((5 * SUM((J144^2)+(K144^2)+(L144^2)+(M144^2)+(N144^2))) - SUM(J144:N144)^2),""))</f>
        <v/>
      </c>
      <c r="AF331" t="str">
        <f>IFERROR(CORREL(J144:N144,J331:N331),"")</f>
        <v/>
      </c>
      <c r="AZ331">
        <f t="shared" si="105"/>
        <v>0</v>
      </c>
      <c r="BA331" t="str">
        <f>IF(AZ331=1,IF(Q331="","",IF(Q331=N144,"Yes","No")),"")</f>
        <v/>
      </c>
      <c r="BB331" t="str">
        <f t="shared" si="106"/>
        <v/>
      </c>
      <c r="BC331" t="str">
        <f>IF(AZ331=1,IF(S331="","",IF(S331=N144,"Yes","No")),"")</f>
        <v/>
      </c>
      <c r="BD331" t="str">
        <f t="shared" si="107"/>
        <v/>
      </c>
      <c r="BE331" t="str">
        <f t="shared" si="108"/>
        <v/>
      </c>
      <c r="BF331" t="str">
        <f t="shared" si="109"/>
        <v>No</v>
      </c>
      <c r="BG331" t="str">
        <f t="shared" si="110"/>
        <v>No</v>
      </c>
      <c r="BH331" t="str">
        <f t="shared" si="111"/>
        <v/>
      </c>
    </row>
    <row r="332" spans="1:60" x14ac:dyDescent="0.3">
      <c r="A332" s="1">
        <v>3</v>
      </c>
      <c r="B332" t="s">
        <v>875</v>
      </c>
      <c r="C332" t="s">
        <v>264</v>
      </c>
      <c r="D332" t="s">
        <v>1598</v>
      </c>
      <c r="E332" t="s">
        <v>1599</v>
      </c>
      <c r="F332" t="s">
        <v>1600</v>
      </c>
      <c r="G332" t="s">
        <v>1601</v>
      </c>
      <c r="I332" t="str">
        <f t="shared" si="118"/>
        <v>N/A</v>
      </c>
      <c r="J332" t="str">
        <f t="shared" si="119"/>
        <v>N/A</v>
      </c>
      <c r="K332">
        <f t="shared" si="120"/>
        <v>2790000</v>
      </c>
      <c r="L332">
        <f t="shared" si="121"/>
        <v>1140000</v>
      </c>
      <c r="M332">
        <f t="shared" si="122"/>
        <v>-12770000</v>
      </c>
      <c r="N332">
        <f t="shared" si="123"/>
        <v>-9510000</v>
      </c>
      <c r="P332">
        <f t="shared" si="94"/>
        <v>2790000</v>
      </c>
      <c r="Q332">
        <f>IFERROR(J144+MATCH(P332,J332:N332,0)-1,"")</f>
        <v>2013</v>
      </c>
      <c r="R332">
        <f t="shared" si="95"/>
        <v>-12770000</v>
      </c>
      <c r="S332">
        <f>IFERROR(J144+MATCH(R332,J332:N332,0)-1,"")</f>
        <v>2015</v>
      </c>
      <c r="T332">
        <f t="shared" si="96"/>
        <v>-4587500</v>
      </c>
      <c r="U332">
        <f t="shared" si="97"/>
        <v>7711810.7471591914</v>
      </c>
      <c r="V332" t="str">
        <f t="shared" si="98"/>
        <v/>
      </c>
      <c r="W332">
        <f t="shared" si="99"/>
        <v>0.95664951356821848</v>
      </c>
      <c r="X332">
        <f t="shared" si="100"/>
        <v>0.74269198088267996</v>
      </c>
      <c r="Y332">
        <f t="shared" si="101"/>
        <v>-1.0610348552723752</v>
      </c>
      <c r="Z332">
        <f t="shared" si="102"/>
        <v>-0.63830663917852326</v>
      </c>
      <c r="AA332">
        <f t="shared" si="103"/>
        <v>-1.0610348552723752</v>
      </c>
      <c r="AB332">
        <f>IFERROR(V144+MATCH(AA332,V332:Z332,0)-1,"")</f>
        <v>2015</v>
      </c>
      <c r="AC332" t="str">
        <f t="shared" si="104"/>
        <v>Low</v>
      </c>
      <c r="AE332" t="str">
        <f>IF(ISNUMBER(MATCH("N/A",J332:N332,0)),"",IFERROR((5 * SUMPRODUCT(J144:N144,J332:N332) - PRODUCT(SUM(J144:N144),SUM(J332:N332))) / ((5 * SUM((J144^2)+(K144^2)+(L144^2)+(M144^2)+(N144^2))) - SUM(J144:N144)^2),""))</f>
        <v/>
      </c>
      <c r="AF332">
        <f>IFERROR(CORREL(J144:N144,J332:N332),"")</f>
        <v>-0.85058399500311577</v>
      </c>
      <c r="AZ332">
        <f t="shared" si="105"/>
        <v>1</v>
      </c>
      <c r="BA332" t="str">
        <f>IF(AZ332=1,IF(Q332="","",IF(Q332=N144,"Yes","No")),"")</f>
        <v>No</v>
      </c>
      <c r="BB332" t="str">
        <f t="shared" si="106"/>
        <v/>
      </c>
      <c r="BC332" t="str">
        <f>IF(AZ332=1,IF(S332="","",IF(S332=N144,"Yes","No")),"")</f>
        <v>No</v>
      </c>
      <c r="BD332" t="str">
        <f t="shared" si="107"/>
        <v/>
      </c>
      <c r="BE332" t="str">
        <f t="shared" si="108"/>
        <v/>
      </c>
      <c r="BF332" t="str">
        <f t="shared" si="109"/>
        <v>No</v>
      </c>
      <c r="BG332" t="str">
        <f t="shared" si="110"/>
        <v>No</v>
      </c>
      <c r="BH332" t="str">
        <f t="shared" si="111"/>
        <v>Yes</v>
      </c>
    </row>
    <row r="333" spans="1:60" x14ac:dyDescent="0.3">
      <c r="A333" s="1">
        <v>4</v>
      </c>
      <c r="B333" t="s">
        <v>881</v>
      </c>
      <c r="C333" t="s">
        <v>264</v>
      </c>
      <c r="D333" t="s">
        <v>264</v>
      </c>
      <c r="E333" t="s">
        <v>264</v>
      </c>
      <c r="F333" t="s">
        <v>1600</v>
      </c>
      <c r="G333" t="s">
        <v>1601</v>
      </c>
      <c r="I333" t="str">
        <f t="shared" si="118"/>
        <v>N/A</v>
      </c>
      <c r="J333" t="str">
        <f t="shared" si="119"/>
        <v>N/A</v>
      </c>
      <c r="K333" t="str">
        <f t="shared" si="120"/>
        <v>N/A</v>
      </c>
      <c r="L333" t="str">
        <f t="shared" si="121"/>
        <v>N/A</v>
      </c>
      <c r="M333">
        <f t="shared" si="122"/>
        <v>-12770000</v>
      </c>
      <c r="N333">
        <f t="shared" si="123"/>
        <v>-9510000</v>
      </c>
      <c r="P333">
        <f t="shared" si="94"/>
        <v>-9510000</v>
      </c>
      <c r="Q333">
        <f>IFERROR(J144+MATCH(P333,J333:N333,0)-1,"")</f>
        <v>2016</v>
      </c>
      <c r="R333">
        <f t="shared" si="95"/>
        <v>-12770000</v>
      </c>
      <c r="S333">
        <f>IFERROR(J144+MATCH(R333,J333:N333,0)-1,"")</f>
        <v>2015</v>
      </c>
      <c r="T333">
        <f t="shared" si="96"/>
        <v>-11140000</v>
      </c>
      <c r="U333">
        <f t="shared" si="97"/>
        <v>2305168.1066681449</v>
      </c>
      <c r="V333" t="str">
        <f t="shared" si="98"/>
        <v/>
      </c>
      <c r="W333" t="str">
        <f t="shared" si="99"/>
        <v/>
      </c>
      <c r="X333" t="str">
        <f t="shared" si="100"/>
        <v/>
      </c>
      <c r="Y333">
        <f t="shared" si="101"/>
        <v>-0.70710678118654757</v>
      </c>
      <c r="Z333">
        <f t="shared" si="102"/>
        <v>0.70710678118654757</v>
      </c>
      <c r="AA333">
        <f t="shared" si="103"/>
        <v>-0.70710678118654757</v>
      </c>
      <c r="AB333">
        <f>IFERROR(V144+MATCH(AA333,V333:Z333,0)-1,"")</f>
        <v>2015</v>
      </c>
      <c r="AC333" t="str">
        <f t="shared" si="104"/>
        <v>Low</v>
      </c>
      <c r="AE333" t="str">
        <f>IF(ISNUMBER(MATCH("N/A",J333:N333,0)),"",IFERROR((5 * SUMPRODUCT(J144:N144,J333:N333) - PRODUCT(SUM(J144:N144),SUM(J333:N333))) / ((5 * SUM((J144^2)+(K144^2)+(L144^2)+(M144^2)+(N144^2))) - SUM(J144:N144)^2),""))</f>
        <v/>
      </c>
      <c r="AF333">
        <f>IFERROR(CORREL(J144:N144,J333:N333),"")</f>
        <v>1</v>
      </c>
      <c r="AZ333">
        <f t="shared" si="105"/>
        <v>1</v>
      </c>
      <c r="BA333" t="str">
        <f>IF(AZ333=1,IF(Q333="","",IF(Q333=N144,"Yes","No")),"")</f>
        <v>Yes</v>
      </c>
      <c r="BB333">
        <f t="shared" si="106"/>
        <v>-9510000</v>
      </c>
      <c r="BC333" t="str">
        <f>IF(AZ333=1,IF(S333="","",IF(S333=N144,"Yes","No")),"")</f>
        <v>No</v>
      </c>
      <c r="BD333" t="str">
        <f t="shared" si="107"/>
        <v/>
      </c>
      <c r="BE333" t="str">
        <f t="shared" si="108"/>
        <v/>
      </c>
      <c r="BF333" t="str">
        <f t="shared" si="109"/>
        <v>No</v>
      </c>
      <c r="BG333" t="str">
        <f t="shared" si="110"/>
        <v>No</v>
      </c>
      <c r="BH333" t="str">
        <f t="shared" si="111"/>
        <v>Yes</v>
      </c>
    </row>
    <row r="334" spans="1:60" x14ac:dyDescent="0.3">
      <c r="A334" s="1">
        <v>5</v>
      </c>
      <c r="B334" t="s">
        <v>885</v>
      </c>
      <c r="C334" t="s">
        <v>264</v>
      </c>
      <c r="D334" t="s">
        <v>1598</v>
      </c>
      <c r="E334" t="s">
        <v>1599</v>
      </c>
      <c r="F334" t="s">
        <v>264</v>
      </c>
      <c r="G334" t="s">
        <v>264</v>
      </c>
      <c r="I334" t="str">
        <f t="shared" si="118"/>
        <v>N/A</v>
      </c>
      <c r="J334" t="str">
        <f t="shared" si="119"/>
        <v>N/A</v>
      </c>
      <c r="K334">
        <f t="shared" si="120"/>
        <v>2790000</v>
      </c>
      <c r="L334">
        <f t="shared" si="121"/>
        <v>1140000</v>
      </c>
      <c r="M334" t="str">
        <f t="shared" si="122"/>
        <v>N/A</v>
      </c>
      <c r="N334" t="str">
        <f t="shared" si="123"/>
        <v>N/A</v>
      </c>
      <c r="P334">
        <f t="shared" si="94"/>
        <v>2790000</v>
      </c>
      <c r="Q334">
        <f>IFERROR(J144+MATCH(P334,J334:N334,0)-1,"")</f>
        <v>2013</v>
      </c>
      <c r="R334">
        <f t="shared" si="95"/>
        <v>1140000</v>
      </c>
      <c r="S334">
        <f>IFERROR(J144+MATCH(R334,J334:N334,0)-1,"")</f>
        <v>2014</v>
      </c>
      <c r="T334">
        <f t="shared" si="96"/>
        <v>1965000</v>
      </c>
      <c r="U334">
        <f t="shared" si="97"/>
        <v>1166726.1889578034</v>
      </c>
      <c r="V334" t="str">
        <f t="shared" si="98"/>
        <v/>
      </c>
      <c r="W334">
        <f t="shared" si="99"/>
        <v>0.70710678118654757</v>
      </c>
      <c r="X334">
        <f t="shared" si="100"/>
        <v>-0.70710678118654757</v>
      </c>
      <c r="Y334" t="str">
        <f t="shared" si="101"/>
        <v/>
      </c>
      <c r="Z334" t="str">
        <f t="shared" si="102"/>
        <v/>
      </c>
      <c r="AA334">
        <f t="shared" si="103"/>
        <v>-0.70710678118654757</v>
      </c>
      <c r="AB334">
        <f>IFERROR(V144+MATCH(AA334,V334:Z334,0)-1,"")</f>
        <v>2014</v>
      </c>
      <c r="AC334" t="str">
        <f t="shared" si="104"/>
        <v>Low</v>
      </c>
      <c r="AE334" t="str">
        <f>IF(ISNUMBER(MATCH("N/A",J334:N334,0)),"",IFERROR((5 * SUMPRODUCT(J144:N144,J334:N334) - PRODUCT(SUM(J144:N144),SUM(J334:N334))) / ((5 * SUM((J144^2)+(K144^2)+(L144^2)+(M144^2)+(N144^2))) - SUM(J144:N144)^2),""))</f>
        <v/>
      </c>
      <c r="AF334">
        <f>IFERROR(CORREL(J144:N144,J334:N334),"")</f>
        <v>-1</v>
      </c>
      <c r="AZ334">
        <f t="shared" si="105"/>
        <v>1</v>
      </c>
      <c r="BA334" t="str">
        <f>IF(AZ334=1,IF(Q334="","",IF(Q334=N144,"Yes","No")),"")</f>
        <v>No</v>
      </c>
      <c r="BB334" t="str">
        <f t="shared" si="106"/>
        <v/>
      </c>
      <c r="BC334" t="str">
        <f>IF(AZ334=1,IF(S334="","",IF(S334=N144,"Yes","No")),"")</f>
        <v>No</v>
      </c>
      <c r="BD334" t="str">
        <f t="shared" si="107"/>
        <v/>
      </c>
      <c r="BE334" t="str">
        <f t="shared" si="108"/>
        <v/>
      </c>
      <c r="BF334" t="str">
        <f t="shared" si="109"/>
        <v>No</v>
      </c>
      <c r="BG334" t="str">
        <f t="shared" si="110"/>
        <v>No</v>
      </c>
      <c r="BH334" t="str">
        <f t="shared" si="111"/>
        <v>Yes</v>
      </c>
    </row>
    <row r="335" spans="1:60" x14ac:dyDescent="0.3">
      <c r="A335" s="1">
        <v>6</v>
      </c>
      <c r="B335" t="s">
        <v>889</v>
      </c>
      <c r="C335" t="s">
        <v>264</v>
      </c>
      <c r="D335" t="s">
        <v>264</v>
      </c>
      <c r="E335" t="s">
        <v>264</v>
      </c>
      <c r="F335" t="s">
        <v>264</v>
      </c>
      <c r="G335" t="s">
        <v>264</v>
      </c>
      <c r="I335" t="str">
        <f t="shared" si="118"/>
        <v>N/A</v>
      </c>
      <c r="J335" t="str">
        <f t="shared" si="119"/>
        <v>N/A</v>
      </c>
      <c r="K335" t="str">
        <f t="shared" si="120"/>
        <v>N/A</v>
      </c>
      <c r="L335" t="str">
        <f t="shared" si="121"/>
        <v>N/A</v>
      </c>
      <c r="M335" t="str">
        <f t="shared" si="122"/>
        <v>N/A</v>
      </c>
      <c r="N335" t="str">
        <f t="shared" si="123"/>
        <v>N/A</v>
      </c>
      <c r="P335">
        <f t="shared" si="94"/>
        <v>0</v>
      </c>
      <c r="Q335" t="str">
        <f>IFERROR(J144+MATCH(P335,J335:N335,0)-1,"")</f>
        <v/>
      </c>
      <c r="R335" t="str">
        <f t="shared" si="95"/>
        <v/>
      </c>
      <c r="S335" t="str">
        <f>IFERROR(J144+MATCH(R335,J335:N335,0)-1,"")</f>
        <v/>
      </c>
      <c r="T335" t="str">
        <f t="shared" si="96"/>
        <v/>
      </c>
      <c r="U335" t="str">
        <f t="shared" si="97"/>
        <v/>
      </c>
      <c r="V335" t="str">
        <f t="shared" si="98"/>
        <v/>
      </c>
      <c r="W335" t="str">
        <f t="shared" si="99"/>
        <v/>
      </c>
      <c r="X335" t="str">
        <f t="shared" si="100"/>
        <v/>
      </c>
      <c r="Y335" t="str">
        <f t="shared" si="101"/>
        <v/>
      </c>
      <c r="Z335" t="str">
        <f t="shared" si="102"/>
        <v/>
      </c>
      <c r="AA335">
        <f t="shared" si="103"/>
        <v>0</v>
      </c>
      <c r="AB335" t="str">
        <f>IFERROR(V144+MATCH(AA335,V335:Z335,0)-1,"")</f>
        <v/>
      </c>
      <c r="AC335" t="str">
        <f t="shared" si="104"/>
        <v/>
      </c>
      <c r="AE335" t="str">
        <f>IF(ISNUMBER(MATCH("N/A",J335:N335,0)),"",IFERROR((5 * SUMPRODUCT(J144:N144,J335:N335) - PRODUCT(SUM(J144:N144),SUM(J335:N335))) / ((5 * SUM((J144^2)+(K144^2)+(L144^2)+(M144^2)+(N144^2))) - SUM(J144:N144)^2),""))</f>
        <v/>
      </c>
      <c r="AF335" t="str">
        <f>IFERROR(CORREL(J144:N144,J335:N335),"")</f>
        <v/>
      </c>
      <c r="AZ335">
        <f t="shared" si="105"/>
        <v>0</v>
      </c>
      <c r="BA335" t="str">
        <f>IF(AZ335=1,IF(Q335="","",IF(Q335=N144,"Yes","No")),"")</f>
        <v/>
      </c>
      <c r="BB335" t="str">
        <f t="shared" si="106"/>
        <v/>
      </c>
      <c r="BC335" t="str">
        <f>IF(AZ335=1,IF(S335="","",IF(S335=N144,"Yes","No")),"")</f>
        <v/>
      </c>
      <c r="BD335" t="str">
        <f t="shared" si="107"/>
        <v/>
      </c>
      <c r="BE335" t="str">
        <f t="shared" si="108"/>
        <v/>
      </c>
      <c r="BF335" t="str">
        <f t="shared" si="109"/>
        <v>No</v>
      </c>
      <c r="BG335" t="str">
        <f t="shared" si="110"/>
        <v>No</v>
      </c>
      <c r="BH335" t="str">
        <f t="shared" si="111"/>
        <v/>
      </c>
    </row>
    <row r="336" spans="1:60" x14ac:dyDescent="0.3">
      <c r="A336" s="1">
        <v>7</v>
      </c>
      <c r="B336" t="s">
        <v>890</v>
      </c>
      <c r="C336" t="s">
        <v>264</v>
      </c>
      <c r="D336" t="s">
        <v>1598</v>
      </c>
      <c r="E336" t="s">
        <v>1599</v>
      </c>
      <c r="F336" t="s">
        <v>264</v>
      </c>
      <c r="G336" t="s">
        <v>264</v>
      </c>
      <c r="I336" t="str">
        <f t="shared" si="118"/>
        <v>N/A</v>
      </c>
      <c r="J336" t="str">
        <f t="shared" si="119"/>
        <v>N/A</v>
      </c>
      <c r="K336">
        <f t="shared" si="120"/>
        <v>2790000</v>
      </c>
      <c r="L336">
        <f t="shared" si="121"/>
        <v>1140000</v>
      </c>
      <c r="M336" t="str">
        <f t="shared" si="122"/>
        <v>N/A</v>
      </c>
      <c r="N336" t="str">
        <f t="shared" si="123"/>
        <v>N/A</v>
      </c>
      <c r="P336">
        <f t="shared" si="94"/>
        <v>2790000</v>
      </c>
      <c r="Q336">
        <f>IFERROR(J144+MATCH(P336,J336:N336,0)-1,"")</f>
        <v>2013</v>
      </c>
      <c r="R336">
        <f t="shared" si="95"/>
        <v>1140000</v>
      </c>
      <c r="S336">
        <f>IFERROR(J144+MATCH(R336,J336:N336,0)-1,"")</f>
        <v>2014</v>
      </c>
      <c r="T336">
        <f t="shared" si="96"/>
        <v>1965000</v>
      </c>
      <c r="U336">
        <f t="shared" si="97"/>
        <v>1166726.1889578034</v>
      </c>
      <c r="V336" t="str">
        <f t="shared" si="98"/>
        <v/>
      </c>
      <c r="W336">
        <f t="shared" si="99"/>
        <v>0.70710678118654757</v>
      </c>
      <c r="X336">
        <f t="shared" si="100"/>
        <v>-0.70710678118654757</v>
      </c>
      <c r="Y336" t="str">
        <f t="shared" si="101"/>
        <v/>
      </c>
      <c r="Z336" t="str">
        <f t="shared" si="102"/>
        <v/>
      </c>
      <c r="AA336">
        <f t="shared" si="103"/>
        <v>-0.70710678118654757</v>
      </c>
      <c r="AB336">
        <f>IFERROR(V144+MATCH(AA336,V336:Z336,0)-1,"")</f>
        <v>2014</v>
      </c>
      <c r="AC336" t="str">
        <f t="shared" si="104"/>
        <v>Low</v>
      </c>
      <c r="AE336" t="str">
        <f>IF(ISNUMBER(MATCH("N/A",J336:N336,0)),"",IFERROR((5 * SUMPRODUCT(J144:N144,J336:N336) - PRODUCT(SUM(J144:N144),SUM(J336:N336))) / ((5 * SUM((J144^2)+(K144^2)+(L144^2)+(M144^2)+(N144^2))) - SUM(J144:N144)^2),""))</f>
        <v/>
      </c>
      <c r="AF336">
        <f>IFERROR(CORREL(J144:N144,J336:N336),"")</f>
        <v>-1</v>
      </c>
      <c r="AZ336">
        <f t="shared" si="105"/>
        <v>1</v>
      </c>
      <c r="BA336" t="str">
        <f>IF(AZ336=1,IF(Q336="","",IF(Q336=N144,"Yes","No")),"")</f>
        <v>No</v>
      </c>
      <c r="BB336" t="str">
        <f t="shared" si="106"/>
        <v/>
      </c>
      <c r="BC336" t="str">
        <f>IF(AZ336=1,IF(S336="","",IF(S336=N144,"Yes","No")),"")</f>
        <v>No</v>
      </c>
      <c r="BD336" t="str">
        <f t="shared" si="107"/>
        <v/>
      </c>
      <c r="BE336" t="str">
        <f t="shared" si="108"/>
        <v/>
      </c>
      <c r="BF336" t="str">
        <f t="shared" si="109"/>
        <v>No</v>
      </c>
      <c r="BG336" t="str">
        <f t="shared" si="110"/>
        <v>No</v>
      </c>
      <c r="BH336" t="str">
        <f t="shared" si="111"/>
        <v>Yes</v>
      </c>
    </row>
    <row r="337" spans="1:60" x14ac:dyDescent="0.3">
      <c r="A337" s="1">
        <v>8</v>
      </c>
      <c r="B337" t="s">
        <v>891</v>
      </c>
      <c r="C337" t="s">
        <v>1602</v>
      </c>
      <c r="D337" t="s">
        <v>1603</v>
      </c>
      <c r="E337" t="s">
        <v>1604</v>
      </c>
      <c r="F337" t="s">
        <v>1605</v>
      </c>
      <c r="G337" t="s">
        <v>1606</v>
      </c>
      <c r="I337" t="str">
        <f t="shared" si="118"/>
        <v>N/A</v>
      </c>
      <c r="J337">
        <f t="shared" si="119"/>
        <v>38320000</v>
      </c>
      <c r="K337">
        <f t="shared" si="120"/>
        <v>-43280000</v>
      </c>
      <c r="L337">
        <f t="shared" si="121"/>
        <v>-38030000</v>
      </c>
      <c r="M337">
        <f t="shared" si="122"/>
        <v>3310000</v>
      </c>
      <c r="N337">
        <f t="shared" si="123"/>
        <v>-52200000</v>
      </c>
      <c r="P337">
        <f t="shared" ref="P337:P353" si="124">MAX(J337:N337)</f>
        <v>38320000</v>
      </c>
      <c r="Q337">
        <f>IFERROR(J144+MATCH(P337,J337:N337,0)-1,"")</f>
        <v>2012</v>
      </c>
      <c r="R337">
        <f t="shared" ref="R337:R400" si="125">IF(Q337="","",MIN(J337:N337))</f>
        <v>-52200000</v>
      </c>
      <c r="S337">
        <f>IFERROR(J144+MATCH(R337,J337:N337,0)-1,"")</f>
        <v>2016</v>
      </c>
      <c r="T337">
        <f t="shared" ref="T337:T353" si="126">IFERROR(AVERAGE(J337:N337),"")</f>
        <v>-18376000</v>
      </c>
      <c r="U337">
        <f t="shared" ref="U337:U353" si="127">IFERROR(STDEV(J337:N337),"")</f>
        <v>38194472.505848281</v>
      </c>
      <c r="V337">
        <f t="shared" ref="V337:V400" si="128">IFERROR(IF(C337="-","",IF(ISBLANK(B337),"",IF(OR(ISNUMBER(FIND("Growth",B337)),ISNUMBER(FIND("Margin",B337))),"",(J337-T337)/U337))),"")</f>
        <v>1.4844032730473968</v>
      </c>
      <c r="W337">
        <f t="shared" ref="W337:W353" si="129">IFERROR(IF(OR(D337="-",ISBLANK(D337)),"",(K337-T337)/U337),"")</f>
        <v>-0.65203152095337191</v>
      </c>
      <c r="X337">
        <f t="shared" ref="X337:X353" si="130">IFERROR(IF(OR(E337="-",ISBLANK(E337)),"",(L337-T337)/U337),"")</f>
        <v>-0.51457707648641071</v>
      </c>
      <c r="Y337">
        <f t="shared" ref="Y337:Y353" si="131">IFERROR(IF(OR(F337="-",ISBLANK(F337)),"",(M337-T337)/U337),"")</f>
        <v>0.56777849194486119</v>
      </c>
      <c r="Z337">
        <f t="shared" ref="Z337:Z353" si="132">IFERROR(IF(OR(G337="-",ISBLANK(G337)),"",(N337-T337)/U337),"")</f>
        <v>-0.8855731675524755</v>
      </c>
      <c r="AA337">
        <f t="shared" ref="AA337:AA400" si="133">IF(MAX(MAX(V337:Z337),ABS(MIN(V337:Z337)))=ABS(MIN(V337:Z337)),MIN(V337:Z337),MAX(V337:Z337))</f>
        <v>1.4844032730473968</v>
      </c>
      <c r="AB337">
        <f>IFERROR(V144+MATCH(AA337,V337:Z337,0)-1,"")</f>
        <v>2012</v>
      </c>
      <c r="AC337" t="str">
        <f t="shared" ref="AC337:AC400" si="134">IF(AB337&lt;&gt;"",IF(S337=AB337,"Low",IF(AB337=Q337,"High","")),"")</f>
        <v>High</v>
      </c>
      <c r="AE337">
        <f>IF(ISNUMBER(MATCH("N/A",J337:N337,0)),"",IFERROR((5 * SUMPRODUCT(J144:N144,J337:N337) - PRODUCT(SUM(J144:N144),SUM(J337:N337))) / ((5 * SUM((J144^2)+(K144^2)+(L144^2)+(M144^2)+(N144^2))) - SUM(J144:N144)^2),""))</f>
        <v>-13445000</v>
      </c>
      <c r="AF337">
        <f>IFERROR(CORREL(J144:N144,J337:N337),"")</f>
        <v>-0.5565834576515456</v>
      </c>
      <c r="AZ337">
        <f t="shared" ref="AZ337:AZ352" si="135">IF(Q337=S337,0,1)</f>
        <v>1</v>
      </c>
      <c r="BA337" t="str">
        <f>IF(AZ337=1,IF(Q337="","",IF(Q337=N144,"Yes","No")),"")</f>
        <v>No</v>
      </c>
      <c r="BB337" t="str">
        <f t="shared" ref="BB337:BB400" si="136">IF(BA337="Yes",P337,"")</f>
        <v/>
      </c>
      <c r="BC337" t="str">
        <f>IF(AZ337=1,IF(S337="","",IF(S337=N144,"Yes","No")),"")</f>
        <v>Yes</v>
      </c>
      <c r="BD337">
        <f t="shared" ref="BD337:BD400" si="137">IF(BC337="Yes",R337,"")</f>
        <v>-52200000</v>
      </c>
      <c r="BE337" t="str">
        <f t="shared" ref="BE337:BE352" si="138">IFERROR(IF(SIGN(AE337)=1,"Increasing",IF(SIGN(AE337)=-1,"Decreasing","")),"")</f>
        <v>Decreasing</v>
      </c>
      <c r="BF337" t="str">
        <f t="shared" ref="BF337:BF400" si="139">IF(OR(AND(BE337="Increasing",BA337="Yes"),AND(BE337="Decreasing",BC337="Yes")),"Yes","No")</f>
        <v>Yes</v>
      </c>
      <c r="BG337" t="str">
        <f t="shared" ref="BG337:BG352" si="140">IF(I337="pos_trend","Yes","No")</f>
        <v>No</v>
      </c>
      <c r="BH337" t="str">
        <f t="shared" ref="BH337:BH352" si="141">IF(AF337&lt;&gt;"",IF(ABS(AF337)&gt;0.8,"Yes","No"),"")</f>
        <v>No</v>
      </c>
    </row>
    <row r="338" spans="1:60" x14ac:dyDescent="0.3">
      <c r="A338" s="1">
        <v>9</v>
      </c>
      <c r="B338" t="s">
        <v>897</v>
      </c>
      <c r="C338" t="s">
        <v>1607</v>
      </c>
      <c r="D338" t="s">
        <v>1608</v>
      </c>
      <c r="E338" t="s">
        <v>1609</v>
      </c>
      <c r="F338" t="s">
        <v>264</v>
      </c>
      <c r="G338" t="s">
        <v>264</v>
      </c>
      <c r="I338" t="str">
        <f t="shared" si="118"/>
        <v>N/A</v>
      </c>
      <c r="J338">
        <f t="shared" si="119"/>
        <v>-7190000</v>
      </c>
      <c r="K338">
        <f t="shared" si="120"/>
        <v>-37000</v>
      </c>
      <c r="L338">
        <f t="shared" si="121"/>
        <v>2490000</v>
      </c>
      <c r="M338" t="str">
        <f t="shared" si="122"/>
        <v>N/A</v>
      </c>
      <c r="N338" t="str">
        <f t="shared" si="123"/>
        <v>N/A</v>
      </c>
      <c r="P338">
        <f t="shared" si="124"/>
        <v>2490000</v>
      </c>
      <c r="Q338">
        <f>IFERROR(J144+MATCH(P338,J338:N338,0)-1,"")</f>
        <v>2014</v>
      </c>
      <c r="R338">
        <f t="shared" si="125"/>
        <v>-7190000</v>
      </c>
      <c r="S338">
        <f>IFERROR(J144+MATCH(R338,J338:N338,0)-1,"")</f>
        <v>2012</v>
      </c>
      <c r="T338">
        <f t="shared" si="126"/>
        <v>-1579000</v>
      </c>
      <c r="U338">
        <f t="shared" si="127"/>
        <v>5020848.8326178472</v>
      </c>
      <c r="V338">
        <f t="shared" si="128"/>
        <v>-1.1175401186246132</v>
      </c>
      <c r="W338">
        <f t="shared" si="129"/>
        <v>0.30711938387438131</v>
      </c>
      <c r="X338">
        <f t="shared" si="130"/>
        <v>0.81042073475023191</v>
      </c>
      <c r="Y338" t="str">
        <f t="shared" si="131"/>
        <v/>
      </c>
      <c r="Z338" t="str">
        <f t="shared" si="132"/>
        <v/>
      </c>
      <c r="AA338">
        <f t="shared" si="133"/>
        <v>-1.1175401186246132</v>
      </c>
      <c r="AB338">
        <f>IFERROR(V144+MATCH(AA338,V338:Z338,0)-1,"")</f>
        <v>2012</v>
      </c>
      <c r="AC338" t="str">
        <f t="shared" si="134"/>
        <v>Low</v>
      </c>
      <c r="AE338" t="str">
        <f>IF(ISNUMBER(MATCH("N/A",J338:N338,0)),"",IFERROR((5 * SUMPRODUCT(J144:N144,J338:N338) - PRODUCT(SUM(J144:N144),SUM(J338:N338))) / ((5 * SUM((J144^2)+(K144^2)+(L144^2)+(M144^2)+(N144^2))) - SUM(J144:N144)^2),""))</f>
        <v/>
      </c>
      <c r="AF338">
        <f>IFERROR(CORREL(J144:N144,J338:N338),"")</f>
        <v>0.96398042668742256</v>
      </c>
      <c r="AZ338">
        <f t="shared" si="135"/>
        <v>1</v>
      </c>
      <c r="BA338" t="str">
        <f>IF(AZ338=1,IF(Q338="","",IF(Q338=N144,"Yes","No")),"")</f>
        <v>No</v>
      </c>
      <c r="BB338" t="str">
        <f t="shared" si="136"/>
        <v/>
      </c>
      <c r="BC338" t="str">
        <f>IF(AZ338=1,IF(S338="","",IF(S338=N144,"Yes","No")),"")</f>
        <v>No</v>
      </c>
      <c r="BD338" t="str">
        <f t="shared" si="137"/>
        <v/>
      </c>
      <c r="BE338" t="str">
        <f t="shared" si="138"/>
        <v/>
      </c>
      <c r="BF338" t="str">
        <f t="shared" si="139"/>
        <v>No</v>
      </c>
      <c r="BG338" t="str">
        <f t="shared" si="140"/>
        <v>No</v>
      </c>
      <c r="BH338" t="str">
        <f t="shared" si="141"/>
        <v>Yes</v>
      </c>
    </row>
    <row r="339" spans="1:60" x14ac:dyDescent="0.3">
      <c r="A339" s="1">
        <v>10</v>
      </c>
      <c r="B339" t="s">
        <v>898</v>
      </c>
      <c r="C339" t="s">
        <v>1610</v>
      </c>
      <c r="D339" t="s">
        <v>1611</v>
      </c>
      <c r="E339" t="s">
        <v>1612</v>
      </c>
      <c r="F339" t="s">
        <v>1605</v>
      </c>
      <c r="G339" t="s">
        <v>1606</v>
      </c>
      <c r="I339" t="str">
        <f t="shared" si="118"/>
        <v>N/A</v>
      </c>
      <c r="J339">
        <f t="shared" si="119"/>
        <v>45510000</v>
      </c>
      <c r="K339">
        <f t="shared" si="120"/>
        <v>-43250000</v>
      </c>
      <c r="L339">
        <f t="shared" si="121"/>
        <v>-40520000</v>
      </c>
      <c r="M339">
        <f t="shared" si="122"/>
        <v>3310000</v>
      </c>
      <c r="N339">
        <f t="shared" si="123"/>
        <v>-52200000</v>
      </c>
      <c r="P339">
        <f t="shared" si="124"/>
        <v>45510000</v>
      </c>
      <c r="Q339">
        <f>IFERROR(J144+MATCH(P339,J339:N339,0)-1,"")</f>
        <v>2012</v>
      </c>
      <c r="R339">
        <f t="shared" si="125"/>
        <v>-52200000</v>
      </c>
      <c r="S339">
        <f>IFERROR(J144+MATCH(R339,J339:N339,0)-1,"")</f>
        <v>2016</v>
      </c>
      <c r="T339">
        <f t="shared" si="126"/>
        <v>-17430000</v>
      </c>
      <c r="U339">
        <f t="shared" si="127"/>
        <v>41232161.597471461</v>
      </c>
      <c r="V339">
        <f t="shared" si="128"/>
        <v>1.52647830143981</v>
      </c>
      <c r="W339">
        <f t="shared" si="129"/>
        <v>-0.62621019611019857</v>
      </c>
      <c r="X339">
        <f t="shared" si="130"/>
        <v>-0.55999974547577402</v>
      </c>
      <c r="Y339">
        <f t="shared" si="131"/>
        <v>0.50300540152306417</v>
      </c>
      <c r="Z339">
        <f t="shared" si="132"/>
        <v>-0.84327376137690169</v>
      </c>
      <c r="AA339">
        <f t="shared" si="133"/>
        <v>1.52647830143981</v>
      </c>
      <c r="AB339">
        <f>IFERROR(V144+MATCH(AA339,V339:Z339,0)-1,"")</f>
        <v>2012</v>
      </c>
      <c r="AC339" t="str">
        <f t="shared" si="134"/>
        <v>High</v>
      </c>
      <c r="AE339">
        <f>IF(ISNUMBER(MATCH("N/A",J339:N339,0)),"",IFERROR((5 * SUMPRODUCT(J144:N144,J339:N339) - PRODUCT(SUM(J144:N144),SUM(J339:N339))) / ((5 * SUM((J144^2)+(K144^2)+(L144^2)+(M144^2)+(N144^2))) - SUM(J144:N144)^2),""))</f>
        <v>-14886000</v>
      </c>
      <c r="AF339">
        <f>IFERROR(CORREL(J144:N144,J339:N339),"")</f>
        <v>-0.57083673794285461</v>
      </c>
      <c r="AZ339">
        <f t="shared" si="135"/>
        <v>1</v>
      </c>
      <c r="BA339" t="str">
        <f>IF(AZ339=1,IF(Q339="","",IF(Q339=N144,"Yes","No")),"")</f>
        <v>No</v>
      </c>
      <c r="BB339" t="str">
        <f t="shared" si="136"/>
        <v/>
      </c>
      <c r="BC339" t="str">
        <f>IF(AZ339=1,IF(S339="","",IF(S339=N144,"Yes","No")),"")</f>
        <v>Yes</v>
      </c>
      <c r="BD339">
        <f t="shared" si="137"/>
        <v>-52200000</v>
      </c>
      <c r="BE339" t="str">
        <f t="shared" si="138"/>
        <v>Decreasing</v>
      </c>
      <c r="BF339" t="str">
        <f t="shared" si="139"/>
        <v>Yes</v>
      </c>
      <c r="BG339" t="str">
        <f t="shared" si="140"/>
        <v>No</v>
      </c>
      <c r="BH339" t="str">
        <f t="shared" si="141"/>
        <v>No</v>
      </c>
    </row>
    <row r="340" spans="1:60" x14ac:dyDescent="0.3">
      <c r="A340" s="1">
        <v>11</v>
      </c>
      <c r="B340" t="s">
        <v>899</v>
      </c>
      <c r="C340" t="s">
        <v>1613</v>
      </c>
      <c r="D340" t="s">
        <v>1614</v>
      </c>
      <c r="E340" t="s">
        <v>1615</v>
      </c>
      <c r="F340" t="s">
        <v>1616</v>
      </c>
      <c r="G340" t="s">
        <v>264</v>
      </c>
      <c r="I340" t="str">
        <f t="shared" si="118"/>
        <v>N/A</v>
      </c>
      <c r="J340">
        <f t="shared" si="119"/>
        <v>98510000</v>
      </c>
      <c r="K340">
        <f t="shared" si="120"/>
        <v>-71000</v>
      </c>
      <c r="L340">
        <f t="shared" si="121"/>
        <v>-76000</v>
      </c>
      <c r="M340">
        <f t="shared" si="122"/>
        <v>104130000</v>
      </c>
      <c r="N340" t="str">
        <f t="shared" si="123"/>
        <v>N/A</v>
      </c>
      <c r="P340">
        <f t="shared" si="124"/>
        <v>104130000</v>
      </c>
      <c r="Q340">
        <f>IFERROR(J144+MATCH(P340,J340:N340,0)-1,"")</f>
        <v>2015</v>
      </c>
      <c r="R340">
        <f t="shared" si="125"/>
        <v>-76000</v>
      </c>
      <c r="S340">
        <f>IFERROR(J144+MATCH(R340,J340:N340,0)-1,"")</f>
        <v>2014</v>
      </c>
      <c r="T340">
        <f t="shared" si="126"/>
        <v>50623250</v>
      </c>
      <c r="U340">
        <f t="shared" si="127"/>
        <v>58584508.91589573</v>
      </c>
      <c r="V340">
        <f t="shared" si="128"/>
        <v>0.81739611522128663</v>
      </c>
      <c r="W340">
        <f t="shared" si="129"/>
        <v>-0.86531833991775819</v>
      </c>
      <c r="X340">
        <f t="shared" si="130"/>
        <v>-0.86540368671151868</v>
      </c>
      <c r="Y340">
        <f t="shared" si="131"/>
        <v>0.91332591140799024</v>
      </c>
      <c r="Z340" t="str">
        <f t="shared" si="132"/>
        <v/>
      </c>
      <c r="AA340">
        <f t="shared" si="133"/>
        <v>0.91332591140799024</v>
      </c>
      <c r="AB340">
        <f>IFERROR(V144+MATCH(AA340,V340:Z340,0)-1,"")</f>
        <v>2015</v>
      </c>
      <c r="AC340" t="str">
        <f t="shared" si="134"/>
        <v>High</v>
      </c>
      <c r="AE340" t="str">
        <f>IF(ISNUMBER(MATCH("N/A",J340:N340,0)),"",IFERROR((5 * SUMPRODUCT(J144:N144,J340:N340) - PRODUCT(SUM(J144:N144),SUM(J340:N340))) / ((5 * SUM((J144^2)+(K144^2)+(L144^2)+(M144^2)+(N144^2))) - SUM(J144:N144)^2),""))</f>
        <v/>
      </c>
      <c r="AF340">
        <f>IFERROR(CORREL(J144:N144,J340:N340),"")</f>
        <v>3.7142432079921288E-2</v>
      </c>
      <c r="AZ340">
        <f t="shared" si="135"/>
        <v>1</v>
      </c>
      <c r="BA340" t="str">
        <f>IF(AZ340=1,IF(Q340="","",IF(Q340=N144,"Yes","No")),"")</f>
        <v>No</v>
      </c>
      <c r="BB340" t="str">
        <f t="shared" si="136"/>
        <v/>
      </c>
      <c r="BC340" t="str">
        <f>IF(AZ340=1,IF(S340="","",IF(S340=N144,"Yes","No")),"")</f>
        <v>No</v>
      </c>
      <c r="BD340" t="str">
        <f t="shared" si="137"/>
        <v/>
      </c>
      <c r="BE340" t="str">
        <f t="shared" si="138"/>
        <v/>
      </c>
      <c r="BF340" t="str">
        <f t="shared" si="139"/>
        <v>No</v>
      </c>
      <c r="BG340" t="str">
        <f t="shared" si="140"/>
        <v>No</v>
      </c>
      <c r="BH340" t="str">
        <f t="shared" si="141"/>
        <v>No</v>
      </c>
    </row>
    <row r="341" spans="1:60" x14ac:dyDescent="0.3">
      <c r="A341" s="1">
        <v>12</v>
      </c>
      <c r="B341" t="s">
        <v>905</v>
      </c>
      <c r="C341" t="s">
        <v>1617</v>
      </c>
      <c r="D341" t="s">
        <v>1618</v>
      </c>
      <c r="E341" t="s">
        <v>1619</v>
      </c>
      <c r="F341" t="s">
        <v>1620</v>
      </c>
      <c r="G341" t="s">
        <v>1606</v>
      </c>
      <c r="I341" t="str">
        <f t="shared" si="118"/>
        <v>N/A</v>
      </c>
      <c r="J341">
        <f t="shared" si="119"/>
        <v>-53000000</v>
      </c>
      <c r="K341">
        <f t="shared" si="120"/>
        <v>-43180000</v>
      </c>
      <c r="L341">
        <f t="shared" si="121"/>
        <v>-40440000</v>
      </c>
      <c r="M341">
        <f t="shared" si="122"/>
        <v>-100810000</v>
      </c>
      <c r="N341">
        <f t="shared" si="123"/>
        <v>-52200000</v>
      </c>
      <c r="P341">
        <f t="shared" si="124"/>
        <v>-40440000</v>
      </c>
      <c r="Q341">
        <f>IFERROR(J144+MATCH(P341,J341:N341,0)-1,"")</f>
        <v>2014</v>
      </c>
      <c r="R341">
        <f t="shared" si="125"/>
        <v>-100810000</v>
      </c>
      <c r="S341">
        <f>IFERROR(J144+MATCH(R341,J341:N341,0)-1,"")</f>
        <v>2015</v>
      </c>
      <c r="T341">
        <f t="shared" si="126"/>
        <v>-57926000</v>
      </c>
      <c r="U341">
        <f t="shared" si="127"/>
        <v>24593163.27762657</v>
      </c>
      <c r="V341">
        <f t="shared" si="128"/>
        <v>0.2002995688025781</v>
      </c>
      <c r="W341">
        <f t="shared" si="129"/>
        <v>0.59959753178295094</v>
      </c>
      <c r="X341">
        <f t="shared" si="130"/>
        <v>0.71101060903002034</v>
      </c>
      <c r="Y341">
        <f t="shared" si="131"/>
        <v>-1.7437366440377098</v>
      </c>
      <c r="Z341">
        <f t="shared" si="132"/>
        <v>0.23282893442216041</v>
      </c>
      <c r="AA341">
        <f t="shared" si="133"/>
        <v>-1.7437366440377098</v>
      </c>
      <c r="AB341">
        <f>IFERROR(V144+MATCH(AA341,V341:Z341,0)-1,"")</f>
        <v>2015</v>
      </c>
      <c r="AC341" t="str">
        <f t="shared" si="134"/>
        <v>Low</v>
      </c>
      <c r="AE341">
        <f>IF(ISNUMBER(MATCH("N/A",J341:N341,0)),"",IFERROR((5 * SUMPRODUCT(J144:N144,J341:N341) - PRODUCT(SUM(J144:N144),SUM(J341:N341))) / ((5 * SUM((J144^2)+(K144^2)+(L144^2)+(M144^2)+(N144^2))) - SUM(J144:N144)^2),""))</f>
        <v>-5603000</v>
      </c>
      <c r="AF341">
        <f>IFERROR(CORREL(J144:N144,J341:N341),"")</f>
        <v>-0.36022697710551238</v>
      </c>
      <c r="AZ341">
        <f t="shared" si="135"/>
        <v>1</v>
      </c>
      <c r="BA341" t="str">
        <f>IF(AZ341=1,IF(Q341="","",IF(Q341=N144,"Yes","No")),"")</f>
        <v>No</v>
      </c>
      <c r="BB341" t="str">
        <f t="shared" si="136"/>
        <v/>
      </c>
      <c r="BC341" t="str">
        <f>IF(AZ341=1,IF(S341="","",IF(S341=N144,"Yes","No")),"")</f>
        <v>No</v>
      </c>
      <c r="BD341" t="str">
        <f t="shared" si="137"/>
        <v/>
      </c>
      <c r="BE341" t="str">
        <f t="shared" si="138"/>
        <v>Decreasing</v>
      </c>
      <c r="BF341" t="str">
        <f t="shared" si="139"/>
        <v>No</v>
      </c>
      <c r="BG341" t="str">
        <f t="shared" si="140"/>
        <v>No</v>
      </c>
      <c r="BH341" t="str">
        <f t="shared" si="141"/>
        <v>No</v>
      </c>
    </row>
    <row r="342" spans="1:60" x14ac:dyDescent="0.3">
      <c r="A342" s="1">
        <v>13</v>
      </c>
      <c r="B342" t="s">
        <v>757</v>
      </c>
      <c r="C342" t="s">
        <v>1388</v>
      </c>
      <c r="D342" t="s">
        <v>1621</v>
      </c>
      <c r="E342" t="s">
        <v>1622</v>
      </c>
      <c r="F342" t="s">
        <v>1623</v>
      </c>
      <c r="G342" t="s">
        <v>1624</v>
      </c>
      <c r="I342" t="str">
        <f t="shared" si="118"/>
        <v>N/A</v>
      </c>
      <c r="J342">
        <f t="shared" si="119"/>
        <v>43040000</v>
      </c>
      <c r="K342">
        <f t="shared" si="120"/>
        <v>7760000</v>
      </c>
      <c r="L342">
        <f t="shared" si="121"/>
        <v>516000</v>
      </c>
      <c r="M342">
        <f t="shared" si="122"/>
        <v>3840000</v>
      </c>
      <c r="N342">
        <f t="shared" si="123"/>
        <v>-4170000</v>
      </c>
      <c r="P342">
        <f t="shared" si="124"/>
        <v>43040000</v>
      </c>
      <c r="Q342">
        <f>IFERROR(J144+MATCH(P342,J342:N342,0)-1,"")</f>
        <v>2012</v>
      </c>
      <c r="R342">
        <f t="shared" si="125"/>
        <v>-4170000</v>
      </c>
      <c r="S342">
        <f>IFERROR(J144+MATCH(R342,J342:N342,0)-1,"")</f>
        <v>2016</v>
      </c>
      <c r="T342">
        <f t="shared" si="126"/>
        <v>10197200</v>
      </c>
      <c r="U342">
        <f t="shared" si="127"/>
        <v>18875549.772125844</v>
      </c>
      <c r="V342">
        <f t="shared" si="128"/>
        <v>1.739965214072867</v>
      </c>
      <c r="W342">
        <f t="shared" si="129"/>
        <v>-0.12911941794665471</v>
      </c>
      <c r="X342">
        <f t="shared" si="130"/>
        <v>-0.51289631914703493</v>
      </c>
      <c r="Y342">
        <f t="shared" si="131"/>
        <v>-0.33679548817104604</v>
      </c>
      <c r="Z342">
        <f t="shared" si="132"/>
        <v>-0.76115398880813134</v>
      </c>
      <c r="AA342">
        <f t="shared" si="133"/>
        <v>1.739965214072867</v>
      </c>
      <c r="AB342">
        <f>IFERROR(V144+MATCH(AA342,V342:Z342,0)-1,"")</f>
        <v>2012</v>
      </c>
      <c r="AC342" t="str">
        <f t="shared" si="134"/>
        <v>High</v>
      </c>
      <c r="AE342">
        <f>IF(ISNUMBER(MATCH("N/A",J342:N342,0)),"",IFERROR((5 * SUMPRODUCT(J144:N144,J342:N342) - PRODUCT(SUM(J144:N144),SUM(J342:N342))) / ((5 * SUM((J144^2)+(K144^2)+(L144^2)+(M144^2)+(N144^2))) - SUM(J144:N144)^2),""))</f>
        <v>-9834000</v>
      </c>
      <c r="AF342">
        <f>IFERROR(CORREL(J144:N144,J342:N342),"")</f>
        <v>-0.82375980793998005</v>
      </c>
      <c r="AZ342">
        <f t="shared" si="135"/>
        <v>1</v>
      </c>
      <c r="BA342" t="str">
        <f>IF(AZ342=1,IF(Q342="","",IF(Q342=N144,"Yes","No")),"")</f>
        <v>No</v>
      </c>
      <c r="BB342" t="str">
        <f t="shared" si="136"/>
        <v/>
      </c>
      <c r="BC342" t="str">
        <f>IF(AZ342=1,IF(S342="","",IF(S342=N144,"Yes","No")),"")</f>
        <v>Yes</v>
      </c>
      <c r="BD342">
        <f t="shared" si="137"/>
        <v>-4170000</v>
      </c>
      <c r="BE342" t="str">
        <f t="shared" si="138"/>
        <v>Decreasing</v>
      </c>
      <c r="BF342" t="str">
        <f t="shared" si="139"/>
        <v>Yes</v>
      </c>
      <c r="BG342" t="str">
        <f t="shared" si="140"/>
        <v>No</v>
      </c>
      <c r="BH342" t="str">
        <f t="shared" si="141"/>
        <v>Yes</v>
      </c>
    </row>
    <row r="343" spans="1:60" x14ac:dyDescent="0.3">
      <c r="A343" s="1">
        <v>14</v>
      </c>
      <c r="B343" t="s">
        <v>846</v>
      </c>
      <c r="C343" t="s">
        <v>264</v>
      </c>
      <c r="D343" t="s">
        <v>264</v>
      </c>
      <c r="E343" t="s">
        <v>264</v>
      </c>
      <c r="F343" t="s">
        <v>264</v>
      </c>
      <c r="G343" t="s">
        <v>1624</v>
      </c>
      <c r="I343" t="str">
        <f t="shared" si="118"/>
        <v>N/A</v>
      </c>
      <c r="J343" t="str">
        <f t="shared" si="119"/>
        <v>N/A</v>
      </c>
      <c r="K343" t="str">
        <f t="shared" si="120"/>
        <v>N/A</v>
      </c>
      <c r="L343" t="str">
        <f t="shared" si="121"/>
        <v>N/A</v>
      </c>
      <c r="M343" t="str">
        <f t="shared" si="122"/>
        <v>N/A</v>
      </c>
      <c r="N343">
        <f t="shared" si="123"/>
        <v>-4170000</v>
      </c>
      <c r="P343">
        <f t="shared" si="124"/>
        <v>-4170000</v>
      </c>
      <c r="Q343">
        <f>IFERROR(J144+MATCH(P343,J343:N343,0)-1,"")</f>
        <v>2016</v>
      </c>
      <c r="R343">
        <f t="shared" si="125"/>
        <v>-4170000</v>
      </c>
      <c r="S343">
        <f>IFERROR(J144+MATCH(R343,J343:N343,0)-1,"")</f>
        <v>2016</v>
      </c>
      <c r="T343">
        <f t="shared" si="126"/>
        <v>-4170000</v>
      </c>
      <c r="U343" t="str">
        <f t="shared" si="127"/>
        <v/>
      </c>
      <c r="V343" t="str">
        <f t="shared" si="128"/>
        <v/>
      </c>
      <c r="W343" t="str">
        <f t="shared" si="129"/>
        <v/>
      </c>
      <c r="X343" t="str">
        <f t="shared" si="130"/>
        <v/>
      </c>
      <c r="Y343" t="str">
        <f t="shared" si="131"/>
        <v/>
      </c>
      <c r="Z343" t="str">
        <f t="shared" si="132"/>
        <v/>
      </c>
      <c r="AA343">
        <f t="shared" si="133"/>
        <v>0</v>
      </c>
      <c r="AB343" t="str">
        <f>IFERROR(V144+MATCH(AA343,V343:Z343,0)-1,"")</f>
        <v/>
      </c>
      <c r="AC343" t="str">
        <f t="shared" si="134"/>
        <v/>
      </c>
      <c r="AE343" t="str">
        <f>IF(ISNUMBER(MATCH("N/A",J343:N343,0)),"",IFERROR((5 * SUMPRODUCT(J144:N144,J343:N343) - PRODUCT(SUM(J144:N144),SUM(J343:N343))) / ((5 * SUM((J144^2)+(K144^2)+(L144^2)+(M144^2)+(N144^2))) - SUM(J144:N144)^2),""))</f>
        <v/>
      </c>
      <c r="AF343" t="str">
        <f>IFERROR(CORREL(J144:N144,J343:N343),"")</f>
        <v/>
      </c>
      <c r="AZ343">
        <f t="shared" si="135"/>
        <v>0</v>
      </c>
      <c r="BA343" t="str">
        <f>IF(AZ343=1,IF(Q343="","",IF(Q343=N144,"Yes","No")),"")</f>
        <v/>
      </c>
      <c r="BB343" t="str">
        <f t="shared" si="136"/>
        <v/>
      </c>
      <c r="BC343" t="str">
        <f>IF(AZ343=1,IF(S343="","",IF(S343=N144,"Yes","No")),"")</f>
        <v/>
      </c>
      <c r="BD343" t="str">
        <f t="shared" si="137"/>
        <v/>
      </c>
      <c r="BE343" t="str">
        <f t="shared" si="138"/>
        <v/>
      </c>
      <c r="BF343" t="str">
        <f t="shared" si="139"/>
        <v>No</v>
      </c>
      <c r="BG343" t="str">
        <f t="shared" si="140"/>
        <v>No</v>
      </c>
      <c r="BH343" t="str">
        <f t="shared" si="141"/>
        <v/>
      </c>
    </row>
    <row r="344" spans="1:60" x14ac:dyDescent="0.3">
      <c r="A344" s="1">
        <v>15</v>
      </c>
      <c r="B344" t="s">
        <v>849</v>
      </c>
      <c r="C344" t="s">
        <v>1388</v>
      </c>
      <c r="D344" t="s">
        <v>1621</v>
      </c>
      <c r="E344" t="s">
        <v>1622</v>
      </c>
      <c r="F344" t="s">
        <v>1623</v>
      </c>
      <c r="G344" t="s">
        <v>264</v>
      </c>
      <c r="I344" t="str">
        <f t="shared" si="118"/>
        <v>N/A</v>
      </c>
      <c r="J344">
        <f t="shared" si="119"/>
        <v>43040000</v>
      </c>
      <c r="K344">
        <f t="shared" si="120"/>
        <v>7760000</v>
      </c>
      <c r="L344">
        <f t="shared" si="121"/>
        <v>516000</v>
      </c>
      <c r="M344">
        <f t="shared" si="122"/>
        <v>3840000</v>
      </c>
      <c r="N344" t="str">
        <f t="shared" si="123"/>
        <v>N/A</v>
      </c>
      <c r="P344">
        <f t="shared" si="124"/>
        <v>43040000</v>
      </c>
      <c r="Q344">
        <f>IFERROR(J144+MATCH(P344,J344:N344,0)-1,"")</f>
        <v>2012</v>
      </c>
      <c r="R344">
        <f t="shared" si="125"/>
        <v>516000</v>
      </c>
      <c r="S344">
        <f>IFERROR(J144+MATCH(R344,J344:N344,0)-1,"")</f>
        <v>2014</v>
      </c>
      <c r="T344">
        <f t="shared" si="126"/>
        <v>13789000</v>
      </c>
      <c r="U344">
        <f t="shared" si="127"/>
        <v>19724138.9503657</v>
      </c>
      <c r="V344">
        <f t="shared" si="128"/>
        <v>1.4830051681144574</v>
      </c>
      <c r="W344">
        <f t="shared" si="129"/>
        <v>-0.30566606811945107</v>
      </c>
      <c r="X344">
        <f t="shared" si="130"/>
        <v>-0.67293178340512094</v>
      </c>
      <c r="Y344">
        <f t="shared" si="131"/>
        <v>-0.50440731658988536</v>
      </c>
      <c r="Z344" t="str">
        <f t="shared" si="132"/>
        <v/>
      </c>
      <c r="AA344">
        <f t="shared" si="133"/>
        <v>1.4830051681144574</v>
      </c>
      <c r="AB344">
        <f>IFERROR(V144+MATCH(AA344,V344:Z344,0)-1,"")</f>
        <v>2012</v>
      </c>
      <c r="AC344" t="str">
        <f t="shared" si="134"/>
        <v>High</v>
      </c>
      <c r="AE344" t="str">
        <f>IF(ISNUMBER(MATCH("N/A",J344:N344,0)),"",IFERROR((5 * SUMPRODUCT(J144:N144,J344:N344) - PRODUCT(SUM(J144:N144),SUM(J344:N344))) / ((5 * SUM((J144^2)+(K144^2)+(L144^2)+(M144^2)+(N144^2))) - SUM(J144:N144)^2),""))</f>
        <v/>
      </c>
      <c r="AF344">
        <f>IFERROR(CORREL(J144:N144,J344:N344),"")</f>
        <v>-0.8171353454949406</v>
      </c>
      <c r="AZ344">
        <f t="shared" si="135"/>
        <v>1</v>
      </c>
      <c r="BA344" t="str">
        <f>IF(AZ344=1,IF(Q344="","",IF(Q344=N144,"Yes","No")),"")</f>
        <v>No</v>
      </c>
      <c r="BB344" t="str">
        <f t="shared" si="136"/>
        <v/>
      </c>
      <c r="BC344" t="str">
        <f>IF(AZ344=1,IF(S344="","",IF(S344=N144,"Yes","No")),"")</f>
        <v>No</v>
      </c>
      <c r="BD344" t="str">
        <f t="shared" si="137"/>
        <v/>
      </c>
      <c r="BE344" t="str">
        <f t="shared" si="138"/>
        <v/>
      </c>
      <c r="BF344" t="str">
        <f t="shared" si="139"/>
        <v>No</v>
      </c>
      <c r="BG344" t="str">
        <f t="shared" si="140"/>
        <v>No</v>
      </c>
      <c r="BH344" t="str">
        <f t="shared" si="141"/>
        <v>Yes</v>
      </c>
    </row>
    <row r="345" spans="1:60" x14ac:dyDescent="0.3">
      <c r="A345" s="1">
        <v>16</v>
      </c>
      <c r="B345" t="s">
        <v>920</v>
      </c>
      <c r="C345" t="s">
        <v>1625</v>
      </c>
      <c r="D345" t="s">
        <v>1626</v>
      </c>
      <c r="E345" t="s">
        <v>1627</v>
      </c>
      <c r="F345" t="s">
        <v>1628</v>
      </c>
      <c r="G345" t="s">
        <v>1629</v>
      </c>
      <c r="I345" t="str">
        <f t="shared" si="118"/>
        <v>N/A</v>
      </c>
      <c r="J345">
        <f t="shared" si="119"/>
        <v>78140000</v>
      </c>
      <c r="K345">
        <f t="shared" si="120"/>
        <v>-35980000</v>
      </c>
      <c r="L345">
        <f t="shared" si="121"/>
        <v>-40480000</v>
      </c>
      <c r="M345">
        <f t="shared" si="122"/>
        <v>-12450000</v>
      </c>
      <c r="N345">
        <f t="shared" si="123"/>
        <v>-74200000</v>
      </c>
      <c r="P345">
        <f t="shared" si="124"/>
        <v>78140000</v>
      </c>
      <c r="Q345">
        <f>IFERROR(J144+MATCH(P345,J345:N345,0)-1,"")</f>
        <v>2012</v>
      </c>
      <c r="R345">
        <f t="shared" si="125"/>
        <v>-74200000</v>
      </c>
      <c r="S345">
        <f>IFERROR(J144+MATCH(R345,J345:N345,0)-1,"")</f>
        <v>2016</v>
      </c>
      <c r="T345">
        <f t="shared" si="126"/>
        <v>-16994000</v>
      </c>
      <c r="U345">
        <f t="shared" si="127"/>
        <v>57566728.064047553</v>
      </c>
      <c r="V345">
        <f t="shared" si="128"/>
        <v>1.6525865408601281</v>
      </c>
      <c r="W345">
        <f t="shared" si="129"/>
        <v>-0.32980856544211734</v>
      </c>
      <c r="X345">
        <f t="shared" si="130"/>
        <v>-0.40797871947611752</v>
      </c>
      <c r="Y345">
        <f t="shared" si="131"/>
        <v>7.8934484428999321E-2</v>
      </c>
      <c r="Z345">
        <f t="shared" si="132"/>
        <v>-0.99373374037089246</v>
      </c>
      <c r="AA345">
        <f t="shared" si="133"/>
        <v>1.6525865408601281</v>
      </c>
      <c r="AB345">
        <f>IFERROR(V144+MATCH(AA345,V345:Z345,0)-1,"")</f>
        <v>2012</v>
      </c>
      <c r="AC345" t="str">
        <f t="shared" si="134"/>
        <v>High</v>
      </c>
      <c r="AE345">
        <f>IF(ISNUMBER(MATCH("N/A",J345:N345,0)),"",IFERROR((5 * SUMPRODUCT(J144:N144,J345:N345) - PRODUCT(SUM(J144:N144),SUM(J345:N345))) / ((5 * SUM((J144^2)+(K144^2)+(L144^2)+(M144^2)+(N144^2))) - SUM(J144:N144)^2),""))</f>
        <v>-28115000</v>
      </c>
      <c r="AF345">
        <f>IFERROR(CORREL(J144:N144,J345:N345),"")</f>
        <v>-0.77221199993090972</v>
      </c>
      <c r="AZ345">
        <f t="shared" si="135"/>
        <v>1</v>
      </c>
      <c r="BA345" t="str">
        <f>IF(AZ345=1,IF(Q345="","",IF(Q345=N144,"Yes","No")),"")</f>
        <v>No</v>
      </c>
      <c r="BB345" t="str">
        <f t="shared" si="136"/>
        <v/>
      </c>
      <c r="BC345" t="str">
        <f>IF(AZ345=1,IF(S345="","",IF(S345=N144,"Yes","No")),"")</f>
        <v>Yes</v>
      </c>
      <c r="BD345">
        <f t="shared" si="137"/>
        <v>-74200000</v>
      </c>
      <c r="BE345" t="str">
        <f t="shared" si="138"/>
        <v>Decreasing</v>
      </c>
      <c r="BF345" t="str">
        <f t="shared" si="139"/>
        <v>Yes</v>
      </c>
      <c r="BG345" t="str">
        <f t="shared" si="140"/>
        <v>No</v>
      </c>
      <c r="BH345" t="str">
        <f t="shared" si="141"/>
        <v>No</v>
      </c>
    </row>
    <row r="346" spans="1:60" x14ac:dyDescent="0.3">
      <c r="A346" s="1">
        <v>17</v>
      </c>
      <c r="B346" t="s">
        <v>926</v>
      </c>
      <c r="C346" t="s">
        <v>264</v>
      </c>
      <c r="D346" t="s">
        <v>1630</v>
      </c>
      <c r="E346" t="s">
        <v>1631</v>
      </c>
      <c r="F346" t="s">
        <v>1632</v>
      </c>
      <c r="G346" t="s">
        <v>1633</v>
      </c>
      <c r="I346" t="str">
        <f t="shared" si="118"/>
        <v>N/A</v>
      </c>
      <c r="J346" t="str">
        <f t="shared" si="119"/>
        <v>N/A</v>
      </c>
      <c r="K346">
        <f t="shared" si="120"/>
        <v>-1.4603999999999999</v>
      </c>
      <c r="L346">
        <f t="shared" si="121"/>
        <v>-0.12520000000000001</v>
      </c>
      <c r="M346">
        <f t="shared" si="122"/>
        <v>0.6925</v>
      </c>
      <c r="N346">
        <f t="shared" si="123"/>
        <v>-4.9614000000000003</v>
      </c>
      <c r="P346">
        <f t="shared" si="124"/>
        <v>0.6925</v>
      </c>
      <c r="Q346">
        <f>IFERROR(J144+MATCH(P346,J346:N346,0)-1,"")</f>
        <v>2015</v>
      </c>
      <c r="R346">
        <f t="shared" si="125"/>
        <v>-4.9614000000000003</v>
      </c>
      <c r="S346">
        <f>IFERROR(J144+MATCH(R346,J346:N346,0)-1,"")</f>
        <v>2016</v>
      </c>
      <c r="T346">
        <f t="shared" si="126"/>
        <v>-1.463625</v>
      </c>
      <c r="U346">
        <f t="shared" si="127"/>
        <v>2.4949747391840797</v>
      </c>
      <c r="V346" t="str">
        <f t="shared" si="128"/>
        <v/>
      </c>
      <c r="W346">
        <f t="shared" si="129"/>
        <v>1.2925982573493671E-3</v>
      </c>
      <c r="X346">
        <f t="shared" si="130"/>
        <v>0.53644831708304153</v>
      </c>
      <c r="Y346">
        <f t="shared" si="131"/>
        <v>0.86418710624104655</v>
      </c>
      <c r="Z346">
        <f t="shared" si="132"/>
        <v>-1.4019280215814376</v>
      </c>
      <c r="AA346">
        <f t="shared" si="133"/>
        <v>-1.4019280215814376</v>
      </c>
      <c r="AB346">
        <f>IFERROR(V144+MATCH(AA346,V346:Z346,0)-1,"")</f>
        <v>2016</v>
      </c>
      <c r="AC346" t="str">
        <f t="shared" si="134"/>
        <v>Low</v>
      </c>
      <c r="AE346" t="str">
        <f>IF(ISNUMBER(MATCH("N/A",J346:N346,0)),"",IFERROR((5 * SUMPRODUCT(J144:N144,J346:N346) - PRODUCT(SUM(J144:N144),SUM(J346:N346))) / ((5 * SUM((J144^2)+(K144^2)+(L144^2)+(M144^2)+(N144^2))) - SUM(J144:N144)^2),""))</f>
        <v/>
      </c>
      <c r="AF346">
        <f>IFERROR(CORREL(J144:N144,J346:N346),"")</f>
        <v>-0.5011541134252091</v>
      </c>
      <c r="AZ346">
        <f t="shared" si="135"/>
        <v>1</v>
      </c>
      <c r="BA346" t="str">
        <f>IF(AZ346=1,IF(Q346="","",IF(Q346=N144,"Yes","No")),"")</f>
        <v>No</v>
      </c>
      <c r="BB346" t="str">
        <f t="shared" si="136"/>
        <v/>
      </c>
      <c r="BC346" t="str">
        <f>IF(AZ346=1,IF(S346="","",IF(S346=N144,"Yes","No")),"")</f>
        <v>Yes</v>
      </c>
      <c r="BD346">
        <f t="shared" si="137"/>
        <v>-4.9614000000000003</v>
      </c>
      <c r="BE346" t="str">
        <f t="shared" si="138"/>
        <v/>
      </c>
      <c r="BF346" t="str">
        <f t="shared" si="139"/>
        <v>No</v>
      </c>
      <c r="BG346" t="str">
        <f t="shared" si="140"/>
        <v>No</v>
      </c>
      <c r="BH346" t="str">
        <f t="shared" si="141"/>
        <v>No</v>
      </c>
    </row>
    <row r="347" spans="1:60" x14ac:dyDescent="0.3">
      <c r="A347" s="1">
        <v>18</v>
      </c>
      <c r="B347" t="s">
        <v>931</v>
      </c>
      <c r="C347" t="s">
        <v>1634</v>
      </c>
      <c r="D347" t="s">
        <v>1635</v>
      </c>
      <c r="E347" t="s">
        <v>1636</v>
      </c>
      <c r="F347" t="s">
        <v>1637</v>
      </c>
      <c r="G347" t="s">
        <v>1638</v>
      </c>
      <c r="I347" t="str">
        <f t="shared" si="118"/>
        <v>N/A</v>
      </c>
      <c r="J347">
        <f t="shared" si="119"/>
        <v>3.78E-2</v>
      </c>
      <c r="K347">
        <f t="shared" si="120"/>
        <v>-1.5600000000000001E-2</v>
      </c>
      <c r="L347">
        <f t="shared" si="121"/>
        <v>-1.5500000000000002E-2</v>
      </c>
      <c r="M347">
        <f t="shared" si="122"/>
        <v>-4.7000000000000002E-3</v>
      </c>
      <c r="N347">
        <f t="shared" si="123"/>
        <v>-2.75E-2</v>
      </c>
      <c r="P347">
        <f t="shared" si="124"/>
        <v>3.78E-2</v>
      </c>
      <c r="Q347">
        <f>IFERROR(J144+MATCH(P347,J347:N347,0)-1,"")</f>
        <v>2012</v>
      </c>
      <c r="R347">
        <f t="shared" si="125"/>
        <v>-2.75E-2</v>
      </c>
      <c r="S347">
        <f>IFERROR(J144+MATCH(R347,J347:N347,0)-1,"")</f>
        <v>2016</v>
      </c>
      <c r="T347">
        <f t="shared" si="126"/>
        <v>-5.1000000000000012E-3</v>
      </c>
      <c r="U347">
        <f t="shared" si="127"/>
        <v>2.5301877400698947E-2</v>
      </c>
      <c r="V347">
        <f t="shared" si="128"/>
        <v>1.6955263564281959</v>
      </c>
      <c r="W347">
        <f t="shared" si="129"/>
        <v>-0.41498896835655141</v>
      </c>
      <c r="X347">
        <f t="shared" si="130"/>
        <v>-0.41103669246744146</v>
      </c>
      <c r="Y347">
        <f t="shared" si="131"/>
        <v>1.5809103556440097E-2</v>
      </c>
      <c r="Z347">
        <f t="shared" si="132"/>
        <v>-0.88530979916064312</v>
      </c>
      <c r="AA347">
        <f t="shared" si="133"/>
        <v>1.6955263564281959</v>
      </c>
      <c r="AB347">
        <f>IFERROR(V144+MATCH(AA347,V347:Z347,0)-1,"")</f>
        <v>2012</v>
      </c>
      <c r="AC347" t="str">
        <f t="shared" si="134"/>
        <v>High</v>
      </c>
      <c r="AE347">
        <f>IF(ISNUMBER(MATCH("N/A",J347:N347,0)),"",IFERROR((5 * SUMPRODUCT(J144:N144,J347:N347) - PRODUCT(SUM(J144:N144),SUM(J347:N347))) / ((5 * SUM((J144^2)+(K144^2)+(L144^2)+(M144^2)+(N144^2))) - SUM(J144:N144)^2),""))</f>
        <v>-1.1969999999998891E-2</v>
      </c>
      <c r="AF347">
        <f>IFERROR(CORREL(J144:N144,J347:N347),"")</f>
        <v>-0.74801689599463972</v>
      </c>
      <c r="AZ347">
        <f t="shared" si="135"/>
        <v>1</v>
      </c>
      <c r="BA347" t="str">
        <f>IF(AZ347=1,IF(Q347="","",IF(Q347=N144,"Yes","No")),"")</f>
        <v>No</v>
      </c>
      <c r="BB347" t="str">
        <f t="shared" si="136"/>
        <v/>
      </c>
      <c r="BC347" t="str">
        <f>IF(AZ347=1,IF(S347="","",IF(S347=N144,"Yes","No")),"")</f>
        <v>Yes</v>
      </c>
      <c r="BD347">
        <f t="shared" si="137"/>
        <v>-2.75E-2</v>
      </c>
      <c r="BE347" t="str">
        <f t="shared" si="138"/>
        <v>Decreasing</v>
      </c>
      <c r="BF347" t="str">
        <f t="shared" si="139"/>
        <v>Yes</v>
      </c>
      <c r="BG347" t="str">
        <f t="shared" si="140"/>
        <v>No</v>
      </c>
      <c r="BH347" t="str">
        <f t="shared" si="141"/>
        <v>No</v>
      </c>
    </row>
    <row r="348" spans="1:60" x14ac:dyDescent="0.3">
      <c r="A348" s="1">
        <v>19</v>
      </c>
      <c r="B348" t="s">
        <v>937</v>
      </c>
      <c r="C348" t="s">
        <v>264</v>
      </c>
      <c r="D348" t="s">
        <v>264</v>
      </c>
      <c r="E348" t="s">
        <v>264</v>
      </c>
      <c r="F348" t="s">
        <v>264</v>
      </c>
      <c r="G348" t="s">
        <v>264</v>
      </c>
      <c r="I348" t="str">
        <f t="shared" si="118"/>
        <v>N/A</v>
      </c>
      <c r="J348" t="str">
        <f t="shared" si="119"/>
        <v>N/A</v>
      </c>
      <c r="K348" t="str">
        <f t="shared" si="120"/>
        <v>N/A</v>
      </c>
      <c r="L348" t="str">
        <f t="shared" si="121"/>
        <v>N/A</v>
      </c>
      <c r="M348" t="str">
        <f t="shared" si="122"/>
        <v>N/A</v>
      </c>
      <c r="N348" t="str">
        <f t="shared" si="123"/>
        <v>N/A</v>
      </c>
      <c r="P348">
        <f t="shared" si="124"/>
        <v>0</v>
      </c>
      <c r="Q348" t="str">
        <f>IFERROR(J144+MATCH(P348,J348:N348,0)-1,"")</f>
        <v/>
      </c>
      <c r="R348" t="str">
        <f t="shared" si="125"/>
        <v/>
      </c>
      <c r="S348" t="str">
        <f>IFERROR(J144+MATCH(R348,J348:N348,0)-1,"")</f>
        <v/>
      </c>
      <c r="T348" t="str">
        <f t="shared" si="126"/>
        <v/>
      </c>
      <c r="U348" t="str">
        <f t="shared" si="127"/>
        <v/>
      </c>
      <c r="V348" t="str">
        <f t="shared" si="128"/>
        <v/>
      </c>
      <c r="W348" t="str">
        <f t="shared" si="129"/>
        <v/>
      </c>
      <c r="X348" t="str">
        <f t="shared" si="130"/>
        <v/>
      </c>
      <c r="Y348" t="str">
        <f t="shared" si="131"/>
        <v/>
      </c>
      <c r="Z348" t="str">
        <f t="shared" si="132"/>
        <v/>
      </c>
      <c r="AA348">
        <f t="shared" si="133"/>
        <v>0</v>
      </c>
      <c r="AB348" t="str">
        <f>IFERROR(V144+MATCH(AA348,V348:Z348,0)-1,"")</f>
        <v/>
      </c>
      <c r="AC348" t="str">
        <f t="shared" si="134"/>
        <v/>
      </c>
      <c r="AE348" t="str">
        <f>IF(ISNUMBER(MATCH("N/A",J348:N348,0)),"",IFERROR((5 * SUMPRODUCT(J144:N144,J348:N348) - PRODUCT(SUM(J144:N144),SUM(J348:N348))) / ((5 * SUM((J144^2)+(K144^2)+(L144^2)+(M144^2)+(N144^2))) - SUM(J144:N144)^2),""))</f>
        <v/>
      </c>
      <c r="AF348" t="str">
        <f>IFERROR(CORREL(J144:N144,J348:N348),"")</f>
        <v/>
      </c>
      <c r="AZ348">
        <f t="shared" si="135"/>
        <v>0</v>
      </c>
      <c r="BA348" t="str">
        <f>IF(AZ348=1,IF(Q348="","",IF(Q348=N144,"Yes","No")),"")</f>
        <v/>
      </c>
      <c r="BB348" t="str">
        <f t="shared" si="136"/>
        <v/>
      </c>
      <c r="BC348" t="str">
        <f>IF(AZ348=1,IF(S348="","",IF(S348=N144,"Yes","No")),"")</f>
        <v/>
      </c>
      <c r="BD348" t="str">
        <f t="shared" si="137"/>
        <v/>
      </c>
      <c r="BE348" t="str">
        <f t="shared" si="138"/>
        <v/>
      </c>
      <c r="BF348" t="str">
        <f t="shared" si="139"/>
        <v>No</v>
      </c>
      <c r="BG348" t="str">
        <f t="shared" si="140"/>
        <v>No</v>
      </c>
      <c r="BH348" t="str">
        <f t="shared" si="141"/>
        <v/>
      </c>
    </row>
    <row r="349" spans="1:60" x14ac:dyDescent="0.3">
      <c r="A349" s="1">
        <v>20</v>
      </c>
      <c r="B349" t="s">
        <v>939</v>
      </c>
      <c r="C349" t="s">
        <v>698</v>
      </c>
      <c r="D349" t="s">
        <v>698</v>
      </c>
      <c r="E349" t="s">
        <v>698</v>
      </c>
      <c r="F349" t="s">
        <v>698</v>
      </c>
      <c r="G349" t="s">
        <v>698</v>
      </c>
      <c r="I349" t="str">
        <f t="shared" si="118"/>
        <v>N/A</v>
      </c>
      <c r="J349">
        <f t="shared" si="119"/>
        <v>0</v>
      </c>
      <c r="K349">
        <f t="shared" si="120"/>
        <v>0</v>
      </c>
      <c r="L349">
        <f t="shared" si="121"/>
        <v>0</v>
      </c>
      <c r="M349">
        <f t="shared" si="122"/>
        <v>0</v>
      </c>
      <c r="N349">
        <f t="shared" si="123"/>
        <v>0</v>
      </c>
      <c r="P349">
        <f t="shared" si="124"/>
        <v>0</v>
      </c>
      <c r="Q349">
        <f>IFERROR(J144+MATCH(P349,J349:N349,0)-1,"")</f>
        <v>2012</v>
      </c>
      <c r="R349">
        <f t="shared" si="125"/>
        <v>0</v>
      </c>
      <c r="S349">
        <f>IFERROR(J144+MATCH(R349,J349:N349,0)-1,"")</f>
        <v>2012</v>
      </c>
      <c r="T349">
        <f t="shared" si="126"/>
        <v>0</v>
      </c>
      <c r="U349">
        <f t="shared" si="127"/>
        <v>0</v>
      </c>
      <c r="V349" t="str">
        <f t="shared" si="128"/>
        <v/>
      </c>
      <c r="W349" t="str">
        <f t="shared" si="129"/>
        <v/>
      </c>
      <c r="X349" t="str">
        <f t="shared" si="130"/>
        <v/>
      </c>
      <c r="Y349" t="str">
        <f t="shared" si="131"/>
        <v/>
      </c>
      <c r="Z349" t="str">
        <f t="shared" si="132"/>
        <v/>
      </c>
      <c r="AA349">
        <f t="shared" si="133"/>
        <v>0</v>
      </c>
      <c r="AB349" t="str">
        <f>IFERROR(V144+MATCH(AA349,V349:Z349,0)-1,"")</f>
        <v/>
      </c>
      <c r="AC349" t="str">
        <f t="shared" si="134"/>
        <v/>
      </c>
      <c r="AE349">
        <f>IF(ISNUMBER(MATCH("N/A",J349:N349,0)),"",IFERROR((5 * SUMPRODUCT(J144:N144,J349:N349) - PRODUCT(SUM(J144:N144),SUM(J349:N349))) / ((5 * SUM((J144^2)+(K144^2)+(L144^2)+(M144^2)+(N144^2))) - SUM(J144:N144)^2),""))</f>
        <v>0</v>
      </c>
      <c r="AF349" t="str">
        <f>IFERROR(CORREL(J144:N144,J349:N349),"")</f>
        <v/>
      </c>
      <c r="AZ349">
        <f t="shared" si="135"/>
        <v>0</v>
      </c>
      <c r="BA349" t="str">
        <f>IF(AZ349=1,IF(Q349="","",IF(Q349=N144,"Yes","No")),"")</f>
        <v/>
      </c>
      <c r="BB349" t="str">
        <f t="shared" si="136"/>
        <v/>
      </c>
      <c r="BC349" t="str">
        <f>IF(AZ349=1,IF(S349="","",IF(S349=N144,"Yes","No")),"")</f>
        <v/>
      </c>
      <c r="BD349" t="str">
        <f t="shared" si="137"/>
        <v/>
      </c>
      <c r="BE349" t="str">
        <f t="shared" si="138"/>
        <v/>
      </c>
      <c r="BF349" t="str">
        <f t="shared" si="139"/>
        <v>No</v>
      </c>
      <c r="BG349" t="str">
        <f t="shared" si="140"/>
        <v>No</v>
      </c>
      <c r="BH349" t="str">
        <f t="shared" si="141"/>
        <v/>
      </c>
    </row>
    <row r="350" spans="1:60" x14ac:dyDescent="0.3">
      <c r="A350" s="1">
        <v>21</v>
      </c>
      <c r="B350" t="s">
        <v>940</v>
      </c>
      <c r="C350" t="s">
        <v>1639</v>
      </c>
      <c r="D350" t="s">
        <v>1640</v>
      </c>
      <c r="E350" t="s">
        <v>1641</v>
      </c>
      <c r="F350" t="s">
        <v>1642</v>
      </c>
      <c r="G350" t="s">
        <v>1643</v>
      </c>
      <c r="I350" t="str">
        <f t="shared" si="118"/>
        <v>N/A</v>
      </c>
      <c r="J350">
        <f t="shared" si="119"/>
        <v>-50590000</v>
      </c>
      <c r="K350">
        <f t="shared" si="120"/>
        <v>14650000</v>
      </c>
      <c r="L350">
        <f t="shared" si="121"/>
        <v>51690000</v>
      </c>
      <c r="M350">
        <f t="shared" si="122"/>
        <v>7930000</v>
      </c>
      <c r="N350">
        <f t="shared" si="123"/>
        <v>-51120000</v>
      </c>
      <c r="P350">
        <f t="shared" si="124"/>
        <v>51690000</v>
      </c>
      <c r="Q350">
        <f>IFERROR(J144+MATCH(P350,J350:N350,0)-1,"")</f>
        <v>2014</v>
      </c>
      <c r="R350">
        <f t="shared" si="125"/>
        <v>-51120000</v>
      </c>
      <c r="S350">
        <f>IFERROR(J144+MATCH(R350,J350:N350,0)-1,"")</f>
        <v>2016</v>
      </c>
      <c r="T350">
        <f t="shared" si="126"/>
        <v>-5488000</v>
      </c>
      <c r="U350">
        <f t="shared" si="127"/>
        <v>44641279.327546157</v>
      </c>
      <c r="V350">
        <f t="shared" si="128"/>
        <v>-1.0103205078213238</v>
      </c>
      <c r="W350">
        <f t="shared" si="129"/>
        <v>0.45110714350817743</v>
      </c>
      <c r="X350">
        <f t="shared" si="130"/>
        <v>1.2808324685425847</v>
      </c>
      <c r="Y350">
        <f t="shared" si="131"/>
        <v>0.30057382319955928</v>
      </c>
      <c r="Z350">
        <f t="shared" si="132"/>
        <v>-1.0221929274289976</v>
      </c>
      <c r="AA350">
        <f t="shared" si="133"/>
        <v>1.2808324685425847</v>
      </c>
      <c r="AB350">
        <f>IFERROR(V144+MATCH(AA350,V350:Z350,0)-1,"")</f>
        <v>2014</v>
      </c>
      <c r="AC350" t="str">
        <f t="shared" si="134"/>
        <v>High</v>
      </c>
      <c r="AE350">
        <f>IF(ISNUMBER(MATCH("N/A",J350:N350,0)),"",IFERROR((5 * SUMPRODUCT(J144:N144,J350:N350) - PRODUCT(SUM(J144:N144),SUM(J350:N350))) / ((5 * SUM((J144^2)+(K144^2)+(L144^2)+(M144^2)+(N144^2))) - SUM(J144:N144)^2),""))</f>
        <v>-778000</v>
      </c>
      <c r="AF350">
        <f>IFERROR(CORREL(J144:N144,J350:N350),"")</f>
        <v>-2.7555796525894884E-2</v>
      </c>
      <c r="AZ350">
        <f t="shared" si="135"/>
        <v>1</v>
      </c>
      <c r="BA350" t="str">
        <f>IF(AZ350=1,IF(Q350="","",IF(Q350=N144,"Yes","No")),"")</f>
        <v>No</v>
      </c>
      <c r="BB350" t="str">
        <f t="shared" si="136"/>
        <v/>
      </c>
      <c r="BC350" t="str">
        <f>IF(AZ350=1,IF(S350="","",IF(S350=N144,"Yes","No")),"")</f>
        <v>Yes</v>
      </c>
      <c r="BD350">
        <f t="shared" si="137"/>
        <v>-51120000</v>
      </c>
      <c r="BE350" t="str">
        <f t="shared" si="138"/>
        <v>Decreasing</v>
      </c>
      <c r="BF350" t="str">
        <f t="shared" si="139"/>
        <v>Yes</v>
      </c>
      <c r="BG350" t="str">
        <f t="shared" si="140"/>
        <v>No</v>
      </c>
      <c r="BH350" t="str">
        <f t="shared" si="141"/>
        <v>No</v>
      </c>
    </row>
    <row r="351" spans="1:60" x14ac:dyDescent="0.3">
      <c r="A351" s="1">
        <v>22</v>
      </c>
      <c r="B351" t="s">
        <v>946</v>
      </c>
      <c r="C351" t="s">
        <v>1644</v>
      </c>
      <c r="D351" t="s">
        <v>1645</v>
      </c>
      <c r="E351" t="s">
        <v>1646</v>
      </c>
      <c r="F351" t="s">
        <v>1647</v>
      </c>
      <c r="G351" t="s">
        <v>1648</v>
      </c>
      <c r="I351" t="str">
        <f t="shared" si="118"/>
        <v>N/A</v>
      </c>
      <c r="J351">
        <f t="shared" si="119"/>
        <v>47260000</v>
      </c>
      <c r="K351">
        <f t="shared" si="120"/>
        <v>59470000</v>
      </c>
      <c r="L351">
        <f t="shared" si="121"/>
        <v>108280000</v>
      </c>
      <c r="M351">
        <f t="shared" si="122"/>
        <v>67590000</v>
      </c>
      <c r="N351">
        <f t="shared" si="123"/>
        <v>31520000</v>
      </c>
      <c r="P351">
        <f t="shared" si="124"/>
        <v>108280000</v>
      </c>
      <c r="Q351">
        <f>IFERROR(J144+MATCH(P351,J351:N351,0)-1,"")</f>
        <v>2014</v>
      </c>
      <c r="R351">
        <f t="shared" si="125"/>
        <v>31520000</v>
      </c>
      <c r="S351">
        <f>IFERROR(J144+MATCH(R351,J351:N351,0)-1,"")</f>
        <v>2016</v>
      </c>
      <c r="T351">
        <f t="shared" si="126"/>
        <v>62824000</v>
      </c>
      <c r="U351">
        <f t="shared" si="127"/>
        <v>28820090.735457443</v>
      </c>
      <c r="V351">
        <f t="shared" si="128"/>
        <v>-0.54003993751662849</v>
      </c>
      <c r="W351">
        <f t="shared" si="129"/>
        <v>-0.11637714921811693</v>
      </c>
      <c r="X351">
        <f t="shared" si="130"/>
        <v>1.5772330634641392</v>
      </c>
      <c r="Y351">
        <f t="shared" si="131"/>
        <v>0.16537074930636411</v>
      </c>
      <c r="Z351">
        <f t="shared" si="132"/>
        <v>-1.0861867260357581</v>
      </c>
      <c r="AA351">
        <f t="shared" si="133"/>
        <v>1.5772330634641392</v>
      </c>
      <c r="AB351">
        <f>IFERROR(V144+MATCH(AA351,V351:Z351,0)-1,"")</f>
        <v>2014</v>
      </c>
      <c r="AC351" t="str">
        <f t="shared" si="134"/>
        <v>High</v>
      </c>
      <c r="AE351">
        <f>IF(ISNUMBER(MATCH("N/A",J351:N351,0)),"",IFERROR((5 * SUMPRODUCT(J144:N144,J351:N351) - PRODUCT(SUM(J144:N144),SUM(J351:N351))) / ((5 * SUM((J144^2)+(K144^2)+(L144^2)+(M144^2)+(N144^2))) - SUM(J144:N144)^2),""))</f>
        <v>-2336000</v>
      </c>
      <c r="AF351">
        <f>IFERROR(CORREL(J144:N144,J351:N351),"")</f>
        <v>-0.12815852458550706</v>
      </c>
      <c r="AZ351">
        <f t="shared" si="135"/>
        <v>1</v>
      </c>
      <c r="BA351" t="str">
        <f>IF(AZ351=1,IF(Q351="","",IF(Q351=N144,"Yes","No")),"")</f>
        <v>No</v>
      </c>
      <c r="BB351" t="str">
        <f t="shared" si="136"/>
        <v/>
      </c>
      <c r="BC351" t="str">
        <f>IF(AZ351=1,IF(S351="","",IF(S351=N144,"Yes","No")),"")</f>
        <v>Yes</v>
      </c>
      <c r="BD351">
        <f t="shared" si="137"/>
        <v>31520000</v>
      </c>
      <c r="BE351" t="str">
        <f t="shared" si="138"/>
        <v>Decreasing</v>
      </c>
      <c r="BF351" t="str">
        <f t="shared" si="139"/>
        <v>Yes</v>
      </c>
      <c r="BG351" t="str">
        <f t="shared" si="140"/>
        <v>No</v>
      </c>
      <c r="BH351" t="str">
        <f t="shared" si="141"/>
        <v>No</v>
      </c>
    </row>
    <row r="352" spans="1:60" x14ac:dyDescent="0.3">
      <c r="A352" s="1">
        <v>23</v>
      </c>
      <c r="B352" t="s">
        <v>952</v>
      </c>
      <c r="C352" t="s">
        <v>264</v>
      </c>
      <c r="D352" t="s">
        <v>1649</v>
      </c>
      <c r="E352" t="s">
        <v>1650</v>
      </c>
      <c r="F352" t="s">
        <v>1651</v>
      </c>
      <c r="G352" t="s">
        <v>1652</v>
      </c>
      <c r="I352" t="str">
        <f t="shared" si="118"/>
        <v>N/A</v>
      </c>
      <c r="J352" t="str">
        <f t="shared" si="119"/>
        <v>N/A</v>
      </c>
      <c r="K352">
        <f t="shared" si="120"/>
        <v>0.25840000000000002</v>
      </c>
      <c r="L352">
        <f t="shared" si="121"/>
        <v>0.82090000000000007</v>
      </c>
      <c r="M352">
        <f t="shared" si="122"/>
        <v>-0.37579999999999997</v>
      </c>
      <c r="N352">
        <f t="shared" si="123"/>
        <v>-0.53380000000000005</v>
      </c>
      <c r="P352">
        <f t="shared" si="124"/>
        <v>0.82090000000000007</v>
      </c>
      <c r="Q352">
        <f>IFERROR(J144+MATCH(P352,J352:N352,0)-1,"")</f>
        <v>2014</v>
      </c>
      <c r="R352">
        <f t="shared" si="125"/>
        <v>-0.53380000000000005</v>
      </c>
      <c r="S352">
        <f>IFERROR(J144+MATCH(R352,J352:N352,0)-1,"")</f>
        <v>2016</v>
      </c>
      <c r="T352">
        <f t="shared" si="126"/>
        <v>4.2425000000000046E-2</v>
      </c>
      <c r="U352">
        <f t="shared" si="127"/>
        <v>0.62172231944816003</v>
      </c>
      <c r="V352" t="str">
        <f t="shared" si="128"/>
        <v/>
      </c>
      <c r="W352">
        <f t="shared" si="129"/>
        <v>0.34738177035641749</v>
      </c>
      <c r="X352">
        <f t="shared" si="130"/>
        <v>1.2521265131529675</v>
      </c>
      <c r="Y352">
        <f t="shared" si="131"/>
        <v>-0.67268776898859928</v>
      </c>
      <c r="Z352">
        <f t="shared" si="132"/>
        <v>-0.92682051452078595</v>
      </c>
      <c r="AA352">
        <f t="shared" si="133"/>
        <v>1.2521265131529675</v>
      </c>
      <c r="AB352">
        <f>IFERROR(V144+MATCH(AA352,V352:Z352,0)-1,"")</f>
        <v>2014</v>
      </c>
      <c r="AC352" t="str">
        <f t="shared" si="134"/>
        <v>High</v>
      </c>
      <c r="AE352" t="str">
        <f>IF(ISNUMBER(MATCH("N/A",J352:N352,0)),"",IFERROR((5 * SUMPRODUCT(J144:N144,J352:N352) - PRODUCT(SUM(J144:N144),SUM(J352:N352))) / ((5 * SUM((J144^2)+(K144^2)+(L144^2)+(M144^2)+(N144^2))) - SUM(J144:N144)^2),""))</f>
        <v/>
      </c>
      <c r="AF352">
        <f>IFERROR(CORREL(J144:N144,J352:N352),"")</f>
        <v>-0.74198887821210036</v>
      </c>
      <c r="AZ352">
        <f t="shared" si="135"/>
        <v>1</v>
      </c>
      <c r="BA352" t="str">
        <f>IF(AZ352=1,IF(Q352="","",IF(Q352=N144,"Yes","No")),"")</f>
        <v>No</v>
      </c>
      <c r="BB352" t="str">
        <f t="shared" si="136"/>
        <v/>
      </c>
      <c r="BC352" t="str">
        <f>IF(AZ352=1,IF(S352="","",IF(S352=N144,"Yes","No")),"")</f>
        <v>Yes</v>
      </c>
      <c r="BD352">
        <f t="shared" si="137"/>
        <v>-0.53380000000000005</v>
      </c>
      <c r="BE352" t="str">
        <f t="shared" si="138"/>
        <v/>
      </c>
      <c r="BF352" t="str">
        <f t="shared" si="139"/>
        <v>No</v>
      </c>
      <c r="BG352" t="str">
        <f t="shared" si="140"/>
        <v>No</v>
      </c>
      <c r="BH352" t="str">
        <f t="shared" si="141"/>
        <v>No</v>
      </c>
    </row>
    <row r="353" spans="1:29" x14ac:dyDescent="0.3">
      <c r="A353" s="1">
        <v>24</v>
      </c>
      <c r="B353" t="s">
        <v>957</v>
      </c>
      <c r="C353" t="s">
        <v>264</v>
      </c>
      <c r="D353" t="s">
        <v>264</v>
      </c>
      <c r="E353" t="s">
        <v>264</v>
      </c>
      <c r="F353" t="s">
        <v>264</v>
      </c>
      <c r="G353" t="s">
        <v>1653</v>
      </c>
      <c r="I353" t="str">
        <f t="shared" si="118"/>
        <v>N/A</v>
      </c>
      <c r="J353" t="str">
        <f t="shared" si="119"/>
        <v>N/A</v>
      </c>
      <c r="K353" t="str">
        <f t="shared" si="120"/>
        <v>N/A</v>
      </c>
      <c r="L353" t="str">
        <f t="shared" si="121"/>
        <v>N/A</v>
      </c>
      <c r="M353" t="str">
        <f t="shared" si="122"/>
        <v>N/A</v>
      </c>
      <c r="N353">
        <f t="shared" si="123"/>
        <v>3.2000000000000001E-2</v>
      </c>
      <c r="P353">
        <f t="shared" si="124"/>
        <v>3.2000000000000001E-2</v>
      </c>
      <c r="Q353">
        <f>IFERROR(J144+MATCH(P353,J353:N353,0)-1,"")</f>
        <v>2016</v>
      </c>
      <c r="R353">
        <f t="shared" si="125"/>
        <v>3.2000000000000001E-2</v>
      </c>
      <c r="T353">
        <f t="shared" si="126"/>
        <v>3.2000000000000001E-2</v>
      </c>
      <c r="U353" t="str">
        <f t="shared" si="127"/>
        <v/>
      </c>
      <c r="V353" t="str">
        <f t="shared" si="128"/>
        <v/>
      </c>
      <c r="W353" t="str">
        <f t="shared" si="129"/>
        <v/>
      </c>
      <c r="X353" t="str">
        <f t="shared" si="130"/>
        <v/>
      </c>
      <c r="Y353" t="str">
        <f t="shared" si="131"/>
        <v/>
      </c>
      <c r="Z353" t="str">
        <f t="shared" si="132"/>
        <v/>
      </c>
      <c r="AA353">
        <f t="shared" si="133"/>
        <v>0</v>
      </c>
      <c r="AB353" t="str">
        <f>IFERROR(V144+MATCH(AA353,V353:Z353,0)-1,"")</f>
        <v/>
      </c>
      <c r="AC353" t="str">
        <f>IF(S353=AB353,"Low",IF(AB353=Q353,"High",""))</f>
        <v>Low</v>
      </c>
    </row>
    <row r="354" spans="1:29" x14ac:dyDescent="0.3">
      <c r="I354" t="str">
        <f t="shared" si="118"/>
        <v>N/A</v>
      </c>
      <c r="J354" t="str">
        <f t="shared" si="119"/>
        <v>N/A</v>
      </c>
      <c r="K354" t="str">
        <f t="shared" si="120"/>
        <v>N/A</v>
      </c>
      <c r="L354" t="str">
        <f t="shared" si="121"/>
        <v>N/A</v>
      </c>
      <c r="M354" t="str">
        <f t="shared" si="122"/>
        <v>N/A</v>
      </c>
      <c r="N354" t="str">
        <f t="shared" si="123"/>
        <v>N/A</v>
      </c>
      <c r="V354">
        <f>MAX(V145:V353)</f>
        <v>1.786717396245977</v>
      </c>
      <c r="W354">
        <f>MAX(W145:W353)</f>
        <v>1.2832136176882303</v>
      </c>
      <c r="X354">
        <f>MAX(X145:X353)</f>
        <v>1.5772330634641392</v>
      </c>
      <c r="Y354">
        <f>MAX(Y145:Y353)</f>
        <v>1.506877062022614</v>
      </c>
      <c r="Z354">
        <f>MAX(Z145:Z353)</f>
        <v>1.7800332608172877</v>
      </c>
    </row>
    <row r="355" spans="1:29" x14ac:dyDescent="0.3">
      <c r="A355" s="1">
        <v>0</v>
      </c>
      <c r="B355" t="s">
        <v>1654</v>
      </c>
      <c r="C355" t="s">
        <v>1655</v>
      </c>
      <c r="I355" t="str">
        <f t="shared" si="118"/>
        <v>N/A</v>
      </c>
      <c r="J355" t="str">
        <f t="shared" si="119"/>
        <v>N/A</v>
      </c>
      <c r="K355" t="str">
        <f t="shared" si="120"/>
        <v>N/A</v>
      </c>
      <c r="L355" t="str">
        <f t="shared" si="121"/>
        <v>N/A</v>
      </c>
      <c r="M355" t="str">
        <f t="shared" si="122"/>
        <v>N/A</v>
      </c>
      <c r="N355" t="str">
        <f t="shared" si="123"/>
        <v>N/A</v>
      </c>
      <c r="V355">
        <f>MIN(V145:V353)</f>
        <v>-1.7697742667240861</v>
      </c>
      <c r="W355">
        <f>MIN(W145:W353)</f>
        <v>-1.4864679036957416</v>
      </c>
      <c r="X355">
        <f>MIN(X145:X353)</f>
        <v>-1.5942463524573565</v>
      </c>
      <c r="Y355">
        <f>MIN(Y145:Y353)</f>
        <v>-1.7437366440377098</v>
      </c>
      <c r="Z355">
        <f>MIN(Z145:Z353)</f>
        <v>-1.7746906890113727</v>
      </c>
    </row>
    <row r="356" spans="1:29" x14ac:dyDescent="0.3">
      <c r="A356" s="1">
        <v>1</v>
      </c>
      <c r="B356" t="s">
        <v>1656</v>
      </c>
      <c r="C356" t="s">
        <v>1657</v>
      </c>
      <c r="I356" t="str">
        <f t="shared" si="118"/>
        <v>N/A</v>
      </c>
      <c r="J356" t="str">
        <f t="shared" si="119"/>
        <v>N/A</v>
      </c>
      <c r="K356" t="str">
        <f t="shared" si="120"/>
        <v>N/A</v>
      </c>
      <c r="L356" t="str">
        <f t="shared" si="121"/>
        <v>N/A</v>
      </c>
      <c r="M356" t="str">
        <f t="shared" si="122"/>
        <v>N/A</v>
      </c>
      <c r="N356" t="str">
        <f t="shared" si="123"/>
        <v>N/A</v>
      </c>
      <c r="V356">
        <f>COUNTIF(V145:V353,"&gt;1.5")</f>
        <v>6</v>
      </c>
      <c r="W356">
        <f>COUNTIF(W145:W353,"&gt;1.5")</f>
        <v>0</v>
      </c>
      <c r="X356">
        <f>COUNTIF(X145:X353,"&gt;1.5")</f>
        <v>1</v>
      </c>
      <c r="Y356">
        <f>COUNTIF(Y145:Y353,"&gt;1.5")</f>
        <v>1</v>
      </c>
      <c r="Z356">
        <f>COUNTIF(Z145:Z353,"&gt;1.5")</f>
        <v>10</v>
      </c>
    </row>
    <row r="357" spans="1:29" x14ac:dyDescent="0.3">
      <c r="A357" s="1">
        <v>2</v>
      </c>
      <c r="B357" t="s">
        <v>1658</v>
      </c>
      <c r="C357" t="s">
        <v>1659</v>
      </c>
      <c r="I357" t="str">
        <f t="shared" si="118"/>
        <v>N/A</v>
      </c>
      <c r="J357" t="str">
        <f t="shared" si="119"/>
        <v>N/A</v>
      </c>
      <c r="K357" t="str">
        <f t="shared" si="120"/>
        <v>N/A</v>
      </c>
      <c r="L357" t="str">
        <f t="shared" si="121"/>
        <v>N/A</v>
      </c>
      <c r="M357" t="str">
        <f t="shared" si="122"/>
        <v>N/A</v>
      </c>
      <c r="N357" t="str">
        <f t="shared" si="123"/>
        <v>N/A</v>
      </c>
      <c r="V357">
        <f>COUNTIF(V145:V353,"&lt;-1.5")</f>
        <v>8</v>
      </c>
      <c r="W357">
        <f>COUNTIF(W145:W353,"&lt;-1.5")</f>
        <v>0</v>
      </c>
      <c r="X357">
        <f>COUNTIF(X145:X353,"&lt;-1.5")</f>
        <v>1</v>
      </c>
      <c r="Y357">
        <f>COUNTIF(Y145:Y353,"&lt;-1.5")</f>
        <v>1</v>
      </c>
      <c r="Z357">
        <f>COUNTIF(Z145:Z353,"&lt;-1.5")</f>
        <v>3</v>
      </c>
    </row>
    <row r="358" spans="1:29" x14ac:dyDescent="0.3">
      <c r="A358" s="1">
        <v>3</v>
      </c>
      <c r="B358" t="s">
        <v>1660</v>
      </c>
      <c r="C358" t="s">
        <v>1661</v>
      </c>
      <c r="I358" t="str">
        <f t="shared" si="118"/>
        <v>N/A</v>
      </c>
      <c r="J358" t="str">
        <f t="shared" si="119"/>
        <v>N/A</v>
      </c>
      <c r="K358" t="str">
        <f t="shared" si="120"/>
        <v>N/A</v>
      </c>
      <c r="L358" t="str">
        <f t="shared" si="121"/>
        <v>N/A</v>
      </c>
      <c r="M358" t="str">
        <f t="shared" si="122"/>
        <v>N/A</v>
      </c>
      <c r="N358" t="str">
        <f t="shared" si="123"/>
        <v>N/A</v>
      </c>
      <c r="V358">
        <f>SUM(V356:V357)</f>
        <v>14</v>
      </c>
      <c r="W358">
        <f>SUM(W356:W357)</f>
        <v>0</v>
      </c>
      <c r="X358">
        <f>SUM(X356:X357)</f>
        <v>2</v>
      </c>
      <c r="Y358">
        <f>SUM(Y356:Y357)</f>
        <v>2</v>
      </c>
      <c r="Z358">
        <f>SUM(Z356:Z357)</f>
        <v>13</v>
      </c>
    </row>
    <row r="359" spans="1:29" x14ac:dyDescent="0.3">
      <c r="A359" s="1">
        <v>4</v>
      </c>
      <c r="B359" t="s">
        <v>1662</v>
      </c>
      <c r="C359" t="s">
        <v>1663</v>
      </c>
      <c r="I359" t="str">
        <f t="shared" si="118"/>
        <v>N/A</v>
      </c>
      <c r="J359" t="str">
        <f t="shared" si="119"/>
        <v>N/A</v>
      </c>
      <c r="K359" t="str">
        <f t="shared" si="120"/>
        <v>N/A</v>
      </c>
      <c r="L359" t="str">
        <f t="shared" si="121"/>
        <v>N/A</v>
      </c>
      <c r="M359" t="str">
        <f t="shared" si="122"/>
        <v>N/A</v>
      </c>
      <c r="N359" t="str">
        <f t="shared" si="123"/>
        <v>N/A</v>
      </c>
    </row>
    <row r="360" spans="1:29" x14ac:dyDescent="0.3">
      <c r="A360" s="1">
        <v>5</v>
      </c>
      <c r="B360" t="s">
        <v>1664</v>
      </c>
      <c r="C360" t="s">
        <v>1665</v>
      </c>
      <c r="I360" t="str">
        <f t="shared" si="118"/>
        <v>N/A</v>
      </c>
      <c r="J360" t="str">
        <f t="shared" si="119"/>
        <v>N/A</v>
      </c>
      <c r="K360" t="str">
        <f t="shared" si="120"/>
        <v>N/A</v>
      </c>
      <c r="L360" t="str">
        <f t="shared" si="121"/>
        <v>N/A</v>
      </c>
      <c r="M360" t="str">
        <f t="shared" si="122"/>
        <v>N/A</v>
      </c>
      <c r="N360" t="str">
        <f t="shared" si="123"/>
        <v>N/A</v>
      </c>
      <c r="V360" t="str">
        <f>"Most Variable Year"</f>
        <v>Most Variable Year</v>
      </c>
      <c r="X360">
        <f>V144+MATCH(MAX(V358:Z358),V358:Z358,0)-1</f>
        <v>2012</v>
      </c>
    </row>
    <row r="361" spans="1:29" x14ac:dyDescent="0.3">
      <c r="I361" t="str">
        <f t="shared" ref="I361:I392" si="142">IF(AND(K361&gt; J361, L361&gt; K361, M361&gt; L361, N361&gt; M361), "pos_trend", IF(AND(K361&lt; J361, L361&lt; K361, M361&lt; L361, N361&lt; M361), "neg_trend", "N/A"))</f>
        <v>N/A</v>
      </c>
      <c r="J361" t="str">
        <f t="shared" ref="J361:J392" si="143">IFERROR(IF(TRIM(C361)="-", "N/A", IF(RIGHT(C361,1)=")",IF(RIGHT(C361,2)="T)",-1000000000000*VALUE(MID(C361,2,LEN(C361)-3)),IF(RIGHT(C361,2)="M)",-1000000*VALUE(MID(C361,2,LEN(C361)-3)),IF(RIGHT(C361,2)="B)",-1000000000*VALUE(MID(C361,2,LEN(C361)-3)),IF(RIGHT(C361,2)="k)",-1000*VALUE(MID(C361,2,LEN(C361)-3)),VALUE(SUBSTITUTE(C361,",","")))))),IF(RIGHT(C361,1)="T",1000000000000*VALUE(LEFT(C361,LEN(C361)-1)),IF(RIGHT(C361,1)="M",1000000*VALUE(LEFT(C361,LEN(C361)-1)),IF(RIGHT(C361,1)="B",1000000000*VALUE(LEFT(C361,LEN(C361)-1)),IF(RIGHT(C361,1)="%",0.01*VALUE(LEFT(C361,LEN(C361)-1)),IF(RIGHT(C361,1)="k",1000*VALUE(LEFT(C361,LEN(C361)-1)),VALUE(SUBSTITUTE(C361,",",""))))))))),"N/A")</f>
        <v>N/A</v>
      </c>
      <c r="K361" t="str">
        <f t="shared" ref="K361:K392" si="144">IFERROR(IF(TRIM(D361)="-", "N/A", IF(RIGHT(D361,1)=")",IF(RIGHT(D361,2)="T)",-1000000000000*VALUE(MID(D361,2,LEN(D361)-3)),IF(RIGHT(D361,2)="M)",-1000000*VALUE(MID(D361,2,LEN(D361)-3)),IF(RIGHT(D361,2)="B)",-1000000000*VALUE(MID(D361,2,LEN(D361)-3)),IF(RIGHT(D361,2)="k)",-1000*VALUE(MID(D361,2,LEN(D361)-3)),VALUE(SUBSTITUTE(D361,",","")))))),IF(RIGHT(D361,1)="T",1000000000000*VALUE(LEFT(D361,LEN(D361)-1)),IF(RIGHT(D361,1)="M",1000000*VALUE(LEFT(D361,LEN(D361)-1)),IF(RIGHT(D361,1)="B",1000000000*VALUE(LEFT(D361,LEN(D361)-1)),IF(RIGHT(D361,1)="%",0.01*VALUE(LEFT(D361,LEN(D361)-1)),IF(RIGHT(D361,1)="k",1000*VALUE(LEFT(D361,LEN(D361)-1)),VALUE(SUBSTITUTE(D361,",",""))))))))),"N/A")</f>
        <v>N/A</v>
      </c>
      <c r="L361" t="str">
        <f t="shared" ref="L361:L392" si="145">IFERROR(IF(TRIM(E361)="-", "N/A", IF(RIGHT(E361,1)=")",IF(RIGHT(E361,2)="T)",-1000000000000*VALUE(MID(E361,2,LEN(E361)-3)),IF(RIGHT(E361,2)="M)",-1000000*VALUE(MID(E361,2,LEN(E361)-3)),IF(RIGHT(E361,2)="B)",-1000000000*VALUE(MID(E361,2,LEN(E361)-3)),IF(RIGHT(E361,2)="k)",-1000*VALUE(MID(E361,2,LEN(E361)-3)),VALUE(SUBSTITUTE(E361,",","")))))),IF(RIGHT(E361,1)="T",1000000000000*VALUE(LEFT(E361,LEN(E361)-1)),IF(RIGHT(E361,1)="M",1000000*VALUE(LEFT(E361,LEN(E361)-1)),IF(RIGHT(E361,1)="B",1000000000*VALUE(LEFT(E361,LEN(E361)-1)),IF(RIGHT(E361,1)="%",0.01*VALUE(LEFT(E361,LEN(E361)-1)),IF(RIGHT(E361,1)="k",1000*VALUE(LEFT(E361,LEN(E361)-1)),VALUE(SUBSTITUTE(E361,",",""))))))))),"N/A")</f>
        <v>N/A</v>
      </c>
      <c r="M361" t="str">
        <f t="shared" ref="M361:M392" si="146">IFERROR(IF(TRIM(F361)="-", "N/A", IF(RIGHT(F361,1)=")",IF(RIGHT(F361,2)="T)",-1000000000000*VALUE(MID(F361,2,LEN(F361)-3)),IF(RIGHT(F361,2)="M)",-1000000*VALUE(MID(F361,2,LEN(F361)-3)),IF(RIGHT(F361,2)="B)",-1000000000*VALUE(MID(F361,2,LEN(F361)-3)),IF(RIGHT(F361,2)="k)",-1000*VALUE(MID(F361,2,LEN(F361)-3)),VALUE(SUBSTITUTE(F361,",","")))))),IF(RIGHT(F361,1)="T",1000000000000*VALUE(LEFT(F361,LEN(F361)-1)),IF(RIGHT(F361,1)="M",1000000*VALUE(LEFT(F361,LEN(F361)-1)),IF(RIGHT(F361,1)="B",1000000000*VALUE(LEFT(F361,LEN(F361)-1)),IF(RIGHT(F361,1)="%",0.01*VALUE(LEFT(F361,LEN(F361)-1)),IF(RIGHT(F361,1)="k",1000*VALUE(LEFT(F361,LEN(F361)-1)),VALUE(SUBSTITUTE(F361,",",""))))))))),"N/A")</f>
        <v>N/A</v>
      </c>
      <c r="N361" t="str">
        <f t="shared" ref="N361:N392" si="147">IFERROR(IF(TRIM(G361)="-", "N/A", IF(RIGHT(G361,1)=")",IF(RIGHT(G361,2)="T)",-1000000000000*VALUE(MID(G361,2,LEN(G361)-3)),IF(RIGHT(G361,2)="M)",-1000000*VALUE(MID(G361,2,LEN(G361)-3)),IF(RIGHT(G361,2)="B)",-1000000000*VALUE(MID(G361,2,LEN(G361)-3)),IF(RIGHT(G361,2)="k)",-1000*VALUE(MID(G361,2,LEN(G361)-3)),VALUE(SUBSTITUTE(G361,",","")))))),IF(RIGHT(G361,1)="T",1000000000000*VALUE(LEFT(G361,LEN(G361)-1)),IF(RIGHT(G361,1)="M",1000000*VALUE(LEFT(G361,LEN(G361)-1)),IF(RIGHT(G361,1)="B",1000000000*VALUE(LEFT(G361,LEN(G361)-1)),IF(RIGHT(G361,1)="%",0.01*VALUE(LEFT(G361,LEN(G361)-1)),IF(RIGHT(G361,1)="k",1000*VALUE(LEFT(G361,LEN(G361)-1)),VALUE(SUBSTITUTE(G361,",",""))))))))),"N/A")</f>
        <v>N/A</v>
      </c>
    </row>
    <row r="362" spans="1:29" x14ac:dyDescent="0.3">
      <c r="I362" t="str">
        <f t="shared" si="142"/>
        <v>N/A</v>
      </c>
      <c r="J362" t="str">
        <f t="shared" si="143"/>
        <v>N/A</v>
      </c>
      <c r="K362" t="str">
        <f t="shared" si="144"/>
        <v>N/A</v>
      </c>
      <c r="L362" t="str">
        <f t="shared" si="145"/>
        <v>N/A</v>
      </c>
      <c r="M362" t="str">
        <f t="shared" si="146"/>
        <v>N/A</v>
      </c>
      <c r="N362" t="str">
        <f t="shared" si="147"/>
        <v>N/A</v>
      </c>
    </row>
    <row r="363" spans="1:29" x14ac:dyDescent="0.3">
      <c r="A363" s="1">
        <v>0</v>
      </c>
      <c r="B363" t="s">
        <v>123</v>
      </c>
      <c r="C363" t="s">
        <v>1666</v>
      </c>
      <c r="I363" t="str">
        <f t="shared" si="142"/>
        <v>N/A</v>
      </c>
      <c r="J363">
        <f t="shared" si="143"/>
        <v>429530000</v>
      </c>
      <c r="K363" t="str">
        <f t="shared" si="144"/>
        <v>N/A</v>
      </c>
      <c r="L363" t="str">
        <f t="shared" si="145"/>
        <v>N/A</v>
      </c>
      <c r="M363" t="str">
        <f t="shared" si="146"/>
        <v>N/A</v>
      </c>
      <c r="N363" t="str">
        <f t="shared" si="147"/>
        <v>N/A</v>
      </c>
    </row>
    <row r="364" spans="1:29" x14ac:dyDescent="0.3">
      <c r="A364" s="1">
        <v>1</v>
      </c>
      <c r="B364" t="s">
        <v>124</v>
      </c>
      <c r="I364" t="str">
        <f t="shared" si="142"/>
        <v>N/A</v>
      </c>
      <c r="J364" t="str">
        <f t="shared" si="143"/>
        <v>N/A</v>
      </c>
      <c r="K364" t="str">
        <f t="shared" si="144"/>
        <v>N/A</v>
      </c>
      <c r="L364" t="str">
        <f t="shared" si="145"/>
        <v>N/A</v>
      </c>
      <c r="M364" t="str">
        <f t="shared" si="146"/>
        <v>N/A</v>
      </c>
      <c r="N364" t="str">
        <f t="shared" si="147"/>
        <v>N/A</v>
      </c>
    </row>
    <row r="365" spans="1:29" x14ac:dyDescent="0.3">
      <c r="A365" s="1">
        <v>2</v>
      </c>
      <c r="B365" t="s">
        <v>125</v>
      </c>
      <c r="C365" t="s">
        <v>1667</v>
      </c>
      <c r="I365" t="str">
        <f t="shared" si="142"/>
        <v>N/A</v>
      </c>
      <c r="J365">
        <f t="shared" si="143"/>
        <v>52.93</v>
      </c>
      <c r="K365" t="str">
        <f t="shared" si="144"/>
        <v>N/A</v>
      </c>
      <c r="L365" t="str">
        <f t="shared" si="145"/>
        <v>N/A</v>
      </c>
      <c r="M365" t="str">
        <f t="shared" si="146"/>
        <v>N/A</v>
      </c>
      <c r="N365" t="str">
        <f t="shared" si="147"/>
        <v>N/A</v>
      </c>
    </row>
    <row r="366" spans="1:29" x14ac:dyDescent="0.3">
      <c r="A366" s="1">
        <v>3</v>
      </c>
      <c r="B366" t="s">
        <v>126</v>
      </c>
      <c r="C366" t="s">
        <v>1668</v>
      </c>
      <c r="I366" t="str">
        <f t="shared" si="142"/>
        <v>N/A</v>
      </c>
      <c r="J366">
        <f t="shared" si="143"/>
        <v>7.58</v>
      </c>
      <c r="K366" t="str">
        <f t="shared" si="144"/>
        <v>N/A</v>
      </c>
      <c r="L366" t="str">
        <f t="shared" si="145"/>
        <v>N/A</v>
      </c>
      <c r="M366" t="str">
        <f t="shared" si="146"/>
        <v>N/A</v>
      </c>
      <c r="N366" t="str">
        <f t="shared" si="147"/>
        <v>N/A</v>
      </c>
    </row>
    <row r="367" spans="1:29" x14ac:dyDescent="0.3">
      <c r="A367" s="1">
        <v>4</v>
      </c>
      <c r="B367" t="s">
        <v>128</v>
      </c>
      <c r="C367" t="s">
        <v>1669</v>
      </c>
      <c r="I367" t="str">
        <f t="shared" si="142"/>
        <v>N/A</v>
      </c>
      <c r="J367">
        <f t="shared" si="143"/>
        <v>-0.8</v>
      </c>
      <c r="K367" t="str">
        <f t="shared" si="144"/>
        <v>N/A</v>
      </c>
      <c r="L367" t="str">
        <f t="shared" si="145"/>
        <v>N/A</v>
      </c>
      <c r="M367" t="str">
        <f t="shared" si="146"/>
        <v>N/A</v>
      </c>
      <c r="N367" t="str">
        <f t="shared" si="147"/>
        <v>N/A</v>
      </c>
    </row>
    <row r="368" spans="1:29" x14ac:dyDescent="0.3">
      <c r="A368" s="1">
        <v>5</v>
      </c>
      <c r="B368" t="s">
        <v>130</v>
      </c>
      <c r="C368" t="s">
        <v>1670</v>
      </c>
      <c r="I368" t="str">
        <f t="shared" si="142"/>
        <v>N/A</v>
      </c>
      <c r="J368">
        <f t="shared" si="143"/>
        <v>0.09</v>
      </c>
      <c r="K368" t="str">
        <f t="shared" si="144"/>
        <v>N/A</v>
      </c>
      <c r="L368" t="str">
        <f t="shared" si="145"/>
        <v>N/A</v>
      </c>
      <c r="M368" t="str">
        <f t="shared" si="146"/>
        <v>N/A</v>
      </c>
      <c r="N368" t="str">
        <f t="shared" si="147"/>
        <v>N/A</v>
      </c>
    </row>
    <row r="369" spans="1:14" x14ac:dyDescent="0.3">
      <c r="A369" s="1">
        <v>6</v>
      </c>
      <c r="B369" t="s">
        <v>132</v>
      </c>
      <c r="I369" t="str">
        <f t="shared" si="142"/>
        <v>N/A</v>
      </c>
      <c r="J369" t="str">
        <f t="shared" si="143"/>
        <v>N/A</v>
      </c>
      <c r="K369" t="str">
        <f t="shared" si="144"/>
        <v>N/A</v>
      </c>
      <c r="L369" t="str">
        <f t="shared" si="145"/>
        <v>N/A</v>
      </c>
      <c r="M369" t="str">
        <f t="shared" si="146"/>
        <v>N/A</v>
      </c>
      <c r="N369" t="str">
        <f t="shared" si="147"/>
        <v>N/A</v>
      </c>
    </row>
    <row r="370" spans="1:14" x14ac:dyDescent="0.3">
      <c r="A370" s="1">
        <v>7</v>
      </c>
      <c r="B370" t="s">
        <v>134</v>
      </c>
      <c r="I370" t="str">
        <f t="shared" si="142"/>
        <v>N/A</v>
      </c>
      <c r="J370" t="str">
        <f t="shared" si="143"/>
        <v>N/A</v>
      </c>
      <c r="K370" t="str">
        <f t="shared" si="144"/>
        <v>N/A</v>
      </c>
      <c r="L370" t="str">
        <f t="shared" si="145"/>
        <v>N/A</v>
      </c>
      <c r="M370" t="str">
        <f t="shared" si="146"/>
        <v>N/A</v>
      </c>
      <c r="N370" t="str">
        <f t="shared" si="147"/>
        <v>N/A</v>
      </c>
    </row>
    <row r="371" spans="1:14" x14ac:dyDescent="0.3">
      <c r="A371" s="1">
        <v>8</v>
      </c>
      <c r="B371" t="s">
        <v>135</v>
      </c>
      <c r="I371" t="str">
        <f t="shared" si="142"/>
        <v>N/A</v>
      </c>
      <c r="J371" t="str">
        <f t="shared" si="143"/>
        <v>N/A</v>
      </c>
      <c r="K371" t="str">
        <f t="shared" si="144"/>
        <v>N/A</v>
      </c>
      <c r="L371" t="str">
        <f t="shared" si="145"/>
        <v>N/A</v>
      </c>
      <c r="M371" t="str">
        <f t="shared" si="146"/>
        <v>N/A</v>
      </c>
      <c r="N371" t="str">
        <f t="shared" si="147"/>
        <v>N/A</v>
      </c>
    </row>
    <row r="372" spans="1:14" x14ac:dyDescent="0.3">
      <c r="I372" t="str">
        <f t="shared" si="142"/>
        <v>N/A</v>
      </c>
      <c r="J372" t="str">
        <f t="shared" si="143"/>
        <v>N/A</v>
      </c>
      <c r="K372" t="str">
        <f t="shared" si="144"/>
        <v>N/A</v>
      </c>
      <c r="L372" t="str">
        <f t="shared" si="145"/>
        <v>N/A</v>
      </c>
      <c r="M372" t="str">
        <f t="shared" si="146"/>
        <v>N/A</v>
      </c>
      <c r="N372" t="str">
        <f t="shared" si="147"/>
        <v>N/A</v>
      </c>
    </row>
    <row r="373" spans="1:14" x14ac:dyDescent="0.3">
      <c r="I373" t="str">
        <f t="shared" si="142"/>
        <v>N/A</v>
      </c>
      <c r="J373" t="str">
        <f t="shared" si="143"/>
        <v>N/A</v>
      </c>
      <c r="K373" t="str">
        <f t="shared" si="144"/>
        <v>N/A</v>
      </c>
      <c r="L373" t="str">
        <f t="shared" si="145"/>
        <v>N/A</v>
      </c>
      <c r="M373" t="str">
        <f t="shared" si="146"/>
        <v>N/A</v>
      </c>
      <c r="N373" t="str">
        <f t="shared" si="147"/>
        <v>N/A</v>
      </c>
    </row>
    <row r="374" spans="1:14" x14ac:dyDescent="0.3">
      <c r="A374" s="1">
        <v>0</v>
      </c>
      <c r="B374" t="s">
        <v>123</v>
      </c>
      <c r="C374" t="s">
        <v>1671</v>
      </c>
      <c r="I374" t="str">
        <f t="shared" si="142"/>
        <v>N/A</v>
      </c>
      <c r="J374">
        <f t="shared" si="143"/>
        <v>127510000</v>
      </c>
      <c r="K374" t="str">
        <f t="shared" si="144"/>
        <v>N/A</v>
      </c>
      <c r="L374" t="str">
        <f t="shared" si="145"/>
        <v>N/A</v>
      </c>
      <c r="M374" t="str">
        <f t="shared" si="146"/>
        <v>N/A</v>
      </c>
      <c r="N374" t="str">
        <f t="shared" si="147"/>
        <v>N/A</v>
      </c>
    </row>
    <row r="375" spans="1:14" x14ac:dyDescent="0.3">
      <c r="A375" s="1">
        <v>1</v>
      </c>
      <c r="B375" t="s">
        <v>124</v>
      </c>
      <c r="I375" t="str">
        <f t="shared" si="142"/>
        <v>N/A</v>
      </c>
      <c r="J375" t="str">
        <f t="shared" si="143"/>
        <v>N/A</v>
      </c>
      <c r="K375" t="str">
        <f t="shared" si="144"/>
        <v>N/A</v>
      </c>
      <c r="L375" t="str">
        <f t="shared" si="145"/>
        <v>N/A</v>
      </c>
      <c r="M375" t="str">
        <f t="shared" si="146"/>
        <v>N/A</v>
      </c>
      <c r="N375" t="str">
        <f t="shared" si="147"/>
        <v>N/A</v>
      </c>
    </row>
    <row r="376" spans="1:14" x14ac:dyDescent="0.3">
      <c r="A376" s="1">
        <v>2</v>
      </c>
      <c r="B376" t="s">
        <v>125</v>
      </c>
      <c r="C376" t="s">
        <v>1672</v>
      </c>
      <c r="I376" t="str">
        <f t="shared" si="142"/>
        <v>N/A</v>
      </c>
      <c r="J376">
        <f t="shared" si="143"/>
        <v>53.49</v>
      </c>
      <c r="K376" t="str">
        <f t="shared" si="144"/>
        <v>N/A</v>
      </c>
      <c r="L376" t="str">
        <f t="shared" si="145"/>
        <v>N/A</v>
      </c>
      <c r="M376" t="str">
        <f t="shared" si="146"/>
        <v>N/A</v>
      </c>
      <c r="N376" t="str">
        <f t="shared" si="147"/>
        <v>N/A</v>
      </c>
    </row>
    <row r="377" spans="1:14" x14ac:dyDescent="0.3">
      <c r="A377" s="1">
        <v>3</v>
      </c>
      <c r="B377" t="s">
        <v>126</v>
      </c>
      <c r="C377" t="s">
        <v>1673</v>
      </c>
      <c r="I377" t="str">
        <f t="shared" si="142"/>
        <v>N/A</v>
      </c>
      <c r="J377">
        <f t="shared" si="143"/>
        <v>20</v>
      </c>
      <c r="K377" t="str">
        <f t="shared" si="144"/>
        <v>N/A</v>
      </c>
      <c r="L377" t="str">
        <f t="shared" si="145"/>
        <v>N/A</v>
      </c>
      <c r="M377" t="str">
        <f t="shared" si="146"/>
        <v>N/A</v>
      </c>
      <c r="N377" t="str">
        <f t="shared" si="147"/>
        <v>N/A</v>
      </c>
    </row>
    <row r="378" spans="1:14" x14ac:dyDescent="0.3">
      <c r="A378" s="1">
        <v>4</v>
      </c>
      <c r="B378" t="s">
        <v>128</v>
      </c>
      <c r="C378" t="s">
        <v>1674</v>
      </c>
      <c r="I378" t="str">
        <f t="shared" si="142"/>
        <v>N/A</v>
      </c>
      <c r="J378">
        <f t="shared" si="143"/>
        <v>-0.35</v>
      </c>
      <c r="K378" t="str">
        <f t="shared" si="144"/>
        <v>N/A</v>
      </c>
      <c r="L378" t="str">
        <f t="shared" si="145"/>
        <v>N/A</v>
      </c>
      <c r="M378" t="str">
        <f t="shared" si="146"/>
        <v>N/A</v>
      </c>
      <c r="N378" t="str">
        <f t="shared" si="147"/>
        <v>N/A</v>
      </c>
    </row>
    <row r="379" spans="1:14" x14ac:dyDescent="0.3">
      <c r="A379" s="1">
        <v>5</v>
      </c>
      <c r="B379" t="s">
        <v>130</v>
      </c>
      <c r="C379" t="s">
        <v>1675</v>
      </c>
      <c r="I379" t="str">
        <f t="shared" si="142"/>
        <v>N/A</v>
      </c>
      <c r="J379">
        <f t="shared" si="143"/>
        <v>0.12</v>
      </c>
      <c r="K379" t="str">
        <f t="shared" si="144"/>
        <v>N/A</v>
      </c>
      <c r="L379" t="str">
        <f t="shared" si="145"/>
        <v>N/A</v>
      </c>
      <c r="M379" t="str">
        <f t="shared" si="146"/>
        <v>N/A</v>
      </c>
      <c r="N379" t="str">
        <f t="shared" si="147"/>
        <v>N/A</v>
      </c>
    </row>
    <row r="380" spans="1:14" x14ac:dyDescent="0.3">
      <c r="A380" s="1">
        <v>6</v>
      </c>
      <c r="B380" t="s">
        <v>132</v>
      </c>
      <c r="C380" t="s">
        <v>1676</v>
      </c>
      <c r="I380" t="str">
        <f t="shared" si="142"/>
        <v>N/A</v>
      </c>
      <c r="J380">
        <f t="shared" si="143"/>
        <v>0.35</v>
      </c>
      <c r="K380" t="str">
        <f t="shared" si="144"/>
        <v>N/A</v>
      </c>
      <c r="L380" t="str">
        <f t="shared" si="145"/>
        <v>N/A</v>
      </c>
      <c r="M380" t="str">
        <f t="shared" si="146"/>
        <v>N/A</v>
      </c>
      <c r="N380" t="str">
        <f t="shared" si="147"/>
        <v>N/A</v>
      </c>
    </row>
    <row r="381" spans="1:14" x14ac:dyDescent="0.3">
      <c r="A381" s="1">
        <v>7</v>
      </c>
      <c r="B381" t="s">
        <v>134</v>
      </c>
      <c r="I381" t="str">
        <f t="shared" si="142"/>
        <v>N/A</v>
      </c>
      <c r="J381" t="str">
        <f t="shared" si="143"/>
        <v>N/A</v>
      </c>
      <c r="K381" t="str">
        <f t="shared" si="144"/>
        <v>N/A</v>
      </c>
      <c r="L381" t="str">
        <f t="shared" si="145"/>
        <v>N/A</v>
      </c>
      <c r="M381" t="str">
        <f t="shared" si="146"/>
        <v>N/A</v>
      </c>
      <c r="N381" t="str">
        <f t="shared" si="147"/>
        <v>N/A</v>
      </c>
    </row>
    <row r="382" spans="1:14" x14ac:dyDescent="0.3">
      <c r="A382" s="1">
        <v>8</v>
      </c>
      <c r="B382" t="s">
        <v>135</v>
      </c>
      <c r="I382" t="str">
        <f t="shared" si="142"/>
        <v>N/A</v>
      </c>
      <c r="J382" t="str">
        <f t="shared" si="143"/>
        <v>N/A</v>
      </c>
      <c r="K382" t="str">
        <f t="shared" si="144"/>
        <v>N/A</v>
      </c>
      <c r="L382" t="str">
        <f t="shared" si="145"/>
        <v>N/A</v>
      </c>
      <c r="M382" t="str">
        <f t="shared" si="146"/>
        <v>N/A</v>
      </c>
      <c r="N382" t="str">
        <f t="shared" si="147"/>
        <v>N/A</v>
      </c>
    </row>
    <row r="383" spans="1:14" x14ac:dyDescent="0.3">
      <c r="I383" t="str">
        <f t="shared" si="142"/>
        <v>N/A</v>
      </c>
      <c r="J383" t="str">
        <f t="shared" si="143"/>
        <v>N/A</v>
      </c>
      <c r="K383" t="str">
        <f t="shared" si="144"/>
        <v>N/A</v>
      </c>
      <c r="L383" t="str">
        <f t="shared" si="145"/>
        <v>N/A</v>
      </c>
      <c r="M383" t="str">
        <f t="shared" si="146"/>
        <v>N/A</v>
      </c>
      <c r="N383" t="str">
        <f t="shared" si="147"/>
        <v>N/A</v>
      </c>
    </row>
    <row r="384" spans="1:14" x14ac:dyDescent="0.3">
      <c r="I384" t="str">
        <f t="shared" si="142"/>
        <v>N/A</v>
      </c>
      <c r="J384" t="str">
        <f t="shared" si="143"/>
        <v>N/A</v>
      </c>
      <c r="K384" t="str">
        <f t="shared" si="144"/>
        <v>N/A</v>
      </c>
      <c r="L384" t="str">
        <f t="shared" si="145"/>
        <v>N/A</v>
      </c>
      <c r="M384" t="str">
        <f t="shared" si="146"/>
        <v>N/A</v>
      </c>
      <c r="N384" t="str">
        <f t="shared" si="147"/>
        <v>N/A</v>
      </c>
    </row>
    <row r="385" spans="1:14" x14ac:dyDescent="0.3">
      <c r="A385" s="1">
        <v>0</v>
      </c>
      <c r="B385" t="s">
        <v>123</v>
      </c>
      <c r="C385" t="s">
        <v>1677</v>
      </c>
      <c r="I385" t="str">
        <f t="shared" si="142"/>
        <v>N/A</v>
      </c>
      <c r="J385">
        <f t="shared" si="143"/>
        <v>323740000</v>
      </c>
      <c r="K385" t="str">
        <f t="shared" si="144"/>
        <v>N/A</v>
      </c>
      <c r="L385" t="str">
        <f t="shared" si="145"/>
        <v>N/A</v>
      </c>
      <c r="M385" t="str">
        <f t="shared" si="146"/>
        <v>N/A</v>
      </c>
      <c r="N385" t="str">
        <f t="shared" si="147"/>
        <v>N/A</v>
      </c>
    </row>
    <row r="386" spans="1:14" x14ac:dyDescent="0.3">
      <c r="A386" s="1">
        <v>1</v>
      </c>
      <c r="B386" t="s">
        <v>124</v>
      </c>
      <c r="I386" t="str">
        <f t="shared" si="142"/>
        <v>N/A</v>
      </c>
      <c r="J386" t="str">
        <f t="shared" si="143"/>
        <v>N/A</v>
      </c>
      <c r="K386" t="str">
        <f t="shared" si="144"/>
        <v>N/A</v>
      </c>
      <c r="L386" t="str">
        <f t="shared" si="145"/>
        <v>N/A</v>
      </c>
      <c r="M386" t="str">
        <f t="shared" si="146"/>
        <v>N/A</v>
      </c>
      <c r="N386" t="str">
        <f t="shared" si="147"/>
        <v>N/A</v>
      </c>
    </row>
    <row r="387" spans="1:14" x14ac:dyDescent="0.3">
      <c r="A387" s="1">
        <v>2</v>
      </c>
      <c r="B387" t="s">
        <v>125</v>
      </c>
      <c r="C387" t="s">
        <v>1678</v>
      </c>
      <c r="I387" t="str">
        <f t="shared" si="142"/>
        <v>N/A</v>
      </c>
      <c r="J387">
        <f t="shared" si="143"/>
        <v>26.17</v>
      </c>
      <c r="K387" t="str">
        <f t="shared" si="144"/>
        <v>N/A</v>
      </c>
      <c r="L387" t="str">
        <f t="shared" si="145"/>
        <v>N/A</v>
      </c>
      <c r="M387" t="str">
        <f t="shared" si="146"/>
        <v>N/A</v>
      </c>
      <c r="N387" t="str">
        <f t="shared" si="147"/>
        <v>N/A</v>
      </c>
    </row>
    <row r="388" spans="1:14" x14ac:dyDescent="0.3">
      <c r="A388" s="1">
        <v>3</v>
      </c>
      <c r="B388" t="s">
        <v>126</v>
      </c>
      <c r="C388" t="s">
        <v>1679</v>
      </c>
      <c r="I388" t="str">
        <f t="shared" si="142"/>
        <v>N/A</v>
      </c>
      <c r="J388">
        <f t="shared" si="143"/>
        <v>17.2</v>
      </c>
      <c r="K388" t="str">
        <f t="shared" si="144"/>
        <v>N/A</v>
      </c>
      <c r="L388" t="str">
        <f t="shared" si="145"/>
        <v>N/A</v>
      </c>
      <c r="M388" t="str">
        <f t="shared" si="146"/>
        <v>N/A</v>
      </c>
      <c r="N388" t="str">
        <f t="shared" si="147"/>
        <v>N/A</v>
      </c>
    </row>
    <row r="389" spans="1:14" x14ac:dyDescent="0.3">
      <c r="A389" s="1">
        <v>4</v>
      </c>
      <c r="B389" t="s">
        <v>128</v>
      </c>
      <c r="C389" t="s">
        <v>1680</v>
      </c>
      <c r="I389" t="str">
        <f t="shared" si="142"/>
        <v>N/A</v>
      </c>
      <c r="J389">
        <f t="shared" si="143"/>
        <v>5.28</v>
      </c>
      <c r="K389" t="str">
        <f t="shared" si="144"/>
        <v>N/A</v>
      </c>
      <c r="L389" t="str">
        <f t="shared" si="145"/>
        <v>N/A</v>
      </c>
      <c r="M389" t="str">
        <f t="shared" si="146"/>
        <v>N/A</v>
      </c>
      <c r="N389" t="str">
        <f t="shared" si="147"/>
        <v>N/A</v>
      </c>
    </row>
    <row r="390" spans="1:14" x14ac:dyDescent="0.3">
      <c r="A390" s="1">
        <v>5</v>
      </c>
      <c r="B390" t="s">
        <v>130</v>
      </c>
      <c r="C390" t="s">
        <v>1029</v>
      </c>
      <c r="I390" t="str">
        <f t="shared" si="142"/>
        <v>N/A</v>
      </c>
      <c r="J390">
        <f t="shared" si="143"/>
        <v>0.48</v>
      </c>
      <c r="K390" t="str">
        <f t="shared" si="144"/>
        <v>N/A</v>
      </c>
      <c r="L390" t="str">
        <f t="shared" si="145"/>
        <v>N/A</v>
      </c>
      <c r="M390" t="str">
        <f t="shared" si="146"/>
        <v>N/A</v>
      </c>
      <c r="N390" t="str">
        <f t="shared" si="147"/>
        <v>N/A</v>
      </c>
    </row>
    <row r="391" spans="1:14" x14ac:dyDescent="0.3">
      <c r="A391" s="1">
        <v>6</v>
      </c>
      <c r="B391" t="s">
        <v>132</v>
      </c>
      <c r="C391" t="s">
        <v>129</v>
      </c>
      <c r="I391" t="str">
        <f t="shared" si="142"/>
        <v>N/A</v>
      </c>
      <c r="J391">
        <f t="shared" si="143"/>
        <v>1.38</v>
      </c>
      <c r="K391" t="str">
        <f t="shared" si="144"/>
        <v>N/A</v>
      </c>
      <c r="L391" t="str">
        <f t="shared" si="145"/>
        <v>N/A</v>
      </c>
      <c r="M391" t="str">
        <f t="shared" si="146"/>
        <v>N/A</v>
      </c>
      <c r="N391" t="str">
        <f t="shared" si="147"/>
        <v>N/A</v>
      </c>
    </row>
    <row r="392" spans="1:14" x14ac:dyDescent="0.3">
      <c r="A392" s="1">
        <v>7</v>
      </c>
      <c r="B392" t="s">
        <v>134</v>
      </c>
      <c r="I392" t="str">
        <f t="shared" si="142"/>
        <v>N/A</v>
      </c>
      <c r="J392" t="str">
        <f t="shared" si="143"/>
        <v>N/A</v>
      </c>
      <c r="K392" t="str">
        <f t="shared" si="144"/>
        <v>N/A</v>
      </c>
      <c r="L392" t="str">
        <f t="shared" si="145"/>
        <v>N/A</v>
      </c>
      <c r="M392" t="str">
        <f t="shared" si="146"/>
        <v>N/A</v>
      </c>
      <c r="N392" t="str">
        <f t="shared" si="147"/>
        <v>N/A</v>
      </c>
    </row>
    <row r="393" spans="1:14" x14ac:dyDescent="0.3">
      <c r="A393" s="1">
        <v>8</v>
      </c>
      <c r="B393" t="s">
        <v>135</v>
      </c>
      <c r="I393" t="str">
        <f t="shared" ref="I393:I424" si="148">IF(AND(K393&gt; J393, L393&gt; K393, M393&gt; L393, N393&gt; M393), "pos_trend", IF(AND(K393&lt; J393, L393&lt; K393, M393&lt; L393, N393&lt; M393), "neg_trend", "N/A"))</f>
        <v>N/A</v>
      </c>
      <c r="J393" t="str">
        <f t="shared" ref="J393:J399" si="149">IFERROR(IF(TRIM(C393)="-", "N/A", IF(RIGHT(C393,1)=")",IF(RIGHT(C393,2)="T)",-1000000000000*VALUE(MID(C393,2,LEN(C393)-3)),IF(RIGHT(C393,2)="M)",-1000000*VALUE(MID(C393,2,LEN(C393)-3)),IF(RIGHT(C393,2)="B)",-1000000000*VALUE(MID(C393,2,LEN(C393)-3)),IF(RIGHT(C393,2)="k)",-1000*VALUE(MID(C393,2,LEN(C393)-3)),VALUE(SUBSTITUTE(C393,",","")))))),IF(RIGHT(C393,1)="T",1000000000000*VALUE(LEFT(C393,LEN(C393)-1)),IF(RIGHT(C393,1)="M",1000000*VALUE(LEFT(C393,LEN(C393)-1)),IF(RIGHT(C393,1)="B",1000000000*VALUE(LEFT(C393,LEN(C393)-1)),IF(RIGHT(C393,1)="%",0.01*VALUE(LEFT(C393,LEN(C393)-1)),IF(RIGHT(C393,1)="k",1000*VALUE(LEFT(C393,LEN(C393)-1)),VALUE(SUBSTITUTE(C393,",",""))))))))),"N/A")</f>
        <v>N/A</v>
      </c>
      <c r="K393" t="str">
        <f t="shared" ref="K393:K399" si="150">IFERROR(IF(TRIM(D393)="-", "N/A", IF(RIGHT(D393,1)=")",IF(RIGHT(D393,2)="T)",-1000000000000*VALUE(MID(D393,2,LEN(D393)-3)),IF(RIGHT(D393,2)="M)",-1000000*VALUE(MID(D393,2,LEN(D393)-3)),IF(RIGHT(D393,2)="B)",-1000000000*VALUE(MID(D393,2,LEN(D393)-3)),IF(RIGHT(D393,2)="k)",-1000*VALUE(MID(D393,2,LEN(D393)-3)),VALUE(SUBSTITUTE(D393,",","")))))),IF(RIGHT(D393,1)="T",1000000000000*VALUE(LEFT(D393,LEN(D393)-1)),IF(RIGHT(D393,1)="M",1000000*VALUE(LEFT(D393,LEN(D393)-1)),IF(RIGHT(D393,1)="B",1000000000*VALUE(LEFT(D393,LEN(D393)-1)),IF(RIGHT(D393,1)="%",0.01*VALUE(LEFT(D393,LEN(D393)-1)),IF(RIGHT(D393,1)="k",1000*VALUE(LEFT(D393,LEN(D393)-1)),VALUE(SUBSTITUTE(D393,",",""))))))))),"N/A")</f>
        <v>N/A</v>
      </c>
      <c r="L393" t="str">
        <f t="shared" ref="L393:L399" si="151">IFERROR(IF(TRIM(E393)="-", "N/A", IF(RIGHT(E393,1)=")",IF(RIGHT(E393,2)="T)",-1000000000000*VALUE(MID(E393,2,LEN(E393)-3)),IF(RIGHT(E393,2)="M)",-1000000*VALUE(MID(E393,2,LEN(E393)-3)),IF(RIGHT(E393,2)="B)",-1000000000*VALUE(MID(E393,2,LEN(E393)-3)),IF(RIGHT(E393,2)="k)",-1000*VALUE(MID(E393,2,LEN(E393)-3)),VALUE(SUBSTITUTE(E393,",","")))))),IF(RIGHT(E393,1)="T",1000000000000*VALUE(LEFT(E393,LEN(E393)-1)),IF(RIGHT(E393,1)="M",1000000*VALUE(LEFT(E393,LEN(E393)-1)),IF(RIGHT(E393,1)="B",1000000000*VALUE(LEFT(E393,LEN(E393)-1)),IF(RIGHT(E393,1)="%",0.01*VALUE(LEFT(E393,LEN(E393)-1)),IF(RIGHT(E393,1)="k",1000*VALUE(LEFT(E393,LEN(E393)-1)),VALUE(SUBSTITUTE(E393,",",""))))))))),"N/A")</f>
        <v>N/A</v>
      </c>
      <c r="M393" t="str">
        <f t="shared" ref="M393:M399" si="152">IFERROR(IF(TRIM(F393)="-", "N/A", IF(RIGHT(F393,1)=")",IF(RIGHT(F393,2)="T)",-1000000000000*VALUE(MID(F393,2,LEN(F393)-3)),IF(RIGHT(F393,2)="M)",-1000000*VALUE(MID(F393,2,LEN(F393)-3)),IF(RIGHT(F393,2)="B)",-1000000000*VALUE(MID(F393,2,LEN(F393)-3)),IF(RIGHT(F393,2)="k)",-1000*VALUE(MID(F393,2,LEN(F393)-3)),VALUE(SUBSTITUTE(F393,",","")))))),IF(RIGHT(F393,1)="T",1000000000000*VALUE(LEFT(F393,LEN(F393)-1)),IF(RIGHT(F393,1)="M",1000000*VALUE(LEFT(F393,LEN(F393)-1)),IF(RIGHT(F393,1)="B",1000000000*VALUE(LEFT(F393,LEN(F393)-1)),IF(RIGHT(F393,1)="%",0.01*VALUE(LEFT(F393,LEN(F393)-1)),IF(RIGHT(F393,1)="k",1000*VALUE(LEFT(F393,LEN(F393)-1)),VALUE(SUBSTITUTE(F393,",",""))))))))),"N/A")</f>
        <v>N/A</v>
      </c>
      <c r="N393" t="str">
        <f t="shared" ref="N393:N399" si="153">IFERROR(IF(TRIM(G393)="-", "N/A", IF(RIGHT(G393,1)=")",IF(RIGHT(G393,2)="T)",-1000000000000*VALUE(MID(G393,2,LEN(G393)-3)),IF(RIGHT(G393,2)="M)",-1000000*VALUE(MID(G393,2,LEN(G393)-3)),IF(RIGHT(G393,2)="B)",-1000000000*VALUE(MID(G393,2,LEN(G393)-3)),IF(RIGHT(G393,2)="k)",-1000*VALUE(MID(G393,2,LEN(G393)-3)),VALUE(SUBSTITUTE(G393,",","")))))),IF(RIGHT(G393,1)="T",1000000000000*VALUE(LEFT(G393,LEN(G393)-1)),IF(RIGHT(G393,1)="M",1000000*VALUE(LEFT(G393,LEN(G393)-1)),IF(RIGHT(G393,1)="B",1000000000*VALUE(LEFT(G393,LEN(G393)-1)),IF(RIGHT(G393,1)="%",0.01*VALUE(LEFT(G393,LEN(G393)-1)),IF(RIGHT(G393,1)="k",1000*VALUE(LEFT(G393,LEN(G393)-1)),VALUE(SUBSTITUTE(G393,",",""))))))))),"N/A")</f>
        <v>N/A</v>
      </c>
    </row>
    <row r="394" spans="1:14" x14ac:dyDescent="0.3">
      <c r="I394" t="str">
        <f t="shared" si="148"/>
        <v>N/A</v>
      </c>
      <c r="J394" t="str">
        <f t="shared" si="149"/>
        <v>N/A</v>
      </c>
      <c r="K394" t="str">
        <f t="shared" si="150"/>
        <v>N/A</v>
      </c>
      <c r="L394" t="str">
        <f t="shared" si="151"/>
        <v>N/A</v>
      </c>
      <c r="M394" t="str">
        <f t="shared" si="152"/>
        <v>N/A</v>
      </c>
      <c r="N394" t="str">
        <f t="shared" si="153"/>
        <v>N/A</v>
      </c>
    </row>
    <row r="395" spans="1:14" x14ac:dyDescent="0.3">
      <c r="I395" t="str">
        <f t="shared" si="148"/>
        <v>N/A</v>
      </c>
      <c r="J395" t="str">
        <f t="shared" si="149"/>
        <v>N/A</v>
      </c>
      <c r="K395" t="str">
        <f t="shared" si="150"/>
        <v>N/A</v>
      </c>
      <c r="L395" t="str">
        <f t="shared" si="151"/>
        <v>N/A</v>
      </c>
      <c r="M395" t="str">
        <f t="shared" si="152"/>
        <v>N/A</v>
      </c>
      <c r="N395" t="str">
        <f t="shared" si="153"/>
        <v>N/A</v>
      </c>
    </row>
    <row r="396" spans="1:14" x14ac:dyDescent="0.3">
      <c r="A396" s="1">
        <v>0</v>
      </c>
      <c r="B396" t="s">
        <v>123</v>
      </c>
      <c r="C396" t="s">
        <v>1681</v>
      </c>
      <c r="I396" t="str">
        <f t="shared" si="148"/>
        <v>N/A</v>
      </c>
      <c r="J396">
        <f t="shared" si="149"/>
        <v>863520000</v>
      </c>
      <c r="K396" t="str">
        <f t="shared" si="150"/>
        <v>N/A</v>
      </c>
      <c r="L396" t="str">
        <f t="shared" si="151"/>
        <v>N/A</v>
      </c>
      <c r="M396" t="str">
        <f t="shared" si="152"/>
        <v>N/A</v>
      </c>
      <c r="N396" t="str">
        <f t="shared" si="153"/>
        <v>N/A</v>
      </c>
    </row>
    <row r="397" spans="1:14" x14ac:dyDescent="0.3">
      <c r="A397" s="1">
        <v>1</v>
      </c>
      <c r="B397" t="s">
        <v>124</v>
      </c>
      <c r="I397" t="str">
        <f t="shared" si="148"/>
        <v>N/A</v>
      </c>
      <c r="J397" t="str">
        <f t="shared" si="149"/>
        <v>N/A</v>
      </c>
      <c r="K397" t="str">
        <f t="shared" si="150"/>
        <v>N/A</v>
      </c>
      <c r="L397" t="str">
        <f t="shared" si="151"/>
        <v>N/A</v>
      </c>
      <c r="M397" t="str">
        <f t="shared" si="152"/>
        <v>N/A</v>
      </c>
      <c r="N397" t="str">
        <f t="shared" si="153"/>
        <v>N/A</v>
      </c>
    </row>
    <row r="398" spans="1:14" x14ac:dyDescent="0.3">
      <c r="A398" s="1">
        <v>2</v>
      </c>
      <c r="B398" t="s">
        <v>125</v>
      </c>
      <c r="C398" t="s">
        <v>1682</v>
      </c>
      <c r="I398" t="str">
        <f t="shared" si="148"/>
        <v>N/A</v>
      </c>
      <c r="J398">
        <f t="shared" si="149"/>
        <v>25.9</v>
      </c>
      <c r="K398" t="str">
        <f t="shared" si="150"/>
        <v>N/A</v>
      </c>
      <c r="L398" t="str">
        <f t="shared" si="151"/>
        <v>N/A</v>
      </c>
      <c r="M398" t="str">
        <f t="shared" si="152"/>
        <v>N/A</v>
      </c>
      <c r="N398" t="str">
        <f t="shared" si="153"/>
        <v>N/A</v>
      </c>
    </row>
    <row r="399" spans="1:14" x14ac:dyDescent="0.3">
      <c r="A399" s="1">
        <v>3</v>
      </c>
      <c r="B399" t="s">
        <v>126</v>
      </c>
      <c r="C399" t="s">
        <v>1683</v>
      </c>
      <c r="I399" t="str">
        <f t="shared" si="148"/>
        <v>N/A</v>
      </c>
      <c r="J399">
        <f t="shared" si="149"/>
        <v>21.71</v>
      </c>
      <c r="K399" t="str">
        <f t="shared" si="150"/>
        <v>N/A</v>
      </c>
      <c r="L399" t="str">
        <f t="shared" si="151"/>
        <v>N/A</v>
      </c>
      <c r="M399" t="str">
        <f t="shared" si="152"/>
        <v>N/A</v>
      </c>
      <c r="N399" t="str">
        <f t="shared" si="153"/>
        <v>N/A</v>
      </c>
    </row>
    <row r="400" spans="1:14" x14ac:dyDescent="0.3">
      <c r="A400" s="1">
        <v>4</v>
      </c>
      <c r="B400" t="s">
        <v>128</v>
      </c>
      <c r="C400" t="s">
        <v>1684</v>
      </c>
    </row>
    <row r="401" spans="1:3" x14ac:dyDescent="0.3">
      <c r="A401" s="1">
        <v>5</v>
      </c>
      <c r="B401" t="s">
        <v>130</v>
      </c>
      <c r="C401" t="s">
        <v>1685</v>
      </c>
    </row>
    <row r="402" spans="1:3" x14ac:dyDescent="0.3">
      <c r="A402" s="1">
        <v>6</v>
      </c>
      <c r="B402" t="s">
        <v>132</v>
      </c>
      <c r="C402" t="s">
        <v>1686</v>
      </c>
    </row>
    <row r="403" spans="1:3" x14ac:dyDescent="0.3">
      <c r="A403" s="1">
        <v>7</v>
      </c>
      <c r="B403" t="s">
        <v>134</v>
      </c>
    </row>
    <row r="404" spans="1:3" x14ac:dyDescent="0.3">
      <c r="A404" s="1">
        <v>8</v>
      </c>
      <c r="B404" t="s">
        <v>135</v>
      </c>
    </row>
    <row r="448" spans="52:52" x14ac:dyDescent="0.3">
      <c r="AZ448" t="str">
        <f>"Compile Facts"</f>
        <v>Compile Facts</v>
      </c>
    </row>
    <row r="450" spans="2:53" x14ac:dyDescent="0.3">
      <c r="B450" t="str">
        <f>"ROIC Super Tree"</f>
        <v>ROIC Super Tree</v>
      </c>
      <c r="AZ450" t="str">
        <f t="shared" ref="AZ450:BA453" si="154">I519</f>
        <v>Max SD</v>
      </c>
      <c r="BA450">
        <f t="shared" ca="1" si="154"/>
        <v>0.12754866894944608</v>
      </c>
    </row>
    <row r="451" spans="2:53" x14ac:dyDescent="0.3">
      <c r="AZ451" t="str">
        <f t="shared" si="154"/>
        <v>Max SD Item</v>
      </c>
      <c r="BA451" t="str">
        <f t="shared" ca="1" si="154"/>
        <v>Cash Tax Rate</v>
      </c>
    </row>
    <row r="452" spans="2:53" x14ac:dyDescent="0.3">
      <c r="AK452" t="str">
        <f>"Change in Gross Margin / Sales"</f>
        <v>Change in Gross Margin / Sales</v>
      </c>
      <c r="AZ452" t="str">
        <f t="shared" si="154"/>
        <v>Min SD</v>
      </c>
      <c r="BA452">
        <f t="shared" ca="1" si="154"/>
        <v>0</v>
      </c>
    </row>
    <row r="453" spans="2:53" x14ac:dyDescent="0.3">
      <c r="X453" t="str">
        <f>"Gross Margin"</f>
        <v>Gross Margin</v>
      </c>
      <c r="AK453" t="str">
        <f>K476</f>
        <v>12-13</v>
      </c>
      <c r="AL453" t="str">
        <f>L476</f>
        <v>13-14</v>
      </c>
      <c r="AM453" t="str">
        <f>M476</f>
        <v>14-15</v>
      </c>
      <c r="AN453" t="str">
        <f>N476</f>
        <v>15-16</v>
      </c>
      <c r="AZ453" t="str">
        <f t="shared" si="154"/>
        <v>Min SD Item</v>
      </c>
      <c r="BA453" t="str">
        <f t="shared" ca="1" si="154"/>
        <v>SGA / Sales</v>
      </c>
    </row>
    <row r="454" spans="2:53" x14ac:dyDescent="0.3">
      <c r="X454" t="str">
        <f>D476</f>
        <v>2012</v>
      </c>
      <c r="Y454" t="str">
        <f>E476</f>
        <v>2013</v>
      </c>
      <c r="Z454" t="str">
        <f>F476</f>
        <v>2014</v>
      </c>
      <c r="AA454" t="str">
        <f>G476</f>
        <v>2015</v>
      </c>
      <c r="AB454" t="str">
        <f>H476</f>
        <v>2016</v>
      </c>
      <c r="AK454">
        <f ca="1">Y455-X455</f>
        <v>1.507777777777778E-2</v>
      </c>
      <c r="AL454">
        <f ca="1">Z455-Y455</f>
        <v>1.7926386806596702E-2</v>
      </c>
      <c r="AM454">
        <f ca="1">AA455-Z455</f>
        <v>1.6599509234146992E-3</v>
      </c>
      <c r="AN454">
        <f ca="1">AB455-AA455</f>
        <v>-1.4155097794423638E-2</v>
      </c>
    </row>
    <row r="455" spans="2:53" x14ac:dyDescent="0.3">
      <c r="X455">
        <f ca="1">IFERROR((INDIRECT("J" &amp; MATCH("Gross Income",B145:B403,0) +144))/(INDIRECT("J" &amp; MATCH("Sales/Revenue",B145:B403,0) +144)), IFERROR((1 - (INDIRECT("J" &amp; MATCH("Cost of Goods Sold*",B145:B403,0) +144))/(INDIRECT("J" &amp; MATCH("Sales/Revenue",B145:B403,0) +144))),(INDIRECT("J" &amp; MATCH("Operating Income",B145:B403,0) +144))/(INDIRECT("J" &amp; MATCH("Sales/Revenue",B145:B403,0) +144))))</f>
        <v>-7.0386473429951699E-3</v>
      </c>
      <c r="Y455">
        <f ca="1">IFERROR((INDIRECT("K" &amp; MATCH("Gross Income",B145:B403,0) +144))/(INDIRECT("K" &amp; MATCH("Sales/Revenue",B145:B403,0) +144)), IFERROR((1 - (INDIRECT("K" &amp; MATCH("Cost of Goods Sold*",B145:B403,0) +144))/(INDIRECT("K" &amp; MATCH("Sales/Revenue",B145:B403,0) +144))),(INDIRECT("K" &amp; MATCH("Operating Income",B145:B403,0) +144))/(INDIRECT("K" &amp; MATCH("Sales/Revenue",B145:B403,0) +144))))</f>
        <v>8.0391304347826095E-3</v>
      </c>
      <c r="Z455">
        <f ca="1">IFERROR((INDIRECT("L" &amp; MATCH("Gross Income",B145:B403,0) +144))/(INDIRECT("L" &amp; MATCH("Sales/Revenue",B145:B403,0) +144)), IFERROR((1 - (INDIRECT("L" &amp; MATCH("Cost of Goods Sold*",B145:B403,0) +144))/(INDIRECT("L" &amp; MATCH("Sales/Revenue",B145:B403,0) +144))),(INDIRECT("L" &amp; MATCH("Operating Income",B145:B403,0) +144))/(INDIRECT("L" &amp; MATCH("Sales/Revenue",B145:B403,0) +144))))</f>
        <v>2.5965517241379309E-2</v>
      </c>
      <c r="AA455">
        <f ca="1">IFERROR((INDIRECT("M" &amp; MATCH("Gross Income",B145:B403,0) +144))/(INDIRECT("M" &amp; MATCH("Sales/Revenue",B145:B403,0) +144)), IFERROR((1 - (INDIRECT("M" &amp; MATCH("Cost of Goods Sold*",B145:B403,0) +144))/(INDIRECT("M" &amp; MATCH("Sales/Revenue",B145:B403,0) +144))),(INDIRECT("M" &amp; MATCH("Operating Income",B145:B403,0) +144))/(INDIRECT("M" &amp; MATCH("Sales/Revenue",B145:B403,0) +144))))</f>
        <v>2.7625468164794009E-2</v>
      </c>
      <c r="AB455">
        <f ca="1">IFERROR((INDIRECT("N" &amp; MATCH("Gross Income",B145:B403,0) +144))/(INDIRECT("N" &amp; MATCH("Sales/Revenue",B145:B403,0) +144)), IFERROR((1 - (INDIRECT("N" &amp; MATCH("Cost of Goods Sold*",B145:B403,0) +144))/(INDIRECT("N" &amp; MATCH("Sales/Revenue",B145:B403,0) +144))),(INDIRECT("N" &amp; MATCH("Operating Income",B145:B403,0) +144))/(INDIRECT("N" &amp; MATCH("Sales/Revenue",B145:B403,0) +144))))</f>
        <v>1.347037037037037E-2</v>
      </c>
      <c r="AK455" t="str">
        <f>"Max " &amp; AK452</f>
        <v>Max Change in Gross Margin / Sales</v>
      </c>
      <c r="AL455">
        <f ca="1">MAX(AK454:AN454)</f>
        <v>1.7926386806596702E-2</v>
      </c>
      <c r="AZ455" t="str">
        <f>"Item"</f>
        <v>Item</v>
      </c>
      <c r="BA455" t="str">
        <f>"Key Driver"</f>
        <v>Key Driver</v>
      </c>
    </row>
    <row r="456" spans="2:53" x14ac:dyDescent="0.3">
      <c r="X456" t="str">
        <f>"Max " &amp; X453</f>
        <v>Max Gross Margin</v>
      </c>
      <c r="Y456">
        <f ca="1">MAX(X455:AB455)</f>
        <v>2.7625468164794009E-2</v>
      </c>
      <c r="AK456" t="str">
        <f>AK455 &amp; " Year"</f>
        <v>Max Change in Gross Margin / Sales Year</v>
      </c>
      <c r="AL456" t="str">
        <f ca="1">IF(MATCH(AL455,AK454:AN454,0)=1,AK453,IF(MATCH(AL455,AK454:AN454,0)=2,AL453,IF(MATCH(AL455,AK454:AN454,0)=3,AM453,AN453)))</f>
        <v>13-14</v>
      </c>
      <c r="AZ456" t="str">
        <f>C528</f>
        <v>Operating Margin</v>
      </c>
      <c r="BA456" t="e">
        <f ca="1">L528</f>
        <v>#DIV/0!</v>
      </c>
    </row>
    <row r="457" spans="2:53" x14ac:dyDescent="0.3">
      <c r="X457" t="str">
        <f>X456 &amp; " Year"</f>
        <v>Max Gross Margin Year</v>
      </c>
      <c r="Y457">
        <f ca="1">VALUE(X454)+MATCH(Y456,X455:AB455,0)-1</f>
        <v>2015</v>
      </c>
      <c r="AK457" t="str">
        <f>"Min " &amp; AK452</f>
        <v>Min Change in Gross Margin / Sales</v>
      </c>
      <c r="AL457">
        <f ca="1">MIN(AK454:AN454)</f>
        <v>-1.4155097794423638E-2</v>
      </c>
      <c r="AZ457" t="str">
        <f>C529</f>
        <v>Invested Capital / Sales</v>
      </c>
      <c r="BA457" t="str">
        <f ca="1">L529</f>
        <v>PPE / Sales</v>
      </c>
    </row>
    <row r="458" spans="2:53" x14ac:dyDescent="0.3">
      <c r="X458" t="str">
        <f>"Min " &amp; X453</f>
        <v>Min Gross Margin</v>
      </c>
      <c r="Y458">
        <f ca="1">MIN(X455:AB455)</f>
        <v>-7.0386473429951699E-3</v>
      </c>
      <c r="AK458" t="str">
        <f>AK457 &amp; " Year"</f>
        <v>Min Change in Gross Margin / Sales Year</v>
      </c>
      <c r="AL458" t="str">
        <f ca="1">IF(MATCH(AL457,AK454:AN454,0)=1,AK453,IF(MATCH(AL457,AK454:AN454,0)=2,AL453,IF(MATCH(AL457,AK454:AN454,0)=3,AM453,AN453)))</f>
        <v>15-16</v>
      </c>
    </row>
    <row r="459" spans="2:53" x14ac:dyDescent="0.3">
      <c r="X459" t="str">
        <f>X458 &amp; " Year"</f>
        <v>Min Gross Margin Year</v>
      </c>
      <c r="Y459">
        <f ca="1">VALUE(X454)+MATCH(Y458,X455:AB455,0)-1</f>
        <v>2012</v>
      </c>
      <c r="AZ459" t="str">
        <f ca="1">C540</f>
        <v>Min ROIC in same year as Min OM. Min ROIC in same year as Max IC. Min OM in same year as Min GM. Min OM in same year as Max SGA. Max OM in same year as Min Depr
. Min OM in same year as Max Dep. Max IC in same year as Max PPE
. Min IC in same year as Min PPE. Max IC in same year as Max Intangibles
. Min IC in same year as Min Intangibles</v>
      </c>
    </row>
    <row r="460" spans="2:53" x14ac:dyDescent="0.3">
      <c r="Q460" t="str">
        <f>"Operating Margin"</f>
        <v>Operating Margin</v>
      </c>
    </row>
    <row r="461" spans="2:53" x14ac:dyDescent="0.3">
      <c r="Q461" t="str">
        <f>D476</f>
        <v>2012</v>
      </c>
      <c r="R461" t="str">
        <f>E476</f>
        <v>2013</v>
      </c>
      <c r="S461" t="str">
        <f>F476</f>
        <v>2014</v>
      </c>
      <c r="T461" t="str">
        <f>G476</f>
        <v>2015</v>
      </c>
      <c r="U461" t="str">
        <f>H476</f>
        <v>2016</v>
      </c>
      <c r="X461" t="str">
        <f>"SGA / Sales"</f>
        <v>SGA / Sales</v>
      </c>
      <c r="AE461" t="str">
        <f>"Change in Operating Margin"</f>
        <v>Change in Operating Margin</v>
      </c>
      <c r="AK461" t="str">
        <f>"Change in SGA / Sales"</f>
        <v>Change in SGA / Sales</v>
      </c>
    </row>
    <row r="462" spans="2:53" x14ac:dyDescent="0.3">
      <c r="Q462">
        <f ca="1">X455-X463-X471</f>
        <v>-4.8338164251207731E-2</v>
      </c>
      <c r="R462">
        <f ca="1">Y455-Y463-Y471</f>
        <v>-3.0391304347826081E-2</v>
      </c>
      <c r="S462">
        <f ca="1">Z455-Z463-Z471</f>
        <v>-7.0689655172413816E-3</v>
      </c>
      <c r="T462">
        <f ca="1">AA455-AA463-AA471</f>
        <v>-7.2209737827715371E-3</v>
      </c>
      <c r="U462">
        <f ca="1">AB455-AB463-AB471</f>
        <v>-2.46962962962963E-2</v>
      </c>
      <c r="X462" t="str">
        <f>D476</f>
        <v>2012</v>
      </c>
      <c r="Y462" t="str">
        <f>E476</f>
        <v>2013</v>
      </c>
      <c r="Z462" t="str">
        <f>F476</f>
        <v>2014</v>
      </c>
      <c r="AA462" t="str">
        <f>G476</f>
        <v>2015</v>
      </c>
      <c r="AB462" t="str">
        <f>H476</f>
        <v>2016</v>
      </c>
      <c r="AE462" t="str">
        <f>K476</f>
        <v>12-13</v>
      </c>
      <c r="AF462" t="str">
        <f>L476</f>
        <v>13-14</v>
      </c>
      <c r="AG462" t="str">
        <f>M476</f>
        <v>14-15</v>
      </c>
      <c r="AH462" t="str">
        <f>N476</f>
        <v>15-16</v>
      </c>
      <c r="AK462" t="str">
        <f>K476</f>
        <v>12-13</v>
      </c>
      <c r="AL462" t="str">
        <f>L476</f>
        <v>13-14</v>
      </c>
      <c r="AM462" t="str">
        <f>M476</f>
        <v>14-15</v>
      </c>
      <c r="AN462" t="str">
        <f>N476</f>
        <v>15-16</v>
      </c>
    </row>
    <row r="463" spans="2:53" x14ac:dyDescent="0.3">
      <c r="Q463" t="str">
        <f>"Max " &amp; Q460</f>
        <v>Max Operating Margin</v>
      </c>
      <c r="R463">
        <f ca="1">MAX(Q462:U462)</f>
        <v>-7.0689655172413816E-3</v>
      </c>
      <c r="S463" t="str">
        <f>"GM Effect on Max"</f>
        <v>GM Effect on Max</v>
      </c>
      <c r="T463" t="str">
        <f ca="1">IF(R464=Y457,"Max OM in same year as Max GM","Inconclusive Effect")</f>
        <v>Inconclusive Effect</v>
      </c>
      <c r="U463" t="str">
        <f>"Correlation with GM"</f>
        <v>Correlation with GM</v>
      </c>
      <c r="V463">
        <f ca="1">CORREL(Q462:U462,X455:AB455)</f>
        <v>0.99846325868548802</v>
      </c>
      <c r="X463">
        <f ca="1">(INDIRECT("J" &amp; MATCH("SG&amp;A Expense",B145:B403,0) +144))/(INDIRECT("J" &amp; MATCH("Sales/Revenue",B145:B403,0) +144))</f>
        <v>0</v>
      </c>
      <c r="Y463">
        <f ca="1">(INDIRECT("K" &amp; MATCH("SG&amp;A Expense",B145:B403,0) +144))/(INDIRECT("K" &amp; MATCH("Sales/Revenue",B145:B403,0) +144))</f>
        <v>0</v>
      </c>
      <c r="Z463">
        <f ca="1">(INDIRECT("L" &amp; MATCH("SG&amp;A Expense",B145:B403,0) +144))/(INDIRECT("L" &amp; MATCH("Sales/Revenue",B145:B403,0) +144))</f>
        <v>0</v>
      </c>
      <c r="AA463">
        <f ca="1">(INDIRECT("M" &amp; MATCH("SG&amp;A Expense",B145:B403,0) +144))/(INDIRECT("M" &amp; MATCH("Sales/Revenue",B145:B403,0) +144))</f>
        <v>0</v>
      </c>
      <c r="AB463">
        <f ca="1">(INDIRECT("N" &amp; MATCH("SG&amp;A Expense",B145:B403,0) +144))/(INDIRECT("N" &amp; MATCH("Sales/Revenue",B145:B403,0) +144))</f>
        <v>0</v>
      </c>
      <c r="AE463">
        <f ca="1">R462-Q462</f>
        <v>1.794685990338165E-2</v>
      </c>
      <c r="AF463">
        <f ca="1">S462-R462</f>
        <v>2.33223388305847E-2</v>
      </c>
      <c r="AG463">
        <f ca="1">T462-S462</f>
        <v>-1.5200826553015551E-4</v>
      </c>
      <c r="AH463">
        <f ca="1">U462-T462</f>
        <v>-1.7475322513524762E-2</v>
      </c>
      <c r="AK463">
        <f ca="1">Y463-X463</f>
        <v>0</v>
      </c>
      <c r="AL463">
        <f ca="1">Z463-Y463</f>
        <v>0</v>
      </c>
      <c r="AM463">
        <f ca="1">AA463-Z463</f>
        <v>0</v>
      </c>
      <c r="AN463">
        <f ca="1">AB463-AA463</f>
        <v>0</v>
      </c>
    </row>
    <row r="464" spans="2:53" x14ac:dyDescent="0.3">
      <c r="Q464" t="str">
        <f>Q463 &amp; " Year"</f>
        <v>Max Operating Margin Year</v>
      </c>
      <c r="R464">
        <f ca="1">VALUE(Q461)+MATCH(R463,Q462:U462,0)-1</f>
        <v>2014</v>
      </c>
      <c r="S464" t="str">
        <f>"SGA Effect on Max"</f>
        <v>SGA Effect on Max</v>
      </c>
      <c r="T464" t="str">
        <f ca="1">IF(R464=Y467,"Max OM in same year as Min SGA","Inconclusive Effect")</f>
        <v>Inconclusive Effect</v>
      </c>
      <c r="U464" t="str">
        <f>"Correlation with SGA"</f>
        <v>Correlation with SGA</v>
      </c>
      <c r="V464" t="e">
        <f ca="1">CORREL(Q462:U462,X463:AB463)</f>
        <v>#DIV/0!</v>
      </c>
      <c r="X464" t="str">
        <f>"Max " &amp; X461</f>
        <v>Max SGA / Sales</v>
      </c>
      <c r="Y464">
        <f ca="1">MAX(X463:AB463)</f>
        <v>0</v>
      </c>
      <c r="AE464" t="str">
        <f>"Max " &amp; AE461</f>
        <v>Max Change in Operating Margin</v>
      </c>
      <c r="AF464">
        <f ca="1">MAX(AE463:AH463)</f>
        <v>2.33223388305847E-2</v>
      </c>
      <c r="AK464" t="str">
        <f>"Max " &amp; AK461</f>
        <v>Max Change in SGA / Sales</v>
      </c>
      <c r="AL464">
        <f ca="1">MAX(AK463:AN463)</f>
        <v>0</v>
      </c>
    </row>
    <row r="465" spans="4:40" x14ac:dyDescent="0.3">
      <c r="J465" t="str">
        <f>"EOY Pretax ROIC"</f>
        <v>EOY Pretax ROIC</v>
      </c>
      <c r="Q465" t="str">
        <f>"Min " &amp; Q460</f>
        <v>Min Operating Margin</v>
      </c>
      <c r="R465">
        <f ca="1">MIN(Q462:U462)</f>
        <v>-4.8338164251207731E-2</v>
      </c>
      <c r="S465" t="str">
        <f>"Dep Effect on Max"</f>
        <v>Dep Effect on Max</v>
      </c>
      <c r="T465" t="str">
        <f ca="1">IF(R464=Y475,"Max OM in same year as Min Depr","Inconclusive Effect")</f>
        <v>Max OM in same year as Min Depr</v>
      </c>
      <c r="U465" t="str">
        <f>"Correlation with Dep"</f>
        <v>Correlation with Dep</v>
      </c>
      <c r="V465">
        <f ca="1">CORREL(Q462:U462,X471:AB471)</f>
        <v>-0.9701626816385458</v>
      </c>
      <c r="X465" t="str">
        <f>X464 &amp; " Year"</f>
        <v>Max SGA / Sales Year</v>
      </c>
      <c r="Y465">
        <f ca="1">VALUE(X462)+MATCH(Y464,X463:AB463,0)-1</f>
        <v>2012</v>
      </c>
      <c r="AE465" t="str">
        <f>AE464 &amp; " Year"</f>
        <v>Max Change in Operating Margin Year</v>
      </c>
      <c r="AF465" t="str">
        <f ca="1">IF(MATCH(AF464,AE463:AH463,0)=1,AE462,IF(MATCH(AF464,AE463:AH463,0)=2,AF462,IF(MATCH(AF464,AE463:AH463,0)=3,AG462,AH462)))</f>
        <v>13-14</v>
      </c>
      <c r="AK465" t="str">
        <f>AK464 &amp; " Year"</f>
        <v>Max Change in SGA / Sales Year</v>
      </c>
      <c r="AL465" t="str">
        <f ca="1">IF(MATCH(AL464,AK463:AN463,0)=1,AK462,IF(MATCH(AL464,AK463:AN463,0)=2,AL462,IF(MATCH(AL464,AK463:AN463,0)=3,AM462,AN462)))</f>
        <v>12-13</v>
      </c>
    </row>
    <row r="466" spans="4:40" x14ac:dyDescent="0.3">
      <c r="J466" t="str">
        <f>D476</f>
        <v>2012</v>
      </c>
      <c r="K466" t="str">
        <f>E476</f>
        <v>2013</v>
      </c>
      <c r="L466" t="str">
        <f>F476</f>
        <v>2014</v>
      </c>
      <c r="M466" t="str">
        <f>G476</f>
        <v>2015</v>
      </c>
      <c r="N466" t="str">
        <f>H476</f>
        <v>2016</v>
      </c>
      <c r="Q466" t="str">
        <f>Q465 &amp; " Year"</f>
        <v>Min Operating Margin Year</v>
      </c>
      <c r="R466">
        <f ca="1">VALUE(Q461)+MATCH(R465,Q462:U462,0)-1</f>
        <v>2012</v>
      </c>
      <c r="S466" t="str">
        <f>"GM Effect on Min"</f>
        <v>GM Effect on Min</v>
      </c>
      <c r="T466" t="str">
        <f ca="1">IF(R466=Y459,"Min OM in same year as Min GM","Inconclusive Effect")</f>
        <v>Min OM in same year as Min GM</v>
      </c>
      <c r="X466" t="str">
        <f>"Min " &amp; X461</f>
        <v>Min SGA / Sales</v>
      </c>
      <c r="Y466">
        <f ca="1">MIN(X463:AB463)</f>
        <v>0</v>
      </c>
      <c r="AE466" t="str">
        <f>"Min " &amp; AE461</f>
        <v>Min Change in Operating Margin</v>
      </c>
      <c r="AF466">
        <f ca="1">MIN(AE463:AH463)</f>
        <v>-1.7475322513524762E-2</v>
      </c>
      <c r="AK466" t="str">
        <f>"Min " &amp; AK461</f>
        <v>Min Change in SGA / Sales</v>
      </c>
      <c r="AL466">
        <f ca="1">MIN(AK463:AN463)</f>
        <v>0</v>
      </c>
    </row>
    <row r="467" spans="4:40" x14ac:dyDescent="0.3">
      <c r="J467">
        <f ca="1">Q462*(1/Q490)</f>
        <v>-0.1464749970722567</v>
      </c>
      <c r="K467">
        <f ca="1">R462*(1/R490)</f>
        <v>-0.10669963822869441</v>
      </c>
      <c r="L467">
        <f ca="1">S462*(1/S490)</f>
        <v>-2.5137952176578791E-2</v>
      </c>
      <c r="M467">
        <f ca="1">T462*(1/T490)</f>
        <v>-2.2849557941643565E-2</v>
      </c>
      <c r="N467">
        <f ca="1">U462*(1/U490)</f>
        <v>-7.7858085307614178E-2</v>
      </c>
      <c r="S467" t="str">
        <f>"SGA Effect on Min"</f>
        <v>SGA Effect on Min</v>
      </c>
      <c r="T467" t="str">
        <f ca="1">IF(R466=Y465,"Min OM in same year as Max SGA","Inconclusive Effect")</f>
        <v>Min OM in same year as Max SGA</v>
      </c>
      <c r="X467" t="str">
        <f>X466 &amp; " Year"</f>
        <v>Min SGA / Sales Year</v>
      </c>
      <c r="Y467">
        <f ca="1">VALUE(X462)+MATCH(Y466,X463:AB463,0)-1</f>
        <v>2012</v>
      </c>
      <c r="AE467" t="str">
        <f>AE466 &amp; " Year"</f>
        <v>Min Change in Operating Margin Year</v>
      </c>
      <c r="AF467" t="str">
        <f ca="1">IF(MATCH(AF466,AE463:AH463,0)=1,AE462,IF(MATCH(AF466,AE463:AH463,0)=2,AF462,IF(MATCH(AF466,AE463:AH463,0)=3,AG462,AH462)))</f>
        <v>15-16</v>
      </c>
      <c r="AK467" t="str">
        <f>AK466 &amp; " Year"</f>
        <v>Min Change in SGA / Sales Year</v>
      </c>
      <c r="AL467" t="str">
        <f ca="1">IF(MATCH(AL466,AK463:AN463,0)=1,AK462,IF(MATCH(AL466,AK463:AN463,0)=2,AL462,IF(MATCH(AL466,AK463:AN463,0)=3,AM462,AN462)))</f>
        <v>12-13</v>
      </c>
    </row>
    <row r="468" spans="4:40" x14ac:dyDescent="0.3">
      <c r="J468" t="str">
        <f>"Max " &amp; J465</f>
        <v>Max EOY Pretax ROIC</v>
      </c>
      <c r="K468">
        <f ca="1">MAX(J467:N467)</f>
        <v>-2.2849557941643565E-2</v>
      </c>
      <c r="L468" t="str">
        <f>"OM Effect on Max"</f>
        <v>OM Effect on Max</v>
      </c>
      <c r="M468" t="str">
        <f ca="1">IF(K469=R464,"Max ROIC in same year as Max OM","Inconclusive Effect")</f>
        <v>Inconclusive Effect</v>
      </c>
      <c r="N468" t="str">
        <f>"Correlation with OM"</f>
        <v>Correlation with OM</v>
      </c>
      <c r="O468">
        <f ca="1">CORREL(J467:N467,Q462:U462)</f>
        <v>0.99392885612224269</v>
      </c>
      <c r="S468" t="str">
        <f>"Dep Effect on Min"</f>
        <v>Dep Effect on Min</v>
      </c>
      <c r="T468" t="str">
        <f ca="1">IF(R466=Y473,"Min OM in same year as Max Dep","Inconclusive Effect")</f>
        <v>Min OM in same year as Max Dep</v>
      </c>
    </row>
    <row r="469" spans="4:40" x14ac:dyDescent="0.3">
      <c r="J469" t="str">
        <f>J468 &amp; " Year"</f>
        <v>Max EOY Pretax ROIC Year</v>
      </c>
      <c r="K469">
        <f ca="1">VALUE(J466)+MATCH(K468,J467:N467,0)-1</f>
        <v>2015</v>
      </c>
      <c r="L469" t="str">
        <f>"IC Effect on Max"</f>
        <v>IC Effect on Max</v>
      </c>
      <c r="M469" t="str">
        <f ca="1">IF(K469=R494,"Max ROIC in same year as Min IC","Inconclusive Effect")</f>
        <v>Inconclusive Effect</v>
      </c>
      <c r="N469" t="str">
        <f>"Correlation with IC"</f>
        <v>Correlation with IC</v>
      </c>
      <c r="O469">
        <f ca="1">CORREL(J467:N467,Q490:U490)</f>
        <v>-0.38975299011392733</v>
      </c>
      <c r="X469" t="str">
        <f>"Depreciation / Sales"</f>
        <v>Depreciation / Sales</v>
      </c>
    </row>
    <row r="470" spans="4:40" x14ac:dyDescent="0.3">
      <c r="J470" t="str">
        <f>"Min " &amp; J465</f>
        <v>Min EOY Pretax ROIC</v>
      </c>
      <c r="K470">
        <f ca="1">MIN(J467:N467)</f>
        <v>-0.1464749970722567</v>
      </c>
      <c r="L470" t="str">
        <f>"OM Effect on Min"</f>
        <v>OM Effect on Min</v>
      </c>
      <c r="M470" t="str">
        <f ca="1">IF(K471=R466,"Min ROIC in same year as Min OM","Inconclusive Effect")</f>
        <v>Min ROIC in same year as Min OM</v>
      </c>
      <c r="Q470" t="str">
        <f>"Change in EOY Pretax ROIC"</f>
        <v>Change in EOY Pretax ROIC</v>
      </c>
      <c r="X470" t="str">
        <f>D476</f>
        <v>2012</v>
      </c>
      <c r="Y470" t="str">
        <f>E476</f>
        <v>2013</v>
      </c>
      <c r="Z470" t="str">
        <f>F476</f>
        <v>2014</v>
      </c>
      <c r="AA470" t="str">
        <f>G476</f>
        <v>2015</v>
      </c>
      <c r="AB470" t="str">
        <f>H476</f>
        <v>2016</v>
      </c>
    </row>
    <row r="471" spans="4:40" x14ac:dyDescent="0.3">
      <c r="J471" t="str">
        <f>J470 &amp; " Year"</f>
        <v>Min EOY Pretax ROIC Year</v>
      </c>
      <c r="K471">
        <f ca="1">VALUE(J466)+MATCH(K470,J467:N467,0)-1</f>
        <v>2012</v>
      </c>
      <c r="L471" t="str">
        <f>"IC Effect on Min"</f>
        <v>IC Effect on Min</v>
      </c>
      <c r="M471" t="str">
        <f ca="1">IF(K471=R492,"Min ROIC in same year as Max IC","Inconclusive Effect")</f>
        <v>Min ROIC in same year as Max IC</v>
      </c>
      <c r="Q471" t="str">
        <f>K476</f>
        <v>12-13</v>
      </c>
      <c r="R471" t="str">
        <f>L476</f>
        <v>13-14</v>
      </c>
      <c r="S471" t="str">
        <f>M476</f>
        <v>14-15</v>
      </c>
      <c r="T471" t="str">
        <f>N476</f>
        <v>15-16</v>
      </c>
      <c r="X471">
        <f ca="1">(INDIRECT("J" &amp; MATCH("Depreciation &amp; Amortization Expense",B145:B403,0) +144))/(INDIRECT("J" &amp; MATCH("Sales/Revenue",B145:B403,0) +144))</f>
        <v>4.1299516908212562E-2</v>
      </c>
      <c r="Y471">
        <f ca="1">(INDIRECT("K" &amp; MATCH("Depreciation &amp; Amortization Expense",B145:B403,0) +144))/(INDIRECT("K" &amp; MATCH("Sales/Revenue",B145:B403,0) +144))</f>
        <v>3.8430434782608693E-2</v>
      </c>
      <c r="Z471">
        <f ca="1">(INDIRECT("L" &amp; MATCH("Depreciation &amp; Amortization Expense",B145:B403,0) +144))/(INDIRECT("L" &amp; MATCH("Sales/Revenue",B145:B403,0) +144))</f>
        <v>3.3034482758620691E-2</v>
      </c>
      <c r="AA471">
        <f ca="1">(INDIRECT("M" &amp; MATCH("Depreciation &amp; Amortization Expense",B145:B403,0) +144))/(INDIRECT("M" &amp; MATCH("Sales/Revenue",B145:B403,0) +144))</f>
        <v>3.4846441947565546E-2</v>
      </c>
      <c r="AB471">
        <f ca="1">(INDIRECT("N" &amp; MATCH("Depreciation &amp; Amortization Expense",B145:B403,0) +144))/(INDIRECT("N" &amp; MATCH("Sales/Revenue",B145:B403,0) +144))</f>
        <v>3.8166666666666668E-2</v>
      </c>
    </row>
    <row r="472" spans="4:40" x14ac:dyDescent="0.3">
      <c r="Q472">
        <f ca="1">K467-J467</f>
        <v>3.9775358843562286E-2</v>
      </c>
      <c r="R472">
        <f ca="1">L467-K467</f>
        <v>8.1561686052115612E-2</v>
      </c>
      <c r="S472">
        <f ca="1">M467-L467</f>
        <v>2.2883942349352267E-3</v>
      </c>
      <c r="T472">
        <f ca="1">N467-M467</f>
        <v>-5.5008527365970616E-2</v>
      </c>
      <c r="X472" t="str">
        <f>"Max " &amp; X469</f>
        <v>Max Depreciation / Sales</v>
      </c>
      <c r="Y472">
        <f ca="1">MAX(X471:AB471)</f>
        <v>4.1299516908212562E-2</v>
      </c>
      <c r="AK472" t="str">
        <f>"Change in Depreciation / Sales"</f>
        <v>Change in Depreciation / Sales</v>
      </c>
    </row>
    <row r="473" spans="4:40" x14ac:dyDescent="0.3">
      <c r="Q473" t="str">
        <f>"Max " &amp; Q470</f>
        <v>Max Change in EOY Pretax ROIC</v>
      </c>
      <c r="R473">
        <f ca="1">MAX(Q472:T472)</f>
        <v>8.1561686052115612E-2</v>
      </c>
      <c r="X473" t="str">
        <f>X472 &amp; " Year"</f>
        <v>Max Depreciation / Sales Year</v>
      </c>
      <c r="Y473">
        <f ca="1">VALUE(X470)+MATCH(Y472,X471:AB471,0)-1</f>
        <v>2012</v>
      </c>
      <c r="AK473" t="str">
        <f>K476</f>
        <v>12-13</v>
      </c>
      <c r="AL473" t="str">
        <f>L476</f>
        <v>13-14</v>
      </c>
      <c r="AM473" t="str">
        <f>M476</f>
        <v>14-15</v>
      </c>
      <c r="AN473" t="str">
        <f>N476</f>
        <v>15-16</v>
      </c>
    </row>
    <row r="474" spans="4:40" x14ac:dyDescent="0.3">
      <c r="Q474" t="str">
        <f>Q473 &amp; " Year"</f>
        <v>Max Change in EOY Pretax ROIC Year</v>
      </c>
      <c r="R474" t="str">
        <f ca="1">IF(MATCH(R473,Q472:T472,0)=1,Q471,IF(MATCH(R473,Q472:T472,0)=2,R471,IF(MATCH(R473,Q472:T472,0)=3,S471,T471)))</f>
        <v>13-14</v>
      </c>
      <c r="X474" t="str">
        <f>"Min " &amp; X469</f>
        <v>Min Depreciation / Sales</v>
      </c>
      <c r="Y474">
        <f ca="1">MIN(X471:AB471)</f>
        <v>3.3034482758620691E-2</v>
      </c>
      <c r="AK474">
        <f ca="1">Y471-X471</f>
        <v>-2.8690821256038695E-3</v>
      </c>
      <c r="AL474">
        <f ca="1">Z471-Y471</f>
        <v>-5.3959520239880016E-3</v>
      </c>
      <c r="AM474">
        <f ca="1">AA471-Z471</f>
        <v>1.8119591889448547E-3</v>
      </c>
      <c r="AN474">
        <f ca="1">AB471-AA471</f>
        <v>3.3202247191011225E-3</v>
      </c>
    </row>
    <row r="475" spans="4:40" x14ac:dyDescent="0.3">
      <c r="D475" t="str">
        <f>"EOY ROIC"</f>
        <v>EOY ROIC</v>
      </c>
      <c r="K475" t="str">
        <f>"Change in EOY ROIC"</f>
        <v>Change in EOY ROIC</v>
      </c>
      <c r="Q475" t="str">
        <f>"Min " &amp; Q470</f>
        <v>Min Change in EOY Pretax ROIC</v>
      </c>
      <c r="R475">
        <f ca="1">MIN(Q472:T472)</f>
        <v>-5.5008527365970616E-2</v>
      </c>
      <c r="X475" t="str">
        <f>X474 &amp; " Year"</f>
        <v>Min Depreciation / Sales Year</v>
      </c>
      <c r="Y475">
        <f ca="1">VALUE(X470)+MATCH(Y474,X471:AB471,0)-1</f>
        <v>2014</v>
      </c>
      <c r="AK475" t="str">
        <f>"Max " &amp; AK472</f>
        <v>Max Change in Depreciation / Sales</v>
      </c>
      <c r="AL475">
        <f ca="1">MAX(AK474:AN474)</f>
        <v>3.3202247191011225E-3</v>
      </c>
    </row>
    <row r="476" spans="4:40" x14ac:dyDescent="0.3">
      <c r="D476" t="str">
        <f>C144</f>
        <v>2012</v>
      </c>
      <c r="E476" t="str">
        <f>D144</f>
        <v>2013</v>
      </c>
      <c r="F476" t="str">
        <f>E144</f>
        <v>2014</v>
      </c>
      <c r="G476" t="str">
        <f>F144</f>
        <v>2015</v>
      </c>
      <c r="H476" t="str">
        <f>G144</f>
        <v>2016</v>
      </c>
      <c r="K476" t="str">
        <f>RIGHT(D476,2) &amp; "-" &amp; RIGHT(E476,2)</f>
        <v>12-13</v>
      </c>
      <c r="L476" t="str">
        <f>RIGHT(E476,2) &amp; "-" &amp; RIGHT(F476,2)</f>
        <v>13-14</v>
      </c>
      <c r="M476" t="str">
        <f>RIGHT(F476,2) &amp; "-" &amp; RIGHT(G476,2)</f>
        <v>14-15</v>
      </c>
      <c r="N476" t="str">
        <f>RIGHT(G476,2) &amp; "-" &amp; RIGHT(H476,2)</f>
        <v>15-16</v>
      </c>
      <c r="Q476" t="str">
        <f>Q475 &amp; " Year"</f>
        <v>Min Change in EOY Pretax ROIC Year</v>
      </c>
      <c r="R476" t="str">
        <f ca="1">IF(MATCH(R475,Q472:T472,0)=1,Q471,IF(MATCH(R475,Q472:T472,0)=2,R471,IF(MATCH(R475,Q472:T472,0)=3,S471,T471)))</f>
        <v>15-16</v>
      </c>
      <c r="AK476" t="str">
        <f>AK475 &amp; " Year"</f>
        <v>Max Change in Depreciation / Sales Year</v>
      </c>
      <c r="AL476" t="str">
        <f ca="1">IF(MATCH(AL475,AK474:AN474,0)=1,AK473,IF(MATCH(AL475,AK474:AN474,0)=2,AL473,IF(MATCH(AL475,AK474:AN474,0)=3,AM473,AN473)))</f>
        <v>15-16</v>
      </c>
    </row>
    <row r="477" spans="4:40" x14ac:dyDescent="0.3">
      <c r="D477">
        <f ca="1">J467*(1-J487)</f>
        <v>-6.6642244106447576E-2</v>
      </c>
      <c r="E477">
        <f ca="1">K467*(1-K487)</f>
        <v>-8.6686602281380198E-2</v>
      </c>
      <c r="F477">
        <f ca="1">L467*(1-L487)</f>
        <v>-1.6437037983184292E-2</v>
      </c>
      <c r="G477">
        <f ca="1">M467*(1-M487)</f>
        <v>-1.4090508369073476E-2</v>
      </c>
      <c r="H477">
        <f ca="1">N467*(1-N487)</f>
        <v>-5.1327440473206233E-2</v>
      </c>
      <c r="K477">
        <f ca="1">E477-D477</f>
        <v>-2.0044358174932622E-2</v>
      </c>
      <c r="L477">
        <f ca="1">F477-E477</f>
        <v>7.0249564298195899E-2</v>
      </c>
      <c r="M477">
        <f ca="1">G477-F477</f>
        <v>2.346529614110816E-3</v>
      </c>
      <c r="N477">
        <f ca="1">H477-G477</f>
        <v>-3.7236932104132758E-2</v>
      </c>
      <c r="AK477" t="str">
        <f>"Min " &amp; AK472</f>
        <v>Min Change in Depreciation / Sales</v>
      </c>
      <c r="AL477">
        <f ca="1">MIN(AK474:AN474)</f>
        <v>-5.3959520239880016E-3</v>
      </c>
    </row>
    <row r="478" spans="4:40" x14ac:dyDescent="0.3">
      <c r="D478" t="str">
        <f>"Max " &amp; D475</f>
        <v>Max EOY ROIC</v>
      </c>
      <c r="E478">
        <f ca="1">MAX(D477:H477)</f>
        <v>-1.4090508369073476E-2</v>
      </c>
      <c r="F478" t="str">
        <f>"Cash Tax  Effect on Max"</f>
        <v>Cash Tax  Effect on Max</v>
      </c>
      <c r="G478" t="str">
        <f ca="1">IF(E479=K491,"Max ROIC in same year as Min Cash Tax","Inconclusive Effect")</f>
        <v>Inconclusive Effect</v>
      </c>
      <c r="K478" t="str">
        <f>"Max " &amp; K475</f>
        <v>Max Change in EOY ROIC</v>
      </c>
      <c r="L478">
        <f ca="1">MAX(K477:N477)</f>
        <v>7.0249564298195899E-2</v>
      </c>
      <c r="AK478" t="str">
        <f>AK477 &amp; " Year"</f>
        <v>Min Change in Depreciation / Sales Year</v>
      </c>
      <c r="AL478" t="str">
        <f ca="1">IF(MATCH(AL477,AK474:AN474,0)=1,AK473,IF(MATCH(AL477,AK474:AN474,0)=2,AL473,IF(MATCH(AL477,AK474:AN474,0)=3,AM473,AN473)))</f>
        <v>13-14</v>
      </c>
    </row>
    <row r="479" spans="4:40" x14ac:dyDescent="0.3">
      <c r="D479" t="str">
        <f>D478 &amp; " Year"</f>
        <v>Max EOY ROIC Year</v>
      </c>
      <c r="E479">
        <f ca="1">VALUE(D476)+MATCH(E478,D477:H477,0)-1</f>
        <v>2015</v>
      </c>
      <c r="K479" t="str">
        <f>K478 &amp; " Year"</f>
        <v>Max Change in EOY ROIC Year</v>
      </c>
      <c r="L479" t="str">
        <f ca="1">IF(MATCH(L478,K477:N477,0)=1,K476,IF(MATCH(L478,K477:N477,0)=2,L476,IF(MATCH(L478,K477:N477,0)=3,M476,N476)))</f>
        <v>13-14</v>
      </c>
      <c r="Q479" t="str">
        <f>"Change in Cash Tax Rate"</f>
        <v>Change in Cash Tax Rate</v>
      </c>
    </row>
    <row r="480" spans="4:40" x14ac:dyDescent="0.3">
      <c r="D480" t="str">
        <f>"Min " &amp; D475</f>
        <v>Min EOY ROIC</v>
      </c>
      <c r="E480">
        <f ca="1">MIN(D477:H477)</f>
        <v>-8.6686602281380198E-2</v>
      </c>
      <c r="F480" t="str">
        <f>"Cash Tax  Effect on Min"</f>
        <v>Cash Tax  Effect on Min</v>
      </c>
      <c r="G480" t="str">
        <f ca="1">IF(E481=K489,"Min ROIC in same year as Max Cash Tax","Inconclusive Effect")</f>
        <v>Inconclusive Effect</v>
      </c>
      <c r="K480" t="str">
        <f>"Min " &amp; K475</f>
        <v>Min Change in EOY ROIC</v>
      </c>
      <c r="L480">
        <f ca="1">MIN(K477:N477)</f>
        <v>-3.7236932104132758E-2</v>
      </c>
      <c r="Q480" t="str">
        <f>K476</f>
        <v>12-13</v>
      </c>
      <c r="R480" t="str">
        <f>L476</f>
        <v>13-14</v>
      </c>
      <c r="S480" t="str">
        <f>M476</f>
        <v>14-15</v>
      </c>
      <c r="T480" t="str">
        <f>N476</f>
        <v>15-16</v>
      </c>
    </row>
    <row r="481" spans="4:40" x14ac:dyDescent="0.3">
      <c r="D481" t="str">
        <f>D480 &amp; " Year"</f>
        <v>Min EOY ROIC Year</v>
      </c>
      <c r="E481">
        <f ca="1">VALUE(D476)+MATCH(E480,D477:H477,0)-1</f>
        <v>2013</v>
      </c>
      <c r="K481" t="str">
        <f>K480 &amp; " Year"</f>
        <v>Min Change in EOY ROIC Year</v>
      </c>
      <c r="L481" t="str">
        <f ca="1">IF(MATCH(L480,K477:N477,0)=1,K476,IF(MATCH(L480,K477:N477,0)=2,L476,IF(MATCH(L480,K477:N477,0)=3,M476,N476)))</f>
        <v>15-16</v>
      </c>
      <c r="Q481">
        <f ca="1">K487-J487</f>
        <v>-0.35746225184151004</v>
      </c>
      <c r="R481">
        <f ca="1">L487-K487</f>
        <v>0.15856237663479592</v>
      </c>
      <c r="S481">
        <f ca="1">M487-L487</f>
        <v>3.7209013952445524E-2</v>
      </c>
      <c r="T481">
        <f ca="1">N487-M487</f>
        <v>-4.2579173871294396E-2</v>
      </c>
      <c r="X481" t="str">
        <f>"Op WC / Sales"</f>
        <v>Op WC / Sales</v>
      </c>
    </row>
    <row r="482" spans="4:40" x14ac:dyDescent="0.3">
      <c r="D482" t="str">
        <f>"Correlation with OM"</f>
        <v>Correlation with OM</v>
      </c>
      <c r="E482">
        <f ca="1">CORREL(D477:H477,Q462:U462)</f>
        <v>0.8236721021399237</v>
      </c>
      <c r="Q482" t="str">
        <f>"Max " &amp; Q479</f>
        <v>Max Change in Cash Tax Rate</v>
      </c>
      <c r="R482">
        <f ca="1">MAX(Q481:T481)</f>
        <v>0.15856237663479592</v>
      </c>
      <c r="X482" t="str">
        <f>D476</f>
        <v>2012</v>
      </c>
      <c r="Y482" t="str">
        <f>E476</f>
        <v>2013</v>
      </c>
      <c r="Z482" t="str">
        <f>F476</f>
        <v>2014</v>
      </c>
      <c r="AA482" t="str">
        <f>G476</f>
        <v>2015</v>
      </c>
      <c r="AB482" t="str">
        <f>H476</f>
        <v>2016</v>
      </c>
      <c r="AK482" t="str">
        <f>"Change in Op WC / Sales"</f>
        <v>Change in Op WC / Sales</v>
      </c>
    </row>
    <row r="483" spans="4:40" x14ac:dyDescent="0.3">
      <c r="D483" t="str">
        <f>"Correlation with IC"</f>
        <v>Correlation with IC</v>
      </c>
      <c r="E483">
        <f ca="1">CORREL(D477:H477,Q490:U490)</f>
        <v>-3.9502917162564821E-2</v>
      </c>
      <c r="Q483" t="str">
        <f>Q482 &amp; " Year"</f>
        <v>Max Change in Cash Tax Rate Year</v>
      </c>
      <c r="R483" t="str">
        <f ca="1">IF(MATCH(R482,Q481:T481,0)=1,Q480,IF(MATCH(R482,Q481:T481,0)=2,R480,IF(MATCH(R482,Q481:T481,0)=3,S480,T480)))</f>
        <v>13-14</v>
      </c>
      <c r="X483">
        <f ca="1">(INDIRECT("J" &amp; MATCH("Total Current Assets",B145:B403,0) +144) - INDIRECT("J" &amp; MATCH("Total Current Liabilities",B145:B403,0) +144))/(INDIRECT("J" &amp; MATCH("Sales/Revenue",B145:B403,0) +144))</f>
        <v>4.171014492753624E-2</v>
      </c>
      <c r="Y483">
        <f ca="1">(INDIRECT("K" &amp; MATCH("Total Current Assets",B145:B403,0) +144) - INDIRECT("K" &amp; MATCH("Total Current Liabilities",B145:B403,0) +144))/(INDIRECT("K" &amp; MATCH("Sales/Revenue",B145:B403,0) +144))</f>
        <v>4.7334782608695655E-2</v>
      </c>
      <c r="Z483">
        <f ca="1">(INDIRECT("L" &amp; MATCH("Total Current Assets",B145:B403,0) +144) - INDIRECT("L" &amp; MATCH("Total Current Liabilities",B145:B403,0) +144))/(INDIRECT("L" &amp; MATCH("Sales/Revenue",B145:B403,0) +144))</f>
        <v>6.6747126436781615E-2</v>
      </c>
      <c r="AA483">
        <f ca="1">(INDIRECT("M" &amp; MATCH("Total Current Assets",B145:B403,0) +144) - INDIRECT("M" &amp; MATCH("Total Current Liabilities",B145:B403,0) +144))/(INDIRECT("M" &amp; MATCH("Sales/Revenue",B145:B403,0) +144))</f>
        <v>7.0217228464419482E-2</v>
      </c>
      <c r="AB483">
        <f ca="1">(INDIRECT("N" &amp; MATCH("Total Current Assets",B145:B403,0) +144) - INDIRECT("N" &amp; MATCH("Total Current Liabilities",B145:B403,0) +144))/(INDIRECT("N" &amp; MATCH("Sales/Revenue",B145:B403,0) +144))</f>
        <v>4.9822222222222219E-2</v>
      </c>
      <c r="AK483" t="str">
        <f>K476</f>
        <v>12-13</v>
      </c>
      <c r="AL483" t="str">
        <f>L476</f>
        <v>13-14</v>
      </c>
      <c r="AM483" t="str">
        <f>M476</f>
        <v>14-15</v>
      </c>
      <c r="AN483" t="str">
        <f>N476</f>
        <v>15-16</v>
      </c>
    </row>
    <row r="484" spans="4:40" x14ac:dyDescent="0.3">
      <c r="D484" t="str">
        <f>"Correlation with GM"</f>
        <v>Correlation with GM</v>
      </c>
      <c r="E484">
        <f ca="1">CORREL(D477:H477,X455:AB455)</f>
        <v>0.81662018493505628</v>
      </c>
      <c r="Q484" t="str">
        <f>"Min " &amp; Q479</f>
        <v>Min Change in Cash Tax Rate</v>
      </c>
      <c r="R484">
        <f ca="1">MIN(Q481:T481)</f>
        <v>-0.35746225184151004</v>
      </c>
      <c r="X484" t="str">
        <f>"Max " &amp; X481</f>
        <v>Max Op WC / Sales</v>
      </c>
      <c r="Y484">
        <f ca="1">MAX(X483:AB483)</f>
        <v>7.0217228464419482E-2</v>
      </c>
      <c r="AK484">
        <f ca="1">Y483-X483</f>
        <v>5.6246376811594154E-3</v>
      </c>
      <c r="AL484">
        <f ca="1">Z483-Y483</f>
        <v>1.9412343828085959E-2</v>
      </c>
      <c r="AM484">
        <f ca="1">AA483-Z483</f>
        <v>3.4701020276378669E-3</v>
      </c>
      <c r="AN484">
        <f ca="1">AB483-AA483</f>
        <v>-2.0395006242197262E-2</v>
      </c>
    </row>
    <row r="485" spans="4:40" x14ac:dyDescent="0.3">
      <c r="D485" t="str">
        <f>"Correlation with SGA"</f>
        <v>Correlation with SGA</v>
      </c>
      <c r="E485" t="e">
        <f ca="1">CORREL(D477:H477,X463:AB463)</f>
        <v>#DIV/0!</v>
      </c>
      <c r="J485" t="str">
        <f>"Cash Tax Rate"</f>
        <v>Cash Tax Rate</v>
      </c>
      <c r="Q485" t="str">
        <f>Q484 &amp; " Year"</f>
        <v>Min Change in Cash Tax Rate Year</v>
      </c>
      <c r="R485" t="str">
        <f ca="1">IF(MATCH(R484,Q481:T481,0)=1,Q480,IF(MATCH(R484,Q481:T481,0)=2,R480,IF(MATCH(R484,Q481:T481,0)=3,S480,T480)))</f>
        <v>12-13</v>
      </c>
      <c r="X485" t="str">
        <f>X484 &amp; " Year"</f>
        <v>Max Op WC / Sales Year</v>
      </c>
      <c r="Y485">
        <f ca="1">VALUE(X482)+MATCH(Y484,X483:AB483,0)-1</f>
        <v>2015</v>
      </c>
      <c r="AK485" t="str">
        <f>"Max " &amp; AK482</f>
        <v>Max Change in Op WC / Sales</v>
      </c>
      <c r="AL485">
        <f ca="1">MAX(AK484:AN484)</f>
        <v>1.9412343828085959E-2</v>
      </c>
    </row>
    <row r="486" spans="4:40" x14ac:dyDescent="0.3">
      <c r="D486" t="str">
        <f>"Correlation with Dep"</f>
        <v>Correlation with Dep</v>
      </c>
      <c r="E486">
        <f ca="1">CORREL(D477:H477,X471:AB471)</f>
        <v>-0.82441058251606292</v>
      </c>
      <c r="J486" t="str">
        <f>D476</f>
        <v>2012</v>
      </c>
      <c r="K486" t="str">
        <f>E476</f>
        <v>2013</v>
      </c>
      <c r="L486" t="str">
        <f>F476</f>
        <v>2014</v>
      </c>
      <c r="M486" t="str">
        <f>G476</f>
        <v>2015</v>
      </c>
      <c r="N486" t="str">
        <f>H476</f>
        <v>2016</v>
      </c>
      <c r="X486" t="str">
        <f>"Min " &amp; X481</f>
        <v>Min Op WC / Sales</v>
      </c>
      <c r="Y486">
        <f ca="1">MIN(X483:AB483)</f>
        <v>4.171014492753624E-2</v>
      </c>
      <c r="AK486" t="str">
        <f>AK485 &amp; " Year"</f>
        <v>Max Change in Op WC / Sales Year</v>
      </c>
      <c r="AL486" t="str">
        <f ca="1">IF(MATCH(AL485,AK484:AN484,0)=1,AK483,IF(MATCH(AL485,AK484:AN484,0)=2,AL483,IF(MATCH(AL485,AK484:AN484,0)=3,AM483,AN483)))</f>
        <v>13-14</v>
      </c>
    </row>
    <row r="487" spans="4:40" x14ac:dyDescent="0.3">
      <c r="D487" t="str">
        <f>"Correlation with Op WC"</f>
        <v>Correlation with Op WC</v>
      </c>
      <c r="E487">
        <f ca="1">CORREL(D477:H477,X483:AB483)</f>
        <v>0.91105869491778646</v>
      </c>
      <c r="J487">
        <f ca="1">(INDIRECT("J" &amp; MATCH("Income Tax",B145:B403,0) +144))/(INDIRECT("J" &amp; MATCH("Pretax Income",B145:B403,0) +144))</f>
        <v>0.54502648616833427</v>
      </c>
      <c r="K487">
        <f ca="1">(INDIRECT("K" &amp; MATCH("Income Tax",B145:B403,0) +144))/(INDIRECT("K" &amp; MATCH("Pretax Income",B145:B403,0) +144))</f>
        <v>0.18756423432682426</v>
      </c>
      <c r="L487">
        <f ca="1">(INDIRECT("L" &amp; MATCH("Income Tax",B145:B403,0) +144))/(INDIRECT("L" &amp; MATCH("Pretax Income",B145:B403,0) +144))</f>
        <v>0.34612661096162017</v>
      </c>
      <c r="M487">
        <f ca="1">(INDIRECT("M" &amp; MATCH("Income Tax",B145:B403,0) +144))/(INDIRECT("M" &amp; MATCH("Pretax Income",B145:B403,0) +144))</f>
        <v>0.3833356249140657</v>
      </c>
      <c r="N487">
        <f ca="1">(INDIRECT("N" &amp; MATCH("Income Tax",B145:B403,0) +144))/(INDIRECT("N" &amp; MATCH("Pretax Income",B145:B403,0) +144))</f>
        <v>0.3407564510427713</v>
      </c>
      <c r="X487" t="str">
        <f>X486 &amp; " Year"</f>
        <v>Min Op WC / Sales Year</v>
      </c>
      <c r="Y487">
        <f ca="1">VALUE(X482)+MATCH(Y486,X483:AB483,0)-1</f>
        <v>2012</v>
      </c>
      <c r="AK487" t="str">
        <f>"Min " &amp; AK482</f>
        <v>Min Change in Op WC / Sales</v>
      </c>
      <c r="AL487">
        <f ca="1">MIN(AK484:AN484)</f>
        <v>-2.0395006242197262E-2</v>
      </c>
    </row>
    <row r="488" spans="4:40" x14ac:dyDescent="0.3">
      <c r="D488" t="str">
        <f>"Correlation with PPE"</f>
        <v>Correlation with PPE</v>
      </c>
      <c r="E488">
        <f ca="1">CORREL(D477:H477,X491:AB491)</f>
        <v>-0.38391773933271384</v>
      </c>
      <c r="J488" t="str">
        <f>"Max " &amp; J485</f>
        <v>Max Cash Tax Rate</v>
      </c>
      <c r="K488">
        <f ca="1">MAX(J487:N487)</f>
        <v>0.54502648616833427</v>
      </c>
      <c r="Q488" t="str">
        <f>"Invested Capital / Sales"</f>
        <v>Invested Capital / Sales</v>
      </c>
      <c r="AK488" t="str">
        <f>AK487 &amp; " Year"</f>
        <v>Min Change in Op WC / Sales Year</v>
      </c>
      <c r="AL488" t="str">
        <f ca="1">IF(MATCH(AL487,AK484:AN484,0)=1,AK483,IF(MATCH(AL487,AK484:AN484,0)=2,AL483,IF(MATCH(AL487,AK484:AN484,0)=3,AM483,AN483)))</f>
        <v>15-16</v>
      </c>
    </row>
    <row r="489" spans="4:40" x14ac:dyDescent="0.3">
      <c r="D489" t="str">
        <f>"Correlation with Intangibles"</f>
        <v>Correlation with Intangibles</v>
      </c>
      <c r="E489">
        <f ca="1">CORREL(D477:H477,X499:AB499)</f>
        <v>-0.60411885721198066</v>
      </c>
      <c r="J489" t="str">
        <f>J488 &amp; " Year"</f>
        <v>Max Cash Tax Rate Year</v>
      </c>
      <c r="K489">
        <f ca="1">VALUE(J486)+MATCH(K488,J487:N487,0)-1</f>
        <v>2012</v>
      </c>
      <c r="Q489" t="str">
        <f>D476</f>
        <v>2012</v>
      </c>
      <c r="R489" t="str">
        <f>E476</f>
        <v>2013</v>
      </c>
      <c r="S489" t="str">
        <f>F476</f>
        <v>2014</v>
      </c>
      <c r="T489" t="str">
        <f>G476</f>
        <v>2015</v>
      </c>
      <c r="U489" t="str">
        <f>H476</f>
        <v>2016</v>
      </c>
      <c r="X489" t="str">
        <f>"PPE / Sales"</f>
        <v>PPE / Sales</v>
      </c>
    </row>
    <row r="490" spans="4:40" x14ac:dyDescent="0.3">
      <c r="J490" t="str">
        <f>"Min " &amp; J485</f>
        <v>Min Cash Tax Rate</v>
      </c>
      <c r="K490">
        <f ca="1">MIN(J487:N487)</f>
        <v>0.18756423432682426</v>
      </c>
      <c r="Q490">
        <f ca="1">SUM(X483,X491,X499)</f>
        <v>0.33000966183574881</v>
      </c>
      <c r="R490">
        <f ca="1">SUM(Y483,Y491,Y499)</f>
        <v>0.28483043478260867</v>
      </c>
      <c r="S490">
        <f ca="1">SUM(Z483,Z491,Z499)</f>
        <v>0.28120689655172415</v>
      </c>
      <c r="T490">
        <f ca="1">SUM(AA483,AA491,AA499)</f>
        <v>0.31602247191011235</v>
      </c>
      <c r="U490">
        <f ca="1">SUM(AB483,AB491,AB499)</f>
        <v>0.31719629629629631</v>
      </c>
      <c r="X490" t="str">
        <f>D476</f>
        <v>2012</v>
      </c>
      <c r="Y490" t="str">
        <f>E476</f>
        <v>2013</v>
      </c>
      <c r="Z490" t="str">
        <f>F476</f>
        <v>2014</v>
      </c>
      <c r="AA490" t="str">
        <f>G476</f>
        <v>2015</v>
      </c>
      <c r="AB490" t="str">
        <f>H476</f>
        <v>2016</v>
      </c>
      <c r="AE490" t="str">
        <f>"Change in Invested Capital / Sales"</f>
        <v>Change in Invested Capital / Sales</v>
      </c>
      <c r="AK490" t="str">
        <f>"Change in PPE / Sales"</f>
        <v>Change in PPE / Sales</v>
      </c>
    </row>
    <row r="491" spans="4:40" x14ac:dyDescent="0.3">
      <c r="J491" t="str">
        <f>J490 &amp; " Year"</f>
        <v>Min Cash Tax Rate Year</v>
      </c>
      <c r="K491">
        <f ca="1">VALUE(J486)+MATCH(K490,J487:N487,0)-1</f>
        <v>2013</v>
      </c>
      <c r="Q491" t="str">
        <f>"Max " &amp; Q488</f>
        <v>Max Invested Capital / Sales</v>
      </c>
      <c r="R491">
        <f ca="1">MAX(Q490:U490)</f>
        <v>0.33000966183574881</v>
      </c>
      <c r="S491" t="str">
        <f>"Op WC Effect on Max"</f>
        <v>Op WC Effect on Max</v>
      </c>
      <c r="T491" t="str">
        <f ca="1">IF(R492=Y485,"Max IC in same year as Max Op WC","Inconclusive Effect")</f>
        <v>Inconclusive Effect</v>
      </c>
      <c r="U491" t="str">
        <f>"Correlation with Op WC"</f>
        <v>Correlation with Op WC</v>
      </c>
      <c r="V491">
        <f ca="1">CORREL(Q490:U490,X483:AB483)</f>
        <v>-0.32561271212535886</v>
      </c>
      <c r="X491">
        <f ca="1">(INDIRECT("J" &amp; MATCH("Net Property, Plant &amp; Equipment",B145:B403,0) +144))/(INDIRECT("J" &amp; MATCH("Sales/Revenue",B145:B403,0) +144))</f>
        <v>0.21450724637681162</v>
      </c>
      <c r="Y491">
        <f ca="1">(INDIRECT("K" &amp; MATCH("Net Property, Plant &amp; Equipment",B145:B403,0) +144))/(INDIRECT("K" &amp; MATCH("Sales/Revenue",B145:B403,0) +144))</f>
        <v>0.17147826086956522</v>
      </c>
      <c r="Z491">
        <f ca="1">(INDIRECT("L" &amp; MATCH("Net Property, Plant &amp; Equipment",B145:B403,0) +144))/(INDIRECT("L" &amp; MATCH("Sales/Revenue",B145:B403,0) +144))</f>
        <v>0.15703065134099617</v>
      </c>
      <c r="AA491">
        <f ca="1">(INDIRECT("M" &amp; MATCH("Net Property, Plant &amp; Equipment",B145:B403,0) +144))/(INDIRECT("M" &amp; MATCH("Sales/Revenue",B145:B403,0) +144))</f>
        <v>0.18091760299625467</v>
      </c>
      <c r="AB491">
        <f ca="1">(INDIRECT("N" &amp; MATCH("Net Property, Plant &amp; Equipment",B145:B403,0) +144))/(INDIRECT("N" &amp; MATCH("Sales/Revenue",B145:B403,0) +144))</f>
        <v>0.19723333333333334</v>
      </c>
      <c r="AE491" t="str">
        <f>K476</f>
        <v>12-13</v>
      </c>
      <c r="AF491" t="str">
        <f>L476</f>
        <v>13-14</v>
      </c>
      <c r="AG491" t="str">
        <f>M476</f>
        <v>14-15</v>
      </c>
      <c r="AH491" t="str">
        <f>N476</f>
        <v>15-16</v>
      </c>
      <c r="AK491" t="str">
        <f>K476</f>
        <v>12-13</v>
      </c>
      <c r="AL491" t="str">
        <f>L476</f>
        <v>13-14</v>
      </c>
      <c r="AM491" t="str">
        <f>M476</f>
        <v>14-15</v>
      </c>
      <c r="AN491" t="str">
        <f>N476</f>
        <v>15-16</v>
      </c>
    </row>
    <row r="492" spans="4:40" x14ac:dyDescent="0.3">
      <c r="Q492" t="str">
        <f>Q491 &amp; " Year"</f>
        <v>Max Invested Capital / Sales Year</v>
      </c>
      <c r="R492">
        <f ca="1">VALUE(Q489)+MATCH(R491,Q490:U490,0)-1</f>
        <v>2012</v>
      </c>
      <c r="S492" t="str">
        <f>"PPE Effect on Max"</f>
        <v>PPE Effect on Max</v>
      </c>
      <c r="T492" t="str">
        <f ca="1">IF(R492=Y493,"Max IC in same year as Max PPE","Inconclusive Effect")</f>
        <v>Max IC in same year as Max PPE</v>
      </c>
      <c r="U492" t="str">
        <f>"Correlation with PPE"</f>
        <v>Correlation with PPE</v>
      </c>
      <c r="V492">
        <f ca="1">CORREL(Q490:U490,X491:AB491)</f>
        <v>0.92372240119751126</v>
      </c>
      <c r="X492" t="str">
        <f>"Max " &amp; X489</f>
        <v>Max PPE / Sales</v>
      </c>
      <c r="Y492">
        <f ca="1">MAX(X491:AB491)</f>
        <v>0.21450724637681162</v>
      </c>
      <c r="AE492">
        <f ca="1">R490-Q490</f>
        <v>-4.5179227053140147E-2</v>
      </c>
      <c r="AF492">
        <f ca="1">S490-R490</f>
        <v>-3.6235382308845154E-3</v>
      </c>
      <c r="AG492">
        <f ca="1">T490-S490</f>
        <v>3.4815575358388196E-2</v>
      </c>
      <c r="AH492">
        <f ca="1">U490-T490</f>
        <v>1.1738243861839637E-3</v>
      </c>
      <c r="AK492">
        <f ca="1">Y491-X491</f>
        <v>-4.3028985507246403E-2</v>
      </c>
      <c r="AL492">
        <f ca="1">Z491-Y491</f>
        <v>-1.444760952856905E-2</v>
      </c>
      <c r="AM492">
        <f ca="1">AA491-Z491</f>
        <v>2.3886951655258504E-2</v>
      </c>
      <c r="AN492">
        <f ca="1">AB491-AA491</f>
        <v>1.6315730337078671E-2</v>
      </c>
    </row>
    <row r="493" spans="4:40" x14ac:dyDescent="0.3">
      <c r="Q493" t="str">
        <f>"Min " &amp; Q488</f>
        <v>Min Invested Capital / Sales</v>
      </c>
      <c r="R493">
        <f ca="1">MIN(Q490:U490)</f>
        <v>0.28120689655172415</v>
      </c>
      <c r="S493" t="str">
        <f>"Intangibles Effect on Max"</f>
        <v>Intangibles Effect on Max</v>
      </c>
      <c r="T493" t="str">
        <f ca="1">IF(R492=Y501,"Max IC in same year as Max Intangibles","Inconclusive Effect")</f>
        <v>Max IC in same year as Max Intangibles</v>
      </c>
      <c r="U493" t="str">
        <f>"Correlation with Intangibles"</f>
        <v>Correlation with Intangibles</v>
      </c>
      <c r="V493">
        <f ca="1">CORREL(Q490:U490,X499:AB499)</f>
        <v>0.81782087894248057</v>
      </c>
      <c r="X493" t="str">
        <f>X492 &amp; " Year"</f>
        <v>Max PPE / Sales Year</v>
      </c>
      <c r="Y493">
        <f ca="1">VALUE(X490)+MATCH(Y492,X491:AB491,0)-1</f>
        <v>2012</v>
      </c>
      <c r="AE493" t="str">
        <f>"Max " &amp; AE490</f>
        <v>Max Change in Invested Capital / Sales</v>
      </c>
      <c r="AF493">
        <f ca="1">MAX(AE492:AH492)</f>
        <v>3.4815575358388196E-2</v>
      </c>
      <c r="AK493" t="str">
        <f>"Max " &amp; AK490</f>
        <v>Max Change in PPE / Sales</v>
      </c>
      <c r="AL493">
        <f ca="1">MAX(AK492:AN492)</f>
        <v>2.3886951655258504E-2</v>
      </c>
    </row>
    <row r="494" spans="4:40" x14ac:dyDescent="0.3">
      <c r="Q494" t="str">
        <f>Q493 &amp; " Year"</f>
        <v>Min Invested Capital / Sales Year</v>
      </c>
      <c r="R494">
        <f ca="1">VALUE(Q489)+MATCH(R493,Q490:U490,0)-1</f>
        <v>2014</v>
      </c>
      <c r="S494" t="str">
        <f>"Op WC Effect on Min"</f>
        <v>Op WC Effect on Min</v>
      </c>
      <c r="T494" t="str">
        <f ca="1">IF(R494=Y487,"Min IC in same year as Min Op WC","Inconclusive Effect")</f>
        <v>Inconclusive Effect</v>
      </c>
      <c r="X494" t="str">
        <f>"Min " &amp; X489</f>
        <v>Min PPE / Sales</v>
      </c>
      <c r="Y494">
        <f ca="1">MIN(X491:AB491)</f>
        <v>0.15703065134099617</v>
      </c>
      <c r="AE494" t="str">
        <f>AE493 &amp; " Year"</f>
        <v>Max Change in Invested Capital / Sales Year</v>
      </c>
      <c r="AF494" t="str">
        <f ca="1">IF(MATCH(AF493,AE492:AH492,0)=1,AE491,IF(MATCH(AF493,AE492:AH492,0)=2,AF491,IF(MATCH(AF493,AE492:AH492,0)=3,AG491,AH491)))</f>
        <v>14-15</v>
      </c>
      <c r="AK494" t="str">
        <f>AK493 &amp; " Year"</f>
        <v>Max Change in PPE / Sales Year</v>
      </c>
      <c r="AL494" t="str">
        <f ca="1">IF(MATCH(AL493,AK492:AN492,0)=1,AK491,IF(MATCH(AL493,AK492:AN492,0)=2,AL491,IF(MATCH(AL493,AK492:AN492,0)=3,AM491,AN491)))</f>
        <v>14-15</v>
      </c>
    </row>
    <row r="495" spans="4:40" x14ac:dyDescent="0.3">
      <c r="S495" t="str">
        <f>"PPE Effect on Min"</f>
        <v>PPE Effect on Min</v>
      </c>
      <c r="T495" t="str">
        <f ca="1">IF(R494=Y495,"Min IC in same year as Min PPE","Inconclusive Effect")</f>
        <v>Min IC in same year as Min PPE</v>
      </c>
      <c r="X495" t="str">
        <f>X494 &amp; " Year"</f>
        <v>Min PPE / Sales Year</v>
      </c>
      <c r="Y495">
        <f ca="1">VALUE(X490)+MATCH(Y494,X491:AB491,0)-1</f>
        <v>2014</v>
      </c>
      <c r="AE495" t="str">
        <f>"Min " &amp; AE490</f>
        <v>Min Change in Invested Capital / Sales</v>
      </c>
      <c r="AF495">
        <f ca="1">MIN(AE492:AH492)</f>
        <v>-4.5179227053140147E-2</v>
      </c>
      <c r="AK495" t="str">
        <f>"Min " &amp; AK490</f>
        <v>Min Change in PPE / Sales</v>
      </c>
      <c r="AL495">
        <f ca="1">MIN(AK492:AN492)</f>
        <v>-4.3028985507246403E-2</v>
      </c>
    </row>
    <row r="496" spans="4:40" x14ac:dyDescent="0.3">
      <c r="S496" t="str">
        <f>"Intangibles Effect on Min"</f>
        <v>Intangibles Effect on Min</v>
      </c>
      <c r="T496" t="str">
        <f ca="1">IF(R494=Y503,"Min IC in same year as Min Intangibles","Inconclusive Effect")</f>
        <v>Min IC in same year as Min Intangibles</v>
      </c>
      <c r="AE496" t="str">
        <f>AE495 &amp; " Year"</f>
        <v>Min Change in Invested Capital / Sales Year</v>
      </c>
      <c r="AF496" t="str">
        <f ca="1">IF(MATCH(AF495,AE492:AH492,0)=1,AE491,IF(MATCH(AF495,AE492:AH492,0)=2,AF491,IF(MATCH(AF495,AE492:AH492,0)=3,AG491,AH491)))</f>
        <v>12-13</v>
      </c>
      <c r="AK496" t="str">
        <f>AK495 &amp; " Year"</f>
        <v>Min Change in PPE / Sales Year</v>
      </c>
      <c r="AL496" t="str">
        <f ca="1">IF(MATCH(AL495,AK492:AN492,0)=1,AK491,IF(MATCH(AL495,AK492:AN492,0)=2,AL491,IF(MATCH(AL495,AK492:AN492,0)=3,AM491,AN491)))</f>
        <v>12-13</v>
      </c>
    </row>
    <row r="497" spans="3:40" x14ac:dyDescent="0.3">
      <c r="X497" t="str">
        <f>"Intangibles / Sales"</f>
        <v>Intangibles / Sales</v>
      </c>
    </row>
    <row r="498" spans="3:40" x14ac:dyDescent="0.3">
      <c r="X498" t="str">
        <f>D476</f>
        <v>2012</v>
      </c>
      <c r="Y498" t="str">
        <f>E476</f>
        <v>2013</v>
      </c>
      <c r="Z498" t="str">
        <f>F476</f>
        <v>2014</v>
      </c>
      <c r="AA498" t="str">
        <f>G476</f>
        <v>2015</v>
      </c>
      <c r="AB498" t="str">
        <f>H476</f>
        <v>2016</v>
      </c>
      <c r="AK498" t="str">
        <f>"Change in Intagibles / Sales"</f>
        <v>Change in Intagibles / Sales</v>
      </c>
    </row>
    <row r="499" spans="3:40" x14ac:dyDescent="0.3">
      <c r="X499">
        <f ca="1">(INDIRECT("J" &amp; MATCH("Intangible Assets",B145:B403,0) +144))/(INDIRECT("J" &amp; MATCH("Sales/Revenue",B145:B403,0) +144))</f>
        <v>7.3792270531400972E-2</v>
      </c>
      <c r="Y499">
        <f ca="1">(INDIRECT("K" &amp; MATCH("Intangible Assets",B145:B403,0) +144))/(INDIRECT("K" &amp; MATCH("Sales/Revenue",B145:B403,0) +144))</f>
        <v>6.6017391304347819E-2</v>
      </c>
      <c r="Z499">
        <f ca="1">(INDIRECT("L" &amp; MATCH("Intangible Assets",B145:B403,0) +144))/(INDIRECT("L" &amp; MATCH("Sales/Revenue",B145:B403,0) +144))</f>
        <v>5.742911877394636E-2</v>
      </c>
      <c r="AA499">
        <f ca="1">(INDIRECT("M" &amp; MATCH("Intangible Assets",B145:B403,0) +144))/(INDIRECT("M" &amp; MATCH("Sales/Revenue",B145:B403,0) +144))</f>
        <v>6.4887640449438205E-2</v>
      </c>
      <c r="AB499">
        <f ca="1">(INDIRECT("N" &amp; MATCH("Intangible Assets",B145:B403,0) +144))/(INDIRECT("N" &amp; MATCH("Sales/Revenue",B145:B403,0) +144))</f>
        <v>7.014074074074074E-2</v>
      </c>
      <c r="AK499" t="str">
        <f>K476</f>
        <v>12-13</v>
      </c>
      <c r="AL499" t="str">
        <f>L476</f>
        <v>13-14</v>
      </c>
      <c r="AM499" t="str">
        <f>M476</f>
        <v>14-15</v>
      </c>
      <c r="AN499" t="str">
        <f>N476</f>
        <v>15-16</v>
      </c>
    </row>
    <row r="500" spans="3:40" x14ac:dyDescent="0.3">
      <c r="X500" t="str">
        <f>"Max " &amp; X497</f>
        <v>Max Intangibles / Sales</v>
      </c>
      <c r="Y500">
        <f ca="1">MAX(X499:AB499)</f>
        <v>7.3792270531400972E-2</v>
      </c>
      <c r="AK500">
        <f ca="1">Y499-X499</f>
        <v>-7.7748792270531525E-3</v>
      </c>
      <c r="AL500">
        <f ca="1">Z499-Y499</f>
        <v>-8.5882725304014598E-3</v>
      </c>
      <c r="AM500">
        <f ca="1">AA499-Z499</f>
        <v>7.4585216754918457E-3</v>
      </c>
      <c r="AN500">
        <f ca="1">AB499-AA499</f>
        <v>5.2531002913025343E-3</v>
      </c>
    </row>
    <row r="501" spans="3:40" x14ac:dyDescent="0.3">
      <c r="X501" t="str">
        <f>X500 &amp; " Year"</f>
        <v>Max Intangibles / Sales Year</v>
      </c>
      <c r="Y501">
        <f ca="1">VALUE(X498)+MATCH(Y500,X499:AB499,0)-1</f>
        <v>2012</v>
      </c>
      <c r="AK501" t="str">
        <f>"Max " &amp; AK498</f>
        <v>Max Change in Intagibles / Sales</v>
      </c>
      <c r="AL501">
        <f ca="1">MAX(AK500:AN500)</f>
        <v>7.4585216754918457E-3</v>
      </c>
    </row>
    <row r="502" spans="3:40" x14ac:dyDescent="0.3">
      <c r="X502" t="str">
        <f>"Min " &amp; X497</f>
        <v>Min Intangibles / Sales</v>
      </c>
      <c r="Y502">
        <f ca="1">MIN(X499:AB499)</f>
        <v>5.742911877394636E-2</v>
      </c>
      <c r="AK502" t="str">
        <f>AK501 &amp; " Year"</f>
        <v>Max Change in Intagibles / Sales Year</v>
      </c>
      <c r="AL502" t="str">
        <f ca="1">IF(MATCH(AL501,AK500:AN500,0)=1,AK499,IF(MATCH(AL501,AK500:AN500,0)=2,AL499,IF(MATCH(AL501,AK500:AN500,0)=3,AM499,AN499)))</f>
        <v>14-15</v>
      </c>
    </row>
    <row r="503" spans="3:40" x14ac:dyDescent="0.3">
      <c r="X503" t="str">
        <f>X502 &amp; " Year"</f>
        <v>Min Intangibles / Sales Year</v>
      </c>
      <c r="Y503">
        <f ca="1">VALUE(X498)+MATCH(Y502,X499:AB499,0)-1</f>
        <v>2014</v>
      </c>
      <c r="AK503" t="str">
        <f>"Min " &amp; AK498</f>
        <v>Min Change in Intagibles / Sales</v>
      </c>
      <c r="AL503">
        <f ca="1">MIN(AK500:AN500)</f>
        <v>-8.5882725304014598E-3</v>
      </c>
    </row>
    <row r="504" spans="3:40" x14ac:dyDescent="0.3">
      <c r="AK504" t="str">
        <f>AK503 &amp; " Year"</f>
        <v>Min Change in Intagibles / Sales Year</v>
      </c>
      <c r="AL504" t="str">
        <f ca="1">IF(MATCH(AL503,AK500:AN500,0)=1,AK499,IF(MATCH(AL503,AK500:AN500,0)=2,AL499,IF(MATCH(AL503,AK500:AN500,0)=3,AM499,AN499)))</f>
        <v>13-14</v>
      </c>
    </row>
    <row r="507" spans="3:40" x14ac:dyDescent="0.3">
      <c r="D507" t="str">
        <f t="shared" ref="D507:H508" si="155">D476</f>
        <v>2012</v>
      </c>
      <c r="E507" t="str">
        <f t="shared" si="155"/>
        <v>2013</v>
      </c>
      <c r="F507" t="str">
        <f t="shared" si="155"/>
        <v>2014</v>
      </c>
      <c r="G507" t="str">
        <f t="shared" si="155"/>
        <v>2015</v>
      </c>
      <c r="H507" t="str">
        <f t="shared" si="155"/>
        <v>2016</v>
      </c>
      <c r="I507" t="str">
        <f>"Average"</f>
        <v>Average</v>
      </c>
      <c r="J507" t="str">
        <f>"SD"</f>
        <v>SD</v>
      </c>
      <c r="K507" t="str">
        <f>D507</f>
        <v>2012</v>
      </c>
      <c r="L507" t="str">
        <f>E507</f>
        <v>2013</v>
      </c>
      <c r="M507" t="str">
        <f>F507</f>
        <v>2014</v>
      </c>
      <c r="N507" t="str">
        <f>G507</f>
        <v>2015</v>
      </c>
      <c r="O507" t="str">
        <f>H507</f>
        <v>2016</v>
      </c>
      <c r="P507" t="str">
        <f>"Max z Year"</f>
        <v>Max z Year</v>
      </c>
    </row>
    <row r="508" spans="3:40" x14ac:dyDescent="0.3">
      <c r="C508" t="str">
        <f>D475</f>
        <v>EOY ROIC</v>
      </c>
      <c r="D508">
        <f t="shared" ca="1" si="155"/>
        <v>-6.6642244106447576E-2</v>
      </c>
      <c r="E508">
        <f t="shared" ca="1" si="155"/>
        <v>-8.6686602281380198E-2</v>
      </c>
      <c r="F508">
        <f t="shared" ca="1" si="155"/>
        <v>-1.6437037983184292E-2</v>
      </c>
      <c r="G508">
        <f t="shared" ca="1" si="155"/>
        <v>-1.4090508369073476E-2</v>
      </c>
      <c r="H508">
        <f t="shared" ca="1" si="155"/>
        <v>-5.1327440473206233E-2</v>
      </c>
      <c r="I508">
        <f t="shared" ref="I508:I518" ca="1" si="156">AVERAGE(D508:H508)</f>
        <v>-4.7036766642658358E-2</v>
      </c>
      <c r="J508">
        <f t="shared" ref="J508:J518" ca="1" si="157">STDEV(D508:H508)</f>
        <v>3.160970350598117E-2</v>
      </c>
      <c r="K508">
        <f t="shared" ref="K508:K518" ca="1" si="158">(D508-I508)/J508</f>
        <v>-0.62023604429188905</v>
      </c>
      <c r="L508">
        <f t="shared" ref="L508:L518" ca="1" si="159">(E508-I508)/J508</f>
        <v>-1.2543564551695121</v>
      </c>
      <c r="M508">
        <f t="shared" ref="M508:M518" ca="1" si="160">(F508-I508)/J508</f>
        <v>0.96804858209707667</v>
      </c>
      <c r="N508">
        <f t="shared" ref="N508:N518" ca="1" si="161">(G508-I508)/J508</f>
        <v>1.0422830529666567</v>
      </c>
      <c r="O508">
        <f t="shared" ref="O508:O518" ca="1" si="162">(H508-I508)/J508</f>
        <v>-0.13573913560233161</v>
      </c>
      <c r="P508">
        <f ca="1">K507 + MATCH(IF(MAX(MAX(K508:O508),ABS(MIN(K508:O508)))=ABS(MIN(K508:O508)), MIN(K508:O508),MAX(K508:O508)),K508:O508,0) - 1</f>
        <v>2013</v>
      </c>
    </row>
    <row r="509" spans="3:40" x14ac:dyDescent="0.3">
      <c r="C509" t="str">
        <f>J465</f>
        <v>EOY Pretax ROIC</v>
      </c>
      <c r="D509">
        <f ca="1">J467</f>
        <v>-0.1464749970722567</v>
      </c>
      <c r="E509">
        <f ca="1">K467</f>
        <v>-0.10669963822869441</v>
      </c>
      <c r="F509">
        <f ca="1">L467</f>
        <v>-2.5137952176578791E-2</v>
      </c>
      <c r="G509">
        <f ca="1">M467</f>
        <v>-2.2849557941643565E-2</v>
      </c>
      <c r="H509">
        <f ca="1">N467</f>
        <v>-7.7858085307614178E-2</v>
      </c>
      <c r="I509">
        <f t="shared" ca="1" si="156"/>
        <v>-7.5804046145357518E-2</v>
      </c>
      <c r="J509">
        <f t="shared" ca="1" si="157"/>
        <v>5.3208013707858486E-2</v>
      </c>
      <c r="K509">
        <f t="shared" ca="1" si="158"/>
        <v>-1.3282012614664007</v>
      </c>
      <c r="L509">
        <f t="shared" ca="1" si="159"/>
        <v>-0.5806567456731393</v>
      </c>
      <c r="M509">
        <f t="shared" ca="1" si="160"/>
        <v>0.95222675003362633</v>
      </c>
      <c r="N509">
        <f t="shared" ca="1" si="161"/>
        <v>0.99523520074369765</v>
      </c>
      <c r="O509">
        <f t="shared" ca="1" si="162"/>
        <v>-3.8603943637784986E-2</v>
      </c>
      <c r="P509">
        <f ca="1">K507 + MATCH(IF(MAX(MAX(K509:O509),ABS(MIN(K509:O509)))=ABS(MIN(K509:O509)), MIN(K509:O509),MAX(K509:O509)),K509:O509,0) - 1</f>
        <v>2012</v>
      </c>
    </row>
    <row r="510" spans="3:40" x14ac:dyDescent="0.3">
      <c r="C510" t="str">
        <f>J485</f>
        <v>Cash Tax Rate</v>
      </c>
      <c r="D510">
        <f ca="1">J487</f>
        <v>0.54502648616833427</v>
      </c>
      <c r="E510">
        <f ca="1">K487</f>
        <v>0.18756423432682426</v>
      </c>
      <c r="F510">
        <f ca="1">L487</f>
        <v>0.34612661096162017</v>
      </c>
      <c r="G510">
        <f ca="1">M487</f>
        <v>0.3833356249140657</v>
      </c>
      <c r="H510">
        <f ca="1">N487</f>
        <v>0.3407564510427713</v>
      </c>
      <c r="I510">
        <f t="shared" ca="1" si="156"/>
        <v>0.36056188148272311</v>
      </c>
      <c r="J510">
        <f t="shared" ca="1" si="157"/>
        <v>0.12754866894944608</v>
      </c>
      <c r="K510">
        <f t="shared" ca="1" si="158"/>
        <v>1.4462291626008557</v>
      </c>
      <c r="L510">
        <f t="shared" ca="1" si="159"/>
        <v>-1.3563265581741701</v>
      </c>
      <c r="M510">
        <f t="shared" ca="1" si="160"/>
        <v>-0.11317460730871569</v>
      </c>
      <c r="N510">
        <f t="shared" ca="1" si="161"/>
        <v>0.17854944013856358</v>
      </c>
      <c r="O510">
        <f t="shared" ca="1" si="162"/>
        <v>-0.1552774372565322</v>
      </c>
      <c r="P510">
        <f ca="1">K507 + MATCH(IF(MAX(MAX(K510:O510),ABS(MIN(K510:O510)))=ABS(MIN(K510:O510)), MIN(K510:O510),MAX(K510:O510)),K510:O510,0) - 1</f>
        <v>2012</v>
      </c>
    </row>
    <row r="511" spans="3:40" x14ac:dyDescent="0.3">
      <c r="C511" t="str">
        <f>Q460</f>
        <v>Operating Margin</v>
      </c>
      <c r="D511">
        <f ca="1">Q462</f>
        <v>-4.8338164251207731E-2</v>
      </c>
      <c r="E511">
        <f ca="1">R462</f>
        <v>-3.0391304347826081E-2</v>
      </c>
      <c r="F511">
        <f ca="1">S462</f>
        <v>-7.0689655172413816E-3</v>
      </c>
      <c r="G511">
        <f ca="1">T462</f>
        <v>-7.2209737827715371E-3</v>
      </c>
      <c r="H511">
        <f ca="1">U462</f>
        <v>-2.46962962962963E-2</v>
      </c>
      <c r="I511">
        <f t="shared" ca="1" si="156"/>
        <v>-2.3543140839068607E-2</v>
      </c>
      <c r="J511">
        <f t="shared" ca="1" si="157"/>
        <v>1.7326510662188373E-2</v>
      </c>
      <c r="K511">
        <f t="shared" ca="1" si="158"/>
        <v>-1.4310454017870591</v>
      </c>
      <c r="L511">
        <f t="shared" ca="1" si="159"/>
        <v>-0.395241929680753</v>
      </c>
      <c r="M511">
        <f t="shared" ca="1" si="160"/>
        <v>0.95080744432742603</v>
      </c>
      <c r="N511">
        <f t="shared" ca="1" si="161"/>
        <v>0.94203428344732554</v>
      </c>
      <c r="O511">
        <f t="shared" ca="1" si="162"/>
        <v>-6.6554396306939212E-2</v>
      </c>
      <c r="P511">
        <f ca="1">K507 + MATCH(IF(MAX(MAX(K511:O511),ABS(MIN(K511:O511)))=ABS(MIN(K511:O511)), MIN(K511:O511),MAX(K511:O511)),K511:O511,0) - 1</f>
        <v>2012</v>
      </c>
    </row>
    <row r="512" spans="3:40" x14ac:dyDescent="0.3">
      <c r="C512" t="str">
        <f>Q488</f>
        <v>Invested Capital / Sales</v>
      </c>
      <c r="D512">
        <f ca="1">Q490</f>
        <v>0.33000966183574881</v>
      </c>
      <c r="E512">
        <f ca="1">R490</f>
        <v>0.28483043478260867</v>
      </c>
      <c r="F512">
        <f ca="1">S490</f>
        <v>0.28120689655172415</v>
      </c>
      <c r="G512">
        <f ca="1">T490</f>
        <v>0.31602247191011235</v>
      </c>
      <c r="H512">
        <f ca="1">U490</f>
        <v>0.31719629629629631</v>
      </c>
      <c r="I512">
        <f t="shared" ca="1" si="156"/>
        <v>0.30585315227529808</v>
      </c>
      <c r="J512">
        <f t="shared" ca="1" si="157"/>
        <v>2.1592889479117337E-2</v>
      </c>
      <c r="K512">
        <f t="shared" ca="1" si="158"/>
        <v>1.1187251981173105</v>
      </c>
      <c r="L512">
        <f t="shared" ca="1" si="159"/>
        <v>-0.9735944563149207</v>
      </c>
      <c r="M512">
        <f t="shared" ca="1" si="160"/>
        <v>-1.1414060979383758</v>
      </c>
      <c r="N512">
        <f t="shared" ca="1" si="161"/>
        <v>0.4709568696051124</v>
      </c>
      <c r="O512">
        <f t="shared" ca="1" si="162"/>
        <v>0.52531848653086843</v>
      </c>
      <c r="P512">
        <f ca="1">K507 + MATCH(IF(MAX(MAX(K512:O512),ABS(MIN(K512:O512)))=ABS(MIN(K512:O512)), MIN(K512:O512),MAX(K512:O512)),K512:O512,0) - 1</f>
        <v>2014</v>
      </c>
    </row>
    <row r="513" spans="3:16" x14ac:dyDescent="0.3">
      <c r="C513" t="str">
        <f>X453</f>
        <v>Gross Margin</v>
      </c>
      <c r="D513">
        <f ca="1">X455</f>
        <v>-7.0386473429951699E-3</v>
      </c>
      <c r="E513">
        <f ca="1">Y455</f>
        <v>8.0391304347826095E-3</v>
      </c>
      <c r="F513">
        <f ca="1">Z455</f>
        <v>2.5965517241379309E-2</v>
      </c>
      <c r="G513">
        <f ca="1">AA455</f>
        <v>2.7625468164794009E-2</v>
      </c>
      <c r="H513">
        <f ca="1">AB455</f>
        <v>1.347037037037037E-2</v>
      </c>
      <c r="I513">
        <f t="shared" ca="1" si="156"/>
        <v>1.3612367773666225E-2</v>
      </c>
      <c r="J513">
        <f t="shared" ca="1" si="157"/>
        <v>1.4199584918142258E-2</v>
      </c>
      <c r="K513">
        <f t="shared" ca="1" si="158"/>
        <v>-1.4543393511648637</v>
      </c>
      <c r="L513">
        <f t="shared" ca="1" si="159"/>
        <v>-0.39249297574627739</v>
      </c>
      <c r="M513">
        <f t="shared" ca="1" si="160"/>
        <v>0.86996553342414573</v>
      </c>
      <c r="N513">
        <f t="shared" ca="1" si="161"/>
        <v>0.98686690293487311</v>
      </c>
      <c r="O513">
        <f t="shared" ca="1" si="162"/>
        <v>-1.00001094478776E-2</v>
      </c>
      <c r="P513">
        <f ca="1">K507 + MATCH(IF(MAX(MAX(K513:O513),ABS(MIN(K513:O513)))=ABS(MIN(K513:O513)), MIN(K513:O513),MAX(K513:O513)),K513:O513,0) - 1</f>
        <v>2012</v>
      </c>
    </row>
    <row r="514" spans="3:16" x14ac:dyDescent="0.3">
      <c r="C514" t="str">
        <f>X461</f>
        <v>SGA / Sales</v>
      </c>
      <c r="D514">
        <f ca="1">X463</f>
        <v>0</v>
      </c>
      <c r="E514">
        <f ca="1">Y463</f>
        <v>0</v>
      </c>
      <c r="F514">
        <f ca="1">Z463</f>
        <v>0</v>
      </c>
      <c r="G514">
        <f ca="1">AA463</f>
        <v>0</v>
      </c>
      <c r="H514">
        <f ca="1">AB463</f>
        <v>0</v>
      </c>
      <c r="I514">
        <f t="shared" ca="1" si="156"/>
        <v>0</v>
      </c>
      <c r="J514">
        <f t="shared" ca="1" si="157"/>
        <v>0</v>
      </c>
      <c r="K514" t="e">
        <f t="shared" ca="1" si="158"/>
        <v>#DIV/0!</v>
      </c>
      <c r="L514" t="e">
        <f t="shared" ca="1" si="159"/>
        <v>#DIV/0!</v>
      </c>
      <c r="M514" t="e">
        <f t="shared" ca="1" si="160"/>
        <v>#DIV/0!</v>
      </c>
      <c r="N514" t="e">
        <f t="shared" ca="1" si="161"/>
        <v>#DIV/0!</v>
      </c>
      <c r="O514" t="e">
        <f t="shared" ca="1" si="162"/>
        <v>#DIV/0!</v>
      </c>
      <c r="P514" t="e">
        <f ca="1">K507 + MATCH(IF(MAX(MAX(K514:O514),ABS(MIN(K514:O514)))=ABS(MIN(K514:O514)), MIN(K514:O514),MAX(K514:O514)),K514:O514,0) - 1</f>
        <v>#DIV/0!</v>
      </c>
    </row>
    <row r="515" spans="3:16" x14ac:dyDescent="0.3">
      <c r="C515" t="str">
        <f>X469</f>
        <v>Depreciation / Sales</v>
      </c>
      <c r="D515">
        <f ca="1">X471</f>
        <v>4.1299516908212562E-2</v>
      </c>
      <c r="E515">
        <f ca="1">Y471</f>
        <v>3.8430434782608693E-2</v>
      </c>
      <c r="F515">
        <f ca="1">Z471</f>
        <v>3.3034482758620691E-2</v>
      </c>
      <c r="G515">
        <f ca="1">AA471</f>
        <v>3.4846441947565546E-2</v>
      </c>
      <c r="H515">
        <f ca="1">AB471</f>
        <v>3.8166666666666668E-2</v>
      </c>
      <c r="I515">
        <f t="shared" ca="1" si="156"/>
        <v>3.7155508612734832E-2</v>
      </c>
      <c r="J515">
        <f t="shared" ca="1" si="157"/>
        <v>3.2455864283716849E-3</v>
      </c>
      <c r="K515">
        <f t="shared" ca="1" si="158"/>
        <v>1.2768134162912386</v>
      </c>
      <c r="L515">
        <f t="shared" ca="1" si="159"/>
        <v>0.39281843143320416</v>
      </c>
      <c r="M515">
        <f t="shared" ca="1" si="160"/>
        <v>-1.2697322795318888</v>
      </c>
      <c r="N515">
        <f t="shared" ca="1" si="161"/>
        <v>-0.71144821317475992</v>
      </c>
      <c r="O515">
        <f t="shared" ca="1" si="162"/>
        <v>0.31154864498220608</v>
      </c>
      <c r="P515">
        <f ca="1">K507 + MATCH(IF(MAX(MAX(K515:O515),ABS(MIN(K515:O515)))=ABS(MIN(K515:O515)), MIN(K515:O515),MAX(K515:O515)),K515:O515,0) - 1</f>
        <v>2012</v>
      </c>
    </row>
    <row r="516" spans="3:16" x14ac:dyDescent="0.3">
      <c r="C516" t="str">
        <f>X481</f>
        <v>Op WC / Sales</v>
      </c>
      <c r="D516">
        <f ca="1">X483</f>
        <v>4.171014492753624E-2</v>
      </c>
      <c r="E516">
        <f ca="1">Y483</f>
        <v>4.7334782608695655E-2</v>
      </c>
      <c r="F516">
        <f ca="1">Z483</f>
        <v>6.6747126436781615E-2</v>
      </c>
      <c r="G516">
        <f ca="1">AA483</f>
        <v>7.0217228464419482E-2</v>
      </c>
      <c r="H516">
        <f ca="1">AB483</f>
        <v>4.9822222222222219E-2</v>
      </c>
      <c r="I516">
        <f t="shared" ca="1" si="156"/>
        <v>5.5166300931931034E-2</v>
      </c>
      <c r="J516">
        <f t="shared" ca="1" si="157"/>
        <v>1.2565885661975491E-2</v>
      </c>
      <c r="K516">
        <f t="shared" ca="1" si="158"/>
        <v>-1.0708481969649994</v>
      </c>
      <c r="L516">
        <f t="shared" ca="1" si="159"/>
        <v>-0.62323647802507387</v>
      </c>
      <c r="M516">
        <f t="shared" ca="1" si="160"/>
        <v>0.92160837814196317</v>
      </c>
      <c r="N516">
        <f t="shared" ca="1" si="161"/>
        <v>1.197760980591501</v>
      </c>
      <c r="O516">
        <f t="shared" ca="1" si="162"/>
        <v>-0.42528468374338757</v>
      </c>
      <c r="P516">
        <f ca="1">K507 + MATCH(IF(MAX(MAX(K516:O516),ABS(MIN(K516:O516)))=ABS(MIN(K516:O516)), MIN(K516:O516),MAX(K516:O516)),K516:O516,0) - 1</f>
        <v>2015</v>
      </c>
    </row>
    <row r="517" spans="3:16" x14ac:dyDescent="0.3">
      <c r="C517" t="str">
        <f>X489</f>
        <v>PPE / Sales</v>
      </c>
      <c r="D517">
        <f ca="1">X491</f>
        <v>0.21450724637681162</v>
      </c>
      <c r="E517">
        <f ca="1">Y491</f>
        <v>0.17147826086956522</v>
      </c>
      <c r="F517">
        <f ca="1">Z491</f>
        <v>0.15703065134099617</v>
      </c>
      <c r="G517">
        <f ca="1">AA491</f>
        <v>0.18091760299625467</v>
      </c>
      <c r="H517">
        <f ca="1">AB491</f>
        <v>0.19723333333333334</v>
      </c>
      <c r="I517">
        <f t="shared" ca="1" si="156"/>
        <v>0.18423341898339221</v>
      </c>
      <c r="J517">
        <f t="shared" ca="1" si="157"/>
        <v>2.2356104645755288E-2</v>
      </c>
      <c r="K517">
        <f t="shared" ca="1" si="158"/>
        <v>1.3541637898518</v>
      </c>
      <c r="L517">
        <f t="shared" ca="1" si="159"/>
        <v>-0.57054474900433028</v>
      </c>
      <c r="M517">
        <f t="shared" ca="1" si="160"/>
        <v>-1.2167937157854098</v>
      </c>
      <c r="N517">
        <f t="shared" ca="1" si="161"/>
        <v>-0.14831814574490756</v>
      </c>
      <c r="O517">
        <f t="shared" ca="1" si="162"/>
        <v>0.58149282068284658</v>
      </c>
      <c r="P517">
        <f ca="1">K507 + MATCH(IF(MAX(MAX(K517:O517),ABS(MIN(K517:O517)))=ABS(MIN(K517:O517)), MIN(K517:O517),MAX(K517:O517)),K517:O517,0) - 1</f>
        <v>2012</v>
      </c>
    </row>
    <row r="518" spans="3:16" x14ac:dyDescent="0.3">
      <c r="C518" t="str">
        <f>X497</f>
        <v>Intangibles / Sales</v>
      </c>
      <c r="D518">
        <f ca="1">X499</f>
        <v>7.3792270531400972E-2</v>
      </c>
      <c r="E518">
        <f ca="1">Y499</f>
        <v>6.6017391304347819E-2</v>
      </c>
      <c r="F518">
        <f ca="1">Z499</f>
        <v>5.742911877394636E-2</v>
      </c>
      <c r="G518">
        <f ca="1">AA499</f>
        <v>6.4887640449438205E-2</v>
      </c>
      <c r="H518">
        <f ca="1">AB499</f>
        <v>7.014074074074074E-2</v>
      </c>
      <c r="I518">
        <f t="shared" ca="1" si="156"/>
        <v>6.6453432359974807E-2</v>
      </c>
      <c r="J518">
        <f t="shared" ca="1" si="157"/>
        <v>6.1549748295488624E-3</v>
      </c>
      <c r="K518">
        <f t="shared" ca="1" si="158"/>
        <v>1.1923425155524277</v>
      </c>
      <c r="L518">
        <f t="shared" ca="1" si="159"/>
        <v>-7.0843678114431458E-2</v>
      </c>
      <c r="M518">
        <f t="shared" ca="1" si="160"/>
        <v>-1.4661820455714027</v>
      </c>
      <c r="N518">
        <f t="shared" ca="1" si="161"/>
        <v>-0.2543945270124473</v>
      </c>
      <c r="O518">
        <f t="shared" ca="1" si="162"/>
        <v>0.59907773514586404</v>
      </c>
      <c r="P518">
        <f ca="1">K507 + MATCH(IF(MAX(MAX(K518:O518),ABS(MIN(K518:O518)))=ABS(MIN(K518:O518)), MIN(K518:O518),MAX(K518:O518)),K518:O518,0) - 1</f>
        <v>2014</v>
      </c>
    </row>
    <row r="519" spans="3:16" x14ac:dyDescent="0.3">
      <c r="I519" t="str">
        <f>"Max SD"</f>
        <v>Max SD</v>
      </c>
      <c r="J519">
        <f ca="1">MAX(J508:J518)</f>
        <v>0.12754866894944608</v>
      </c>
    </row>
    <row r="520" spans="3:16" x14ac:dyDescent="0.3">
      <c r="I520" t="str">
        <f>"Max SD Item"</f>
        <v>Max SD Item</v>
      </c>
      <c r="J520" t="str">
        <f ca="1">INDIRECT("C" &amp; 507 + MATCH(J519,J508:J518,0))</f>
        <v>Cash Tax Rate</v>
      </c>
    </row>
    <row r="521" spans="3:16" x14ac:dyDescent="0.3">
      <c r="I521" t="str">
        <f>"Min SD"</f>
        <v>Min SD</v>
      </c>
      <c r="J521">
        <f ca="1">MIN(J508:J518)</f>
        <v>0</v>
      </c>
    </row>
    <row r="522" spans="3:16" x14ac:dyDescent="0.3">
      <c r="I522" t="str">
        <f>"Min SD Item"</f>
        <v>Min SD Item</v>
      </c>
      <c r="J522" t="str">
        <f ca="1">INDIRECT("C" &amp; 507 + MATCH(J521,J508:J518,0))</f>
        <v>SGA / Sales</v>
      </c>
    </row>
    <row r="523" spans="3:16" x14ac:dyDescent="0.3">
      <c r="C523" t="str">
        <f>"Correlation Analysis"</f>
        <v>Correlation Analysis</v>
      </c>
    </row>
    <row r="524" spans="3:16" x14ac:dyDescent="0.3">
      <c r="D524" t="str">
        <f>C528</f>
        <v>Operating Margin</v>
      </c>
      <c r="E524" t="str">
        <f>C529</f>
        <v>Invested Capital / Sales</v>
      </c>
      <c r="F524" t="str">
        <f>X453</f>
        <v>Gross Margin</v>
      </c>
      <c r="G524" t="str">
        <f>X461</f>
        <v>SGA / Sales</v>
      </c>
      <c r="H524" t="str">
        <f>X469</f>
        <v>Depreciation / Sales</v>
      </c>
      <c r="I524" t="str">
        <f>X481</f>
        <v>Op WC / Sales</v>
      </c>
      <c r="J524" t="str">
        <f>X489</f>
        <v>PPE / Sales</v>
      </c>
      <c r="K524" t="str">
        <f>X497</f>
        <v>Intangibles / Sales</v>
      </c>
      <c r="L524" t="str">
        <f>"Key Driver on correlation basis"</f>
        <v>Key Driver on correlation basis</v>
      </c>
    </row>
    <row r="525" spans="3:16" x14ac:dyDescent="0.3">
      <c r="C525" t="str">
        <f>C508</f>
        <v>EOY ROIC</v>
      </c>
      <c r="D525">
        <f ca="1">E482</f>
        <v>0.8236721021399237</v>
      </c>
      <c r="E525">
        <f ca="1">E483</f>
        <v>-3.9502917162564821E-2</v>
      </c>
      <c r="F525">
        <f ca="1">E484</f>
        <v>0.81662018493505628</v>
      </c>
      <c r="G525" t="e">
        <f ca="1">E485</f>
        <v>#DIV/0!</v>
      </c>
      <c r="H525">
        <f ca="1">E486</f>
        <v>-0.82441058251606292</v>
      </c>
      <c r="I525">
        <f ca="1">E487</f>
        <v>0.91105869491778646</v>
      </c>
      <c r="J525">
        <f ca="1">E488</f>
        <v>-0.38391773933271384</v>
      </c>
      <c r="K525">
        <f ca="1">E489</f>
        <v>-0.60411885721198066</v>
      </c>
    </row>
    <row r="526" spans="3:16" x14ac:dyDescent="0.3">
      <c r="C526" t="str">
        <f>C509</f>
        <v>EOY Pretax ROIC</v>
      </c>
      <c r="D526">
        <f ca="1">O468</f>
        <v>0.99392885612224269</v>
      </c>
      <c r="E526">
        <f ca="1">O469</f>
        <v>-0.38975299011392733</v>
      </c>
    </row>
    <row r="527" spans="3:16" x14ac:dyDescent="0.3">
      <c r="C527" t="str">
        <f>C510</f>
        <v>Cash Tax Rate</v>
      </c>
    </row>
    <row r="528" spans="3:16" x14ac:dyDescent="0.3">
      <c r="C528" t="str">
        <f>C511</f>
        <v>Operating Margin</v>
      </c>
      <c r="F528">
        <f ca="1">V463</f>
        <v>0.99846325868548802</v>
      </c>
      <c r="G528" t="e">
        <f ca="1">V464</f>
        <v>#DIV/0!</v>
      </c>
      <c r="H528">
        <f ca="1">V465</f>
        <v>-0.9701626816385458</v>
      </c>
      <c r="L528" t="e">
        <f ca="1">INDIRECT(ADDRESS(524,5+MATCH(IF(ABS(MAX(F528:H528))&gt;ABS(MIN(F528:H528)),MAX(F528:H528),MIN(F528:H528)),F528:H528,0)))</f>
        <v>#DIV/0!</v>
      </c>
    </row>
    <row r="529" spans="3:12" x14ac:dyDescent="0.3">
      <c r="C529" t="str">
        <f>C512</f>
        <v>Invested Capital / Sales</v>
      </c>
      <c r="I529">
        <f ca="1">V491</f>
        <v>-0.32561271212535886</v>
      </c>
      <c r="J529">
        <f ca="1">V492</f>
        <v>0.92372240119751126</v>
      </c>
      <c r="K529">
        <f ca="1">V493</f>
        <v>0.81782087894248057</v>
      </c>
      <c r="L529" t="str">
        <f ca="1">INDIRECT(ADDRESS(524,8+MATCH(IF(ABS(MAX(I529:K529))&gt;ABS(MIN(I529:K529)),MAX(I529:K529),MIN(I529:K529)),I529:K529,0)))</f>
        <v>PPE / Sales</v>
      </c>
    </row>
    <row r="532" spans="3:12" x14ac:dyDescent="0.3">
      <c r="C532" t="str">
        <f>"Causation Analysis"</f>
        <v>Causation Analysis</v>
      </c>
    </row>
    <row r="533" spans="3:12" x14ac:dyDescent="0.3">
      <c r="D533" t="str">
        <f>C527</f>
        <v>Cash Tax Rate</v>
      </c>
      <c r="E533" t="str">
        <f>C536</f>
        <v>Operating Margin</v>
      </c>
      <c r="F533" t="str">
        <f>C537</f>
        <v>Invested Capital / Sales</v>
      </c>
      <c r="G533" t="str">
        <f t="shared" ref="G533:L533" si="163">F524</f>
        <v>Gross Margin</v>
      </c>
      <c r="H533" t="str">
        <f t="shared" si="163"/>
        <v>SGA / Sales</v>
      </c>
      <c r="I533" t="str">
        <f t="shared" si="163"/>
        <v>Depreciation / Sales</v>
      </c>
      <c r="J533" t="str">
        <f t="shared" si="163"/>
        <v>Op WC / Sales</v>
      </c>
      <c r="K533" t="str">
        <f t="shared" si="163"/>
        <v>PPE / Sales</v>
      </c>
      <c r="L533" t="str">
        <f t="shared" si="163"/>
        <v>Intangibles / Sales</v>
      </c>
    </row>
    <row r="534" spans="3:12" x14ac:dyDescent="0.3">
      <c r="C534" t="str">
        <f>C508</f>
        <v>EOY ROIC</v>
      </c>
      <c r="D534" t="str">
        <f ca="1">IF(AND(G478&lt;&gt;"Inconclusive Effect",G480&lt;&gt;"Inconclusive Effect"),G478 &amp; CHAR(10) &amp; ". " &amp;G480,IF(G478&lt;&gt;"Inconclusive Effect",G478,IF(G480&lt;&gt;"Inconclusive Effect",G480,"Inconclusive Effect")))</f>
        <v>Inconclusive Effect</v>
      </c>
    </row>
    <row r="535" spans="3:12" x14ac:dyDescent="0.3">
      <c r="C535" t="str">
        <f>C509</f>
        <v>EOY Pretax ROIC</v>
      </c>
      <c r="E535" t="str">
        <f ca="1">IF(AND(M468&lt;&gt;"Inconclusive Effect",M470&lt;&gt;"Inconclusive Effect"),M468 &amp; CHAR(10) &amp; ". " &amp;M470,IF(M468&lt;&gt;"Inconclusive Effect",M468,IF(M470&lt;&gt;"Inconclusive Effect",M470,"Inconclusive Effect")))</f>
        <v>Min ROIC in same year as Min OM</v>
      </c>
      <c r="F535" t="str">
        <f ca="1">IF(AND(M469&lt;&gt;"Inconclusive Effect",M471&lt;&gt;"Inconclusive Effect"),M469 &amp; CHAR(10) &amp; ". " &amp;M471,IF(M469&lt;&gt;"Inconclusive Effect",M469,IF(M471&lt;&gt;"Inconclusive Effect",M471,"Inconclusive Effect")))</f>
        <v>Min ROIC in same year as Max IC</v>
      </c>
    </row>
    <row r="536" spans="3:12" x14ac:dyDescent="0.3">
      <c r="C536" t="str">
        <f>C511</f>
        <v>Operating Margin</v>
      </c>
      <c r="G536" t="str">
        <f ca="1">IF(AND(T463&lt;&gt;"Inconclusive Effect",T466&lt;&gt;"Inconclusive Effect"),T463 &amp; CHAR(10) &amp; ". " &amp;T466,IF(T463&lt;&gt;"Inconclusive Effect",T463,IF(T466&lt;&gt;"Inconclusive Effect",T466,"Inconclusive Effect")))</f>
        <v>Min OM in same year as Min GM</v>
      </c>
      <c r="H536" t="str">
        <f ca="1">IF(AND(T464&lt;&gt;"Inconclusive Effect",T467&lt;&gt;"Inconclusive Effect"),T464 &amp; CHAR(10) &amp; ". " &amp;T467,IF(T464&lt;&gt;"Inconclusive Effect",T464,IF(T467&lt;&gt;"Inconclusive Effect",T467,"Inconclusive Effect")))</f>
        <v>Min OM in same year as Max SGA</v>
      </c>
      <c r="I536" t="str">
        <f ca="1">IF(AND(T465&lt;&gt;"Inconclusive Effect",T468&lt;&gt;"Inconclusive Effect"),T465 &amp; CHAR(10) &amp; ". " &amp;T468,IF(T465&lt;&gt;"Inconclusive Effect",T465,IF(T468&lt;&gt;"Inconclusive Effect",T468,"Inconclusive Effect")))</f>
        <v>Max OM in same year as Min Depr
. Min OM in same year as Max Dep</v>
      </c>
    </row>
    <row r="537" spans="3:12" x14ac:dyDescent="0.3">
      <c r="C537" t="str">
        <f>C512</f>
        <v>Invested Capital / Sales</v>
      </c>
      <c r="J537" t="str">
        <f ca="1">IF(AND(T491&lt;&gt;"Inconclusive Effect",T494&lt;&gt;"Inconclusive Effect"),T491 &amp; CHAR(10) &amp; ". " &amp;T494,IF(T491&lt;&gt;"Inconclusive Effect",T491,IF(T494&lt;&gt;"Inconclusive Effect",T494,"Inconclusive Effect")))</f>
        <v>Inconclusive Effect</v>
      </c>
      <c r="K537" t="str">
        <f ca="1">IF(AND(T492&lt;&gt;"Inconclusive Effect",T495&lt;&gt;"Inconclusive Effect"),T492 &amp; CHAR(10) &amp; ". " &amp;T495,IF(T492&lt;&gt;"Inconclusive Effect",T492,IF(T495&lt;&gt;"Inconclusive Effect",T495,"Inconclusive Effect")))</f>
        <v>Max IC in same year as Max PPE
. Min IC in same year as Min PPE</v>
      </c>
      <c r="L537" t="str">
        <f ca="1">IF(AND(T493&lt;&gt;"Inconclusive Effect",T496&lt;&gt;"Inconclusive Effect"),T493 &amp; CHAR(10) &amp; ". " &amp;T496,IF(T493&lt;&gt;"Inconclusive Effect",T493,IF(T496&lt;&gt;"Inconclusive Effect",T496,"Inconclusive Effect")))</f>
        <v>Max IC in same year as Max Intangibles
. Min IC in same year as Min Intangibles</v>
      </c>
    </row>
    <row r="538" spans="3:12" x14ac:dyDescent="0.3">
      <c r="C538" t="str">
        <f>"Summary"</f>
        <v>Summary</v>
      </c>
      <c r="D538" t="str">
        <f ca="1">IF(D534&lt;&gt;"Inconclusive Effect",D534,"")</f>
        <v/>
      </c>
      <c r="E538" t="str">
        <f ca="1">IF(E535&lt;&gt;"Inconclusive Effect",E535,"")</f>
        <v>Min ROIC in same year as Min OM</v>
      </c>
      <c r="F538" t="str">
        <f ca="1">IF(F535&lt;&gt;"Inconclusive Effect",F535,"")</f>
        <v>Min ROIC in same year as Max IC</v>
      </c>
      <c r="G538" t="str">
        <f ca="1">IF(G536&lt;&gt;"Inconclusive Effect",G536,"")</f>
        <v>Min OM in same year as Min GM</v>
      </c>
      <c r="H538" t="str">
        <f ca="1">IF(H536&lt;&gt;"Inconclusive Effect",H536,"")</f>
        <v>Min OM in same year as Max SGA</v>
      </c>
      <c r="I538" t="str">
        <f ca="1">IF(I536&lt;&gt;"Inconclusive Effect",I536,"")</f>
        <v>Max OM in same year as Min Depr
. Min OM in same year as Max Dep</v>
      </c>
      <c r="J538" t="str">
        <f ca="1">IF(J537&lt;&gt;"Inconclusive Effect",J537,"")</f>
        <v/>
      </c>
      <c r="K538" t="str">
        <f ca="1">IF(K537&lt;&gt;"Inconclusive Effect",K537,"")</f>
        <v>Max IC in same year as Max PPE
. Min IC in same year as Min PPE</v>
      </c>
      <c r="L538" t="str">
        <f ca="1">IF(L537&lt;&gt;"Inconclusive Effect",L537,"")</f>
        <v>Max IC in same year as Max Intangibles
. Min IC in same year as Min Intangibles</v>
      </c>
    </row>
    <row r="540" spans="3:12" x14ac:dyDescent="0.3">
      <c r="C540" t="str">
        <f ca="1">_xlfn.TEXTJOIN(". ",TRUE,D538:L538)</f>
        <v>Min ROIC in same year as Min OM. Min ROIC in same year as Max IC. Min OM in same year as Min GM. Min OM in same year as Max SGA. Max OM in same year as Min Depr
. Min OM in same year as Max Dep. Max IC in same year as Max PPE
. Min IC in same year as Min PPE. Max IC in same year as Max Intangibles
. Min IC in same year as Min Intangibles</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H540"/>
  <sheetViews>
    <sheetView topLeftCell="B1" workbookViewId="0"/>
  </sheetViews>
  <sheetFormatPr defaultRowHeight="14.4" x14ac:dyDescent="0.3"/>
  <cols>
    <col min="1" max="1" width="0" hidden="1" customWidth="1"/>
    <col min="2" max="7" width="20.6640625" customWidth="1"/>
  </cols>
  <sheetData>
    <row r="1" spans="1:16" x14ac:dyDescent="0.3">
      <c r="B1" t="s">
        <v>0</v>
      </c>
      <c r="C1" t="s">
        <v>1687</v>
      </c>
      <c r="D1" t="str">
        <f>TRIM(IFERROR(IFERROR(IFERROR(IFERROR(IFERROR(IFERROR(IFERROR(REPLACE(LEFT(C1,FIND("(",C1) - 2), FIND("PLC",UPPER(LEFT(C1,FIND("(",C1) - 2))),3,"" ), REPLACE(LEFT(C1,FIND("(",C1) - 2), FIND(", INC.",UPPER(LEFT(C1,FIND("(",C1) - 2))),6,"" )), REPLACE(LEFT(C1,FIND("(",C1) - 2), FIND("CORPORATION",UPPER(LEFT(C1,FIND("(",C1) - 2))),11,"" )),REPLACE(LEFT(C1,FIND("(",C1) - 2), FIND("CORP.",UPPER(LEFT(C1,FIND("(",C1) - 2))),5,"" )), REPLACE(LEFT(C1,FIND("(",C1) - 2), FIND("COMPANY",UPPER(LEFT(C1,FIND("(",C1) - 2))),7,"" )),REPLACE(LEFT(C1,FIND("(",C1) - 2), FIND("INC.",UPPER(LEFT(C1,FIND("(",C1) - 2))),4,"" )),REPLACE(LEFT(C1,FIND("(",C1) - 2), FIND("CORP",UPPER(LEFT(C1,FIND("(",C1) - 2))),4,"" )),LEFT(C1,FIND("(",C1) - 2)))</f>
        <v>Barnes Group</v>
      </c>
    </row>
    <row r="2" spans="1:16" x14ac:dyDescent="0.3">
      <c r="B2" t="s">
        <v>2</v>
      </c>
      <c r="C2" t="s">
        <v>1688</v>
      </c>
      <c r="K2" t="str">
        <f>LEFT(C1,FIND("(",C1) - 2)</f>
        <v>Barnes Group Inc.</v>
      </c>
    </row>
    <row r="3" spans="1:16" x14ac:dyDescent="0.3">
      <c r="J3">
        <f ca="1">RANDBETWEEN(1,6)</f>
        <v>1</v>
      </c>
      <c r="K3" t="str">
        <f>" is scheduled to report earnings "&amp;IFERROR("between "&amp;LEFT(C20,FIND("-",C20)-2)&amp;" and "&amp;RIGHT(C20,FIND("-",C20)-2),"on "&amp;C20)</f>
        <v xml:space="preserve"> is scheduled to report earnings on Jul 28, 2017</v>
      </c>
      <c r="L3" t="str">
        <f>" is slated to report earnings "&amp;IFERROR("between "&amp;LEFT(C20,FIND("-",C20)-2)&amp;" and "&amp;RIGHT(C20,FIND("-",C20)-2),"on "&amp;C20)</f>
        <v xml:space="preserve"> is slated to report earnings on Jul 28, 2017</v>
      </c>
      <c r="M3" t="str">
        <f>" will report earnings "&amp;IFERROR("between "&amp;LEFT(C20,FIND("-",C20)-2)&amp;" and "&amp;RIGHT(C20,FIND("-",C20)-2),"on "&amp;C20)</f>
        <v xml:space="preserve"> will report earnings on Jul 28, 2017</v>
      </c>
      <c r="N3" t="str">
        <f>" reports earnings "&amp;IFERROR("between "&amp;LEFT(C20,FIND("-",C20)-2)&amp;" and "&amp;RIGHT(C20,FIND("-",C20)-2),"on "&amp;C20)</f>
        <v xml:space="preserve"> reports earnings on Jul 28, 2017</v>
      </c>
      <c r="O3" t="str">
        <f>" plans to report earnings "&amp;IFERROR("between "&amp;LEFT(C20,FIND("-",C20)-2)&amp;" and "&amp;RIGHT(C20,FIND("-",C20)-2),"on "&amp;C20)</f>
        <v xml:space="preserve"> plans to report earnings on Jul 28, 2017</v>
      </c>
      <c r="P3" t="str">
        <f>" is going to report earnings "&amp;IFERROR("between "&amp;LEFT(C20,FIND("-",C20)-2)&amp;" and "&amp;RIGHT(C20,FIND("-",C20)-2),"on "&amp;C20)</f>
        <v xml:space="preserve"> is going to report earnings on Jul 28, 2017</v>
      </c>
    </row>
    <row r="4" spans="1:16" x14ac:dyDescent="0.3">
      <c r="B4" t="s">
        <v>4</v>
      </c>
      <c r="J4">
        <f ca="1">RANDBETWEEN(1,2)</f>
        <v>1</v>
      </c>
      <c r="K4" t="str">
        <f>"The stock is currently trading at " &amp; TEXT(C2,"$####.00") &amp; ", " &amp; IF(C2-C7=0, "at the same price" &amp; " after opening " &amp; IF(C8-C7=0, "at the same price as yesterday's close", IF(C8-C7&gt;0, "up " &amp; IF((C7-C8)/C7*-1 &lt;0.01, "slightly", TEXT((C7-C8)/C7*-1,"##.##%")) &amp; " over yesterday's close", IF((C7-C8)/C7 &lt;0.01, "slightly below", "down " &amp; TEXT((C7-C8)/C7*1,"##.##%") &amp; " from") &amp; " yesterday's close")), IF(C2-C7&gt;0, "up " &amp; TEXT((C7-C2)/C7*-1,"##.##%") &amp; " after opening " &amp; IF(C8-C7=0, "at the same price as yesterday's close", IF(C8-C7&gt;0, "up " &amp; IF((C7-C8)/C7*-1 &lt;0.01, "slightly", TEXT((C7-C8)/C7*-1,"##.##%")) &amp; " over yesterday's close", IF((C7-C8)/C7 &lt;0.01, "slightly below", "down " &amp; TEXT((C7-C8)/C7*1,"##.##%") &amp; " from") &amp; " yesterday's close")), "down " &amp; TEXT((C7-C2)/C7*1,"##.##%") &amp; " after opening " &amp; IF(C8-C7=0, "at the same price as yesterday's close", IF(C8-C7&gt;0, "up " &amp; IF((C7-C8)/C7*-1 &lt;0.01, "slightly", TEXT((C7-C8)/C7*-1,"##.##%")) &amp; " over yesterday's close", IF((C7-C8)/C7 &lt;0.01, "slightly below", "down " &amp; TEXT((C7-C8)/C7*1,"##.##%") &amp; " from") &amp; " yesterday's close")) ))</f>
        <v>The stock is currently trading at $59.69, up .61% after opening up slightly over yesterday's close</v>
      </c>
      <c r="L4" t="str">
        <f>"The current stock price is " &amp; TEXT(C2,"$####.00") &amp; ", " &amp; IF(C2-C7=0, "at the same price" &amp; " after opening " &amp; IF(C8-C7=0, "at the same price as yesterday's closing price", IF(C8-C7&gt;0, "up " &amp; IF((C7-C8)/C7*-1 &lt;0.01, "a fraction", TEXT((C7-C8)/C7*-1,"##.##%")) &amp; " over yesterday's closing price", IF((C7-C8)/C7 &lt;0.01, "a bit below", "down " &amp; TEXT((C7-C8)/C7*1,"##.##%") &amp; " from") &amp; " yesterday's closing price")), IF(C2-C7&gt;0, "up " &amp; TEXT((C7-C2)/C7*-1,"##.##%") &amp; " after opening " &amp; IF(C8-C7=0, "at yesterday's closing price", IF(C8-C7&gt;0, "up " &amp; IF((C7-C8)/C7*-1 &lt;0.01, "a fraction", TEXT((C7-C8)/C7*-1,"##.##%")) &amp; " over yesterday's closing price", IF((C7-C8)/C7 &lt;0.01, "a bit below", "down " &amp; TEXT((C7-C8)/C7*1,"##.##%") &amp; " from") &amp; " yesterday's closing price")), "down " &amp; TEXT((C7-C2)/C7*1,"##.##%") &amp; " after opening " &amp; IF(C8-C7=0, "at yesterday's closing price", IF(C8-C7&gt;0, "up " &amp; IF((C7-C8)/C7*-1 &lt;0.01, "a fraction", TEXT((C7-C8)/C7*-1,"##.##%")) &amp; " over yesterday's closing price", IF((C7-C8)/C7 &lt;0.01, "a bit below", "down " &amp; TEXT((C7-C8)/C7*1,"##.##%") &amp; " from") &amp; " yesterday's closing price")) ))</f>
        <v>The current stock price is $59.69, up .61% after opening up a fraction over yesterday's closing price</v>
      </c>
    </row>
    <row r="5" spans="1:16" x14ac:dyDescent="0.3">
      <c r="J5">
        <f ca="1">RANDBETWEEN(1,2)</f>
        <v>2</v>
      </c>
      <c r="K5" t="str">
        <f>"The one year target estimate for " &amp; D1 &amp; " is " &amp; TEXT(C23,"$####.00")</f>
        <v>The one year target estimate for Barnes Group is $58.75</v>
      </c>
      <c r="L5" t="str">
        <f>D1 &amp; " is expected to be trading at " &amp; TEXT(C23, "$####.00") &amp; ", based on target estimates"</f>
        <v>Barnes Group is expected to be trading at $58.75, based on target estimates</v>
      </c>
    </row>
    <row r="6" spans="1:16" x14ac:dyDescent="0.3">
      <c r="K6" t="str">
        <f>" which would be " &amp; IF(OR(LEFT(ABS((C23-C2)/C2*100),1)="8",LEFT(ABS((C23-C2)/C2*100),2)="18"), "an ", "a ")  &amp;TEXT(ABS((C23-C2)/C2),"####.00%")&amp;IF((C23-C2)&gt;0," increase over"," decrease from")&amp;" the current price"</f>
        <v xml:space="preserve"> which would be a 1.57% decrease from the current price</v>
      </c>
    </row>
    <row r="7" spans="1:16" x14ac:dyDescent="0.3">
      <c r="A7" s="1">
        <v>0</v>
      </c>
      <c r="B7" t="s">
        <v>5</v>
      </c>
      <c r="C7" t="s">
        <v>1689</v>
      </c>
      <c r="K7" t="str">
        <f>"Earnings are expected to " &amp; IF(C28=D28, "remain constant over the next quarter", IF( D28&gt;C28,  "increase by " &amp; TEXT((D28-C28)/C28*100,"##.##") &amp; "% over last quarter", "decrease by " &amp; TEXT((D28-C28)/C28*-100,"##.##") &amp; "% from last quarter")) &amp; " based on the average of " &amp; $C$27 &amp; " analyst estimates (Yahoo Finance)"</f>
        <v>Earnings are expected to increase by 1.45% over last quarter based on the average of 8 analyst estimates (Yahoo Finance)</v>
      </c>
    </row>
    <row r="8" spans="1:16" x14ac:dyDescent="0.3">
      <c r="A8" s="1">
        <v>1</v>
      </c>
      <c r="B8" t="s">
        <v>7</v>
      </c>
      <c r="C8" t="s">
        <v>1690</v>
      </c>
      <c r="K8" t="str">
        <f>IF(VALUE(C2)=D12, "The stock is trading at an all-time low",IF(VALUE(C2) =E12,"The stock is trading at an all-time high",IF(VALUE(C2)&lt;D12+(E12-D12)/3, "The stock is trading in the low end of its 52-week range",IF(VALUE(C2)&lt;D12+2*(E12-D12)/3, "The stock is trading near the middle of its 52 week range", "The stock is trading in the high end of its 52-week range"))) )</f>
        <v>The stock is trading in the high end of its 52-week range</v>
      </c>
    </row>
    <row r="9" spans="1:16" x14ac:dyDescent="0.3">
      <c r="A9" s="1">
        <v>2</v>
      </c>
      <c r="B9" t="s">
        <v>9</v>
      </c>
      <c r="C9" t="s">
        <v>10</v>
      </c>
      <c r="K9" t="str">
        <f>"Over the last 4 quarters, there" &amp; IF(4 - COUNTIF(C45:F45,"-*")=1, " has"," have") &amp; " been" &amp; IF(4 - COUNTIF(C45:F45,"-*")=1, " a,","") &amp; " positive earnings surprise" &amp; IF(4 - COUNTIF(C45:F45,"-*")=1, " ","s ") &amp; 4 -COUNTIF(C45:F45,"-*") &amp; IF(4 - COUNTIF(C45:F45,"-*")=1, " time,"," times,") &amp; " and a negative earnings surprise " &amp; COUNTIF(C45:F45,"-*") &amp; IF(COUNTIF(C45:F45,"-*")=1, " time", " times")</f>
        <v>Over the last 4 quarters, there have been positive earnings surprises 4 times, and a negative earnings surprise 0 times</v>
      </c>
    </row>
    <row r="10" spans="1:16" x14ac:dyDescent="0.3">
      <c r="A10" s="1">
        <v>3</v>
      </c>
      <c r="B10" t="s">
        <v>11</v>
      </c>
      <c r="C10" t="s">
        <v>10</v>
      </c>
      <c r="K10" t="str">
        <f>IF(F48=F52,"",IF(F48&gt;F52, "EPS estimates have increased by " &amp; TEXT(F48-F52,"$0.00") &amp; " in the 2 months leading up to the earnings report", "EPS estimates have decreased by " &amp; TEXT(ABS(F48-F52),"$0.00") &amp; " in the 2 months leading up to the earnings report"))</f>
        <v>EPS estimates have increased by $0.15 in the 2 months leading up to the earnings report</v>
      </c>
    </row>
    <row r="11" spans="1:16" x14ac:dyDescent="0.3">
      <c r="A11" s="1">
        <v>4</v>
      </c>
      <c r="B11" t="s">
        <v>12</v>
      </c>
      <c r="C11" t="s">
        <v>1691</v>
      </c>
      <c r="K11" t="str">
        <f>IF(B145="Interest Income",U42, K42)</f>
        <v>No positive trends</v>
      </c>
    </row>
    <row r="12" spans="1:16" x14ac:dyDescent="0.3">
      <c r="A12" s="1">
        <v>5</v>
      </c>
      <c r="B12" t="s">
        <v>14</v>
      </c>
      <c r="C12" t="s">
        <v>1692</v>
      </c>
      <c r="D12" t="str">
        <f>LEFT(C12,FIND("-",C12)-2)</f>
        <v>36.27</v>
      </c>
      <c r="E12" t="str">
        <f>TRIM(RIGHT(C12,FIND("-",C12)-1))</f>
        <v>62.37</v>
      </c>
      <c r="K12" t="str">
        <f ca="1">D78</f>
        <v>There are some indications that Barnes Group may be overvalued. The company has a higher peg ratio, price/sales than the comparable average</v>
      </c>
    </row>
    <row r="13" spans="1:16" x14ac:dyDescent="0.3">
      <c r="A13" s="1">
        <v>6</v>
      </c>
      <c r="B13" t="s">
        <v>16</v>
      </c>
      <c r="C13" t="s">
        <v>1693</v>
      </c>
      <c r="K13" t="str">
        <f ca="1">D89</f>
        <v>There are some indications that Barnes Group may be undervalued. The company has a lower trailing p/e, and price/book than the comparable average</v>
      </c>
    </row>
    <row r="14" spans="1:16" x14ac:dyDescent="0.3">
      <c r="A14" s="1">
        <v>7</v>
      </c>
      <c r="B14" t="s">
        <v>18</v>
      </c>
      <c r="C14" t="s">
        <v>1694</v>
      </c>
    </row>
    <row r="16" spans="1:16" x14ac:dyDescent="0.3">
      <c r="A16" s="1">
        <v>0</v>
      </c>
      <c r="B16" t="s">
        <v>20</v>
      </c>
      <c r="C16" t="s">
        <v>64</v>
      </c>
    </row>
    <row r="17" spans="1:23" x14ac:dyDescent="0.3">
      <c r="A17" s="1">
        <v>1</v>
      </c>
      <c r="B17" t="s">
        <v>22</v>
      </c>
      <c r="C17" t="s">
        <v>1695</v>
      </c>
      <c r="K17" t="str">
        <f ca="1">K2 &amp; IF(J3=1, K3,IF(J3=2,L3,IF(J3=3,M3,IF(J3=4,N3,IF(J3=5,O3,IF(J3=6,P3)))))) &amp; ". " &amp; IF(J4=1,K4,IF(J4=2,L4)) &amp; ". " &amp; IF(J5=1,K5,IF(J5=2,L5)) &amp; K6 &amp; ". " &amp; K7 &amp; ". " &amp; K8 &amp; ". " &amp; K9 &amp; "."</f>
        <v>Barnes Group Inc. is scheduled to report earnings on Jul 28, 2017. The stock is currently trading at $59.69, up .61% after opening up slightly over yesterday's close. Barnes Group is expected to be trading at $58.75, based on target estimates which would be a 1.57% decrease from the current price. Earnings are expected to increase by 1.45% over last quarter based on the average of 8 analyst estimates (Yahoo Finance). The stock is trading in the high end of its 52-week range. Over the last 4 quarters, there have been positive earnings surprises 4 times, and a negative earnings surprise 0 times.</v>
      </c>
    </row>
    <row r="18" spans="1:23" x14ac:dyDescent="0.3">
      <c r="A18" s="1">
        <v>2</v>
      </c>
      <c r="B18" t="s">
        <v>24</v>
      </c>
      <c r="C18" t="s">
        <v>1696</v>
      </c>
    </row>
    <row r="19" spans="1:23" x14ac:dyDescent="0.3">
      <c r="A19" s="1">
        <v>3</v>
      </c>
      <c r="B19" t="s">
        <v>26</v>
      </c>
      <c r="C19" t="s">
        <v>1697</v>
      </c>
    </row>
    <row r="20" spans="1:23" x14ac:dyDescent="0.3">
      <c r="A20" s="1">
        <v>4</v>
      </c>
      <c r="B20" t="s">
        <v>28</v>
      </c>
      <c r="C20" t="s">
        <v>29</v>
      </c>
    </row>
    <row r="21" spans="1:23" x14ac:dyDescent="0.3">
      <c r="A21" s="1">
        <v>5</v>
      </c>
      <c r="B21" t="s">
        <v>30</v>
      </c>
      <c r="C21" t="s">
        <v>1698</v>
      </c>
    </row>
    <row r="22" spans="1:23" x14ac:dyDescent="0.3">
      <c r="A22" s="1">
        <v>6</v>
      </c>
      <c r="B22" t="s">
        <v>32</v>
      </c>
      <c r="C22" t="s">
        <v>1699</v>
      </c>
      <c r="J22">
        <f>IF(K22 &lt;&gt; "",1, 0)</f>
        <v>0</v>
      </c>
      <c r="K22" t="str">
        <f>IF(I145="pos_trend","Revenue","")</f>
        <v/>
      </c>
      <c r="L22" t="str">
        <f t="shared" ref="L22:L38" si="0">IF(EXACT(K22,UPPER(K22)),K22,LOWER(K22))</f>
        <v/>
      </c>
      <c r="M22" t="str">
        <f>L22</f>
        <v/>
      </c>
      <c r="T22">
        <f>IF(U22 &lt;&gt; "",1, 0)</f>
        <v>0</v>
      </c>
      <c r="U22" t="str">
        <f>IF(AND(B145 = "Interest Income",I145="pos_trend"), "Interest Income","")</f>
        <v/>
      </c>
      <c r="V22" t="str">
        <f t="shared" ref="V22:V38" si="1">IF(EXACT(U22,UPPER(U22)),U22,LOWER(U22))</f>
        <v/>
      </c>
      <c r="W22" t="str">
        <f>V22</f>
        <v/>
      </c>
    </row>
    <row r="23" spans="1:23" x14ac:dyDescent="0.3">
      <c r="A23" s="1">
        <v>7</v>
      </c>
      <c r="B23" t="s">
        <v>34</v>
      </c>
      <c r="C23" t="s">
        <v>1700</v>
      </c>
      <c r="J23">
        <f>IF(K23 &lt;&gt; "",2, 0)</f>
        <v>0</v>
      </c>
      <c r="K23" t="str">
        <f>IF(I146="pos_trend",B146,"")</f>
        <v/>
      </c>
      <c r="L23" t="str">
        <f t="shared" si="0"/>
        <v/>
      </c>
      <c r="M23" t="str">
        <f t="shared" ref="M23:M39" si="2">IF(L23&lt;&gt;"", M22 &amp; ", " &amp; L23,M22)</f>
        <v/>
      </c>
      <c r="T23">
        <f>IF(U23 &lt;&gt; "",2, 0)</f>
        <v>0</v>
      </c>
      <c r="U23" t="str">
        <f>IF(I151="pos_trend",B151,"")</f>
        <v/>
      </c>
      <c r="V23" t="str">
        <f t="shared" si="1"/>
        <v/>
      </c>
      <c r="W23" t="str">
        <f t="shared" ref="W23:W39" si="3">IF(V23&lt;&gt;"", W22 &amp; ", " &amp; V23,W22)</f>
        <v/>
      </c>
    </row>
    <row r="24" spans="1:23" x14ac:dyDescent="0.3">
      <c r="J24">
        <f>IF(K24 &lt;&gt; "",3, 0)</f>
        <v>0</v>
      </c>
      <c r="K24" t="str">
        <f>IF(I153="pos_trend",B153,"")</f>
        <v/>
      </c>
      <c r="L24" t="str">
        <f t="shared" si="0"/>
        <v/>
      </c>
      <c r="M24" t="str">
        <f t="shared" si="2"/>
        <v/>
      </c>
      <c r="T24">
        <f>IF(U24 &lt;&gt; "",3, 0)</f>
        <v>0</v>
      </c>
      <c r="U24" t="str">
        <f>IF(I161="pos_trend",B161,"")</f>
        <v/>
      </c>
      <c r="V24" t="str">
        <f t="shared" si="1"/>
        <v/>
      </c>
      <c r="W24" t="str">
        <f t="shared" si="3"/>
        <v/>
      </c>
    </row>
    <row r="25" spans="1:23" x14ac:dyDescent="0.3">
      <c r="J25">
        <f>IF(K25 &lt;&gt; "",4, 0)</f>
        <v>0</v>
      </c>
      <c r="K25" t="str">
        <f>IF(I154="pos_trend",B154,"")</f>
        <v/>
      </c>
      <c r="L25" t="str">
        <f t="shared" si="0"/>
        <v/>
      </c>
      <c r="M25" t="str">
        <f t="shared" si="2"/>
        <v/>
      </c>
      <c r="T25">
        <f>IF(U25 &lt;&gt; "",4, 0)</f>
        <v>0</v>
      </c>
      <c r="U25" t="str">
        <f>IF(I162="pos_trend",B162,"")</f>
        <v/>
      </c>
      <c r="V25" t="str">
        <f t="shared" si="1"/>
        <v/>
      </c>
      <c r="W25" t="str">
        <f t="shared" si="3"/>
        <v/>
      </c>
    </row>
    <row r="26" spans="1:23" x14ac:dyDescent="0.3">
      <c r="B26" s="1" t="s">
        <v>36</v>
      </c>
      <c r="C26" s="1" t="s">
        <v>37</v>
      </c>
      <c r="D26" s="1" t="s">
        <v>38</v>
      </c>
      <c r="E26" s="1" t="s">
        <v>39</v>
      </c>
      <c r="F26" s="1" t="s">
        <v>40</v>
      </c>
      <c r="J26">
        <f>IF(K26 &lt;&gt; "",5, 0)</f>
        <v>0</v>
      </c>
      <c r="K26" t="str">
        <f>IF(I155="pos_trend",B155,"")</f>
        <v/>
      </c>
      <c r="L26" t="str">
        <f t="shared" si="0"/>
        <v/>
      </c>
      <c r="M26" t="str">
        <f t="shared" si="2"/>
        <v/>
      </c>
      <c r="T26">
        <f>IF(U26 &lt;&gt; "",5, 0)</f>
        <v>0</v>
      </c>
      <c r="U26" t="str">
        <f>IF(I167="pos_trend",B167,"")</f>
        <v/>
      </c>
      <c r="V26" t="str">
        <f t="shared" si="1"/>
        <v/>
      </c>
      <c r="W26" t="str">
        <f t="shared" si="3"/>
        <v/>
      </c>
    </row>
    <row r="27" spans="1:23" x14ac:dyDescent="0.3">
      <c r="A27" s="1">
        <v>0</v>
      </c>
      <c r="B27" t="s">
        <v>41</v>
      </c>
      <c r="C27">
        <v>8</v>
      </c>
      <c r="D27">
        <v>8</v>
      </c>
      <c r="E27">
        <v>8</v>
      </c>
      <c r="F27">
        <v>8</v>
      </c>
      <c r="J27">
        <f>IF(K27 &lt;&gt; "",6, 0)</f>
        <v>0</v>
      </c>
      <c r="K27" t="str">
        <f>IF(I172="pos_trend",B172,"")</f>
        <v/>
      </c>
      <c r="L27" t="str">
        <f t="shared" si="0"/>
        <v/>
      </c>
      <c r="M27" t="str">
        <f t="shared" si="2"/>
        <v/>
      </c>
      <c r="T27">
        <f>IF(U27 &lt;&gt; "",6, 0)</f>
        <v>0</v>
      </c>
      <c r="U27" t="str">
        <f>IF(I170="pos_trend",B170,"")</f>
        <v/>
      </c>
      <c r="V27" t="str">
        <f t="shared" si="1"/>
        <v/>
      </c>
      <c r="W27" t="str">
        <f t="shared" si="3"/>
        <v/>
      </c>
    </row>
    <row r="28" spans="1:23" x14ac:dyDescent="0.3">
      <c r="A28" s="1">
        <v>1</v>
      </c>
      <c r="B28" t="s">
        <v>42</v>
      </c>
      <c r="C28">
        <v>0.69</v>
      </c>
      <c r="D28">
        <v>0.7</v>
      </c>
      <c r="E28">
        <v>2.78</v>
      </c>
      <c r="F28">
        <v>3</v>
      </c>
      <c r="J28">
        <f>IF(K28 &lt;&gt; "",7, 0)</f>
        <v>0</v>
      </c>
      <c r="K28" t="str">
        <f>IF(I173="pos_trend",B173,"")</f>
        <v/>
      </c>
      <c r="L28" t="str">
        <f t="shared" si="0"/>
        <v/>
      </c>
      <c r="M28" t="str">
        <f t="shared" si="2"/>
        <v/>
      </c>
      <c r="T28">
        <f>IF(U28 &lt;&gt; "",7, 0)</f>
        <v>0</v>
      </c>
      <c r="U28" t="str">
        <f>IF(I171="pos_trend",B171,"")</f>
        <v/>
      </c>
      <c r="V28" t="str">
        <f t="shared" si="1"/>
        <v/>
      </c>
      <c r="W28" t="str">
        <f t="shared" si="3"/>
        <v/>
      </c>
    </row>
    <row r="29" spans="1:23" x14ac:dyDescent="0.3">
      <c r="A29" s="1">
        <v>2</v>
      </c>
      <c r="B29" t="s">
        <v>43</v>
      </c>
      <c r="C29">
        <v>0.66</v>
      </c>
      <c r="D29">
        <v>0.68</v>
      </c>
      <c r="E29">
        <v>2.74</v>
      </c>
      <c r="F29">
        <v>2.92</v>
      </c>
      <c r="J29">
        <f>IF(K29 &lt;&gt; "",8, 0)</f>
        <v>0</v>
      </c>
      <c r="K29" t="str">
        <f>IF(I174="pos_trend",B174,"")</f>
        <v/>
      </c>
      <c r="L29" t="str">
        <f t="shared" si="0"/>
        <v/>
      </c>
      <c r="M29" t="str">
        <f t="shared" si="2"/>
        <v/>
      </c>
      <c r="T29">
        <f>IF(U29 &lt;&gt; "",8, 0)</f>
        <v>0</v>
      </c>
      <c r="U29" t="str">
        <f>IF(I172="pos_trend",B172,"")</f>
        <v/>
      </c>
      <c r="V29" t="str">
        <f t="shared" si="1"/>
        <v/>
      </c>
      <c r="W29" t="str">
        <f t="shared" si="3"/>
        <v/>
      </c>
    </row>
    <row r="30" spans="1:23" x14ac:dyDescent="0.3">
      <c r="A30" s="1">
        <v>3</v>
      </c>
      <c r="B30" t="s">
        <v>44</v>
      </c>
      <c r="C30">
        <v>0.71</v>
      </c>
      <c r="D30">
        <v>0.76</v>
      </c>
      <c r="E30">
        <v>2.84</v>
      </c>
      <c r="F30">
        <v>3.06</v>
      </c>
      <c r="J30">
        <f>IF(K30 &lt;&gt; "",9, 0)</f>
        <v>0</v>
      </c>
      <c r="K30" t="str">
        <f>IF(I185="pos_trend",B185,"")</f>
        <v/>
      </c>
      <c r="L30" t="str">
        <f t="shared" si="0"/>
        <v/>
      </c>
      <c r="M30" t="str">
        <f t="shared" si="2"/>
        <v/>
      </c>
      <c r="T30">
        <f>IF(U30 &lt;&gt; "",9, 0)</f>
        <v>0</v>
      </c>
      <c r="U30" t="str">
        <f>IF(I178="pos_trend",B178,"")</f>
        <v/>
      </c>
      <c r="V30" t="str">
        <f t="shared" si="1"/>
        <v/>
      </c>
      <c r="W30" t="str">
        <f t="shared" si="3"/>
        <v/>
      </c>
    </row>
    <row r="31" spans="1:23" x14ac:dyDescent="0.3">
      <c r="A31" s="1">
        <v>4</v>
      </c>
      <c r="B31" t="s">
        <v>45</v>
      </c>
      <c r="C31">
        <v>0.63</v>
      </c>
      <c r="D31">
        <v>0.71</v>
      </c>
      <c r="E31">
        <v>2.5299999999999998</v>
      </c>
      <c r="F31">
        <v>2.78</v>
      </c>
      <c r="J31">
        <f>IF(K31 &lt;&gt; "",10, 0)</f>
        <v>0</v>
      </c>
      <c r="K31" t="str">
        <f>IF(I186="pos_trend",B186,"")</f>
        <v/>
      </c>
      <c r="L31" t="str">
        <f t="shared" si="0"/>
        <v/>
      </c>
      <c r="M31" t="str">
        <f t="shared" si="2"/>
        <v/>
      </c>
      <c r="T31">
        <f>IF(U31 &lt;&gt; "",10, 0)</f>
        <v>0</v>
      </c>
      <c r="U31" t="str">
        <f>IF(I199="pos_trend",B199,"")</f>
        <v/>
      </c>
      <c r="V31" t="str">
        <f t="shared" si="1"/>
        <v/>
      </c>
      <c r="W31" t="str">
        <f t="shared" si="3"/>
        <v/>
      </c>
    </row>
    <row r="32" spans="1:23" x14ac:dyDescent="0.3">
      <c r="J32">
        <f>IF(K32 &lt;&gt; "",11, 0)</f>
        <v>0</v>
      </c>
      <c r="K32" t="str">
        <f>IF(I187="pos_trend",B187,"")</f>
        <v/>
      </c>
      <c r="L32" t="str">
        <f t="shared" si="0"/>
        <v/>
      </c>
      <c r="M32" t="str">
        <f t="shared" si="2"/>
        <v/>
      </c>
      <c r="T32">
        <f>IF(U32 &lt;&gt; "",11, 0)</f>
        <v>0</v>
      </c>
      <c r="U32" t="str">
        <f>IF(I209="pos_trend",B209,"")</f>
        <v/>
      </c>
      <c r="V32" t="str">
        <f t="shared" si="1"/>
        <v/>
      </c>
      <c r="W32" t="str">
        <f t="shared" si="3"/>
        <v/>
      </c>
    </row>
    <row r="33" spans="1:23" x14ac:dyDescent="0.3">
      <c r="B33" s="1" t="s">
        <v>46</v>
      </c>
      <c r="C33" s="1" t="s">
        <v>37</v>
      </c>
      <c r="D33" s="1" t="s">
        <v>38</v>
      </c>
      <c r="E33" s="1" t="s">
        <v>39</v>
      </c>
      <c r="F33" s="1" t="s">
        <v>40</v>
      </c>
      <c r="J33">
        <f>IF(K33 &lt;&gt; "",12, 0)</f>
        <v>0</v>
      </c>
      <c r="K33" t="str">
        <f>IF(I195="pos_trend",B195,"")</f>
        <v/>
      </c>
      <c r="L33" t="str">
        <f t="shared" si="0"/>
        <v/>
      </c>
      <c r="M33" t="str">
        <f t="shared" si="2"/>
        <v/>
      </c>
      <c r="T33">
        <f>IF(U33 &lt;&gt; "",12, 0)</f>
        <v>0</v>
      </c>
      <c r="U33" t="str">
        <f>IF(I231="pos_trend",B231,"")</f>
        <v/>
      </c>
      <c r="V33" t="str">
        <f t="shared" si="1"/>
        <v/>
      </c>
      <c r="W33" t="str">
        <f t="shared" si="3"/>
        <v/>
      </c>
    </row>
    <row r="34" spans="1:23" x14ac:dyDescent="0.3">
      <c r="A34" s="1">
        <v>0</v>
      </c>
      <c r="B34" t="s">
        <v>41</v>
      </c>
      <c r="C34" t="s">
        <v>47</v>
      </c>
      <c r="D34" t="s">
        <v>47</v>
      </c>
      <c r="E34" t="s">
        <v>47</v>
      </c>
      <c r="F34" t="s">
        <v>47</v>
      </c>
      <c r="J34">
        <f>IF(K34 &lt;&gt; "",13, 0)</f>
        <v>0</v>
      </c>
      <c r="K34" t="str">
        <f>IF(I196="pos_trend",B196,"")</f>
        <v/>
      </c>
      <c r="L34" t="str">
        <f t="shared" si="0"/>
        <v/>
      </c>
      <c r="M34" t="str">
        <f t="shared" si="2"/>
        <v/>
      </c>
      <c r="T34">
        <f>IF(U34 &lt;&gt; "",13, 0)</f>
        <v>0</v>
      </c>
      <c r="U34" t="str">
        <f>IF(I251="pos_trend",B251,"")</f>
        <v/>
      </c>
      <c r="V34" t="str">
        <f t="shared" si="1"/>
        <v/>
      </c>
      <c r="W34" t="str">
        <f t="shared" si="3"/>
        <v/>
      </c>
    </row>
    <row r="35" spans="1:23" x14ac:dyDescent="0.3">
      <c r="A35" s="1">
        <v>1</v>
      </c>
      <c r="B35" t="s">
        <v>42</v>
      </c>
      <c r="C35" t="s">
        <v>1701</v>
      </c>
      <c r="D35" t="s">
        <v>1702</v>
      </c>
      <c r="E35" t="s">
        <v>1703</v>
      </c>
      <c r="F35" t="s">
        <v>723</v>
      </c>
      <c r="J35">
        <f>IF(K35 &lt;&gt; "",14, 0)</f>
        <v>0</v>
      </c>
      <c r="K35" t="str">
        <f>IF(I201="pos_trend",B201,"")</f>
        <v/>
      </c>
      <c r="L35" t="str">
        <f t="shared" si="0"/>
        <v/>
      </c>
      <c r="M35" t="str">
        <f t="shared" si="2"/>
        <v/>
      </c>
      <c r="T35">
        <f>IF(U35 &lt;&gt; "",14, 0)</f>
        <v>0</v>
      </c>
      <c r="U35" t="str">
        <f>IF(I279="pos_trend",B279,"")</f>
        <v/>
      </c>
      <c r="V35" t="str">
        <f t="shared" si="1"/>
        <v/>
      </c>
      <c r="W35" t="str">
        <f t="shared" si="3"/>
        <v/>
      </c>
    </row>
    <row r="36" spans="1:23" x14ac:dyDescent="0.3">
      <c r="A36" s="1">
        <v>2</v>
      </c>
      <c r="B36" t="s">
        <v>43</v>
      </c>
      <c r="C36" t="s">
        <v>1704</v>
      </c>
      <c r="D36" t="s">
        <v>1705</v>
      </c>
      <c r="E36" t="s">
        <v>704</v>
      </c>
      <c r="F36" t="s">
        <v>545</v>
      </c>
      <c r="J36">
        <f>IF(K36 &lt;&gt; "",15, 0)</f>
        <v>0</v>
      </c>
      <c r="K36" t="str">
        <f>IF(I202="pos_trend",B202,"")</f>
        <v/>
      </c>
      <c r="L36" t="str">
        <f t="shared" si="0"/>
        <v/>
      </c>
      <c r="M36" t="str">
        <f t="shared" si="2"/>
        <v/>
      </c>
      <c r="T36">
        <f>IF(U36 &lt;&gt; "",15, 0)</f>
        <v>0</v>
      </c>
      <c r="U36" t="str">
        <f>IF(I336="pos_trend",B336,"")</f>
        <v/>
      </c>
      <c r="V36" t="str">
        <f t="shared" si="1"/>
        <v/>
      </c>
      <c r="W36" t="str">
        <f t="shared" si="3"/>
        <v/>
      </c>
    </row>
    <row r="37" spans="1:23" x14ac:dyDescent="0.3">
      <c r="A37" s="1">
        <v>3</v>
      </c>
      <c r="B37" t="s">
        <v>44</v>
      </c>
      <c r="C37" t="s">
        <v>1706</v>
      </c>
      <c r="D37" t="s">
        <v>1707</v>
      </c>
      <c r="E37" t="s">
        <v>1708</v>
      </c>
      <c r="F37" t="s">
        <v>1709</v>
      </c>
      <c r="J37">
        <f>IF(K37 &lt;&gt; "",16, 0)</f>
        <v>0</v>
      </c>
      <c r="K37" t="str">
        <f>IF(I203="pos_trend",B203,"")</f>
        <v/>
      </c>
      <c r="L37" t="str">
        <f t="shared" si="0"/>
        <v/>
      </c>
      <c r="M37" t="str">
        <f t="shared" si="2"/>
        <v/>
      </c>
      <c r="T37">
        <f>IF(U37 &lt;&gt; "",16, 0)</f>
        <v>0</v>
      </c>
      <c r="U37" t="str">
        <f>IF(I235="pos_trend",B235,"")</f>
        <v/>
      </c>
      <c r="V37" t="str">
        <f t="shared" si="1"/>
        <v/>
      </c>
      <c r="W37" t="str">
        <f t="shared" si="3"/>
        <v/>
      </c>
    </row>
    <row r="38" spans="1:23" x14ac:dyDescent="0.3">
      <c r="A38" s="1">
        <v>4</v>
      </c>
      <c r="B38" t="s">
        <v>61</v>
      </c>
      <c r="C38" t="s">
        <v>1710</v>
      </c>
      <c r="D38" t="s">
        <v>1711</v>
      </c>
      <c r="E38" t="s">
        <v>1712</v>
      </c>
      <c r="F38" t="s">
        <v>1703</v>
      </c>
      <c r="J38">
        <f>IF(K38 &lt;&gt; "",17, 0)</f>
        <v>0</v>
      </c>
      <c r="K38" t="str">
        <f>IF(I351="pos_trend",B351,"")</f>
        <v/>
      </c>
      <c r="L38" t="str">
        <f t="shared" si="0"/>
        <v/>
      </c>
      <c r="M38" t="str">
        <f t="shared" si="2"/>
        <v/>
      </c>
      <c r="T38">
        <f>IF(U38 &lt;&gt; "",17, 0)</f>
        <v>0</v>
      </c>
      <c r="U38" t="str">
        <f>IF(I236="pos_trend",B236,"")</f>
        <v/>
      </c>
      <c r="V38" t="str">
        <f t="shared" si="1"/>
        <v/>
      </c>
      <c r="W38" t="str">
        <f t="shared" si="3"/>
        <v/>
      </c>
    </row>
    <row r="39" spans="1:23" x14ac:dyDescent="0.3">
      <c r="A39" s="1">
        <v>5</v>
      </c>
      <c r="B39" t="s">
        <v>65</v>
      </c>
      <c r="C39" t="s">
        <v>1713</v>
      </c>
      <c r="D39" t="s">
        <v>1714</v>
      </c>
      <c r="E39" t="s">
        <v>1715</v>
      </c>
      <c r="F39" t="s">
        <v>1716</v>
      </c>
      <c r="K39" t="str">
        <f>IF(I352="pos_trend",B352,"")</f>
        <v/>
      </c>
      <c r="M39" t="str">
        <f t="shared" si="2"/>
        <v/>
      </c>
      <c r="W39" t="str">
        <f t="shared" si="3"/>
        <v/>
      </c>
    </row>
    <row r="40" spans="1:23" x14ac:dyDescent="0.3">
      <c r="J40">
        <f>MAX(J22:J39)</f>
        <v>0</v>
      </c>
      <c r="K40" t="str">
        <f>VLOOKUP(J40,J22:K39,2,FALSE)</f>
        <v/>
      </c>
      <c r="M40" t="str">
        <f>IF(IFERROR(FIND(",",M39),TRUE)=TRUE,M39,IF(NOT(EXACT(K40,UPPER(K40))),SUBSTITUTE(M39,LOWER(K40),"and "&amp;LOWER(K40)),SUBSTITUTE(M39,K40,"and "&amp;K40)))</f>
        <v/>
      </c>
      <c r="T40">
        <f>MAX(T22:T39)</f>
        <v>0</v>
      </c>
      <c r="U40" t="str">
        <f>VLOOKUP(T40,T22:U39,2,FALSE)</f>
        <v/>
      </c>
      <c r="W40" t="str">
        <f>IF(IFERROR(FIND(",",W39),TRUE)=TRUE,W39,IF(NOT(EXACT(U40,UPPER(U40))),SUBSTITUTE(W39,LOWER(U40),"and "&amp;LOWER(U40)),SUBSTITUTE(W39,U40,"and "&amp;U40)))</f>
        <v/>
      </c>
    </row>
    <row r="41" spans="1:23" x14ac:dyDescent="0.3">
      <c r="B41" s="1" t="s">
        <v>70</v>
      </c>
      <c r="C41" s="1" t="s">
        <v>71</v>
      </c>
      <c r="D41" s="1" t="s">
        <v>72</v>
      </c>
      <c r="E41" s="1" t="s">
        <v>73</v>
      </c>
      <c r="F41" s="1" t="s">
        <v>74</v>
      </c>
    </row>
    <row r="42" spans="1:23" x14ac:dyDescent="0.3">
      <c r="A42" s="1">
        <v>0</v>
      </c>
      <c r="B42" t="s">
        <v>75</v>
      </c>
      <c r="C42" t="s">
        <v>1717</v>
      </c>
      <c r="D42" t="s">
        <v>1718</v>
      </c>
      <c r="E42" t="s">
        <v>1719</v>
      </c>
      <c r="F42" t="s">
        <v>1720</v>
      </c>
      <c r="K42" t="str">
        <f>SUBSTITUTE(IF(M40&lt;&gt;"", D1 &amp; " has managed to increase " &amp; M40 &amp; " each year since " &amp; C144, "No positive trends")," , "," ")</f>
        <v>No positive trends</v>
      </c>
      <c r="U42" t="str">
        <f>SUBSTITUTE(IF(W40&lt;&gt;"", D1 &amp; " has managed to increase " &amp; W40 &amp; " each year since " &amp; C144, "No positive trends")," , "," ")</f>
        <v>No positive trends</v>
      </c>
    </row>
    <row r="43" spans="1:23" x14ac:dyDescent="0.3">
      <c r="A43" s="1">
        <v>1</v>
      </c>
      <c r="B43" t="s">
        <v>80</v>
      </c>
      <c r="C43" t="s">
        <v>1721</v>
      </c>
      <c r="D43" t="s">
        <v>1236</v>
      </c>
      <c r="E43" t="s">
        <v>1718</v>
      </c>
      <c r="F43" t="s">
        <v>1236</v>
      </c>
    </row>
    <row r="44" spans="1:23" x14ac:dyDescent="0.3">
      <c r="A44" s="1">
        <v>2</v>
      </c>
      <c r="B44" t="s">
        <v>84</v>
      </c>
      <c r="C44" t="s">
        <v>1722</v>
      </c>
      <c r="D44" t="s">
        <v>86</v>
      </c>
      <c r="E44" t="s">
        <v>85</v>
      </c>
      <c r="F44" t="s">
        <v>212</v>
      </c>
    </row>
    <row r="45" spans="1:23" x14ac:dyDescent="0.3">
      <c r="A45" s="1">
        <v>3</v>
      </c>
      <c r="B45" t="s">
        <v>89</v>
      </c>
      <c r="C45" t="s">
        <v>1723</v>
      </c>
      <c r="D45" t="s">
        <v>1724</v>
      </c>
      <c r="E45" t="s">
        <v>1725</v>
      </c>
      <c r="F45" t="s">
        <v>1726</v>
      </c>
    </row>
    <row r="47" spans="1:23" x14ac:dyDescent="0.3">
      <c r="B47" s="1" t="s">
        <v>94</v>
      </c>
      <c r="C47" s="1" t="s">
        <v>37</v>
      </c>
      <c r="D47" s="1" t="s">
        <v>38</v>
      </c>
      <c r="E47" s="1" t="s">
        <v>39</v>
      </c>
      <c r="F47" s="1" t="s">
        <v>40</v>
      </c>
    </row>
    <row r="48" spans="1:23" x14ac:dyDescent="0.3">
      <c r="A48" s="1">
        <v>0</v>
      </c>
      <c r="B48" t="s">
        <v>95</v>
      </c>
      <c r="C48">
        <v>0.69</v>
      </c>
      <c r="D48">
        <v>0.7</v>
      </c>
      <c r="E48">
        <v>2.78</v>
      </c>
      <c r="F48">
        <v>3</v>
      </c>
    </row>
    <row r="49" spans="1:14" x14ac:dyDescent="0.3">
      <c r="A49" s="1">
        <v>1</v>
      </c>
      <c r="B49" t="s">
        <v>96</v>
      </c>
      <c r="C49">
        <v>0.69</v>
      </c>
      <c r="D49">
        <v>0.7</v>
      </c>
      <c r="E49">
        <v>2.78</v>
      </c>
      <c r="F49">
        <v>3</v>
      </c>
    </row>
    <row r="50" spans="1:14" x14ac:dyDescent="0.3">
      <c r="A50" s="1">
        <v>2</v>
      </c>
      <c r="B50" t="s">
        <v>97</v>
      </c>
      <c r="C50">
        <v>0.68</v>
      </c>
      <c r="D50">
        <v>0.7</v>
      </c>
      <c r="E50">
        <v>2.78</v>
      </c>
      <c r="F50">
        <v>3</v>
      </c>
    </row>
    <row r="51" spans="1:14" x14ac:dyDescent="0.3">
      <c r="A51" s="1">
        <v>3</v>
      </c>
      <c r="B51" t="s">
        <v>98</v>
      </c>
      <c r="C51">
        <v>0.68</v>
      </c>
      <c r="D51">
        <v>0.7</v>
      </c>
      <c r="E51">
        <v>2.78</v>
      </c>
      <c r="F51">
        <v>2.99</v>
      </c>
    </row>
    <row r="52" spans="1:14" x14ac:dyDescent="0.3">
      <c r="A52" s="1">
        <v>4</v>
      </c>
      <c r="B52" t="s">
        <v>99</v>
      </c>
      <c r="C52">
        <v>0.67</v>
      </c>
      <c r="D52">
        <v>0.72</v>
      </c>
      <c r="E52">
        <v>2.71</v>
      </c>
      <c r="F52">
        <v>2.85</v>
      </c>
    </row>
    <row r="54" spans="1:14" x14ac:dyDescent="0.3">
      <c r="B54" s="1" t="s">
        <v>100</v>
      </c>
      <c r="C54" s="1" t="s">
        <v>37</v>
      </c>
      <c r="D54" s="1" t="s">
        <v>38</v>
      </c>
      <c r="E54" s="1" t="s">
        <v>39</v>
      </c>
      <c r="F54" s="1" t="s">
        <v>40</v>
      </c>
    </row>
    <row r="55" spans="1:14" x14ac:dyDescent="0.3">
      <c r="A55" s="1">
        <v>0</v>
      </c>
      <c r="B55" t="s">
        <v>101</v>
      </c>
      <c r="C55">
        <v>1</v>
      </c>
      <c r="E55">
        <v>1</v>
      </c>
      <c r="F55">
        <v>1</v>
      </c>
    </row>
    <row r="56" spans="1:14" x14ac:dyDescent="0.3">
      <c r="A56" s="1">
        <v>1</v>
      </c>
      <c r="B56" t="s">
        <v>102</v>
      </c>
      <c r="C56">
        <v>2</v>
      </c>
      <c r="E56">
        <v>1</v>
      </c>
      <c r="F56">
        <v>1</v>
      </c>
    </row>
    <row r="57" spans="1:14" x14ac:dyDescent="0.3">
      <c r="A57" s="1">
        <v>2</v>
      </c>
      <c r="B57" t="s">
        <v>103</v>
      </c>
    </row>
    <row r="58" spans="1:14" x14ac:dyDescent="0.3">
      <c r="A58" s="1">
        <v>3</v>
      </c>
      <c r="B58" t="s">
        <v>104</v>
      </c>
    </row>
    <row r="60" spans="1:14" x14ac:dyDescent="0.3">
      <c r="B60" s="1" t="s">
        <v>105</v>
      </c>
      <c r="C60" s="1" t="s">
        <v>1727</v>
      </c>
      <c r="D60" s="1" t="s">
        <v>107</v>
      </c>
      <c r="E60" s="1" t="s">
        <v>108</v>
      </c>
      <c r="F60" s="1" t="s">
        <v>109</v>
      </c>
      <c r="I60" t="str">
        <f t="shared" ref="I60:I91" si="4">IF(AND(K60&gt; J60, L60&gt; K60, M60&gt; L60, N60&gt; M60), "pos_trend", IF(AND(K60&lt; J60, L60&lt; K60, M60&lt; L60, N60&lt; M60), "neg_trend", "N/A"))</f>
        <v>N/A</v>
      </c>
      <c r="J60" t="str">
        <f t="shared" ref="J60:J91" si="5">IFERROR(IF(TRIM(C60)="-", "N/A", IF(RIGHT(C60,1)=")",IF(RIGHT(C60,2)="T)",-1000000000000*VALUE(MID(C60,2,LEN(C60)-3)),IF(RIGHT(C60,2)="M)",-1000000*VALUE(MID(C60,2,LEN(C60)-3)),IF(RIGHT(C60,2)="B)",-1000000000*VALUE(MID(C60,2,LEN(C60)-3)),IF(RIGHT(C60,2)="k)",-1000*VALUE(MID(C60,2,LEN(C60)-3)),VALUE(SUBSTITUTE(C60,",","")))))),IF(RIGHT(C60,1)="T",1000000000000*VALUE(LEFT(C60,LEN(C60)-1)),IF(RIGHT(C60,1)="M",1000000*VALUE(LEFT(C60,LEN(C60)-1)),IF(RIGHT(C60,1)="B",1000000000*VALUE(LEFT(C60,LEN(C60)-1)),IF(RIGHT(C60,1)="%",0.01*VALUE(LEFT(C60,LEN(C60)-1)),IF(RIGHT(C60,1)="k",1000*VALUE(LEFT(C60,LEN(C60)-1)),VALUE(SUBSTITUTE(C60,",",""))))))))),"N/A")</f>
        <v>N/A</v>
      </c>
      <c r="K60" t="str">
        <f t="shared" ref="K60:K91" si="6">IFERROR(IF(TRIM(D60)="-", "N/A", IF(RIGHT(D60,1)=")",IF(RIGHT(D60,2)="T)",-1000000000000*VALUE(MID(D60,2,LEN(D60)-3)),IF(RIGHT(D60,2)="M)",-1000000*VALUE(MID(D60,2,LEN(D60)-3)),IF(RIGHT(D60,2)="B)",-1000000000*VALUE(MID(D60,2,LEN(D60)-3)),IF(RIGHT(D60,2)="k)",-1000*VALUE(MID(D60,2,LEN(D60)-3)),VALUE(SUBSTITUTE(D60,",","")))))),IF(RIGHT(D60,1)="T",1000000000000*VALUE(LEFT(D60,LEN(D60)-1)),IF(RIGHT(D60,1)="M",1000000*VALUE(LEFT(D60,LEN(D60)-1)),IF(RIGHT(D60,1)="B",1000000000*VALUE(LEFT(D60,LEN(D60)-1)),IF(RIGHT(D60,1)="%",0.01*VALUE(LEFT(D60,LEN(D60)-1)),IF(RIGHT(D60,1)="k",1000*VALUE(LEFT(D60,LEN(D60)-1)),VALUE(SUBSTITUTE(D60,",",""))))))))),"N/A")</f>
        <v>N/A</v>
      </c>
      <c r="L60" t="str">
        <f t="shared" ref="L60:L91" si="7">IFERROR(IF(TRIM(E60)="-", "N/A", IF(RIGHT(E60,1)=")",IF(RIGHT(E60,2)="T)",-1000000000000*VALUE(MID(E60,2,LEN(E60)-3)),IF(RIGHT(E60,2)="M)",-1000000*VALUE(MID(E60,2,LEN(E60)-3)),IF(RIGHT(E60,2)="B)",-1000000000*VALUE(MID(E60,2,LEN(E60)-3)),IF(RIGHT(E60,2)="k)",-1000*VALUE(MID(E60,2,LEN(E60)-3)),VALUE(SUBSTITUTE(E60,",","")))))),IF(RIGHT(E60,1)="T",1000000000000*VALUE(LEFT(E60,LEN(E60)-1)),IF(RIGHT(E60,1)="M",1000000*VALUE(LEFT(E60,LEN(E60)-1)),IF(RIGHT(E60,1)="B",1000000000*VALUE(LEFT(E60,LEN(E60)-1)),IF(RIGHT(E60,1)="%",0.01*VALUE(LEFT(E60,LEN(E60)-1)),IF(RIGHT(E60,1)="k",1000*VALUE(LEFT(E60,LEN(E60)-1)),VALUE(SUBSTITUTE(E60,",",""))))))))),"N/A")</f>
        <v>N/A</v>
      </c>
      <c r="M60" t="str">
        <f t="shared" ref="M60:M91" si="8">IFERROR(IF(TRIM(F60)="-", "N/A", IF(RIGHT(F60,1)=")",IF(RIGHT(F60,2)="T)",-1000000000000*VALUE(MID(F60,2,LEN(F60)-3)),IF(RIGHT(F60,2)="M)",-1000000*VALUE(MID(F60,2,LEN(F60)-3)),IF(RIGHT(F60,2)="B)",-1000000000*VALUE(MID(F60,2,LEN(F60)-3)),IF(RIGHT(F60,2)="k)",-1000*VALUE(MID(F60,2,LEN(F60)-3)),VALUE(SUBSTITUTE(F60,",","")))))),IF(RIGHT(F60,1)="T",1000000000000*VALUE(LEFT(F60,LEN(F60)-1)),IF(RIGHT(F60,1)="M",1000000*VALUE(LEFT(F60,LEN(F60)-1)),IF(RIGHT(F60,1)="B",1000000000*VALUE(LEFT(F60,LEN(F60)-1)),IF(RIGHT(F60,1)="%",0.01*VALUE(LEFT(F60,LEN(F60)-1)),IF(RIGHT(F60,1)="k",1000*VALUE(LEFT(F60,LEN(F60)-1)),VALUE(SUBSTITUTE(F60,",",""))))))))),"N/A")</f>
        <v>N/A</v>
      </c>
      <c r="N60" t="str">
        <f t="shared" ref="N60:N91" si="9">IFERROR(IF(TRIM(G60)="-", "N/A", IF(RIGHT(G60,1)=")",IF(RIGHT(G60,2)="T)",-1000000000000*VALUE(MID(G60,2,LEN(G60)-3)),IF(RIGHT(G60,2)="M)",-1000000*VALUE(MID(G60,2,LEN(G60)-3)),IF(RIGHT(G60,2)="B)",-1000000000*VALUE(MID(G60,2,LEN(G60)-3)),IF(RIGHT(G60,2)="k)",-1000*VALUE(MID(G60,2,LEN(G60)-3)),VALUE(SUBSTITUTE(G60,",","")))))),IF(RIGHT(G60,1)="T",1000000000000*VALUE(LEFT(G60,LEN(G60)-1)),IF(RIGHT(G60,1)="M",1000000*VALUE(LEFT(G60,LEN(G60)-1)),IF(RIGHT(G60,1)="B",1000000000*VALUE(LEFT(G60,LEN(G60)-1)),IF(RIGHT(G60,1)="%",0.01*VALUE(LEFT(G60,LEN(G60)-1)),IF(RIGHT(G60,1)="k",1000*VALUE(LEFT(G60,LEN(G60)-1)),VALUE(SUBSTITUTE(G60,",",""))))))))),"N/A")</f>
        <v>N/A</v>
      </c>
    </row>
    <row r="61" spans="1:14" x14ac:dyDescent="0.3">
      <c r="A61" s="1">
        <v>0</v>
      </c>
      <c r="B61" t="s">
        <v>110</v>
      </c>
      <c r="C61" t="s">
        <v>1713</v>
      </c>
      <c r="F61">
        <v>0.18</v>
      </c>
      <c r="I61" t="str">
        <f t="shared" si="4"/>
        <v>N/A</v>
      </c>
      <c r="J61">
        <f t="shared" si="5"/>
        <v>9.5000000000000001E-2</v>
      </c>
      <c r="K61" t="str">
        <f t="shared" si="6"/>
        <v>N/A</v>
      </c>
      <c r="L61" t="str">
        <f t="shared" si="7"/>
        <v>N/A</v>
      </c>
      <c r="M61">
        <f t="shared" si="8"/>
        <v>0.18</v>
      </c>
      <c r="N61" t="str">
        <f t="shared" si="9"/>
        <v>N/A</v>
      </c>
    </row>
    <row r="62" spans="1:14" x14ac:dyDescent="0.3">
      <c r="A62" s="1">
        <v>1</v>
      </c>
      <c r="B62" t="s">
        <v>112</v>
      </c>
      <c r="C62" t="s">
        <v>1728</v>
      </c>
      <c r="F62">
        <v>0.24</v>
      </c>
      <c r="I62" t="str">
        <f t="shared" si="4"/>
        <v>N/A</v>
      </c>
      <c r="J62">
        <f t="shared" si="5"/>
        <v>-1.3999999999999999E-2</v>
      </c>
      <c r="K62" t="str">
        <f t="shared" si="6"/>
        <v>N/A</v>
      </c>
      <c r="L62" t="str">
        <f t="shared" si="7"/>
        <v>N/A</v>
      </c>
      <c r="M62">
        <f t="shared" si="8"/>
        <v>0.24</v>
      </c>
      <c r="N62" t="str">
        <f t="shared" si="9"/>
        <v>N/A</v>
      </c>
    </row>
    <row r="63" spans="1:14" x14ac:dyDescent="0.3">
      <c r="A63" s="1">
        <v>2</v>
      </c>
      <c r="B63" t="s">
        <v>114</v>
      </c>
      <c r="C63" t="s">
        <v>1729</v>
      </c>
      <c r="F63">
        <v>0.08</v>
      </c>
      <c r="I63" t="str">
        <f t="shared" si="4"/>
        <v>N/A</v>
      </c>
      <c r="J63">
        <f t="shared" si="5"/>
        <v>9.9000000000000005E-2</v>
      </c>
      <c r="K63" t="str">
        <f t="shared" si="6"/>
        <v>N/A</v>
      </c>
      <c r="L63" t="str">
        <f t="shared" si="7"/>
        <v>N/A</v>
      </c>
      <c r="M63">
        <f t="shared" si="8"/>
        <v>0.08</v>
      </c>
      <c r="N63" t="str">
        <f t="shared" si="9"/>
        <v>N/A</v>
      </c>
    </row>
    <row r="64" spans="1:14" x14ac:dyDescent="0.3">
      <c r="A64" s="1">
        <v>3</v>
      </c>
      <c r="B64" t="s">
        <v>116</v>
      </c>
      <c r="C64" t="s">
        <v>1043</v>
      </c>
      <c r="F64">
        <v>0.12</v>
      </c>
      <c r="I64" t="str">
        <f t="shared" si="4"/>
        <v>N/A</v>
      </c>
      <c r="J64">
        <f t="shared" si="5"/>
        <v>7.9000000000000001E-2</v>
      </c>
      <c r="K64" t="str">
        <f t="shared" si="6"/>
        <v>N/A</v>
      </c>
      <c r="L64" t="str">
        <f t="shared" si="7"/>
        <v>N/A</v>
      </c>
      <c r="M64">
        <f t="shared" si="8"/>
        <v>0.12</v>
      </c>
      <c r="N64" t="str">
        <f t="shared" si="9"/>
        <v>N/A</v>
      </c>
    </row>
    <row r="65" spans="1:14" x14ac:dyDescent="0.3">
      <c r="A65" s="1">
        <v>4</v>
      </c>
      <c r="B65" t="s">
        <v>118</v>
      </c>
      <c r="C65" t="s">
        <v>1730</v>
      </c>
      <c r="F65">
        <v>0.1</v>
      </c>
      <c r="I65" t="str">
        <f t="shared" si="4"/>
        <v>N/A</v>
      </c>
      <c r="J65">
        <f t="shared" si="5"/>
        <v>9.6099999999999991E-2</v>
      </c>
      <c r="K65" t="str">
        <f t="shared" si="6"/>
        <v>N/A</v>
      </c>
      <c r="L65" t="str">
        <f t="shared" si="7"/>
        <v>N/A</v>
      </c>
      <c r="M65">
        <f t="shared" si="8"/>
        <v>0.1</v>
      </c>
      <c r="N65" t="str">
        <f t="shared" si="9"/>
        <v>N/A</v>
      </c>
    </row>
    <row r="66" spans="1:14" x14ac:dyDescent="0.3">
      <c r="A66" s="1">
        <v>5</v>
      </c>
      <c r="B66" t="s">
        <v>120</v>
      </c>
      <c r="C66" t="s">
        <v>1729</v>
      </c>
      <c r="I66" t="str">
        <f t="shared" si="4"/>
        <v>N/A</v>
      </c>
      <c r="J66">
        <f t="shared" si="5"/>
        <v>9.9000000000000005E-2</v>
      </c>
      <c r="K66" t="str">
        <f t="shared" si="6"/>
        <v>N/A</v>
      </c>
      <c r="L66" t="str">
        <f t="shared" si="7"/>
        <v>N/A</v>
      </c>
      <c r="M66" t="str">
        <f t="shared" si="8"/>
        <v>N/A</v>
      </c>
      <c r="N66" t="str">
        <f t="shared" si="9"/>
        <v>N/A</v>
      </c>
    </row>
    <row r="67" spans="1:14" x14ac:dyDescent="0.3">
      <c r="D67" t="s">
        <v>122</v>
      </c>
      <c r="E67" t="str">
        <f>C1</f>
        <v>Barnes Group Inc. (B)</v>
      </c>
      <c r="I67" t="str">
        <f t="shared" si="4"/>
        <v>N/A</v>
      </c>
      <c r="J67" t="str">
        <f t="shared" si="5"/>
        <v>N/A</v>
      </c>
      <c r="K67" t="str">
        <f t="shared" si="6"/>
        <v>N/A</v>
      </c>
      <c r="L67" t="str">
        <f t="shared" si="7"/>
        <v>N/A</v>
      </c>
      <c r="M67" t="str">
        <f t="shared" si="8"/>
        <v>N/A</v>
      </c>
      <c r="N67" t="str">
        <f t="shared" si="9"/>
        <v>N/A</v>
      </c>
    </row>
    <row r="68" spans="1:14" x14ac:dyDescent="0.3">
      <c r="A68" s="1">
        <v>0</v>
      </c>
      <c r="B68" t="s">
        <v>123</v>
      </c>
      <c r="C68" t="s">
        <v>64</v>
      </c>
      <c r="D68">
        <f ca="1">IFERROR(AVERAGE(VALUE(INDIRECT("J"&amp;(MATCH(B68,B69:B500,0)+68))),VALUE(INDIRECT("J"&amp;(MATCH(B68,B69:B500,0)+79))),VALUE(INDIRECT("J"&amp;(MATCH(B68,B69:B500,0)+90))),VALUE(INDIRECT("J"&amp;(MATCH(B68,B69:B500,0)+101)))),"")</f>
        <v>4305000000</v>
      </c>
      <c r="E68" t="str">
        <f t="shared" ref="E68:E76" ca="1" si="10">IFERROR(IF(AND(C68&lt;&gt;"",D68&lt;&gt;0),IF(VALUE(J68)&gt;VALUE(K68),"above average","below average"),"no data"),"no data")</f>
        <v>below average</v>
      </c>
      <c r="I68" t="str">
        <f t="shared" ca="1" si="4"/>
        <v>N/A</v>
      </c>
      <c r="J68">
        <f t="shared" si="5"/>
        <v>3210000000</v>
      </c>
      <c r="K68">
        <f t="shared" ca="1" si="6"/>
        <v>4305000000</v>
      </c>
      <c r="L68" t="str">
        <f t="shared" ca="1" si="7"/>
        <v>N/A</v>
      </c>
      <c r="M68" t="str">
        <f t="shared" si="8"/>
        <v>N/A</v>
      </c>
      <c r="N68" t="str">
        <f t="shared" si="9"/>
        <v>N/A</v>
      </c>
    </row>
    <row r="69" spans="1:14" x14ac:dyDescent="0.3">
      <c r="A69" s="1">
        <v>1</v>
      </c>
      <c r="B69" t="s">
        <v>124</v>
      </c>
      <c r="D69" t="str">
        <f ca="1">IFERROR(AVERAGE(VALUE(INDIRECT("J"&amp;(MATCH(B69,B70:B501,0)+69))),VALUE(INDIRECT("J"&amp;(MATCH(B69,B70:B501,0)+80))),VALUE(INDIRECT("J"&amp;(MATCH(B69,B70:B501,0)+91))),VALUE(INDIRECT("J"&amp;(MATCH(B69,B70:B501,0)+102)))),"")</f>
        <v/>
      </c>
      <c r="E69" t="str">
        <f t="shared" ca="1" si="10"/>
        <v>no data</v>
      </c>
      <c r="I69" t="str">
        <f t="shared" ca="1" si="4"/>
        <v>N/A</v>
      </c>
      <c r="J69" t="str">
        <f t="shared" si="5"/>
        <v>N/A</v>
      </c>
      <c r="K69" t="str">
        <f t="shared" ca="1" si="6"/>
        <v>N/A</v>
      </c>
      <c r="L69" t="str">
        <f t="shared" ca="1" si="7"/>
        <v>N/A</v>
      </c>
      <c r="M69" t="str">
        <f t="shared" si="8"/>
        <v>N/A</v>
      </c>
      <c r="N69" t="str">
        <f t="shared" si="9"/>
        <v>N/A</v>
      </c>
    </row>
    <row r="70" spans="1:14" x14ac:dyDescent="0.3">
      <c r="A70" s="1">
        <v>2</v>
      </c>
      <c r="B70" t="s">
        <v>125</v>
      </c>
      <c r="C70" t="s">
        <v>1696</v>
      </c>
      <c r="D70">
        <f ca="1">IFERROR(AVERAGE(VALUE(INDIRECT("J"&amp;(MATCH(B70,B71:B502,0)+70))),VALUE(INDIRECT("J"&amp;(MATCH(B70,B71:B502,0)+81))),VALUE(INDIRECT("J"&amp;(MATCH(B70,B71:B502,0)+92))),VALUE(INDIRECT("J"&amp;(MATCH(B70,B71:B502,0)+103)))),"")</f>
        <v>26.080000000000002</v>
      </c>
      <c r="E70" t="str">
        <f t="shared" ca="1" si="10"/>
        <v>below average</v>
      </c>
      <c r="F70" t="str">
        <f t="shared" ref="F70:F76" ca="1" si="11">IF(E70="above average",LOWER(TRIM(IF(ISNUMBER(VALUE(RIGHT(B70,1))),REPLACE(B70,LEN(B70),1,""),B70))),"")</f>
        <v/>
      </c>
      <c r="G70" t="str">
        <f ca="1">IFERROR(LEFT(F70,FIND("(",F70) - 2),F70)</f>
        <v/>
      </c>
      <c r="I70" t="str">
        <f t="shared" ca="1" si="4"/>
        <v>N/A</v>
      </c>
      <c r="J70">
        <f t="shared" si="5"/>
        <v>22.52</v>
      </c>
      <c r="K70">
        <f t="shared" ca="1" si="6"/>
        <v>26.08</v>
      </c>
      <c r="L70" t="str">
        <f t="shared" ca="1" si="7"/>
        <v>N/A</v>
      </c>
      <c r="M70" t="str">
        <f t="shared" ca="1" si="8"/>
        <v>N/A</v>
      </c>
      <c r="N70" t="str">
        <f t="shared" ca="1" si="9"/>
        <v>N/A</v>
      </c>
    </row>
    <row r="71" spans="1:14" x14ac:dyDescent="0.3">
      <c r="A71" s="1">
        <v>3</v>
      </c>
      <c r="B71" t="s">
        <v>126</v>
      </c>
      <c r="C71" t="s">
        <v>1731</v>
      </c>
      <c r="D71" t="str">
        <f ca="1">IFERROR(AVERAGE(VALUE(INDIRECT("J"&amp;(MATCH(B71,B72:B503,0)+71))),VALUE(INDIRECT("J"&amp;(MATCH(B71,B72:B503,0)+82))),VALUE(INDIRECT("J"&amp;(MATCH(B71,B72:B503,0)+93))),VALUE(INDIRECT("J"&amp;(MATCH(B71,B72:B503,0)+104)))),"")</f>
        <v/>
      </c>
      <c r="E71" t="str">
        <f t="shared" ca="1" si="10"/>
        <v>no data</v>
      </c>
      <c r="F71" t="str">
        <f t="shared" ca="1" si="11"/>
        <v/>
      </c>
      <c r="G71" t="str">
        <f t="shared" ref="G71:G76" ca="1" si="12">IF(F71&lt;&gt;"", G70 &amp; ", " &amp; IFERROR(LEFT(F71,FIND("(",F71) - 2),F71),G70)</f>
        <v/>
      </c>
      <c r="I71" t="str">
        <f t="shared" ca="1" si="4"/>
        <v>N/A</v>
      </c>
      <c r="J71">
        <f t="shared" si="5"/>
        <v>19.899999999999999</v>
      </c>
      <c r="K71" t="str">
        <f t="shared" ca="1" si="6"/>
        <v>N/A</v>
      </c>
      <c r="L71" t="str">
        <f t="shared" ca="1" si="7"/>
        <v>N/A</v>
      </c>
      <c r="M71" t="str">
        <f t="shared" ca="1" si="8"/>
        <v>N/A</v>
      </c>
      <c r="N71" t="str">
        <f t="shared" ca="1" si="9"/>
        <v>N/A</v>
      </c>
    </row>
    <row r="72" spans="1:14" x14ac:dyDescent="0.3">
      <c r="A72" s="1">
        <v>4</v>
      </c>
      <c r="B72" t="s">
        <v>128</v>
      </c>
      <c r="C72" t="s">
        <v>1046</v>
      </c>
      <c r="D72">
        <f ca="1">IFERROR(AVERAGE(VALUE(INDIRECT("J"&amp;(MATCH(B72,B73:B504,0)+72))),VALUE(INDIRECT("J"&amp;(MATCH(B72,B73:B504,0)+83))),VALUE(INDIRECT("J"&amp;(MATCH(B72,B73:B504,0)+94))),VALUE(INDIRECT("J"&amp;(MATCH(B72,B73:B504,0)+105)))),"")</f>
        <v>1.0425</v>
      </c>
      <c r="E72" t="str">
        <f t="shared" ca="1" si="10"/>
        <v>above average</v>
      </c>
      <c r="F72" t="str">
        <f t="shared" ca="1" si="11"/>
        <v>peg ratio (5 yr expected)</v>
      </c>
      <c r="G72" t="str">
        <f t="shared" ca="1" si="12"/>
        <v>, peg ratio</v>
      </c>
      <c r="I72" t="str">
        <f t="shared" ca="1" si="4"/>
        <v>N/A</v>
      </c>
      <c r="J72">
        <f t="shared" si="5"/>
        <v>2.3199999999999998</v>
      </c>
      <c r="K72">
        <f t="shared" ca="1" si="6"/>
        <v>1.0425</v>
      </c>
      <c r="L72" t="str">
        <f t="shared" ca="1" si="7"/>
        <v>N/A</v>
      </c>
      <c r="M72" t="str">
        <f t="shared" ca="1" si="8"/>
        <v>N/A</v>
      </c>
      <c r="N72" t="str">
        <f t="shared" ca="1" si="9"/>
        <v>N/A</v>
      </c>
    </row>
    <row r="73" spans="1:14" x14ac:dyDescent="0.3">
      <c r="A73" s="1">
        <v>5</v>
      </c>
      <c r="B73" t="s">
        <v>130</v>
      </c>
      <c r="C73" t="s">
        <v>1732</v>
      </c>
      <c r="D73">
        <f ca="1">IFERROR(AVERAGE(VALUE(INDIRECT("J"&amp;(MATCH(B73,B74:B505,0)+73))),VALUE(INDIRECT("J"&amp;(MATCH(B73,B74:B505,0)+84))),VALUE(INDIRECT("J"&amp;(MATCH(B73,B74:B505,0)+95))),VALUE(INDIRECT("J"&amp;(MATCH(B73,B74:B505,0)+106)))),"")</f>
        <v>0.94750000000000001</v>
      </c>
      <c r="E73" t="str">
        <f t="shared" ca="1" si="10"/>
        <v>above average</v>
      </c>
      <c r="F73" t="str">
        <f t="shared" ca="1" si="11"/>
        <v>price/sales (ttm)</v>
      </c>
      <c r="G73" t="str">
        <f t="shared" ca="1" si="12"/>
        <v>, peg ratio, price/sales</v>
      </c>
      <c r="I73" t="str">
        <f t="shared" ca="1" si="4"/>
        <v>N/A</v>
      </c>
      <c r="J73">
        <f t="shared" si="5"/>
        <v>2.5</v>
      </c>
      <c r="K73">
        <f t="shared" ca="1" si="6"/>
        <v>0.94750000000000001</v>
      </c>
      <c r="L73" t="str">
        <f t="shared" ca="1" si="7"/>
        <v>N/A</v>
      </c>
      <c r="M73" t="str">
        <f t="shared" ca="1" si="8"/>
        <v>N/A</v>
      </c>
      <c r="N73" t="str">
        <f t="shared" ca="1" si="9"/>
        <v>N/A</v>
      </c>
    </row>
    <row r="74" spans="1:14" x14ac:dyDescent="0.3">
      <c r="A74" s="1">
        <v>6</v>
      </c>
      <c r="B74" t="s">
        <v>132</v>
      </c>
      <c r="C74" t="s">
        <v>1733</v>
      </c>
      <c r="D74">
        <f ca="1">IFERROR(AVERAGE(VALUE(INDIRECT("J"&amp;(MATCH(B74,B75:B506,0)+74))),VALUE(INDIRECT("J"&amp;(MATCH(B74,B75:B506,0)+85))),VALUE(INDIRECT("J"&amp;(MATCH(B74,B75:B506,0)+96))),VALUE(INDIRECT("J"&amp;(MATCH(B74,B75:B506,0)+107)))),"")</f>
        <v>3.42</v>
      </c>
      <c r="E74" t="str">
        <f t="shared" ca="1" si="10"/>
        <v>below average</v>
      </c>
      <c r="F74" t="str">
        <f t="shared" ca="1" si="11"/>
        <v/>
      </c>
      <c r="G74" t="str">
        <f t="shared" ca="1" si="12"/>
        <v>, peg ratio, price/sales</v>
      </c>
      <c r="I74" t="str">
        <f t="shared" ca="1" si="4"/>
        <v>N/A</v>
      </c>
      <c r="J74">
        <f t="shared" si="5"/>
        <v>2.64</v>
      </c>
      <c r="K74">
        <f t="shared" ca="1" si="6"/>
        <v>3.42</v>
      </c>
      <c r="L74" t="str">
        <f t="shared" ca="1" si="7"/>
        <v>N/A</v>
      </c>
      <c r="M74" t="str">
        <f t="shared" ca="1" si="8"/>
        <v>N/A</v>
      </c>
      <c r="N74" t="str">
        <f t="shared" ca="1" si="9"/>
        <v>N/A</v>
      </c>
    </row>
    <row r="75" spans="1:14" x14ac:dyDescent="0.3">
      <c r="A75" s="1">
        <v>7</v>
      </c>
      <c r="B75" t="s">
        <v>134</v>
      </c>
      <c r="D75" t="str">
        <f ca="1">IFERROR(AVERAGE(VALUE(INDIRECT("J"&amp;(MATCH(B75,B76:B507,0)+75))),VALUE(INDIRECT("J"&amp;(MATCH(B75,B76:B507,0)+86))),VALUE(INDIRECT("J"&amp;(MATCH(B75,B76:B507,0)+97))),VALUE(INDIRECT("J"&amp;(MATCH(B75,B76:B507,0)+108)))),"")</f>
        <v/>
      </c>
      <c r="E75" t="str">
        <f t="shared" ca="1" si="10"/>
        <v>no data</v>
      </c>
      <c r="F75" t="str">
        <f t="shared" ca="1" si="11"/>
        <v/>
      </c>
      <c r="G75" t="str">
        <f t="shared" ca="1" si="12"/>
        <v>, peg ratio, price/sales</v>
      </c>
      <c r="I75" t="str">
        <f t="shared" ca="1" si="4"/>
        <v>N/A</v>
      </c>
      <c r="J75" t="str">
        <f t="shared" si="5"/>
        <v>N/A</v>
      </c>
      <c r="K75" t="str">
        <f t="shared" ca="1" si="6"/>
        <v>N/A</v>
      </c>
      <c r="L75" t="str">
        <f t="shared" ca="1" si="7"/>
        <v>N/A</v>
      </c>
      <c r="M75" t="str">
        <f t="shared" ca="1" si="8"/>
        <v>N/A</v>
      </c>
      <c r="N75" t="str">
        <f t="shared" ca="1" si="9"/>
        <v>N/A</v>
      </c>
    </row>
    <row r="76" spans="1:14" x14ac:dyDescent="0.3">
      <c r="A76" s="1">
        <v>8</v>
      </c>
      <c r="B76" t="s">
        <v>135</v>
      </c>
      <c r="D76" t="str">
        <f ca="1">IFERROR(AVERAGE(VALUE(INDIRECT("J"&amp;(MATCH(B76,B77:B508,0)+76))),VALUE(INDIRECT("J"&amp;(MATCH(B76,B77:B508,0)+87))),VALUE(INDIRECT("J"&amp;(MATCH(B76,B77:B508,0)+98))),VALUE(INDIRECT("J"&amp;(MATCH(B76,B77:B508,0)+109)))),"")</f>
        <v/>
      </c>
      <c r="E76" t="str">
        <f t="shared" ca="1" si="10"/>
        <v>no data</v>
      </c>
      <c r="F76" t="str">
        <f t="shared" ca="1" si="11"/>
        <v/>
      </c>
      <c r="G76" t="str">
        <f t="shared" ca="1" si="12"/>
        <v>, peg ratio, price/sales</v>
      </c>
      <c r="I76" t="str">
        <f t="shared" ca="1" si="4"/>
        <v>N/A</v>
      </c>
      <c r="J76" t="str">
        <f t="shared" si="5"/>
        <v>N/A</v>
      </c>
      <c r="K76" t="str">
        <f t="shared" ca="1" si="6"/>
        <v>N/A</v>
      </c>
      <c r="L76" t="str">
        <f t="shared" ca="1" si="7"/>
        <v>N/A</v>
      </c>
      <c r="M76" t="str">
        <f t="shared" ca="1" si="8"/>
        <v>N/A</v>
      </c>
      <c r="N76" t="str">
        <f t="shared" ca="1" si="9"/>
        <v>N/A</v>
      </c>
    </row>
    <row r="77" spans="1:14" x14ac:dyDescent="0.3">
      <c r="F77" t="str">
        <f ca="1">IF(F76="",IF(F75="",IF(F74="",IF(F73="",IF(F72="",IF(F71="",IFERROR(LEFT(F70,FIND("(",F70) - 2),F70),IFERROR(LEFT(F71,FIND("(",F71) - 2),F71)),IFERROR(LEFT(F72,FIND("(",F72) - 2),F72)),IFERROR(LEFT(F73,FIND("(",F73) - 2),F73)),IFERROR(LEFT(F74,FIND("(",F74) - 2),F74)),IFERROR(LEFT(F75,FIND("(",F75) - 2),F75)),IFERROR(LEFT(F76,FIND("(",F76) - 2),F76))</f>
        <v>price/sales</v>
      </c>
      <c r="G77" t="str">
        <f ca="1">TRIM(IF(LEFT(G76,1)=",",REPLACE(G76,1,1,""),SUBSTITUTE(G76,F77, "and " &amp; F77)))</f>
        <v>peg ratio, price/sales</v>
      </c>
      <c r="I77" t="str">
        <f t="shared" ca="1" si="4"/>
        <v>N/A</v>
      </c>
      <c r="J77" t="str">
        <f t="shared" si="5"/>
        <v>N/A</v>
      </c>
      <c r="K77" t="str">
        <f t="shared" si="6"/>
        <v>N/A</v>
      </c>
      <c r="L77" t="str">
        <f t="shared" si="7"/>
        <v>N/A</v>
      </c>
      <c r="M77" t="str">
        <f t="shared" ca="1" si="8"/>
        <v>N/A</v>
      </c>
      <c r="N77" t="str">
        <f t="shared" ca="1" si="9"/>
        <v>N/A</v>
      </c>
    </row>
    <row r="78" spans="1:14" x14ac:dyDescent="0.3">
      <c r="A78" s="1">
        <v>0</v>
      </c>
      <c r="B78" t="s">
        <v>136</v>
      </c>
      <c r="C78" t="s">
        <v>137</v>
      </c>
      <c r="D78" t="str">
        <f ca="1">IF(COUNTIF(E70:E76,"=above average")&gt;0,"There are some indications that "&amp;D1&amp;" may be overvalued. The company has a higher " &amp; G77 &amp; " than the comparable average", "Inconclusive")</f>
        <v>There are some indications that Barnes Group may be overvalued. The company has a higher peg ratio, price/sales than the comparable average</v>
      </c>
      <c r="I78" t="str">
        <f t="shared" ca="1" si="4"/>
        <v>N/A</v>
      </c>
      <c r="J78" t="str">
        <f t="shared" si="5"/>
        <v>N/A</v>
      </c>
      <c r="K78" t="str">
        <f t="shared" ca="1" si="6"/>
        <v>N/A</v>
      </c>
      <c r="L78" t="str">
        <f t="shared" si="7"/>
        <v>N/A</v>
      </c>
      <c r="M78" t="str">
        <f t="shared" si="8"/>
        <v>N/A</v>
      </c>
      <c r="N78" t="str">
        <f t="shared" si="9"/>
        <v>N/A</v>
      </c>
    </row>
    <row r="79" spans="1:14" x14ac:dyDescent="0.3">
      <c r="A79" s="1">
        <v>1</v>
      </c>
      <c r="B79" t="s">
        <v>138</v>
      </c>
      <c r="C79" t="s">
        <v>139</v>
      </c>
      <c r="I79" t="str">
        <f t="shared" si="4"/>
        <v>N/A</v>
      </c>
      <c r="J79" t="str">
        <f t="shared" si="5"/>
        <v>N/A</v>
      </c>
      <c r="K79" t="str">
        <f t="shared" si="6"/>
        <v>N/A</v>
      </c>
      <c r="L79" t="str">
        <f t="shared" si="7"/>
        <v>N/A</v>
      </c>
      <c r="M79" t="str">
        <f t="shared" si="8"/>
        <v>N/A</v>
      </c>
      <c r="N79" t="str">
        <f t="shared" si="9"/>
        <v>N/A</v>
      </c>
    </row>
    <row r="80" spans="1:14" x14ac:dyDescent="0.3">
      <c r="I80" t="str">
        <f t="shared" si="4"/>
        <v>N/A</v>
      </c>
      <c r="J80" t="str">
        <f t="shared" si="5"/>
        <v>N/A</v>
      </c>
      <c r="K80" t="str">
        <f t="shared" si="6"/>
        <v>N/A</v>
      </c>
      <c r="L80" t="str">
        <f t="shared" si="7"/>
        <v>N/A</v>
      </c>
      <c r="M80" t="str">
        <f t="shared" si="8"/>
        <v>N/A</v>
      </c>
      <c r="N80" t="str">
        <f t="shared" si="9"/>
        <v>N/A</v>
      </c>
    </row>
    <row r="81" spans="1:14" x14ac:dyDescent="0.3">
      <c r="A81" s="1">
        <v>0</v>
      </c>
      <c r="B81" t="s">
        <v>140</v>
      </c>
      <c r="C81" t="s">
        <v>1734</v>
      </c>
      <c r="F81" t="str">
        <f t="shared" ref="F81:F87" ca="1" si="13">IF(E70="below average",LOWER(TRIM(IF(ISNUMBER(VALUE(RIGHT(B70,1))),REPLACE(B70,LEN(B70),1,""),B70))),"")</f>
        <v>trailing p/e</v>
      </c>
      <c r="G81" t="str">
        <f ca="1">IFERROR(LEFT(F81,FIND("(",F81) - 2),F81)</f>
        <v>trailing p/e</v>
      </c>
      <c r="I81" t="str">
        <f t="shared" ca="1" si="4"/>
        <v>N/A</v>
      </c>
      <c r="J81">
        <f t="shared" si="5"/>
        <v>0.1129</v>
      </c>
      <c r="K81" t="str">
        <f t="shared" si="6"/>
        <v>N/A</v>
      </c>
      <c r="L81" t="str">
        <f t="shared" si="7"/>
        <v>N/A</v>
      </c>
      <c r="M81" t="str">
        <f t="shared" ca="1" si="8"/>
        <v>N/A</v>
      </c>
      <c r="N81" t="str">
        <f t="shared" ca="1" si="9"/>
        <v>N/A</v>
      </c>
    </row>
    <row r="82" spans="1:14" x14ac:dyDescent="0.3">
      <c r="A82" s="1">
        <v>1</v>
      </c>
      <c r="B82" t="s">
        <v>142</v>
      </c>
      <c r="C82" t="s">
        <v>1735</v>
      </c>
      <c r="F82" t="str">
        <f t="shared" ca="1" si="13"/>
        <v/>
      </c>
      <c r="G82" t="str">
        <f t="shared" ref="G82:G87" ca="1" si="14">IF(F82&lt;&gt;"", G81 &amp; ", " &amp; IFERROR(LEFT(F82,FIND("(",F82) - 2),F82),G81)</f>
        <v>trailing p/e</v>
      </c>
      <c r="I82" t="str">
        <f t="shared" ca="1" si="4"/>
        <v>N/A</v>
      </c>
      <c r="J82">
        <f t="shared" si="5"/>
        <v>0.16239999999999999</v>
      </c>
      <c r="K82" t="str">
        <f t="shared" si="6"/>
        <v>N/A</v>
      </c>
      <c r="L82" t="str">
        <f t="shared" si="7"/>
        <v>N/A</v>
      </c>
      <c r="M82" t="str">
        <f t="shared" ca="1" si="8"/>
        <v>N/A</v>
      </c>
      <c r="N82" t="str">
        <f t="shared" ca="1" si="9"/>
        <v>N/A</v>
      </c>
    </row>
    <row r="83" spans="1:14" x14ac:dyDescent="0.3">
      <c r="F83" t="str">
        <f t="shared" ca="1" si="13"/>
        <v/>
      </c>
      <c r="G83" t="str">
        <f t="shared" ca="1" si="14"/>
        <v>trailing p/e</v>
      </c>
      <c r="I83" t="str">
        <f t="shared" ca="1" si="4"/>
        <v>N/A</v>
      </c>
      <c r="J83" t="str">
        <f t="shared" si="5"/>
        <v>N/A</v>
      </c>
      <c r="K83" t="str">
        <f t="shared" si="6"/>
        <v>N/A</v>
      </c>
      <c r="L83" t="str">
        <f t="shared" si="7"/>
        <v>N/A</v>
      </c>
      <c r="M83" t="str">
        <f t="shared" ca="1" si="8"/>
        <v>N/A</v>
      </c>
      <c r="N83" t="str">
        <f t="shared" ca="1" si="9"/>
        <v>N/A</v>
      </c>
    </row>
    <row r="84" spans="1:14" x14ac:dyDescent="0.3">
      <c r="A84" s="1">
        <v>0</v>
      </c>
      <c r="B84" t="s">
        <v>144</v>
      </c>
      <c r="C84" t="s">
        <v>1736</v>
      </c>
      <c r="F84" t="str">
        <f t="shared" ca="1" si="13"/>
        <v/>
      </c>
      <c r="G84" t="str">
        <f t="shared" ca="1" si="14"/>
        <v>trailing p/e</v>
      </c>
      <c r="I84" t="str">
        <f t="shared" ca="1" si="4"/>
        <v>N/A</v>
      </c>
      <c r="J84">
        <f t="shared" si="5"/>
        <v>6.0999999999999999E-2</v>
      </c>
      <c r="K84" t="str">
        <f t="shared" si="6"/>
        <v>N/A</v>
      </c>
      <c r="L84" t="str">
        <f t="shared" si="7"/>
        <v>N/A</v>
      </c>
      <c r="M84" t="str">
        <f t="shared" ca="1" si="8"/>
        <v>N/A</v>
      </c>
      <c r="N84" t="str">
        <f t="shared" ca="1" si="9"/>
        <v>N/A</v>
      </c>
    </row>
    <row r="85" spans="1:14" x14ac:dyDescent="0.3">
      <c r="A85" s="1">
        <v>1</v>
      </c>
      <c r="B85" t="s">
        <v>146</v>
      </c>
      <c r="C85" t="s">
        <v>1737</v>
      </c>
      <c r="F85" t="str">
        <f t="shared" ca="1" si="13"/>
        <v>price/book (mrq)</v>
      </c>
      <c r="G85" t="str">
        <f t="shared" ca="1" si="14"/>
        <v>trailing p/e, price/book</v>
      </c>
      <c r="I85" t="str">
        <f t="shared" ca="1" si="4"/>
        <v>N/A</v>
      </c>
      <c r="J85">
        <f t="shared" si="5"/>
        <v>0.1217</v>
      </c>
      <c r="K85" t="str">
        <f t="shared" si="6"/>
        <v>N/A</v>
      </c>
      <c r="L85" t="str">
        <f t="shared" si="7"/>
        <v>N/A</v>
      </c>
      <c r="M85" t="str">
        <f t="shared" ca="1" si="8"/>
        <v>N/A</v>
      </c>
      <c r="N85" t="str">
        <f t="shared" ca="1" si="9"/>
        <v>N/A</v>
      </c>
    </row>
    <row r="86" spans="1:14" x14ac:dyDescent="0.3">
      <c r="F86" t="str">
        <f t="shared" ca="1" si="13"/>
        <v/>
      </c>
      <c r="G86" t="str">
        <f t="shared" ca="1" si="14"/>
        <v>trailing p/e, price/book</v>
      </c>
      <c r="I86" t="str">
        <f t="shared" ca="1" si="4"/>
        <v>N/A</v>
      </c>
      <c r="J86" t="str">
        <f t="shared" si="5"/>
        <v>N/A</v>
      </c>
      <c r="K86" t="str">
        <f t="shared" si="6"/>
        <v>N/A</v>
      </c>
      <c r="L86" t="str">
        <f t="shared" si="7"/>
        <v>N/A</v>
      </c>
      <c r="M86" t="str">
        <f t="shared" ca="1" si="8"/>
        <v>N/A</v>
      </c>
      <c r="N86" t="str">
        <f t="shared" ca="1" si="9"/>
        <v>N/A</v>
      </c>
    </row>
    <row r="87" spans="1:14" x14ac:dyDescent="0.3">
      <c r="A87" s="1">
        <v>0</v>
      </c>
      <c r="B87" t="s">
        <v>148</v>
      </c>
      <c r="C87" t="s">
        <v>543</v>
      </c>
      <c r="F87" t="str">
        <f t="shared" ca="1" si="13"/>
        <v/>
      </c>
      <c r="G87" t="str">
        <f t="shared" ca="1" si="14"/>
        <v>trailing p/e, price/book</v>
      </c>
      <c r="I87" t="str">
        <f t="shared" ca="1" si="4"/>
        <v>N/A</v>
      </c>
      <c r="J87">
        <f t="shared" si="5"/>
        <v>1280000000</v>
      </c>
      <c r="K87" t="str">
        <f t="shared" si="6"/>
        <v>N/A</v>
      </c>
      <c r="L87" t="str">
        <f t="shared" si="7"/>
        <v>N/A</v>
      </c>
      <c r="M87" t="str">
        <f t="shared" ca="1" si="8"/>
        <v>N/A</v>
      </c>
      <c r="N87" t="str">
        <f t="shared" ca="1" si="9"/>
        <v>N/A</v>
      </c>
    </row>
    <row r="88" spans="1:14" x14ac:dyDescent="0.3">
      <c r="A88" s="1">
        <v>1</v>
      </c>
      <c r="B88" t="s">
        <v>150</v>
      </c>
      <c r="C88" t="s">
        <v>1738</v>
      </c>
      <c r="F88" t="str">
        <f ca="1">IF(F87="",IF(F86="",IF(F85="",IF(F84="",IF(F83="",IF(F82="",IFERROR(LEFT(F81,FIND("(",F81) - 2),F81),IFERROR(LEFT(F82,FIND("(",F82) - 2),F82)),IFERROR(LEFT(F83,FIND("(",F83) - 2),F83)),IFERROR(LEFT(F84,FIND("(",F84) - 2),F84)),IFERROR(LEFT(F85,FIND("(",F85) - 2),F85)),IFERROR(LEFT(F86,FIND("(",F86) - 2),F86)),IFERROR(LEFT(F87,FIND("(",F87) - 2),F87))</f>
        <v>price/book</v>
      </c>
      <c r="G88" t="str">
        <f ca="1">TRIM(IF(LEFT(G87,1)=",",REPLACE(G87,1,1,""),SUBSTITUTE(G87,F88, "and " &amp; F88)))</f>
        <v>trailing p/e, and price/book</v>
      </c>
      <c r="I88" t="str">
        <f t="shared" ca="1" si="4"/>
        <v>N/A</v>
      </c>
      <c r="J88">
        <f t="shared" si="5"/>
        <v>23.7</v>
      </c>
      <c r="K88" t="str">
        <f t="shared" si="6"/>
        <v>N/A</v>
      </c>
      <c r="L88" t="str">
        <f t="shared" si="7"/>
        <v>N/A</v>
      </c>
      <c r="M88" t="str">
        <f t="shared" ca="1" si="8"/>
        <v>N/A</v>
      </c>
      <c r="N88" t="str">
        <f t="shared" ca="1" si="9"/>
        <v>N/A</v>
      </c>
    </row>
    <row r="89" spans="1:14" x14ac:dyDescent="0.3">
      <c r="A89" s="1">
        <v>2</v>
      </c>
      <c r="B89" t="s">
        <v>152</v>
      </c>
      <c r="C89" t="s">
        <v>1739</v>
      </c>
      <c r="D89" t="str">
        <f ca="1">IF(COUNTIF(E70:E76,"=below average")&gt;0,"There are some indications that "&amp;D1&amp;" may be undervalued. The company has a lower " &amp; G88 &amp; " than the comparable average", "Inconclusive")</f>
        <v>There are some indications that Barnes Group may be undervalued. The company has a lower trailing p/e, and price/book than the comparable average</v>
      </c>
      <c r="I89" t="str">
        <f t="shared" ca="1" si="4"/>
        <v>N/A</v>
      </c>
      <c r="J89">
        <f t="shared" si="5"/>
        <v>0.185</v>
      </c>
      <c r="K89" t="str">
        <f t="shared" ca="1" si="6"/>
        <v>N/A</v>
      </c>
      <c r="L89" t="str">
        <f t="shared" si="7"/>
        <v>N/A</v>
      </c>
      <c r="M89" t="str">
        <f t="shared" si="8"/>
        <v>N/A</v>
      </c>
      <c r="N89" t="str">
        <f t="shared" si="9"/>
        <v>N/A</v>
      </c>
    </row>
    <row r="90" spans="1:14" x14ac:dyDescent="0.3">
      <c r="A90" s="1">
        <v>3</v>
      </c>
      <c r="B90" t="s">
        <v>154</v>
      </c>
      <c r="C90" t="s">
        <v>1740</v>
      </c>
      <c r="I90" t="str">
        <f t="shared" si="4"/>
        <v>N/A</v>
      </c>
      <c r="J90">
        <f t="shared" si="5"/>
        <v>440450000</v>
      </c>
      <c r="K90" t="str">
        <f t="shared" si="6"/>
        <v>N/A</v>
      </c>
      <c r="L90" t="str">
        <f t="shared" si="7"/>
        <v>N/A</v>
      </c>
      <c r="M90" t="str">
        <f t="shared" si="8"/>
        <v>N/A</v>
      </c>
      <c r="N90" t="str">
        <f t="shared" si="9"/>
        <v>N/A</v>
      </c>
    </row>
    <row r="91" spans="1:14" x14ac:dyDescent="0.3">
      <c r="A91" s="1">
        <v>4</v>
      </c>
      <c r="B91" t="s">
        <v>156</v>
      </c>
      <c r="C91" t="s">
        <v>1741</v>
      </c>
      <c r="I91" t="str">
        <f t="shared" si="4"/>
        <v>N/A</v>
      </c>
      <c r="J91">
        <f t="shared" si="5"/>
        <v>291330000</v>
      </c>
      <c r="K91" t="str">
        <f t="shared" si="6"/>
        <v>N/A</v>
      </c>
      <c r="L91" t="str">
        <f t="shared" si="7"/>
        <v>N/A</v>
      </c>
      <c r="M91" t="str">
        <f t="shared" si="8"/>
        <v>N/A</v>
      </c>
      <c r="N91" t="str">
        <f t="shared" si="9"/>
        <v>N/A</v>
      </c>
    </row>
    <row r="92" spans="1:14" x14ac:dyDescent="0.3">
      <c r="A92" s="1">
        <v>5</v>
      </c>
      <c r="B92" t="s">
        <v>158</v>
      </c>
      <c r="C92" t="s">
        <v>1742</v>
      </c>
      <c r="I92" t="str">
        <f t="shared" ref="I92:I123" si="15">IF(AND(K92&gt; J92, L92&gt; K92, M92&gt; L92, N92&gt; M92), "pos_trend", IF(AND(K92&lt; J92, L92&lt; K92, M92&lt; L92, N92&lt; M92), "neg_trend", "N/A"))</f>
        <v>N/A</v>
      </c>
      <c r="J92">
        <f t="shared" ref="J92:J123" si="16">IFERROR(IF(TRIM(C92)="-", "N/A", IF(RIGHT(C92,1)=")",IF(RIGHT(C92,2)="T)",-1000000000000*VALUE(MID(C92,2,LEN(C92)-3)),IF(RIGHT(C92,2)="M)",-1000000*VALUE(MID(C92,2,LEN(C92)-3)),IF(RIGHT(C92,2)="B)",-1000000000*VALUE(MID(C92,2,LEN(C92)-3)),IF(RIGHT(C92,2)="k)",-1000*VALUE(MID(C92,2,LEN(C92)-3)),VALUE(SUBSTITUTE(C92,",","")))))),IF(RIGHT(C92,1)="T",1000000000000*VALUE(LEFT(C92,LEN(C92)-1)),IF(RIGHT(C92,1)="M",1000000*VALUE(LEFT(C92,LEN(C92)-1)),IF(RIGHT(C92,1)="B",1000000000*VALUE(LEFT(C92,LEN(C92)-1)),IF(RIGHT(C92,1)="%",0.01*VALUE(LEFT(C92,LEN(C92)-1)),IF(RIGHT(C92,1)="k",1000*VALUE(LEFT(C92,LEN(C92)-1)),VALUE(SUBSTITUTE(C92,",",""))))))))),"N/A")</f>
        <v>145060000</v>
      </c>
      <c r="K92" t="str">
        <f t="shared" ref="K92:K123" si="17">IFERROR(IF(TRIM(D92)="-", "N/A", IF(RIGHT(D92,1)=")",IF(RIGHT(D92,2)="T)",-1000000000000*VALUE(MID(D92,2,LEN(D92)-3)),IF(RIGHT(D92,2)="M)",-1000000*VALUE(MID(D92,2,LEN(D92)-3)),IF(RIGHT(D92,2)="B)",-1000000000*VALUE(MID(D92,2,LEN(D92)-3)),IF(RIGHT(D92,2)="k)",-1000*VALUE(MID(D92,2,LEN(D92)-3)),VALUE(SUBSTITUTE(D92,",","")))))),IF(RIGHT(D92,1)="T",1000000000000*VALUE(LEFT(D92,LEN(D92)-1)),IF(RIGHT(D92,1)="M",1000000*VALUE(LEFT(D92,LEN(D92)-1)),IF(RIGHT(D92,1)="B",1000000000*VALUE(LEFT(D92,LEN(D92)-1)),IF(RIGHT(D92,1)="%",0.01*VALUE(LEFT(D92,LEN(D92)-1)),IF(RIGHT(D92,1)="k",1000*VALUE(LEFT(D92,LEN(D92)-1)),VALUE(SUBSTITUTE(D92,",",""))))))))),"N/A")</f>
        <v>N/A</v>
      </c>
      <c r="L92" t="str">
        <f t="shared" ref="L92:L123" si="18">IFERROR(IF(TRIM(E92)="-", "N/A", IF(RIGHT(E92,1)=")",IF(RIGHT(E92,2)="T)",-1000000000000*VALUE(MID(E92,2,LEN(E92)-3)),IF(RIGHT(E92,2)="M)",-1000000*VALUE(MID(E92,2,LEN(E92)-3)),IF(RIGHT(E92,2)="B)",-1000000000*VALUE(MID(E92,2,LEN(E92)-3)),IF(RIGHT(E92,2)="k)",-1000*VALUE(MID(E92,2,LEN(E92)-3)),VALUE(SUBSTITUTE(E92,",","")))))),IF(RIGHT(E92,1)="T",1000000000000*VALUE(LEFT(E92,LEN(E92)-1)),IF(RIGHT(E92,1)="M",1000000*VALUE(LEFT(E92,LEN(E92)-1)),IF(RIGHT(E92,1)="B",1000000000*VALUE(LEFT(E92,LEN(E92)-1)),IF(RIGHT(E92,1)="%",0.01*VALUE(LEFT(E92,LEN(E92)-1)),IF(RIGHT(E92,1)="k",1000*VALUE(LEFT(E92,LEN(E92)-1)),VALUE(SUBSTITUTE(E92,",",""))))))))),"N/A")</f>
        <v>N/A</v>
      </c>
      <c r="M92" t="str">
        <f t="shared" ref="M92:M123" si="19">IFERROR(IF(TRIM(F92)="-", "N/A", IF(RIGHT(F92,1)=")",IF(RIGHT(F92,2)="T)",-1000000000000*VALUE(MID(F92,2,LEN(F92)-3)),IF(RIGHT(F92,2)="M)",-1000000*VALUE(MID(F92,2,LEN(F92)-3)),IF(RIGHT(F92,2)="B)",-1000000000*VALUE(MID(F92,2,LEN(F92)-3)),IF(RIGHT(F92,2)="k)",-1000*VALUE(MID(F92,2,LEN(F92)-3)),VALUE(SUBSTITUTE(F92,",","")))))),IF(RIGHT(F92,1)="T",1000000000000*VALUE(LEFT(F92,LEN(F92)-1)),IF(RIGHT(F92,1)="M",1000000*VALUE(LEFT(F92,LEN(F92)-1)),IF(RIGHT(F92,1)="B",1000000000*VALUE(LEFT(F92,LEN(F92)-1)),IF(RIGHT(F92,1)="%",0.01*VALUE(LEFT(F92,LEN(F92)-1)),IF(RIGHT(F92,1)="k",1000*VALUE(LEFT(F92,LEN(F92)-1)),VALUE(SUBSTITUTE(F92,",",""))))))))),"N/A")</f>
        <v>N/A</v>
      </c>
      <c r="N92" t="str">
        <f t="shared" ref="N92:N123" si="20">IFERROR(IF(TRIM(G92)="-", "N/A", IF(RIGHT(G92,1)=")",IF(RIGHT(G92,2)="T)",-1000000000000*VALUE(MID(G92,2,LEN(G92)-3)),IF(RIGHT(G92,2)="M)",-1000000*VALUE(MID(G92,2,LEN(G92)-3)),IF(RIGHT(G92,2)="B)",-1000000000*VALUE(MID(G92,2,LEN(G92)-3)),IF(RIGHT(G92,2)="k)",-1000*VALUE(MID(G92,2,LEN(G92)-3)),VALUE(SUBSTITUTE(G92,",","")))))),IF(RIGHT(G92,1)="T",1000000000000*VALUE(LEFT(G92,LEN(G92)-1)),IF(RIGHT(G92,1)="M",1000000*VALUE(LEFT(G92,LEN(G92)-1)),IF(RIGHT(G92,1)="B",1000000000*VALUE(LEFT(G92,LEN(G92)-1)),IF(RIGHT(G92,1)="%",0.01*VALUE(LEFT(G92,LEN(G92)-1)),IF(RIGHT(G92,1)="k",1000*VALUE(LEFT(G92,LEN(G92)-1)),VALUE(SUBSTITUTE(G92,",",""))))))))),"N/A")</f>
        <v>N/A</v>
      </c>
    </row>
    <row r="93" spans="1:14" x14ac:dyDescent="0.3">
      <c r="A93" s="1">
        <v>6</v>
      </c>
      <c r="B93" t="s">
        <v>160</v>
      </c>
      <c r="C93" t="s">
        <v>1697</v>
      </c>
      <c r="I93" t="str">
        <f t="shared" si="15"/>
        <v>N/A</v>
      </c>
      <c r="J93">
        <f t="shared" si="16"/>
        <v>2.65</v>
      </c>
      <c r="K93" t="str">
        <f t="shared" si="17"/>
        <v>N/A</v>
      </c>
      <c r="L93" t="str">
        <f t="shared" si="18"/>
        <v>N/A</v>
      </c>
      <c r="M93" t="str">
        <f t="shared" si="19"/>
        <v>N/A</v>
      </c>
      <c r="N93" t="str">
        <f t="shared" si="20"/>
        <v>N/A</v>
      </c>
    </row>
    <row r="94" spans="1:14" x14ac:dyDescent="0.3">
      <c r="A94" s="1">
        <v>7</v>
      </c>
      <c r="B94" t="s">
        <v>161</v>
      </c>
      <c r="C94" t="s">
        <v>1743</v>
      </c>
      <c r="I94" t="str">
        <f t="shared" si="15"/>
        <v>N/A</v>
      </c>
      <c r="J94">
        <f t="shared" si="16"/>
        <v>0.32799999999999996</v>
      </c>
      <c r="K94" t="str">
        <f t="shared" si="17"/>
        <v>N/A</v>
      </c>
      <c r="L94" t="str">
        <f t="shared" si="18"/>
        <v>N/A</v>
      </c>
      <c r="M94" t="str">
        <f t="shared" si="19"/>
        <v>N/A</v>
      </c>
      <c r="N94" t="str">
        <f t="shared" si="20"/>
        <v>N/A</v>
      </c>
    </row>
    <row r="95" spans="1:14" x14ac:dyDescent="0.3">
      <c r="I95" t="str">
        <f t="shared" si="15"/>
        <v>N/A</v>
      </c>
      <c r="J95" t="str">
        <f t="shared" si="16"/>
        <v>N/A</v>
      </c>
      <c r="K95" t="str">
        <f t="shared" si="17"/>
        <v>N/A</v>
      </c>
      <c r="L95" t="str">
        <f t="shared" si="18"/>
        <v>N/A</v>
      </c>
      <c r="M95" t="str">
        <f t="shared" si="19"/>
        <v>N/A</v>
      </c>
      <c r="N95" t="str">
        <f t="shared" si="20"/>
        <v>N/A</v>
      </c>
    </row>
    <row r="96" spans="1:14" x14ac:dyDescent="0.3">
      <c r="A96" s="1">
        <v>0</v>
      </c>
      <c r="B96" t="s">
        <v>163</v>
      </c>
      <c r="C96" t="s">
        <v>1744</v>
      </c>
      <c r="I96" t="str">
        <f t="shared" si="15"/>
        <v>N/A</v>
      </c>
      <c r="J96">
        <f t="shared" si="16"/>
        <v>88280000</v>
      </c>
      <c r="K96" t="str">
        <f t="shared" si="17"/>
        <v>N/A</v>
      </c>
      <c r="L96" t="str">
        <f t="shared" si="18"/>
        <v>N/A</v>
      </c>
      <c r="M96" t="str">
        <f t="shared" si="19"/>
        <v>N/A</v>
      </c>
      <c r="N96" t="str">
        <f t="shared" si="20"/>
        <v>N/A</v>
      </c>
    </row>
    <row r="97" spans="1:14" x14ac:dyDescent="0.3">
      <c r="A97" s="1">
        <v>1</v>
      </c>
      <c r="B97" t="s">
        <v>165</v>
      </c>
      <c r="C97" t="s">
        <v>1745</v>
      </c>
      <c r="I97" t="str">
        <f t="shared" si="15"/>
        <v>N/A</v>
      </c>
      <c r="J97">
        <f t="shared" si="16"/>
        <v>1.64</v>
      </c>
      <c r="K97" t="str">
        <f t="shared" si="17"/>
        <v>N/A</v>
      </c>
      <c r="L97" t="str">
        <f t="shared" si="18"/>
        <v>N/A</v>
      </c>
      <c r="M97" t="str">
        <f t="shared" si="19"/>
        <v>N/A</v>
      </c>
      <c r="N97" t="str">
        <f t="shared" si="20"/>
        <v>N/A</v>
      </c>
    </row>
    <row r="98" spans="1:14" x14ac:dyDescent="0.3">
      <c r="A98" s="1">
        <v>2</v>
      </c>
      <c r="B98" t="s">
        <v>167</v>
      </c>
      <c r="C98" t="s">
        <v>1746</v>
      </c>
      <c r="I98" t="str">
        <f t="shared" si="15"/>
        <v>N/A</v>
      </c>
      <c r="J98">
        <f t="shared" si="16"/>
        <v>498950000</v>
      </c>
      <c r="K98" t="str">
        <f t="shared" si="17"/>
        <v>N/A</v>
      </c>
      <c r="L98" t="str">
        <f t="shared" si="18"/>
        <v>N/A</v>
      </c>
      <c r="M98" t="str">
        <f t="shared" si="19"/>
        <v>N/A</v>
      </c>
      <c r="N98" t="str">
        <f t="shared" si="20"/>
        <v>N/A</v>
      </c>
    </row>
    <row r="99" spans="1:14" x14ac:dyDescent="0.3">
      <c r="A99" s="1">
        <v>3</v>
      </c>
      <c r="B99" t="s">
        <v>169</v>
      </c>
      <c r="C99" t="s">
        <v>1747</v>
      </c>
      <c r="I99" t="str">
        <f t="shared" si="15"/>
        <v>N/A</v>
      </c>
      <c r="J99">
        <f t="shared" si="16"/>
        <v>41.01</v>
      </c>
      <c r="K99" t="str">
        <f t="shared" si="17"/>
        <v>N/A</v>
      </c>
      <c r="L99" t="str">
        <f t="shared" si="18"/>
        <v>N/A</v>
      </c>
      <c r="M99" t="str">
        <f t="shared" si="19"/>
        <v>N/A</v>
      </c>
      <c r="N99" t="str">
        <f t="shared" si="20"/>
        <v>N/A</v>
      </c>
    </row>
    <row r="100" spans="1:14" x14ac:dyDescent="0.3">
      <c r="A100" s="1">
        <v>4</v>
      </c>
      <c r="B100" t="s">
        <v>171</v>
      </c>
      <c r="C100" t="s">
        <v>1748</v>
      </c>
      <c r="I100" t="str">
        <f t="shared" si="15"/>
        <v>N/A</v>
      </c>
      <c r="J100">
        <f t="shared" si="16"/>
        <v>2.27</v>
      </c>
      <c r="K100" t="str">
        <f t="shared" si="17"/>
        <v>N/A</v>
      </c>
      <c r="L100" t="str">
        <f t="shared" si="18"/>
        <v>N/A</v>
      </c>
      <c r="M100" t="str">
        <f t="shared" si="19"/>
        <v>N/A</v>
      </c>
      <c r="N100" t="str">
        <f t="shared" si="20"/>
        <v>N/A</v>
      </c>
    </row>
    <row r="101" spans="1:14" x14ac:dyDescent="0.3">
      <c r="A101" s="1">
        <v>5</v>
      </c>
      <c r="B101" t="s">
        <v>173</v>
      </c>
      <c r="C101" t="s">
        <v>1749</v>
      </c>
      <c r="I101" t="str">
        <f t="shared" si="15"/>
        <v>N/A</v>
      </c>
      <c r="J101">
        <f t="shared" si="16"/>
        <v>22.65</v>
      </c>
      <c r="K101" t="str">
        <f t="shared" si="17"/>
        <v>N/A</v>
      </c>
      <c r="L101" t="str">
        <f t="shared" si="18"/>
        <v>N/A</v>
      </c>
      <c r="M101" t="str">
        <f t="shared" si="19"/>
        <v>N/A</v>
      </c>
      <c r="N101" t="str">
        <f t="shared" si="20"/>
        <v>N/A</v>
      </c>
    </row>
    <row r="102" spans="1:14" x14ac:dyDescent="0.3">
      <c r="I102" t="str">
        <f t="shared" si="15"/>
        <v>N/A</v>
      </c>
      <c r="J102" t="str">
        <f t="shared" si="16"/>
        <v>N/A</v>
      </c>
      <c r="K102" t="str">
        <f t="shared" si="17"/>
        <v>N/A</v>
      </c>
      <c r="L102" t="str">
        <f t="shared" si="18"/>
        <v>N/A</v>
      </c>
      <c r="M102" t="str">
        <f t="shared" si="19"/>
        <v>N/A</v>
      </c>
      <c r="N102" t="str">
        <f t="shared" si="20"/>
        <v>N/A</v>
      </c>
    </row>
    <row r="103" spans="1:14" x14ac:dyDescent="0.3">
      <c r="A103" s="1">
        <v>0</v>
      </c>
      <c r="B103" t="s">
        <v>175</v>
      </c>
      <c r="C103" t="s">
        <v>1750</v>
      </c>
      <c r="I103" t="str">
        <f t="shared" si="15"/>
        <v>N/A</v>
      </c>
      <c r="J103">
        <f t="shared" si="16"/>
        <v>238950000</v>
      </c>
      <c r="K103" t="str">
        <f t="shared" si="17"/>
        <v>N/A</v>
      </c>
      <c r="L103" t="str">
        <f t="shared" si="18"/>
        <v>N/A</v>
      </c>
      <c r="M103" t="str">
        <f t="shared" si="19"/>
        <v>N/A</v>
      </c>
      <c r="N103" t="str">
        <f t="shared" si="20"/>
        <v>N/A</v>
      </c>
    </row>
    <row r="104" spans="1:14" x14ac:dyDescent="0.3">
      <c r="A104" s="1">
        <v>1</v>
      </c>
      <c r="B104" t="s">
        <v>177</v>
      </c>
      <c r="C104" t="s">
        <v>1751</v>
      </c>
      <c r="I104" t="str">
        <f t="shared" si="15"/>
        <v>N/A</v>
      </c>
      <c r="J104">
        <f t="shared" si="16"/>
        <v>166460000</v>
      </c>
      <c r="K104" t="str">
        <f t="shared" si="17"/>
        <v>N/A</v>
      </c>
      <c r="L104" t="str">
        <f t="shared" si="18"/>
        <v>N/A</v>
      </c>
      <c r="M104" t="str">
        <f t="shared" si="19"/>
        <v>N/A</v>
      </c>
      <c r="N104" t="str">
        <f t="shared" si="20"/>
        <v>N/A</v>
      </c>
    </row>
    <row r="105" spans="1:14" x14ac:dyDescent="0.3">
      <c r="I105" t="str">
        <f t="shared" si="15"/>
        <v>N/A</v>
      </c>
      <c r="J105" t="str">
        <f t="shared" si="16"/>
        <v>N/A</v>
      </c>
      <c r="K105" t="str">
        <f t="shared" si="17"/>
        <v>N/A</v>
      </c>
      <c r="L105" t="str">
        <f t="shared" si="18"/>
        <v>N/A</v>
      </c>
      <c r="M105" t="str">
        <f t="shared" si="19"/>
        <v>N/A</v>
      </c>
      <c r="N105" t="str">
        <f t="shared" si="20"/>
        <v>N/A</v>
      </c>
    </row>
    <row r="106" spans="1:14" x14ac:dyDescent="0.3">
      <c r="A106" s="1">
        <v>0</v>
      </c>
      <c r="B106" t="s">
        <v>22</v>
      </c>
      <c r="C106" t="s">
        <v>1695</v>
      </c>
      <c r="I106" t="str">
        <f t="shared" si="15"/>
        <v>N/A</v>
      </c>
      <c r="J106">
        <f t="shared" si="16"/>
        <v>1.42</v>
      </c>
      <c r="K106" t="str">
        <f t="shared" si="17"/>
        <v>N/A</v>
      </c>
      <c r="L106" t="str">
        <f t="shared" si="18"/>
        <v>N/A</v>
      </c>
      <c r="M106" t="str">
        <f t="shared" si="19"/>
        <v>N/A</v>
      </c>
      <c r="N106" t="str">
        <f t="shared" si="20"/>
        <v>N/A</v>
      </c>
    </row>
    <row r="107" spans="1:14" x14ac:dyDescent="0.3">
      <c r="A107" s="1">
        <v>1</v>
      </c>
      <c r="B107" t="s">
        <v>179</v>
      </c>
      <c r="C107" t="s">
        <v>1752</v>
      </c>
      <c r="I107" t="str">
        <f t="shared" si="15"/>
        <v>N/A</v>
      </c>
      <c r="J107">
        <f t="shared" si="16"/>
        <v>0.6179</v>
      </c>
      <c r="K107" t="str">
        <f t="shared" si="17"/>
        <v>N/A</v>
      </c>
      <c r="L107" t="str">
        <f t="shared" si="18"/>
        <v>N/A</v>
      </c>
      <c r="M107" t="str">
        <f t="shared" si="19"/>
        <v>N/A</v>
      </c>
      <c r="N107" t="str">
        <f t="shared" si="20"/>
        <v>N/A</v>
      </c>
    </row>
    <row r="108" spans="1:14" x14ac:dyDescent="0.3">
      <c r="A108" s="1">
        <v>2</v>
      </c>
      <c r="B108" t="s">
        <v>181</v>
      </c>
      <c r="C108" t="s">
        <v>182</v>
      </c>
      <c r="I108" t="str">
        <f t="shared" si="15"/>
        <v>N/A</v>
      </c>
      <c r="J108">
        <f t="shared" si="16"/>
        <v>0.14180000000000001</v>
      </c>
      <c r="K108" t="str">
        <f t="shared" si="17"/>
        <v>N/A</v>
      </c>
      <c r="L108" t="str">
        <f t="shared" si="18"/>
        <v>N/A</v>
      </c>
      <c r="M108" t="str">
        <f t="shared" si="19"/>
        <v>N/A</v>
      </c>
      <c r="N108" t="str">
        <f t="shared" si="20"/>
        <v>N/A</v>
      </c>
    </row>
    <row r="109" spans="1:14" x14ac:dyDescent="0.3">
      <c r="A109" s="1">
        <v>3</v>
      </c>
      <c r="B109" t="s">
        <v>183</v>
      </c>
      <c r="C109" t="s">
        <v>1753</v>
      </c>
      <c r="I109" t="str">
        <f t="shared" si="15"/>
        <v>N/A</v>
      </c>
      <c r="J109">
        <f t="shared" si="16"/>
        <v>62.37</v>
      </c>
      <c r="K109" t="str">
        <f t="shared" si="17"/>
        <v>N/A</v>
      </c>
      <c r="L109" t="str">
        <f t="shared" si="18"/>
        <v>N/A</v>
      </c>
      <c r="M109" t="str">
        <f t="shared" si="19"/>
        <v>N/A</v>
      </c>
      <c r="N109" t="str">
        <f t="shared" si="20"/>
        <v>N/A</v>
      </c>
    </row>
    <row r="110" spans="1:14" x14ac:dyDescent="0.3">
      <c r="A110" s="1">
        <v>4</v>
      </c>
      <c r="B110" t="s">
        <v>185</v>
      </c>
      <c r="C110" t="s">
        <v>1754</v>
      </c>
      <c r="I110" t="str">
        <f t="shared" si="15"/>
        <v>N/A</v>
      </c>
      <c r="J110">
        <f t="shared" si="16"/>
        <v>36.270000000000003</v>
      </c>
      <c r="K110" t="str">
        <f t="shared" si="17"/>
        <v>N/A</v>
      </c>
      <c r="L110" t="str">
        <f t="shared" si="18"/>
        <v>N/A</v>
      </c>
      <c r="M110" t="str">
        <f t="shared" si="19"/>
        <v>N/A</v>
      </c>
      <c r="N110" t="str">
        <f t="shared" si="20"/>
        <v>N/A</v>
      </c>
    </row>
    <row r="111" spans="1:14" x14ac:dyDescent="0.3">
      <c r="A111" s="1">
        <v>5</v>
      </c>
      <c r="B111" t="s">
        <v>187</v>
      </c>
      <c r="C111" t="s">
        <v>1755</v>
      </c>
      <c r="I111" t="str">
        <f t="shared" si="15"/>
        <v>N/A</v>
      </c>
      <c r="J111">
        <f t="shared" si="16"/>
        <v>59.29</v>
      </c>
      <c r="K111" t="str">
        <f t="shared" si="17"/>
        <v>N/A</v>
      </c>
      <c r="L111" t="str">
        <f t="shared" si="18"/>
        <v>N/A</v>
      </c>
      <c r="M111" t="str">
        <f t="shared" si="19"/>
        <v>N/A</v>
      </c>
      <c r="N111" t="str">
        <f t="shared" si="20"/>
        <v>N/A</v>
      </c>
    </row>
    <row r="112" spans="1:14" x14ac:dyDescent="0.3">
      <c r="A112" s="1">
        <v>6</v>
      </c>
      <c r="B112" t="s">
        <v>189</v>
      </c>
      <c r="C112" t="s">
        <v>1756</v>
      </c>
      <c r="I112" t="str">
        <f t="shared" si="15"/>
        <v>N/A</v>
      </c>
      <c r="J112">
        <f t="shared" si="16"/>
        <v>53.21</v>
      </c>
      <c r="K112" t="str">
        <f t="shared" si="17"/>
        <v>N/A</v>
      </c>
      <c r="L112" t="str">
        <f t="shared" si="18"/>
        <v>N/A</v>
      </c>
      <c r="M112" t="str">
        <f t="shared" si="19"/>
        <v>N/A</v>
      </c>
      <c r="N112" t="str">
        <f t="shared" si="20"/>
        <v>N/A</v>
      </c>
    </row>
    <row r="113" spans="1:14" x14ac:dyDescent="0.3">
      <c r="I113" t="str">
        <f t="shared" si="15"/>
        <v>N/A</v>
      </c>
      <c r="J113" t="str">
        <f t="shared" si="16"/>
        <v>N/A</v>
      </c>
      <c r="K113" t="str">
        <f t="shared" si="17"/>
        <v>N/A</v>
      </c>
      <c r="L113" t="str">
        <f t="shared" si="18"/>
        <v>N/A</v>
      </c>
      <c r="M113" t="str">
        <f t="shared" si="19"/>
        <v>N/A</v>
      </c>
      <c r="N113" t="str">
        <f t="shared" si="20"/>
        <v>N/A</v>
      </c>
    </row>
    <row r="114" spans="1:14" x14ac:dyDescent="0.3">
      <c r="A114" s="1">
        <v>0</v>
      </c>
      <c r="B114" t="s">
        <v>191</v>
      </c>
      <c r="C114" t="s">
        <v>1757</v>
      </c>
      <c r="I114" t="str">
        <f t="shared" si="15"/>
        <v>N/A</v>
      </c>
      <c r="J114">
        <f t="shared" si="16"/>
        <v>245820</v>
      </c>
      <c r="K114" t="str">
        <f t="shared" si="17"/>
        <v>N/A</v>
      </c>
      <c r="L114" t="str">
        <f t="shared" si="18"/>
        <v>N/A</v>
      </c>
      <c r="M114" t="str">
        <f t="shared" si="19"/>
        <v>N/A</v>
      </c>
      <c r="N114" t="str">
        <f t="shared" si="20"/>
        <v>N/A</v>
      </c>
    </row>
    <row r="115" spans="1:14" x14ac:dyDescent="0.3">
      <c r="A115" s="1">
        <v>1</v>
      </c>
      <c r="B115" t="s">
        <v>193</v>
      </c>
      <c r="C115" t="s">
        <v>1758</v>
      </c>
      <c r="I115" t="str">
        <f t="shared" si="15"/>
        <v>N/A</v>
      </c>
      <c r="J115">
        <f t="shared" si="16"/>
        <v>239710</v>
      </c>
      <c r="K115" t="str">
        <f t="shared" si="17"/>
        <v>N/A</v>
      </c>
      <c r="L115" t="str">
        <f t="shared" si="18"/>
        <v>N/A</v>
      </c>
      <c r="M115" t="str">
        <f t="shared" si="19"/>
        <v>N/A</v>
      </c>
      <c r="N115" t="str">
        <f t="shared" si="20"/>
        <v>N/A</v>
      </c>
    </row>
    <row r="116" spans="1:14" x14ac:dyDescent="0.3">
      <c r="A116" s="1">
        <v>2</v>
      </c>
      <c r="B116" t="s">
        <v>195</v>
      </c>
      <c r="C116" t="s">
        <v>1759</v>
      </c>
      <c r="I116" t="str">
        <f t="shared" si="15"/>
        <v>N/A</v>
      </c>
      <c r="J116">
        <f t="shared" si="16"/>
        <v>53720000</v>
      </c>
      <c r="K116" t="str">
        <f t="shared" si="17"/>
        <v>N/A</v>
      </c>
      <c r="L116" t="str">
        <f t="shared" si="18"/>
        <v>N/A</v>
      </c>
      <c r="M116" t="str">
        <f t="shared" si="19"/>
        <v>N/A</v>
      </c>
      <c r="N116" t="str">
        <f t="shared" si="20"/>
        <v>N/A</v>
      </c>
    </row>
    <row r="117" spans="1:14" x14ac:dyDescent="0.3">
      <c r="A117" s="1">
        <v>3</v>
      </c>
      <c r="B117" t="s">
        <v>197</v>
      </c>
      <c r="C117" t="s">
        <v>1760</v>
      </c>
      <c r="I117" t="str">
        <f t="shared" si="15"/>
        <v>N/A</v>
      </c>
      <c r="J117">
        <f t="shared" si="16"/>
        <v>49570000</v>
      </c>
      <c r="K117" t="str">
        <f t="shared" si="17"/>
        <v>N/A</v>
      </c>
      <c r="L117" t="str">
        <f t="shared" si="18"/>
        <v>N/A</v>
      </c>
      <c r="M117" t="str">
        <f t="shared" si="19"/>
        <v>N/A</v>
      </c>
      <c r="N117" t="str">
        <f t="shared" si="20"/>
        <v>N/A</v>
      </c>
    </row>
    <row r="118" spans="1:14" x14ac:dyDescent="0.3">
      <c r="A118" s="1">
        <v>4</v>
      </c>
      <c r="B118" t="s">
        <v>199</v>
      </c>
      <c r="C118" t="s">
        <v>1761</v>
      </c>
      <c r="I118" t="str">
        <f t="shared" si="15"/>
        <v>N/A</v>
      </c>
      <c r="J118">
        <f t="shared" si="16"/>
        <v>8.0799999999999997E-2</v>
      </c>
      <c r="K118" t="str">
        <f t="shared" si="17"/>
        <v>N/A</v>
      </c>
      <c r="L118" t="str">
        <f t="shared" si="18"/>
        <v>N/A</v>
      </c>
      <c r="M118" t="str">
        <f t="shared" si="19"/>
        <v>N/A</v>
      </c>
      <c r="N118" t="str">
        <f t="shared" si="20"/>
        <v>N/A</v>
      </c>
    </row>
    <row r="119" spans="1:14" x14ac:dyDescent="0.3">
      <c r="A119" s="1">
        <v>5</v>
      </c>
      <c r="B119" t="s">
        <v>201</v>
      </c>
      <c r="C119" t="s">
        <v>1762</v>
      </c>
      <c r="I119" t="str">
        <f t="shared" si="15"/>
        <v>N/A</v>
      </c>
      <c r="J119">
        <f t="shared" si="16"/>
        <v>0.92300000000000004</v>
      </c>
      <c r="K119" t="str">
        <f t="shared" si="17"/>
        <v>N/A</v>
      </c>
      <c r="L119" t="str">
        <f t="shared" si="18"/>
        <v>N/A</v>
      </c>
      <c r="M119" t="str">
        <f t="shared" si="19"/>
        <v>N/A</v>
      </c>
      <c r="N119" t="str">
        <f t="shared" si="20"/>
        <v>N/A</v>
      </c>
    </row>
    <row r="120" spans="1:14" x14ac:dyDescent="0.3">
      <c r="A120" s="1">
        <v>6</v>
      </c>
      <c r="B120" t="s">
        <v>203</v>
      </c>
      <c r="C120" t="s">
        <v>1763</v>
      </c>
      <c r="I120" t="str">
        <f t="shared" si="15"/>
        <v>N/A</v>
      </c>
      <c r="J120">
        <f t="shared" si="16"/>
        <v>673500</v>
      </c>
      <c r="K120" t="str">
        <f t="shared" si="17"/>
        <v>N/A</v>
      </c>
      <c r="L120" t="str">
        <f t="shared" si="18"/>
        <v>N/A</v>
      </c>
      <c r="M120" t="str">
        <f t="shared" si="19"/>
        <v>N/A</v>
      </c>
      <c r="N120" t="str">
        <f t="shared" si="20"/>
        <v>N/A</v>
      </c>
    </row>
    <row r="121" spans="1:14" x14ac:dyDescent="0.3">
      <c r="A121" s="1">
        <v>7</v>
      </c>
      <c r="B121" t="s">
        <v>205</v>
      </c>
      <c r="C121" t="s">
        <v>1764</v>
      </c>
      <c r="I121" t="str">
        <f t="shared" si="15"/>
        <v>N/A</v>
      </c>
      <c r="J121">
        <f t="shared" si="16"/>
        <v>2.71</v>
      </c>
      <c r="K121" t="str">
        <f t="shared" si="17"/>
        <v>N/A</v>
      </c>
      <c r="L121" t="str">
        <f t="shared" si="18"/>
        <v>N/A</v>
      </c>
      <c r="M121" t="str">
        <f t="shared" si="19"/>
        <v>N/A</v>
      </c>
      <c r="N121" t="str">
        <f t="shared" si="20"/>
        <v>N/A</v>
      </c>
    </row>
    <row r="122" spans="1:14" x14ac:dyDescent="0.3">
      <c r="A122" s="1">
        <v>8</v>
      </c>
      <c r="B122" t="s">
        <v>207</v>
      </c>
      <c r="C122" t="s">
        <v>1765</v>
      </c>
      <c r="I122" t="str">
        <f t="shared" si="15"/>
        <v>N/A</v>
      </c>
      <c r="J122">
        <f t="shared" si="16"/>
        <v>1.54E-2</v>
      </c>
      <c r="K122" t="str">
        <f t="shared" si="17"/>
        <v>N/A</v>
      </c>
      <c r="L122" t="str">
        <f t="shared" si="18"/>
        <v>N/A</v>
      </c>
      <c r="M122" t="str">
        <f t="shared" si="19"/>
        <v>N/A</v>
      </c>
      <c r="N122" t="str">
        <f t="shared" si="20"/>
        <v>N/A</v>
      </c>
    </row>
    <row r="123" spans="1:14" x14ac:dyDescent="0.3">
      <c r="A123" s="1">
        <v>9</v>
      </c>
      <c r="B123" t="s">
        <v>209</v>
      </c>
      <c r="C123" t="s">
        <v>1766</v>
      </c>
      <c r="I123" t="str">
        <f t="shared" si="15"/>
        <v>N/A</v>
      </c>
      <c r="J123">
        <f t="shared" si="16"/>
        <v>721560</v>
      </c>
      <c r="K123" t="str">
        <f t="shared" si="17"/>
        <v>N/A</v>
      </c>
      <c r="L123" t="str">
        <f t="shared" si="18"/>
        <v>N/A</v>
      </c>
      <c r="M123" t="str">
        <f t="shared" si="19"/>
        <v>N/A</v>
      </c>
      <c r="N123" t="str">
        <f t="shared" si="20"/>
        <v>N/A</v>
      </c>
    </row>
    <row r="124" spans="1:14" x14ac:dyDescent="0.3">
      <c r="I124" t="str">
        <f t="shared" ref="I124:I155" si="21">IF(AND(K124&gt; J124, L124&gt; K124, M124&gt; L124, N124&gt; M124), "pos_trend", IF(AND(K124&lt; J124, L124&lt; K124, M124&lt; L124, N124&lt; M124), "neg_trend", "N/A"))</f>
        <v>N/A</v>
      </c>
      <c r="J124" t="str">
        <f t="shared" ref="J124:J156" si="22">IFERROR(IF(TRIM(C124)="-", "N/A", IF(RIGHT(C124,1)=")",IF(RIGHT(C124,2)="T)",-1000000000000*VALUE(MID(C124,2,LEN(C124)-3)),IF(RIGHT(C124,2)="M)",-1000000*VALUE(MID(C124,2,LEN(C124)-3)),IF(RIGHT(C124,2)="B)",-1000000000*VALUE(MID(C124,2,LEN(C124)-3)),IF(RIGHT(C124,2)="k)",-1000*VALUE(MID(C124,2,LEN(C124)-3)),VALUE(SUBSTITUTE(C124,",","")))))),IF(RIGHT(C124,1)="T",1000000000000*VALUE(LEFT(C124,LEN(C124)-1)),IF(RIGHT(C124,1)="M",1000000*VALUE(LEFT(C124,LEN(C124)-1)),IF(RIGHT(C124,1)="B",1000000000*VALUE(LEFT(C124,LEN(C124)-1)),IF(RIGHT(C124,1)="%",0.01*VALUE(LEFT(C124,LEN(C124)-1)),IF(RIGHT(C124,1)="k",1000*VALUE(LEFT(C124,LEN(C124)-1)),VALUE(SUBSTITUTE(C124,",",""))))))))),"N/A")</f>
        <v>N/A</v>
      </c>
      <c r="K124" t="str">
        <f t="shared" ref="K124:K156" si="23">IFERROR(IF(TRIM(D124)="-", "N/A", IF(RIGHT(D124,1)=")",IF(RIGHT(D124,2)="T)",-1000000000000*VALUE(MID(D124,2,LEN(D124)-3)),IF(RIGHT(D124,2)="M)",-1000000*VALUE(MID(D124,2,LEN(D124)-3)),IF(RIGHT(D124,2)="B)",-1000000000*VALUE(MID(D124,2,LEN(D124)-3)),IF(RIGHT(D124,2)="k)",-1000*VALUE(MID(D124,2,LEN(D124)-3)),VALUE(SUBSTITUTE(D124,",","")))))),IF(RIGHT(D124,1)="T",1000000000000*VALUE(LEFT(D124,LEN(D124)-1)),IF(RIGHT(D124,1)="M",1000000*VALUE(LEFT(D124,LEN(D124)-1)),IF(RIGHT(D124,1)="B",1000000000*VALUE(LEFT(D124,LEN(D124)-1)),IF(RIGHT(D124,1)="%",0.01*VALUE(LEFT(D124,LEN(D124)-1)),IF(RIGHT(D124,1)="k",1000*VALUE(LEFT(D124,LEN(D124)-1)),VALUE(SUBSTITUTE(D124,",",""))))))))),"N/A")</f>
        <v>N/A</v>
      </c>
      <c r="L124" t="str">
        <f t="shared" ref="L124:L156" si="24">IFERROR(IF(TRIM(E124)="-", "N/A", IF(RIGHT(E124,1)=")",IF(RIGHT(E124,2)="T)",-1000000000000*VALUE(MID(E124,2,LEN(E124)-3)),IF(RIGHT(E124,2)="M)",-1000000*VALUE(MID(E124,2,LEN(E124)-3)),IF(RIGHT(E124,2)="B)",-1000000000*VALUE(MID(E124,2,LEN(E124)-3)),IF(RIGHT(E124,2)="k)",-1000*VALUE(MID(E124,2,LEN(E124)-3)),VALUE(SUBSTITUTE(E124,",","")))))),IF(RIGHT(E124,1)="T",1000000000000*VALUE(LEFT(E124,LEN(E124)-1)),IF(RIGHT(E124,1)="M",1000000*VALUE(LEFT(E124,LEN(E124)-1)),IF(RIGHT(E124,1)="B",1000000000*VALUE(LEFT(E124,LEN(E124)-1)),IF(RIGHT(E124,1)="%",0.01*VALUE(LEFT(E124,LEN(E124)-1)),IF(RIGHT(E124,1)="k",1000*VALUE(LEFT(E124,LEN(E124)-1)),VALUE(SUBSTITUTE(E124,",",""))))))))),"N/A")</f>
        <v>N/A</v>
      </c>
      <c r="M124" t="str">
        <f t="shared" ref="M124:M156" si="25">IFERROR(IF(TRIM(F124)="-", "N/A", IF(RIGHT(F124,1)=")",IF(RIGHT(F124,2)="T)",-1000000000000*VALUE(MID(F124,2,LEN(F124)-3)),IF(RIGHT(F124,2)="M)",-1000000*VALUE(MID(F124,2,LEN(F124)-3)),IF(RIGHT(F124,2)="B)",-1000000000*VALUE(MID(F124,2,LEN(F124)-3)),IF(RIGHT(F124,2)="k)",-1000*VALUE(MID(F124,2,LEN(F124)-3)),VALUE(SUBSTITUTE(F124,",","")))))),IF(RIGHT(F124,1)="T",1000000000000*VALUE(LEFT(F124,LEN(F124)-1)),IF(RIGHT(F124,1)="M",1000000*VALUE(LEFT(F124,LEN(F124)-1)),IF(RIGHT(F124,1)="B",1000000000*VALUE(LEFT(F124,LEN(F124)-1)),IF(RIGHT(F124,1)="%",0.01*VALUE(LEFT(F124,LEN(F124)-1)),IF(RIGHT(F124,1)="k",1000*VALUE(LEFT(F124,LEN(F124)-1)),VALUE(SUBSTITUTE(F124,",",""))))))))),"N/A")</f>
        <v>N/A</v>
      </c>
      <c r="N124" t="str">
        <f t="shared" ref="N124:N156" si="26">IFERROR(IF(TRIM(G124)="-", "N/A", IF(RIGHT(G124,1)=")",IF(RIGHT(G124,2)="T)",-1000000000000*VALUE(MID(G124,2,LEN(G124)-3)),IF(RIGHT(G124,2)="M)",-1000000*VALUE(MID(G124,2,LEN(G124)-3)),IF(RIGHT(G124,2)="B)",-1000000000*VALUE(MID(G124,2,LEN(G124)-3)),IF(RIGHT(G124,2)="k)",-1000*VALUE(MID(G124,2,LEN(G124)-3)),VALUE(SUBSTITUTE(G124,",","")))))),IF(RIGHT(G124,1)="T",1000000000000*VALUE(LEFT(G124,LEN(G124)-1)),IF(RIGHT(G124,1)="M",1000000*VALUE(LEFT(G124,LEN(G124)-1)),IF(RIGHT(G124,1)="B",1000000000*VALUE(LEFT(G124,LEN(G124)-1)),IF(RIGHT(G124,1)="%",0.01*VALUE(LEFT(G124,LEN(G124)-1)),IF(RIGHT(G124,1)="k",1000*VALUE(LEFT(G124,LEN(G124)-1)),VALUE(SUBSTITUTE(G124,",",""))))))))),"N/A")</f>
        <v>N/A</v>
      </c>
    </row>
    <row r="125" spans="1:14" x14ac:dyDescent="0.3">
      <c r="A125" s="1">
        <v>0</v>
      </c>
      <c r="B125" t="s">
        <v>211</v>
      </c>
      <c r="C125" t="s">
        <v>76</v>
      </c>
      <c r="I125" t="str">
        <f t="shared" si="21"/>
        <v>N/A</v>
      </c>
      <c r="J125">
        <f t="shared" si="22"/>
        <v>0.56000000000000005</v>
      </c>
      <c r="K125" t="str">
        <f t="shared" si="23"/>
        <v>N/A</v>
      </c>
      <c r="L125" t="str">
        <f t="shared" si="24"/>
        <v>N/A</v>
      </c>
      <c r="M125" t="str">
        <f t="shared" si="25"/>
        <v>N/A</v>
      </c>
      <c r="N125" t="str">
        <f t="shared" si="26"/>
        <v>N/A</v>
      </c>
    </row>
    <row r="126" spans="1:14" x14ac:dyDescent="0.3">
      <c r="A126" s="1">
        <v>1</v>
      </c>
      <c r="B126" t="s">
        <v>213</v>
      </c>
      <c r="C126" t="s">
        <v>1767</v>
      </c>
      <c r="I126" t="str">
        <f t="shared" si="21"/>
        <v>N/A</v>
      </c>
      <c r="J126">
        <f t="shared" si="22"/>
        <v>9.300000000000001E-3</v>
      </c>
      <c r="K126" t="str">
        <f t="shared" si="23"/>
        <v>N/A</v>
      </c>
      <c r="L126" t="str">
        <f t="shared" si="24"/>
        <v>N/A</v>
      </c>
      <c r="M126" t="str">
        <f t="shared" si="25"/>
        <v>N/A</v>
      </c>
      <c r="N126" t="str">
        <f t="shared" si="26"/>
        <v>N/A</v>
      </c>
    </row>
    <row r="127" spans="1:14" x14ac:dyDescent="0.3">
      <c r="A127" s="1">
        <v>2</v>
      </c>
      <c r="B127" t="s">
        <v>215</v>
      </c>
      <c r="C127" t="s">
        <v>1768</v>
      </c>
      <c r="I127" t="str">
        <f t="shared" si="21"/>
        <v>N/A</v>
      </c>
      <c r="J127">
        <f t="shared" si="22"/>
        <v>0.52</v>
      </c>
      <c r="K127" t="str">
        <f t="shared" si="23"/>
        <v>N/A</v>
      </c>
      <c r="L127" t="str">
        <f t="shared" si="24"/>
        <v>N/A</v>
      </c>
      <c r="M127" t="str">
        <f t="shared" si="25"/>
        <v>N/A</v>
      </c>
      <c r="N127" t="str">
        <f t="shared" si="26"/>
        <v>N/A</v>
      </c>
    </row>
    <row r="128" spans="1:14" x14ac:dyDescent="0.3">
      <c r="A128" s="1">
        <v>3</v>
      </c>
      <c r="B128" t="s">
        <v>217</v>
      </c>
      <c r="C128" t="s">
        <v>268</v>
      </c>
      <c r="I128" t="str">
        <f t="shared" si="21"/>
        <v>N/A</v>
      </c>
      <c r="J128">
        <f t="shared" si="22"/>
        <v>8.8000000000000005E-3</v>
      </c>
      <c r="K128" t="str">
        <f t="shared" si="23"/>
        <v>N/A</v>
      </c>
      <c r="L128" t="str">
        <f t="shared" si="24"/>
        <v>N/A</v>
      </c>
      <c r="M128" t="str">
        <f t="shared" si="25"/>
        <v>N/A</v>
      </c>
      <c r="N128" t="str">
        <f t="shared" si="26"/>
        <v>N/A</v>
      </c>
    </row>
    <row r="129" spans="1:60" x14ac:dyDescent="0.3">
      <c r="A129" s="1">
        <v>4</v>
      </c>
      <c r="B129" t="s">
        <v>219</v>
      </c>
      <c r="C129" t="s">
        <v>1769</v>
      </c>
      <c r="I129" t="str">
        <f t="shared" si="21"/>
        <v>N/A</v>
      </c>
      <c r="J129">
        <f t="shared" si="22"/>
        <v>1.28</v>
      </c>
      <c r="K129" t="str">
        <f t="shared" si="23"/>
        <v>N/A</v>
      </c>
      <c r="L129" t="str">
        <f t="shared" si="24"/>
        <v>N/A</v>
      </c>
      <c r="M129" t="str">
        <f t="shared" si="25"/>
        <v>N/A</v>
      </c>
      <c r="N129" t="str">
        <f t="shared" si="26"/>
        <v>N/A</v>
      </c>
    </row>
    <row r="130" spans="1:60" x14ac:dyDescent="0.3">
      <c r="A130" s="1">
        <v>5</v>
      </c>
      <c r="B130" t="s">
        <v>221</v>
      </c>
      <c r="C130" t="s">
        <v>1770</v>
      </c>
      <c r="I130" t="str">
        <f t="shared" si="21"/>
        <v>N/A</v>
      </c>
      <c r="J130">
        <f t="shared" si="22"/>
        <v>0.19620000000000001</v>
      </c>
      <c r="K130" t="str">
        <f t="shared" si="23"/>
        <v>N/A</v>
      </c>
      <c r="L130" t="str">
        <f t="shared" si="24"/>
        <v>N/A</v>
      </c>
      <c r="M130" t="str">
        <f t="shared" si="25"/>
        <v>N/A</v>
      </c>
      <c r="N130" t="str">
        <f t="shared" si="26"/>
        <v>N/A</v>
      </c>
    </row>
    <row r="131" spans="1:60" x14ac:dyDescent="0.3">
      <c r="A131" s="1">
        <v>6</v>
      </c>
      <c r="B131" t="s">
        <v>223</v>
      </c>
      <c r="C131" t="s">
        <v>1771</v>
      </c>
      <c r="I131" t="str">
        <f t="shared" si="21"/>
        <v>N/A</v>
      </c>
      <c r="J131" t="str">
        <f t="shared" si="22"/>
        <v>N/A</v>
      </c>
      <c r="K131" t="str">
        <f t="shared" si="23"/>
        <v>N/A</v>
      </c>
      <c r="L131" t="str">
        <f t="shared" si="24"/>
        <v>N/A</v>
      </c>
      <c r="M131" t="str">
        <f t="shared" si="25"/>
        <v>N/A</v>
      </c>
      <c r="N131" t="str">
        <f t="shared" si="26"/>
        <v>N/A</v>
      </c>
    </row>
    <row r="132" spans="1:60" x14ac:dyDescent="0.3">
      <c r="A132" s="1">
        <v>7</v>
      </c>
      <c r="B132" t="s">
        <v>225</v>
      </c>
      <c r="C132" t="s">
        <v>1772</v>
      </c>
      <c r="I132" t="str">
        <f t="shared" si="21"/>
        <v>N/A</v>
      </c>
      <c r="J132" t="str">
        <f t="shared" si="22"/>
        <v>N/A</v>
      </c>
      <c r="K132" t="str">
        <f t="shared" si="23"/>
        <v>N/A</v>
      </c>
      <c r="L132" t="str">
        <f t="shared" si="24"/>
        <v>N/A</v>
      </c>
      <c r="M132" t="str">
        <f t="shared" si="25"/>
        <v>N/A</v>
      </c>
      <c r="N132" t="str">
        <f t="shared" si="26"/>
        <v>N/A</v>
      </c>
    </row>
    <row r="133" spans="1:60" x14ac:dyDescent="0.3">
      <c r="A133" s="1">
        <v>8</v>
      </c>
      <c r="B133" t="s">
        <v>227</v>
      </c>
      <c r="C133" t="s">
        <v>1773</v>
      </c>
      <c r="I133" t="str">
        <f t="shared" si="21"/>
        <v>N/A</v>
      </c>
      <c r="J133">
        <f t="shared" si="22"/>
        <v>42767</v>
      </c>
      <c r="K133" t="str">
        <f t="shared" si="23"/>
        <v>N/A</v>
      </c>
      <c r="L133" t="str">
        <f t="shared" si="24"/>
        <v>N/A</v>
      </c>
      <c r="M133" t="str">
        <f t="shared" si="25"/>
        <v>N/A</v>
      </c>
      <c r="N133" t="str">
        <f t="shared" si="26"/>
        <v>N/A</v>
      </c>
    </row>
    <row r="134" spans="1:60" x14ac:dyDescent="0.3">
      <c r="A134" s="1">
        <v>9</v>
      </c>
      <c r="B134" t="s">
        <v>229</v>
      </c>
      <c r="C134" t="s">
        <v>1774</v>
      </c>
      <c r="I134" t="str">
        <f t="shared" si="21"/>
        <v>N/A</v>
      </c>
      <c r="J134" t="str">
        <f t="shared" si="22"/>
        <v>N/A</v>
      </c>
      <c r="K134" t="str">
        <f t="shared" si="23"/>
        <v>N/A</v>
      </c>
      <c r="L134" t="str">
        <f t="shared" si="24"/>
        <v>N/A</v>
      </c>
      <c r="M134" t="str">
        <f t="shared" si="25"/>
        <v>N/A</v>
      </c>
      <c r="N134" t="str">
        <f t="shared" si="26"/>
        <v>N/A</v>
      </c>
    </row>
    <row r="135" spans="1:60" x14ac:dyDescent="0.3">
      <c r="I135" t="str">
        <f t="shared" si="21"/>
        <v>N/A</v>
      </c>
      <c r="J135" t="str">
        <f t="shared" si="22"/>
        <v>N/A</v>
      </c>
      <c r="K135" t="str">
        <f t="shared" si="23"/>
        <v>N/A</v>
      </c>
      <c r="L135" t="str">
        <f t="shared" si="24"/>
        <v>N/A</v>
      </c>
      <c r="M135" t="str">
        <f t="shared" si="25"/>
        <v>N/A</v>
      </c>
      <c r="N135" t="str">
        <f t="shared" si="26"/>
        <v>N/A</v>
      </c>
    </row>
    <row r="136" spans="1:60" x14ac:dyDescent="0.3">
      <c r="I136" t="str">
        <f t="shared" si="21"/>
        <v>N/A</v>
      </c>
      <c r="J136" t="str">
        <f t="shared" si="22"/>
        <v>N/A</v>
      </c>
      <c r="K136" t="str">
        <f t="shared" si="23"/>
        <v>N/A</v>
      </c>
      <c r="L136" t="str">
        <f t="shared" si="24"/>
        <v>N/A</v>
      </c>
      <c r="M136" t="str">
        <f t="shared" si="25"/>
        <v>N/A</v>
      </c>
      <c r="N136" t="str">
        <f t="shared" si="26"/>
        <v>N/A</v>
      </c>
    </row>
    <row r="137" spans="1:60" x14ac:dyDescent="0.3">
      <c r="B137" s="1" t="s">
        <v>231</v>
      </c>
      <c r="C137" s="1" t="s">
        <v>232</v>
      </c>
      <c r="D137" s="1" t="s">
        <v>233</v>
      </c>
      <c r="E137" s="1" t="s">
        <v>234</v>
      </c>
      <c r="F137" s="1" t="s">
        <v>235</v>
      </c>
      <c r="I137" t="str">
        <f t="shared" si="21"/>
        <v>N/A</v>
      </c>
      <c r="J137" t="str">
        <f t="shared" si="22"/>
        <v>N/A</v>
      </c>
      <c r="K137" t="str">
        <f t="shared" si="23"/>
        <v>N/A</v>
      </c>
      <c r="L137" t="str">
        <f t="shared" si="24"/>
        <v>N/A</v>
      </c>
      <c r="M137" t="str">
        <f t="shared" si="25"/>
        <v>N/A</v>
      </c>
      <c r="N137" t="str">
        <f t="shared" si="26"/>
        <v>N/A</v>
      </c>
    </row>
    <row r="138" spans="1:60" x14ac:dyDescent="0.3">
      <c r="A138" s="1">
        <v>0</v>
      </c>
      <c r="B138" t="s">
        <v>1775</v>
      </c>
      <c r="C138" t="s">
        <v>237</v>
      </c>
      <c r="D138" t="s">
        <v>1776</v>
      </c>
      <c r="E138" t="s">
        <v>1777</v>
      </c>
      <c r="F138">
        <v>53</v>
      </c>
      <c r="I138" t="str">
        <f t="shared" si="21"/>
        <v>N/A</v>
      </c>
      <c r="J138" t="str">
        <f t="shared" si="22"/>
        <v>N/A</v>
      </c>
      <c r="K138">
        <f t="shared" si="23"/>
        <v>1680000</v>
      </c>
      <c r="L138">
        <f t="shared" si="24"/>
        <v>1370000</v>
      </c>
      <c r="M138">
        <f t="shared" si="25"/>
        <v>53</v>
      </c>
      <c r="N138" t="str">
        <f t="shared" si="26"/>
        <v>N/A</v>
      </c>
    </row>
    <row r="139" spans="1:60" x14ac:dyDescent="0.3">
      <c r="A139" s="1">
        <v>1</v>
      </c>
      <c r="B139" t="s">
        <v>1778</v>
      </c>
      <c r="C139" t="s">
        <v>1779</v>
      </c>
      <c r="D139" t="s">
        <v>1780</v>
      </c>
      <c r="E139" t="s">
        <v>1781</v>
      </c>
      <c r="F139">
        <v>52</v>
      </c>
      <c r="I139" t="str">
        <f t="shared" si="21"/>
        <v>N/A</v>
      </c>
      <c r="J139" t="str">
        <f t="shared" si="22"/>
        <v>N/A</v>
      </c>
      <c r="K139">
        <f t="shared" si="23"/>
        <v>880460</v>
      </c>
      <c r="L139">
        <f t="shared" si="24"/>
        <v>225300</v>
      </c>
      <c r="M139">
        <f t="shared" si="25"/>
        <v>52</v>
      </c>
      <c r="N139" t="str">
        <f t="shared" si="26"/>
        <v>N/A</v>
      </c>
    </row>
    <row r="140" spans="1:60" x14ac:dyDescent="0.3">
      <c r="A140" s="1">
        <v>2</v>
      </c>
      <c r="B140" t="s">
        <v>1782</v>
      </c>
      <c r="C140" t="s">
        <v>1783</v>
      </c>
      <c r="D140" t="s">
        <v>1784</v>
      </c>
      <c r="F140">
        <v>49</v>
      </c>
      <c r="I140" t="str">
        <f t="shared" si="21"/>
        <v>N/A</v>
      </c>
      <c r="J140" t="str">
        <f t="shared" si="22"/>
        <v>N/A</v>
      </c>
      <c r="K140">
        <f t="shared" si="23"/>
        <v>708960</v>
      </c>
      <c r="L140" t="str">
        <f t="shared" si="24"/>
        <v>N/A</v>
      </c>
      <c r="M140">
        <f t="shared" si="25"/>
        <v>49</v>
      </c>
      <c r="N140" t="str">
        <f t="shared" si="26"/>
        <v>N/A</v>
      </c>
    </row>
    <row r="141" spans="1:60" x14ac:dyDescent="0.3">
      <c r="A141" s="1">
        <v>3</v>
      </c>
      <c r="B141" t="s">
        <v>1785</v>
      </c>
      <c r="C141" t="s">
        <v>1786</v>
      </c>
      <c r="D141" t="s">
        <v>1787</v>
      </c>
      <c r="F141">
        <v>57</v>
      </c>
      <c r="I141" t="str">
        <f t="shared" si="21"/>
        <v>N/A</v>
      </c>
      <c r="J141" t="str">
        <f t="shared" si="22"/>
        <v>N/A</v>
      </c>
      <c r="K141">
        <f t="shared" si="23"/>
        <v>527080</v>
      </c>
      <c r="L141" t="str">
        <f t="shared" si="24"/>
        <v>N/A</v>
      </c>
      <c r="M141">
        <f t="shared" si="25"/>
        <v>57</v>
      </c>
      <c r="N141" t="str">
        <f t="shared" si="26"/>
        <v>N/A</v>
      </c>
    </row>
    <row r="142" spans="1:60" x14ac:dyDescent="0.3">
      <c r="A142" s="1">
        <v>4</v>
      </c>
      <c r="B142" t="s">
        <v>1788</v>
      </c>
      <c r="C142" t="s">
        <v>1789</v>
      </c>
      <c r="D142" t="s">
        <v>1790</v>
      </c>
      <c r="F142">
        <v>45</v>
      </c>
      <c r="I142" t="str">
        <f t="shared" si="21"/>
        <v>N/A</v>
      </c>
      <c r="J142" t="str">
        <f t="shared" si="22"/>
        <v>N/A</v>
      </c>
      <c r="K142">
        <f t="shared" si="23"/>
        <v>583850</v>
      </c>
      <c r="L142" t="str">
        <f t="shared" si="24"/>
        <v>N/A</v>
      </c>
      <c r="M142">
        <f t="shared" si="25"/>
        <v>45</v>
      </c>
      <c r="N142" t="str">
        <f t="shared" si="26"/>
        <v>N/A</v>
      </c>
    </row>
    <row r="143" spans="1:60" x14ac:dyDescent="0.3">
      <c r="I143" t="str">
        <f t="shared" si="21"/>
        <v>N/A</v>
      </c>
      <c r="J143" t="str">
        <f t="shared" si="22"/>
        <v>N/A</v>
      </c>
      <c r="K143" t="str">
        <f t="shared" si="23"/>
        <v>N/A</v>
      </c>
      <c r="L143" t="str">
        <f t="shared" si="24"/>
        <v>N/A</v>
      </c>
      <c r="M143" t="str">
        <f t="shared" si="25"/>
        <v>N/A</v>
      </c>
      <c r="N143" t="str">
        <f t="shared" si="26"/>
        <v>N/A</v>
      </c>
      <c r="V143" t="str">
        <f>"z-score"</f>
        <v>z-score</v>
      </c>
    </row>
    <row r="144" spans="1:60" x14ac:dyDescent="0.3">
      <c r="B144" s="1" t="s">
        <v>251</v>
      </c>
      <c r="C144" s="1" t="s">
        <v>252</v>
      </c>
      <c r="D144" s="1" t="s">
        <v>253</v>
      </c>
      <c r="E144" s="1" t="s">
        <v>254</v>
      </c>
      <c r="F144" s="1" t="s">
        <v>255</v>
      </c>
      <c r="G144" s="1" t="s">
        <v>256</v>
      </c>
      <c r="H144" s="1" t="s">
        <v>257</v>
      </c>
      <c r="I144" t="str">
        <f t="shared" si="21"/>
        <v>pos_trend</v>
      </c>
      <c r="J144">
        <f t="shared" si="22"/>
        <v>2012</v>
      </c>
      <c r="K144">
        <f t="shared" si="23"/>
        <v>2013</v>
      </c>
      <c r="L144">
        <f t="shared" si="24"/>
        <v>2014</v>
      </c>
      <c r="M144">
        <f t="shared" si="25"/>
        <v>2015</v>
      </c>
      <c r="N144">
        <f t="shared" si="26"/>
        <v>2016</v>
      </c>
      <c r="P144" t="str">
        <f>"Max"</f>
        <v>Max</v>
      </c>
      <c r="Q144" t="str">
        <f>"Max Year"</f>
        <v>Max Year</v>
      </c>
      <c r="R144" t="str">
        <f>"Min"</f>
        <v>Min</v>
      </c>
      <c r="S144" t="str">
        <f>"Min Year"</f>
        <v>Min Year</v>
      </c>
      <c r="T144" t="str">
        <f>"Average"</f>
        <v>Average</v>
      </c>
      <c r="U144" t="str">
        <f>"SD"</f>
        <v>SD</v>
      </c>
      <c r="V144">
        <f>J144</f>
        <v>2012</v>
      </c>
      <c r="W144">
        <f>K144</f>
        <v>2013</v>
      </c>
      <c r="X144">
        <f>L144</f>
        <v>2014</v>
      </c>
      <c r="Y144">
        <f>M144</f>
        <v>2015</v>
      </c>
      <c r="Z144">
        <f>N144</f>
        <v>2016</v>
      </c>
      <c r="AA144" t="str">
        <f>"Max z"</f>
        <v>Max z</v>
      </c>
      <c r="AB144" t="str">
        <f>"Max z Year"</f>
        <v>Max z Year</v>
      </c>
      <c r="AC144" t="str">
        <f>"Direction"</f>
        <v>Direction</v>
      </c>
      <c r="AE144" t="str">
        <f>"Trendline"</f>
        <v>Trendline</v>
      </c>
      <c r="AF144" t="str">
        <f>"Correlation"</f>
        <v>Correlation</v>
      </c>
      <c r="AZ144" t="str">
        <f>"Max/Min inequality check"</f>
        <v>Max/Min inequality check</v>
      </c>
      <c r="BA144" t="str">
        <f>"If most recent year is max"</f>
        <v>If most recent year is max</v>
      </c>
      <c r="BC144" t="str">
        <f>"If most recent year is min"</f>
        <v>If most recent year is min</v>
      </c>
      <c r="BE144" t="str">
        <f>"Trend direction"</f>
        <v>Trend direction</v>
      </c>
      <c r="BF144" t="str">
        <f>"If trend matched by max or min in most recent year"</f>
        <v>If trend matched by max or min in most recent year</v>
      </c>
      <c r="BG144" t="str">
        <f>"If 5 years of increasing"</f>
        <v>If 5 years of increasing</v>
      </c>
      <c r="BH144" t="str">
        <f>"If correlation &gt; .8"</f>
        <v>If correlation &gt; .8</v>
      </c>
    </row>
    <row r="145" spans="1:60" x14ac:dyDescent="0.3">
      <c r="A145" s="1">
        <v>0</v>
      </c>
      <c r="B145" t="s">
        <v>258</v>
      </c>
      <c r="C145" t="s">
        <v>1712</v>
      </c>
      <c r="D145" t="s">
        <v>533</v>
      </c>
      <c r="E145" t="s">
        <v>1375</v>
      </c>
      <c r="F145" t="s">
        <v>305</v>
      </c>
      <c r="G145" t="s">
        <v>1712</v>
      </c>
      <c r="I145" t="str">
        <f t="shared" si="21"/>
        <v>N/A</v>
      </c>
      <c r="J145">
        <f t="shared" si="22"/>
        <v>1230000000</v>
      </c>
      <c r="K145">
        <f t="shared" si="23"/>
        <v>1090000000</v>
      </c>
      <c r="L145">
        <f t="shared" si="24"/>
        <v>1260000000</v>
      </c>
      <c r="M145">
        <f t="shared" si="25"/>
        <v>1190000000</v>
      </c>
      <c r="N145">
        <f t="shared" si="26"/>
        <v>1230000000</v>
      </c>
      <c r="P145">
        <f t="shared" ref="P145:P208" si="27">MAX(J145:N145)</f>
        <v>1260000000</v>
      </c>
      <c r="Q145">
        <f>IFERROR(J144+MATCH(P145,J145:N145,0)-1,"")</f>
        <v>2014</v>
      </c>
      <c r="R145">
        <f t="shared" ref="R145:R208" si="28">IF(Q145="","",MIN(J145:N145))</f>
        <v>1090000000</v>
      </c>
      <c r="S145">
        <f>IFERROR(J144+MATCH(R145,J145:N145,0)-1,"")</f>
        <v>2013</v>
      </c>
      <c r="T145">
        <f t="shared" ref="T145:T208" si="29">IFERROR(AVERAGE(J145:N145),"")</f>
        <v>1200000000</v>
      </c>
      <c r="U145">
        <f t="shared" ref="U145:U208" si="30">IFERROR(STDEV(J145:N145),"")</f>
        <v>66332495.807108</v>
      </c>
      <c r="V145">
        <f t="shared" ref="V145:V208" si="31">IFERROR(IF(C145="-","",IF(ISBLANK(B145),"",IF(OR(ISNUMBER(FIND("Growth",B145)),ISNUMBER(FIND("Margin",B145))),"",(J145-T145)/U145))),"")</f>
        <v>0.45226701686664539</v>
      </c>
      <c r="W145">
        <f t="shared" ref="W145:W208" si="32">IFERROR(IF(OR(D145="-",ISBLANK(D145)),"",(K145-T145)/U145),"")</f>
        <v>-1.6583123951776999</v>
      </c>
      <c r="X145">
        <f t="shared" ref="X145:X208" si="33">IFERROR(IF(OR(E145="-",ISBLANK(E145)),"",(L145-T145)/U145),"")</f>
        <v>0.90453403373329078</v>
      </c>
      <c r="Y145">
        <f t="shared" ref="Y145:Y208" si="34">IFERROR(IF(OR(F145="-",ISBLANK(F145)),"",(M145-T145)/U145),"")</f>
        <v>-0.15075567228888181</v>
      </c>
      <c r="Z145">
        <f t="shared" ref="Z145:Z208" si="35">IFERROR(IF(OR(G145="-",ISBLANK(G145)),"",(N145-T145)/U145),"")</f>
        <v>0.45226701686664539</v>
      </c>
      <c r="AA145">
        <f t="shared" ref="AA145:AA208" si="36">IF(MAX(MAX(V145:Z145),ABS(MIN(V145:Z145)))=ABS(MIN(V145:Z145)),MIN(V145:Z145),MAX(V145:Z145))</f>
        <v>-1.6583123951776999</v>
      </c>
      <c r="AB145">
        <f>IFERROR(V144+MATCH(AA145,V145:Z145,0)-1,"")</f>
        <v>2013</v>
      </c>
      <c r="AC145" t="str">
        <f t="shared" ref="AC145:AC208" si="37">IF(AB145&lt;&gt;"",IF(S145=AB145,"Low",IF(AB145=Q145,"High","")),"")</f>
        <v>Low</v>
      </c>
      <c r="AE145">
        <f>IF(ISNUMBER(MATCH("N/A",J145:N145,0)),"",IFERROR((5 * SUMPRODUCT(J144:N144,J145:N145) - PRODUCT(SUM(J144:N144),SUM(J145:N145))) / ((5 * SUM((J144^2)+(K144^2)+(L144^2)+(M144^2)+(N144^2))) - SUM(J144:N144)^2),""))</f>
        <v>10000000</v>
      </c>
      <c r="AF145">
        <f>IFERROR(CORREL(J144:N144,J145:N145),"")</f>
        <v>0.23836564731139803</v>
      </c>
      <c r="AZ145">
        <f t="shared" ref="AZ145:AZ208" si="38">IF(Q145=S145,0,1)</f>
        <v>1</v>
      </c>
      <c r="BA145" t="str">
        <f>IF(AZ145=1,IF(Q145="","",IF(Q145=N144,"Yes","No")),"")</f>
        <v>No</v>
      </c>
      <c r="BB145" t="str">
        <f t="shared" ref="BB145:BB208" si="39">IF(BA145="Yes",P145,"")</f>
        <v/>
      </c>
      <c r="BC145" t="str">
        <f>IF(AZ145=1,IF(S145="","",IF(S145=N144,"Yes","No")),"")</f>
        <v>No</v>
      </c>
      <c r="BD145" t="str">
        <f t="shared" ref="BD145:BD208" si="40">IF(BC145="Yes",R145,"")</f>
        <v/>
      </c>
      <c r="BE145" t="str">
        <f t="shared" ref="BE145:BE208" si="41">IFERROR(IF(SIGN(AE145)=1,"Increasing",IF(SIGN(AE145)=-1,"Decreasing","")),"")</f>
        <v>Increasing</v>
      </c>
      <c r="BF145" t="str">
        <f t="shared" ref="BF145:BF208" si="42">IF(OR(AND(BE145="Increasing",BA145="Yes"),AND(BE145="Decreasing",BC145="Yes")),"Yes","No")</f>
        <v>No</v>
      </c>
      <c r="BG145" t="str">
        <f t="shared" ref="BG145:BG208" si="43">IF(I145="pos_trend","Yes","No")</f>
        <v>No</v>
      </c>
      <c r="BH145" t="str">
        <f t="shared" ref="BH145:BH208" si="44">IF(AF145&lt;&gt;"",IF(ABS(AF145)&gt;0.8,"Yes","No"),"")</f>
        <v>No</v>
      </c>
    </row>
    <row r="146" spans="1:60" x14ac:dyDescent="0.3">
      <c r="A146" s="1">
        <v>1</v>
      </c>
      <c r="B146" t="s">
        <v>263</v>
      </c>
      <c r="C146" t="s">
        <v>264</v>
      </c>
      <c r="D146" t="s">
        <v>1791</v>
      </c>
      <c r="E146" t="s">
        <v>1792</v>
      </c>
      <c r="F146" t="s">
        <v>1793</v>
      </c>
      <c r="G146" t="s">
        <v>1794</v>
      </c>
      <c r="I146" t="str">
        <f t="shared" si="21"/>
        <v>N/A</v>
      </c>
      <c r="J146" t="str">
        <f t="shared" si="22"/>
        <v>N/A</v>
      </c>
      <c r="K146">
        <f t="shared" si="23"/>
        <v>-0.11310000000000001</v>
      </c>
      <c r="L146">
        <f t="shared" si="24"/>
        <v>0.1573</v>
      </c>
      <c r="M146">
        <f t="shared" si="25"/>
        <v>-5.3800000000000001E-2</v>
      </c>
      <c r="N146">
        <f t="shared" si="26"/>
        <v>3.04E-2</v>
      </c>
      <c r="P146">
        <f t="shared" si="27"/>
        <v>0.1573</v>
      </c>
      <c r="Q146">
        <f>IFERROR(J144+MATCH(P146,J146:N146,0)-1,"")</f>
        <v>2014</v>
      </c>
      <c r="R146">
        <f t="shared" si="28"/>
        <v>-0.11310000000000001</v>
      </c>
      <c r="S146">
        <f>IFERROR(J144+MATCH(R146,J146:N146,0)-1,"")</f>
        <v>2013</v>
      </c>
      <c r="T146">
        <f t="shared" si="29"/>
        <v>5.1999999999999972E-3</v>
      </c>
      <c r="U146">
        <f t="shared" si="30"/>
        <v>0.11725377037292517</v>
      </c>
      <c r="V146" t="str">
        <f t="shared" si="31"/>
        <v/>
      </c>
      <c r="W146">
        <f t="shared" si="32"/>
        <v>-1.0089227802547185</v>
      </c>
      <c r="X146">
        <f t="shared" si="33"/>
        <v>1.2971864317560664</v>
      </c>
      <c r="Y146">
        <f t="shared" si="34"/>
        <v>-0.50318211356744202</v>
      </c>
      <c r="Z146">
        <f t="shared" si="35"/>
        <v>0.21491846206609391</v>
      </c>
      <c r="AA146">
        <f t="shared" si="36"/>
        <v>1.2971864317560664</v>
      </c>
      <c r="AB146">
        <f>IFERROR(V144+MATCH(AA146,V146:Z146,0)-1,"")</f>
        <v>2014</v>
      </c>
      <c r="AC146" t="str">
        <f t="shared" si="37"/>
        <v>High</v>
      </c>
      <c r="AE146" t="str">
        <f>IF(ISNUMBER(MATCH("N/A",J146:N146,0)),"",IFERROR((5 * SUMPRODUCT(J144:N144,J146:N146) - PRODUCT(SUM(J144:N144),SUM(J146:N146))) / ((5 * SUM((J144^2)+(K144^2)+(L144^2)+(M144^2)+(N144^2))) - SUM(J144:N144)^2),""))</f>
        <v/>
      </c>
      <c r="AF146">
        <f>IFERROR(CORREL(J144:N144,J146:N146),"")</f>
        <v>0.24156509522190947</v>
      </c>
      <c r="AZ146">
        <f t="shared" si="38"/>
        <v>1</v>
      </c>
      <c r="BA146" t="str">
        <f>IF(AZ146=1,IF(Q146="","",IF(Q146=N144,"Yes","No")),"")</f>
        <v>No</v>
      </c>
      <c r="BB146" t="str">
        <f t="shared" si="39"/>
        <v/>
      </c>
      <c r="BC146" t="str">
        <f>IF(AZ146=1,IF(S146="","",IF(S146=N144,"Yes","No")),"")</f>
        <v>No</v>
      </c>
      <c r="BD146" t="str">
        <f t="shared" si="40"/>
        <v/>
      </c>
      <c r="BE146" t="str">
        <f t="shared" si="41"/>
        <v/>
      </c>
      <c r="BF146" t="str">
        <f t="shared" si="42"/>
        <v>No</v>
      </c>
      <c r="BG146" t="str">
        <f t="shared" si="43"/>
        <v>No</v>
      </c>
      <c r="BH146" t="str">
        <f t="shared" si="44"/>
        <v>No</v>
      </c>
    </row>
    <row r="147" spans="1:60" x14ac:dyDescent="0.3">
      <c r="A147" s="1">
        <v>2</v>
      </c>
      <c r="B147" t="s">
        <v>269</v>
      </c>
      <c r="C147" t="s">
        <v>1795</v>
      </c>
      <c r="D147" t="s">
        <v>1796</v>
      </c>
      <c r="E147" t="s">
        <v>1797</v>
      </c>
      <c r="F147" t="s">
        <v>1798</v>
      </c>
      <c r="G147" t="s">
        <v>1799</v>
      </c>
      <c r="I147" t="str">
        <f t="shared" si="21"/>
        <v>N/A</v>
      </c>
      <c r="J147">
        <f t="shared" si="22"/>
        <v>812190000</v>
      </c>
      <c r="K147">
        <f t="shared" si="23"/>
        <v>738170000</v>
      </c>
      <c r="L147">
        <f t="shared" si="24"/>
        <v>824230000</v>
      </c>
      <c r="M147">
        <f t="shared" si="25"/>
        <v>778230000</v>
      </c>
      <c r="N147">
        <f t="shared" si="26"/>
        <v>790300000</v>
      </c>
      <c r="P147">
        <f t="shared" si="27"/>
        <v>824230000</v>
      </c>
      <c r="Q147">
        <f>IFERROR(J144+MATCH(P147,J147:N147,0)-1,"")</f>
        <v>2014</v>
      </c>
      <c r="R147">
        <f t="shared" si="28"/>
        <v>738170000</v>
      </c>
      <c r="S147">
        <f>IFERROR(J144+MATCH(R147,J147:N147,0)-1,"")</f>
        <v>2013</v>
      </c>
      <c r="T147">
        <f t="shared" si="29"/>
        <v>788624000</v>
      </c>
      <c r="U147">
        <f t="shared" si="30"/>
        <v>33464884.281885691</v>
      </c>
      <c r="V147">
        <f t="shared" si="31"/>
        <v>0.70420085130119847</v>
      </c>
      <c r="W147">
        <f t="shared" si="32"/>
        <v>-1.5076699376877989</v>
      </c>
      <c r="X147">
        <f t="shared" si="33"/>
        <v>1.0639809688292656</v>
      </c>
      <c r="Y147">
        <f t="shared" si="34"/>
        <v>-0.31059423102879813</v>
      </c>
      <c r="Z147">
        <f t="shared" si="35"/>
        <v>5.0082348586132933E-2</v>
      </c>
      <c r="AA147">
        <f t="shared" si="36"/>
        <v>-1.5076699376877989</v>
      </c>
      <c r="AB147">
        <f>IFERROR(V144+MATCH(AA147,V147:Z147,0)-1,"")</f>
        <v>2013</v>
      </c>
      <c r="AC147" t="str">
        <f t="shared" si="37"/>
        <v>Low</v>
      </c>
      <c r="AE147">
        <f>IF(ISNUMBER(MATCH("N/A",J147:N147,0)),"",IFERROR((5 * SUMPRODUCT(J144:N144,J147:N147) - PRODUCT(SUM(J144:N144),SUM(J147:N147))) / ((5 * SUM((J144^2)+(K144^2)+(L144^2)+(M144^2)+(N144^2))) - SUM(J144:N144)^2),""))</f>
        <v>-372000</v>
      </c>
      <c r="AF147">
        <f>IFERROR(CORREL(J144:N144,J147:N147),"")</f>
        <v>-1.7576144588962412E-2</v>
      </c>
      <c r="AZ147">
        <f t="shared" si="38"/>
        <v>1</v>
      </c>
      <c r="BA147" t="str">
        <f>IF(AZ147=1,IF(Q147="","",IF(Q147=N144,"Yes","No")),"")</f>
        <v>No</v>
      </c>
      <c r="BB147" t="str">
        <f t="shared" si="39"/>
        <v/>
      </c>
      <c r="BC147" t="str">
        <f>IF(AZ147=1,IF(S147="","",IF(S147=N144,"Yes","No")),"")</f>
        <v>No</v>
      </c>
      <c r="BD147" t="str">
        <f t="shared" si="40"/>
        <v/>
      </c>
      <c r="BE147" t="str">
        <f t="shared" si="41"/>
        <v>Decreasing</v>
      </c>
      <c r="BF147" t="str">
        <f t="shared" si="42"/>
        <v>No</v>
      </c>
      <c r="BG147" t="str">
        <f t="shared" si="43"/>
        <v>No</v>
      </c>
      <c r="BH147" t="str">
        <f t="shared" si="44"/>
        <v>No</v>
      </c>
    </row>
    <row r="148" spans="1:60" x14ac:dyDescent="0.3">
      <c r="A148" s="1">
        <v>3</v>
      </c>
      <c r="B148" t="s">
        <v>275</v>
      </c>
      <c r="C148" t="s">
        <v>1800</v>
      </c>
      <c r="D148" t="s">
        <v>1801</v>
      </c>
      <c r="E148" t="s">
        <v>1802</v>
      </c>
      <c r="F148" t="s">
        <v>1803</v>
      </c>
      <c r="G148" t="s">
        <v>1804</v>
      </c>
      <c r="I148" t="str">
        <f t="shared" si="21"/>
        <v>N/A</v>
      </c>
      <c r="J148">
        <f t="shared" si="22"/>
        <v>754830000</v>
      </c>
      <c r="K148">
        <f t="shared" si="23"/>
        <v>673120000</v>
      </c>
      <c r="L148">
        <f t="shared" si="24"/>
        <v>742830000</v>
      </c>
      <c r="M148">
        <f t="shared" si="25"/>
        <v>699990000</v>
      </c>
      <c r="N148">
        <f t="shared" si="26"/>
        <v>710150000</v>
      </c>
      <c r="P148">
        <f t="shared" si="27"/>
        <v>754830000</v>
      </c>
      <c r="Q148">
        <f>IFERROR(J144+MATCH(P148,J148:N148,0)-1,"")</f>
        <v>2012</v>
      </c>
      <c r="R148">
        <f t="shared" si="28"/>
        <v>673120000</v>
      </c>
      <c r="S148">
        <f>IFERROR(J144+MATCH(R148,J148:N148,0)-1,"")</f>
        <v>2013</v>
      </c>
      <c r="T148">
        <f t="shared" si="29"/>
        <v>716184000</v>
      </c>
      <c r="U148">
        <f t="shared" si="30"/>
        <v>33002596.56451292</v>
      </c>
      <c r="V148">
        <f t="shared" si="31"/>
        <v>1.1709987704893294</v>
      </c>
      <c r="W148">
        <f t="shared" si="32"/>
        <v>-1.3048670251087431</v>
      </c>
      <c r="X148">
        <f t="shared" si="33"/>
        <v>0.80739101688295489</v>
      </c>
      <c r="Y148">
        <f t="shared" si="34"/>
        <v>-0.49068866349180257</v>
      </c>
      <c r="Z148">
        <f t="shared" si="35"/>
        <v>-0.18283409877173873</v>
      </c>
      <c r="AA148">
        <f t="shared" si="36"/>
        <v>-1.3048670251087431</v>
      </c>
      <c r="AB148">
        <f>IFERROR(V144+MATCH(AA148,V148:Z148,0)-1,"")</f>
        <v>2013</v>
      </c>
      <c r="AC148" t="str">
        <f t="shared" si="37"/>
        <v>Low</v>
      </c>
      <c r="AE148">
        <f>IF(ISNUMBER(MATCH("N/A",J148:N148,0)),"",IFERROR((5 * SUMPRODUCT(J144:N144,J148:N148) - PRODUCT(SUM(J144:N144),SUM(J148:N148))) / ((5 * SUM((J144^2)+(K144^2)+(L144^2)+(M144^2)+(N144^2))) - SUM(J144:N144)^2),""))</f>
        <v>-6249000</v>
      </c>
      <c r="AF148">
        <f>IFERROR(CORREL(J144:N144,J148:N148),"")</f>
        <v>-0.29938664158990624</v>
      </c>
      <c r="AZ148">
        <f t="shared" si="38"/>
        <v>1</v>
      </c>
      <c r="BA148" t="str">
        <f>IF(AZ148=1,IF(Q148="","",IF(Q148=N144,"Yes","No")),"")</f>
        <v>No</v>
      </c>
      <c r="BB148" t="str">
        <f t="shared" si="39"/>
        <v/>
      </c>
      <c r="BC148" t="str">
        <f>IF(AZ148=1,IF(S148="","",IF(S148=N144,"Yes","No")),"")</f>
        <v>No</v>
      </c>
      <c r="BD148" t="str">
        <f t="shared" si="40"/>
        <v/>
      </c>
      <c r="BE148" t="str">
        <f t="shared" si="41"/>
        <v>Decreasing</v>
      </c>
      <c r="BF148" t="str">
        <f t="shared" si="42"/>
        <v>No</v>
      </c>
      <c r="BG148" t="str">
        <f t="shared" si="43"/>
        <v>No</v>
      </c>
      <c r="BH148" t="str">
        <f t="shared" si="44"/>
        <v>No</v>
      </c>
    </row>
    <row r="149" spans="1:60" x14ac:dyDescent="0.3">
      <c r="A149" s="1">
        <v>4</v>
      </c>
      <c r="B149" t="s">
        <v>281</v>
      </c>
      <c r="C149" t="s">
        <v>1805</v>
      </c>
      <c r="D149" t="s">
        <v>1806</v>
      </c>
      <c r="E149" t="s">
        <v>1807</v>
      </c>
      <c r="F149" t="s">
        <v>1808</v>
      </c>
      <c r="G149" t="s">
        <v>1809</v>
      </c>
      <c r="I149" t="str">
        <f t="shared" si="21"/>
        <v>N/A</v>
      </c>
      <c r="J149">
        <f t="shared" si="22"/>
        <v>57360000</v>
      </c>
      <c r="K149">
        <f t="shared" si="23"/>
        <v>65050000</v>
      </c>
      <c r="L149">
        <f t="shared" si="24"/>
        <v>81400000</v>
      </c>
      <c r="M149">
        <f t="shared" si="25"/>
        <v>78240000</v>
      </c>
      <c r="N149">
        <f t="shared" si="26"/>
        <v>80150000</v>
      </c>
      <c r="P149">
        <f t="shared" si="27"/>
        <v>81400000</v>
      </c>
      <c r="Q149">
        <f>IFERROR(J144+MATCH(P149,J149:N149,0)-1,"")</f>
        <v>2014</v>
      </c>
      <c r="R149">
        <f t="shared" si="28"/>
        <v>57360000</v>
      </c>
      <c r="S149">
        <f>IFERROR(J144+MATCH(R149,J149:N149,0)-1,"")</f>
        <v>2012</v>
      </c>
      <c r="T149">
        <f t="shared" si="29"/>
        <v>72440000</v>
      </c>
      <c r="U149">
        <f t="shared" si="30"/>
        <v>10669866.447149185</v>
      </c>
      <c r="V149">
        <f t="shared" si="31"/>
        <v>-1.413326031276533</v>
      </c>
      <c r="W149">
        <f t="shared" si="32"/>
        <v>-0.69260473283379176</v>
      </c>
      <c r="X149">
        <f t="shared" si="33"/>
        <v>0.83974809285396124</v>
      </c>
      <c r="Y149">
        <f t="shared" si="34"/>
        <v>0.5435869351063588</v>
      </c>
      <c r="Z149">
        <f t="shared" si="35"/>
        <v>0.72259573615000461</v>
      </c>
      <c r="AA149">
        <f t="shared" si="36"/>
        <v>-1.413326031276533</v>
      </c>
      <c r="AB149">
        <f>IFERROR(V144+MATCH(AA149,V149:Z149,0)-1,"")</f>
        <v>2012</v>
      </c>
      <c r="AC149" t="str">
        <f t="shared" si="37"/>
        <v>Low</v>
      </c>
      <c r="AE149">
        <f>IF(ISNUMBER(MATCH("N/A",J149:N149,0)),"",IFERROR((5 * SUMPRODUCT(J144:N144,J149:N149) - PRODUCT(SUM(J144:N144),SUM(J149:N149))) / ((5 * SUM((J144^2)+(K144^2)+(L144^2)+(M144^2)+(N144^2))) - SUM(J144:N144)^2),""))</f>
        <v>5877000</v>
      </c>
      <c r="AF149">
        <f>IFERROR(CORREL(J144:N144,J149:N149),"")</f>
        <v>0.87089683366070125</v>
      </c>
      <c r="AZ149">
        <f t="shared" si="38"/>
        <v>1</v>
      </c>
      <c r="BA149" t="str">
        <f>IF(AZ149=1,IF(Q149="","",IF(Q149=N144,"Yes","No")),"")</f>
        <v>No</v>
      </c>
      <c r="BB149" t="str">
        <f t="shared" si="39"/>
        <v/>
      </c>
      <c r="BC149" t="str">
        <f>IF(AZ149=1,IF(S149="","",IF(S149=N144,"Yes","No")),"")</f>
        <v>No</v>
      </c>
      <c r="BD149" t="str">
        <f t="shared" si="40"/>
        <v/>
      </c>
      <c r="BE149" t="str">
        <f t="shared" si="41"/>
        <v>Increasing</v>
      </c>
      <c r="BF149" t="str">
        <f t="shared" si="42"/>
        <v>No</v>
      </c>
      <c r="BG149" t="str">
        <f t="shared" si="43"/>
        <v>No</v>
      </c>
      <c r="BH149" t="str">
        <f t="shared" si="44"/>
        <v>Yes</v>
      </c>
    </row>
    <row r="150" spans="1:60" x14ac:dyDescent="0.3">
      <c r="A150" s="1">
        <v>5</v>
      </c>
      <c r="B150" t="s">
        <v>287</v>
      </c>
      <c r="C150" t="s">
        <v>1810</v>
      </c>
      <c r="D150" t="s">
        <v>1811</v>
      </c>
      <c r="E150" t="s">
        <v>1812</v>
      </c>
      <c r="F150" t="s">
        <v>1813</v>
      </c>
      <c r="G150" t="s">
        <v>1814</v>
      </c>
      <c r="I150" t="str">
        <f t="shared" si="21"/>
        <v>N/A</v>
      </c>
      <c r="J150">
        <f t="shared" si="22"/>
        <v>34220000</v>
      </c>
      <c r="K150">
        <f t="shared" si="23"/>
        <v>37080000</v>
      </c>
      <c r="L150">
        <f t="shared" si="24"/>
        <v>44270000</v>
      </c>
      <c r="M150">
        <f t="shared" si="25"/>
        <v>39740000</v>
      </c>
      <c r="N150">
        <f t="shared" si="26"/>
        <v>43400000</v>
      </c>
      <c r="P150">
        <f t="shared" si="27"/>
        <v>44270000</v>
      </c>
      <c r="Q150">
        <f>IFERROR(J144+MATCH(P150,J150:N150,0)-1,"")</f>
        <v>2014</v>
      </c>
      <c r="R150">
        <f t="shared" si="28"/>
        <v>34220000</v>
      </c>
      <c r="S150">
        <f>IFERROR(J144+MATCH(R150,J150:N150,0)-1,"")</f>
        <v>2012</v>
      </c>
      <c r="T150">
        <f t="shared" si="29"/>
        <v>39742000</v>
      </c>
      <c r="U150">
        <f t="shared" si="30"/>
        <v>4226774.1837008512</v>
      </c>
      <c r="V150">
        <f t="shared" si="31"/>
        <v>-1.3064336441946098</v>
      </c>
      <c r="W150">
        <f t="shared" si="32"/>
        <v>-0.62979470497030987</v>
      </c>
      <c r="X150">
        <f t="shared" si="33"/>
        <v>1.0712661247579125</v>
      </c>
      <c r="Y150">
        <f t="shared" si="34"/>
        <v>-4.7317408337363626E-4</v>
      </c>
      <c r="Z150">
        <f t="shared" si="35"/>
        <v>0.86543539849038076</v>
      </c>
      <c r="AA150">
        <f t="shared" si="36"/>
        <v>-1.3064336441946098</v>
      </c>
      <c r="AB150">
        <f>IFERROR(V144+MATCH(AA150,V150:Z150,0)-1,"")</f>
        <v>2012</v>
      </c>
      <c r="AC150" t="str">
        <f t="shared" si="37"/>
        <v>Low</v>
      </c>
      <c r="AE150">
        <f>IF(ISNUMBER(MATCH("N/A",J150:N150,0)),"",IFERROR((5 * SUMPRODUCT(J144:N144,J150:N150) - PRODUCT(SUM(J144:N144),SUM(J150:N150))) / ((5 * SUM((J144^2)+(K144^2)+(L144^2)+(M144^2)+(N144^2))) - SUM(J144:N144)^2),""))</f>
        <v>2102000</v>
      </c>
      <c r="AF150">
        <f>IFERROR(CORREL(J144:N144,J150:N150),"")</f>
        <v>0.78630976635873906</v>
      </c>
      <c r="AZ150">
        <f t="shared" si="38"/>
        <v>1</v>
      </c>
      <c r="BA150" t="str">
        <f>IF(AZ150=1,IF(Q150="","",IF(Q150=N144,"Yes","No")),"")</f>
        <v>No</v>
      </c>
      <c r="BB150" t="str">
        <f t="shared" si="39"/>
        <v/>
      </c>
      <c r="BC150" t="str">
        <f>IF(AZ150=1,IF(S150="","",IF(S150=N144,"Yes","No")),"")</f>
        <v>No</v>
      </c>
      <c r="BD150" t="str">
        <f t="shared" si="40"/>
        <v/>
      </c>
      <c r="BE150" t="str">
        <f t="shared" si="41"/>
        <v>Increasing</v>
      </c>
      <c r="BF150" t="str">
        <f t="shared" si="42"/>
        <v>No</v>
      </c>
      <c r="BG150" t="str">
        <f t="shared" si="43"/>
        <v>No</v>
      </c>
      <c r="BH150" t="str">
        <f t="shared" si="44"/>
        <v>No</v>
      </c>
    </row>
    <row r="151" spans="1:60" x14ac:dyDescent="0.3">
      <c r="A151" s="1">
        <v>6</v>
      </c>
      <c r="B151" t="s">
        <v>293</v>
      </c>
      <c r="C151" t="s">
        <v>1815</v>
      </c>
      <c r="D151" t="s">
        <v>1816</v>
      </c>
      <c r="E151" t="s">
        <v>1817</v>
      </c>
      <c r="F151" t="s">
        <v>1818</v>
      </c>
      <c r="G151" t="s">
        <v>1819</v>
      </c>
      <c r="I151" t="str">
        <f t="shared" si="21"/>
        <v>N/A</v>
      </c>
      <c r="J151">
        <f t="shared" si="22"/>
        <v>23140000</v>
      </c>
      <c r="K151">
        <f t="shared" si="23"/>
        <v>27970000</v>
      </c>
      <c r="L151">
        <f t="shared" si="24"/>
        <v>37130000</v>
      </c>
      <c r="M151">
        <f t="shared" si="25"/>
        <v>38500000</v>
      </c>
      <c r="N151">
        <f t="shared" si="26"/>
        <v>36750000</v>
      </c>
      <c r="P151">
        <f t="shared" si="27"/>
        <v>38500000</v>
      </c>
      <c r="Q151">
        <f>IFERROR(J144+MATCH(P151,J151:N151,0)-1,"")</f>
        <v>2015</v>
      </c>
      <c r="R151">
        <f t="shared" si="28"/>
        <v>23140000</v>
      </c>
      <c r="S151">
        <f>IFERROR(J144+MATCH(R151,J151:N151,0)-1,"")</f>
        <v>2012</v>
      </c>
      <c r="T151">
        <f t="shared" si="29"/>
        <v>32698000</v>
      </c>
      <c r="U151">
        <f t="shared" si="30"/>
        <v>6771888.2152616782</v>
      </c>
      <c r="V151">
        <f t="shared" si="31"/>
        <v>-1.411423180090202</v>
      </c>
      <c r="W151">
        <f t="shared" si="32"/>
        <v>-0.69818045568805975</v>
      </c>
      <c r="X151">
        <f t="shared" si="33"/>
        <v>0.65447034255699676</v>
      </c>
      <c r="Y151">
        <f t="shared" si="34"/>
        <v>0.85677728508928142</v>
      </c>
      <c r="Z151">
        <f t="shared" si="35"/>
        <v>0.59835600813198353</v>
      </c>
      <c r="AA151">
        <f t="shared" si="36"/>
        <v>-1.411423180090202</v>
      </c>
      <c r="AB151">
        <f>IFERROR(V144+MATCH(AA151,V151:Z151,0)-1,"")</f>
        <v>2012</v>
      </c>
      <c r="AC151" t="str">
        <f t="shared" si="37"/>
        <v>Low</v>
      </c>
      <c r="AE151">
        <f>IF(ISNUMBER(MATCH("N/A",J151:N151,0)),"",IFERROR((5 * SUMPRODUCT(J144:N144,J151:N151) - PRODUCT(SUM(J144:N144),SUM(J151:N151))) / ((5 * SUM((J144^2)+(K144^2)+(L144^2)+(M144^2)+(N144^2))) - SUM(J144:N144)^2),""))</f>
        <v>3775000</v>
      </c>
      <c r="AF151">
        <f>IFERROR(CORREL(J144:N144,J151:N151),"")</f>
        <v>0.88140838918693976</v>
      </c>
      <c r="AZ151">
        <f t="shared" si="38"/>
        <v>1</v>
      </c>
      <c r="BA151" t="str">
        <f>IF(AZ151=1,IF(Q151="","",IF(Q151=N144,"Yes","No")),"")</f>
        <v>No</v>
      </c>
      <c r="BB151" t="str">
        <f t="shared" si="39"/>
        <v/>
      </c>
      <c r="BC151" t="str">
        <f>IF(AZ151=1,IF(S151="","",IF(S151=N144,"Yes","No")),"")</f>
        <v>No</v>
      </c>
      <c r="BD151" t="str">
        <f t="shared" si="40"/>
        <v/>
      </c>
      <c r="BE151" t="str">
        <f t="shared" si="41"/>
        <v>Increasing</v>
      </c>
      <c r="BF151" t="str">
        <f t="shared" si="42"/>
        <v>No</v>
      </c>
      <c r="BG151" t="str">
        <f t="shared" si="43"/>
        <v>No</v>
      </c>
      <c r="BH151" t="str">
        <f t="shared" si="44"/>
        <v>Yes</v>
      </c>
    </row>
    <row r="152" spans="1:60" x14ac:dyDescent="0.3">
      <c r="A152" s="1">
        <v>7</v>
      </c>
      <c r="B152" t="s">
        <v>298</v>
      </c>
      <c r="C152" t="s">
        <v>264</v>
      </c>
      <c r="D152" t="s">
        <v>1820</v>
      </c>
      <c r="E152" t="s">
        <v>1821</v>
      </c>
      <c r="F152" t="s">
        <v>1822</v>
      </c>
      <c r="G152" t="s">
        <v>1823</v>
      </c>
      <c r="I152" t="str">
        <f t="shared" si="21"/>
        <v>N/A</v>
      </c>
      <c r="J152" t="str">
        <f t="shared" si="22"/>
        <v>N/A</v>
      </c>
      <c r="K152">
        <f t="shared" si="23"/>
        <v>-9.11E-2</v>
      </c>
      <c r="L152">
        <f t="shared" si="24"/>
        <v>0.11660000000000001</v>
      </c>
      <c r="M152">
        <f t="shared" si="25"/>
        <v>-5.5800000000000002E-2</v>
      </c>
      <c r="N152">
        <f t="shared" si="26"/>
        <v>1.5500000000000002E-2</v>
      </c>
      <c r="P152">
        <f t="shared" si="27"/>
        <v>0.11660000000000001</v>
      </c>
      <c r="Q152">
        <f>IFERROR(J144+MATCH(P152,J152:N152,0)-1,"")</f>
        <v>2014</v>
      </c>
      <c r="R152">
        <f t="shared" si="28"/>
        <v>-9.11E-2</v>
      </c>
      <c r="S152">
        <f>IFERROR(J144+MATCH(R152,J152:N152,0)-1,"")</f>
        <v>2013</v>
      </c>
      <c r="T152">
        <f t="shared" si="29"/>
        <v>-3.699999999999998E-3</v>
      </c>
      <c r="U152">
        <f t="shared" si="30"/>
        <v>9.1640420484994878E-2</v>
      </c>
      <c r="V152" t="str">
        <f t="shared" si="31"/>
        <v/>
      </c>
      <c r="W152">
        <f t="shared" si="32"/>
        <v>-0.95372761863648159</v>
      </c>
      <c r="X152">
        <f t="shared" si="33"/>
        <v>1.312739502539688</v>
      </c>
      <c r="Y152">
        <f t="shared" si="34"/>
        <v>-0.56852641797437864</v>
      </c>
      <c r="Z152">
        <f t="shared" si="35"/>
        <v>0.20951453407117213</v>
      </c>
      <c r="AA152">
        <f t="shared" si="36"/>
        <v>1.312739502539688</v>
      </c>
      <c r="AB152">
        <f>IFERROR(V144+MATCH(AA152,V152:Z152,0)-1,"")</f>
        <v>2014</v>
      </c>
      <c r="AC152" t="str">
        <f t="shared" si="37"/>
        <v>High</v>
      </c>
      <c r="AE152" t="str">
        <f>IF(ISNUMBER(MATCH("N/A",J152:N152,0)),"",IFERROR((5 * SUMPRODUCT(J144:N144,J152:N152) - PRODUCT(SUM(J144:N144),SUM(J152:N152))) / ((5 * SUM((J144^2)+(K144^2)+(L144^2)+(M144^2)+(N144^2))) - SUM(J144:N144)^2),""))</f>
        <v/>
      </c>
      <c r="AF152">
        <f>IFERROR(CORREL(J144:N144,J152:N152),"")</f>
        <v>0.2076513625063692</v>
      </c>
      <c r="AZ152">
        <f t="shared" si="38"/>
        <v>1</v>
      </c>
      <c r="BA152" t="str">
        <f>IF(AZ152=1,IF(Q152="","",IF(Q152=N144,"Yes","No")),"")</f>
        <v>No</v>
      </c>
      <c r="BB152" t="str">
        <f t="shared" si="39"/>
        <v/>
      </c>
      <c r="BC152" t="str">
        <f>IF(AZ152=1,IF(S152="","",IF(S152=N144,"Yes","No")),"")</f>
        <v>No</v>
      </c>
      <c r="BD152" t="str">
        <f t="shared" si="40"/>
        <v/>
      </c>
      <c r="BE152" t="str">
        <f t="shared" si="41"/>
        <v/>
      </c>
      <c r="BF152" t="str">
        <f t="shared" si="42"/>
        <v>No</v>
      </c>
      <c r="BG152" t="str">
        <f t="shared" si="43"/>
        <v>No</v>
      </c>
      <c r="BH152" t="str">
        <f t="shared" si="44"/>
        <v>No</v>
      </c>
    </row>
    <row r="153" spans="1:60" x14ac:dyDescent="0.3">
      <c r="A153" s="1">
        <v>8</v>
      </c>
      <c r="B153" t="s">
        <v>303</v>
      </c>
      <c r="C153" t="s">
        <v>1824</v>
      </c>
      <c r="D153" t="s">
        <v>1825</v>
      </c>
      <c r="E153" t="s">
        <v>1826</v>
      </c>
      <c r="F153" t="s">
        <v>1827</v>
      </c>
      <c r="G153" t="s">
        <v>1828</v>
      </c>
      <c r="I153" t="str">
        <f t="shared" si="21"/>
        <v>N/A</v>
      </c>
      <c r="J153">
        <f t="shared" si="22"/>
        <v>417770000</v>
      </c>
      <c r="K153">
        <f t="shared" si="23"/>
        <v>352660000</v>
      </c>
      <c r="L153">
        <f t="shared" si="24"/>
        <v>438170000</v>
      </c>
      <c r="M153">
        <f t="shared" si="25"/>
        <v>416240000</v>
      </c>
      <c r="N153">
        <f t="shared" si="26"/>
        <v>440520000</v>
      </c>
      <c r="P153">
        <f t="shared" si="27"/>
        <v>440520000</v>
      </c>
      <c r="Q153">
        <f>IFERROR(J144+MATCH(P153,J153:N153,0)-1,"")</f>
        <v>2016</v>
      </c>
      <c r="R153">
        <f t="shared" si="28"/>
        <v>352660000</v>
      </c>
      <c r="S153">
        <f>IFERROR(J144+MATCH(R153,J153:N153,0)-1,"")</f>
        <v>2013</v>
      </c>
      <c r="T153">
        <f t="shared" si="29"/>
        <v>413072000</v>
      </c>
      <c r="U153">
        <f t="shared" si="30"/>
        <v>35584475.126099586</v>
      </c>
      <c r="V153">
        <f t="shared" si="31"/>
        <v>0.13202386668208102</v>
      </c>
      <c r="W153">
        <f t="shared" si="32"/>
        <v>-1.6977066483605532</v>
      </c>
      <c r="X153">
        <f t="shared" si="33"/>
        <v>0.70530757896697949</v>
      </c>
      <c r="Y153">
        <f t="shared" si="34"/>
        <v>8.9027588260713636E-2</v>
      </c>
      <c r="Z153">
        <f t="shared" si="35"/>
        <v>0.77134761445077904</v>
      </c>
      <c r="AA153">
        <f t="shared" si="36"/>
        <v>-1.6977066483605532</v>
      </c>
      <c r="AB153">
        <f>IFERROR(V144+MATCH(AA153,V153:Z153,0)-1,"")</f>
        <v>2013</v>
      </c>
      <c r="AC153" t="str">
        <f t="shared" si="37"/>
        <v>Low</v>
      </c>
      <c r="AE153">
        <f>IF(ISNUMBER(MATCH("N/A",J153:N153,0)),"",IFERROR((5 * SUMPRODUCT(J144:N144,J153:N153) - PRODUCT(SUM(J144:N144),SUM(J153:N153))) / ((5 * SUM((J144^2)+(K144^2)+(L144^2)+(M144^2)+(N144^2))) - SUM(J144:N144)^2),""))</f>
        <v>10908000</v>
      </c>
      <c r="AF153">
        <f>IFERROR(CORREL(J144:N144,J153:N153),"")</f>
        <v>0.4846794085746795</v>
      </c>
      <c r="AZ153">
        <f t="shared" si="38"/>
        <v>1</v>
      </c>
      <c r="BA153" t="str">
        <f>IF(AZ153=1,IF(Q153="","",IF(Q153=N144,"Yes","No")),"")</f>
        <v>Yes</v>
      </c>
      <c r="BB153">
        <f t="shared" si="39"/>
        <v>440520000</v>
      </c>
      <c r="BC153" t="str">
        <f>IF(AZ153=1,IF(S153="","",IF(S153=N144,"Yes","No")),"")</f>
        <v>No</v>
      </c>
      <c r="BD153" t="str">
        <f t="shared" si="40"/>
        <v/>
      </c>
      <c r="BE153" t="str">
        <f t="shared" si="41"/>
        <v>Increasing</v>
      </c>
      <c r="BF153" t="str">
        <f t="shared" si="42"/>
        <v>Yes</v>
      </c>
      <c r="BG153" t="str">
        <f t="shared" si="43"/>
        <v>No</v>
      </c>
      <c r="BH153" t="str">
        <f t="shared" si="44"/>
        <v>No</v>
      </c>
    </row>
    <row r="154" spans="1:60" x14ac:dyDescent="0.3">
      <c r="A154" s="1">
        <v>9</v>
      </c>
      <c r="B154" t="s">
        <v>309</v>
      </c>
      <c r="C154" t="s">
        <v>264</v>
      </c>
      <c r="D154" t="s">
        <v>1829</v>
      </c>
      <c r="E154" t="s">
        <v>1830</v>
      </c>
      <c r="F154" t="s">
        <v>1831</v>
      </c>
      <c r="G154" t="s">
        <v>1832</v>
      </c>
      <c r="I154" t="str">
        <f t="shared" si="21"/>
        <v>N/A</v>
      </c>
      <c r="J154" t="str">
        <f t="shared" si="22"/>
        <v>N/A</v>
      </c>
      <c r="K154">
        <f t="shared" si="23"/>
        <v>-0.15579999999999999</v>
      </c>
      <c r="L154">
        <f t="shared" si="24"/>
        <v>0.24249999999999999</v>
      </c>
      <c r="M154">
        <f t="shared" si="25"/>
        <v>-5.0099999999999999E-2</v>
      </c>
      <c r="N154">
        <f t="shared" si="26"/>
        <v>5.8300000000000005E-2</v>
      </c>
      <c r="P154">
        <f t="shared" si="27"/>
        <v>0.24249999999999999</v>
      </c>
      <c r="Q154">
        <f>IFERROR(J144+MATCH(P154,J154:N154,0)-1,"")</f>
        <v>2014</v>
      </c>
      <c r="R154">
        <f t="shared" si="28"/>
        <v>-0.15579999999999999</v>
      </c>
      <c r="S154">
        <f>IFERROR(J144+MATCH(R154,J154:N154,0)-1,"")</f>
        <v>2013</v>
      </c>
      <c r="T154">
        <f t="shared" si="29"/>
        <v>2.3725000000000003E-2</v>
      </c>
      <c r="U154">
        <f t="shared" si="30"/>
        <v>0.17003655244289878</v>
      </c>
      <c r="V154" t="str">
        <f t="shared" si="31"/>
        <v/>
      </c>
      <c r="W154">
        <f t="shared" si="32"/>
        <v>-1.0558023990770313</v>
      </c>
      <c r="X154">
        <f t="shared" si="33"/>
        <v>1.2866351196662167</v>
      </c>
      <c r="Y154">
        <f t="shared" si="34"/>
        <v>-0.43417135280246122</v>
      </c>
      <c r="Z154">
        <f t="shared" si="35"/>
        <v>0.20333863221327594</v>
      </c>
      <c r="AA154">
        <f t="shared" si="36"/>
        <v>1.2866351196662167</v>
      </c>
      <c r="AB154">
        <f>IFERROR(V144+MATCH(AA154,V154:Z154,0)-1,"")</f>
        <v>2014</v>
      </c>
      <c r="AC154" t="str">
        <f t="shared" si="37"/>
        <v>High</v>
      </c>
      <c r="AE154" t="str">
        <f>IF(ISNUMBER(MATCH("N/A",J154:N154,0)),"",IFERROR((5 * SUMPRODUCT(J144:N144,J154:N154) - PRODUCT(SUM(J144:N144),SUM(J154:N154))) / ((5 * SUM((J144^2)+(K144^2)+(L144^2)+(M144^2)+(N144^2))) - SUM(J144:N144)^2),""))</f>
        <v/>
      </c>
      <c r="AF154">
        <f>IFERROR(CORREL(J144:N144,J154:N154),"")</f>
        <v>0.26550806414080858</v>
      </c>
      <c r="AZ154">
        <f t="shared" si="38"/>
        <v>1</v>
      </c>
      <c r="BA154" t="str">
        <f>IF(AZ154=1,IF(Q154="","",IF(Q154=N144,"Yes","No")),"")</f>
        <v>No</v>
      </c>
      <c r="BB154" t="str">
        <f t="shared" si="39"/>
        <v/>
      </c>
      <c r="BC154" t="str">
        <f>IF(AZ154=1,IF(S154="","",IF(S154=N144,"Yes","No")),"")</f>
        <v>No</v>
      </c>
      <c r="BD154" t="str">
        <f t="shared" si="40"/>
        <v/>
      </c>
      <c r="BE154" t="str">
        <f t="shared" si="41"/>
        <v/>
      </c>
      <c r="BF154" t="str">
        <f t="shared" si="42"/>
        <v>No</v>
      </c>
      <c r="BG154" t="str">
        <f t="shared" si="43"/>
        <v>No</v>
      </c>
      <c r="BH154" t="str">
        <f t="shared" si="44"/>
        <v>No</v>
      </c>
    </row>
    <row r="155" spans="1:60" x14ac:dyDescent="0.3">
      <c r="A155" s="1">
        <v>10</v>
      </c>
      <c r="B155" t="s">
        <v>314</v>
      </c>
      <c r="C155" t="s">
        <v>264</v>
      </c>
      <c r="D155" t="s">
        <v>264</v>
      </c>
      <c r="E155" t="s">
        <v>264</v>
      </c>
      <c r="F155" t="s">
        <v>264</v>
      </c>
      <c r="G155" t="s">
        <v>1833</v>
      </c>
      <c r="I155" t="str">
        <f t="shared" si="21"/>
        <v>N/A</v>
      </c>
      <c r="J155" t="str">
        <f t="shared" si="22"/>
        <v>N/A</v>
      </c>
      <c r="K155" t="str">
        <f t="shared" si="23"/>
        <v>N/A</v>
      </c>
      <c r="L155" t="str">
        <f t="shared" si="24"/>
        <v>N/A</v>
      </c>
      <c r="M155" t="str">
        <f t="shared" si="25"/>
        <v>N/A</v>
      </c>
      <c r="N155">
        <f t="shared" si="26"/>
        <v>0.3579</v>
      </c>
      <c r="P155">
        <f t="shared" si="27"/>
        <v>0.3579</v>
      </c>
      <c r="Q155">
        <f>IFERROR(J144+MATCH(P155,J155:N155,0)-1,"")</f>
        <v>2016</v>
      </c>
      <c r="R155">
        <f t="shared" si="28"/>
        <v>0.3579</v>
      </c>
      <c r="S155">
        <f>IFERROR(J144+MATCH(R155,J155:N155,0)-1,"")</f>
        <v>2016</v>
      </c>
      <c r="T155">
        <f t="shared" si="29"/>
        <v>0.3579</v>
      </c>
      <c r="U155" t="str">
        <f t="shared" si="30"/>
        <v/>
      </c>
      <c r="V155" t="str">
        <f t="shared" si="31"/>
        <v/>
      </c>
      <c r="W155" t="str">
        <f t="shared" si="32"/>
        <v/>
      </c>
      <c r="X155" t="str">
        <f t="shared" si="33"/>
        <v/>
      </c>
      <c r="Y155" t="str">
        <f t="shared" si="34"/>
        <v/>
      </c>
      <c r="Z155" t="str">
        <f t="shared" si="35"/>
        <v/>
      </c>
      <c r="AA155">
        <f t="shared" si="36"/>
        <v>0</v>
      </c>
      <c r="AB155" t="str">
        <f>IFERROR(V144+MATCH(AA155,V155:Z155,0)-1,"")</f>
        <v/>
      </c>
      <c r="AC155" t="str">
        <f t="shared" si="37"/>
        <v/>
      </c>
      <c r="AE155" t="str">
        <f>IF(ISNUMBER(MATCH("N/A",J155:N155,0)),"",IFERROR((5 * SUMPRODUCT(J144:N144,J155:N155) - PRODUCT(SUM(J144:N144),SUM(J155:N155))) / ((5 * SUM((J144^2)+(K144^2)+(L144^2)+(M144^2)+(N144^2))) - SUM(J144:N144)^2),""))</f>
        <v/>
      </c>
      <c r="AF155" t="str">
        <f>IFERROR(CORREL(J144:N144,J155:N155),"")</f>
        <v/>
      </c>
      <c r="AZ155">
        <f t="shared" si="38"/>
        <v>0</v>
      </c>
      <c r="BA155" t="str">
        <f>IF(AZ155=1,IF(Q155="","",IF(Q155=N144,"Yes","No")),"")</f>
        <v/>
      </c>
      <c r="BB155" t="str">
        <f t="shared" si="39"/>
        <v/>
      </c>
      <c r="BC155" t="str">
        <f>IF(AZ155=1,IF(S155="","",IF(S155=N144,"Yes","No")),"")</f>
        <v/>
      </c>
      <c r="BD155" t="str">
        <f t="shared" si="40"/>
        <v/>
      </c>
      <c r="BE155" t="str">
        <f t="shared" si="41"/>
        <v/>
      </c>
      <c r="BF155" t="str">
        <f t="shared" si="42"/>
        <v>No</v>
      </c>
      <c r="BG155" t="str">
        <f t="shared" si="43"/>
        <v>No</v>
      </c>
      <c r="BH155" t="str">
        <f t="shared" si="44"/>
        <v/>
      </c>
    </row>
    <row r="156" spans="1:60" x14ac:dyDescent="0.3">
      <c r="I156" t="str">
        <f t="shared" ref="I156:I187" si="45">IF(AND(K156&gt; J156, L156&gt; K156, M156&gt; L156, N156&gt; M156), "pos_trend", IF(AND(K156&lt; J156, L156&lt; K156, M156&lt; L156, N156&lt; M156), "neg_trend", "N/A"))</f>
        <v>N/A</v>
      </c>
      <c r="J156" t="str">
        <f t="shared" si="22"/>
        <v>N/A</v>
      </c>
      <c r="K156" t="str">
        <f t="shared" si="23"/>
        <v>N/A</v>
      </c>
      <c r="L156" t="str">
        <f t="shared" si="24"/>
        <v>N/A</v>
      </c>
      <c r="M156" t="str">
        <f t="shared" si="25"/>
        <v>N/A</v>
      </c>
      <c r="N156" t="str">
        <f t="shared" si="26"/>
        <v>N/A</v>
      </c>
      <c r="P156">
        <f t="shared" si="27"/>
        <v>0</v>
      </c>
      <c r="Q156" t="str">
        <f>IFERROR(J144+MATCH(P156,J156:N156,0)-1,"")</f>
        <v/>
      </c>
      <c r="R156" t="str">
        <f t="shared" si="28"/>
        <v/>
      </c>
      <c r="S156" t="str">
        <f>IFERROR(J144+MATCH(R156,J156:N156,0)-1,"")</f>
        <v/>
      </c>
      <c r="T156" t="str">
        <f t="shared" si="29"/>
        <v/>
      </c>
      <c r="U156" t="str">
        <f t="shared" si="30"/>
        <v/>
      </c>
      <c r="V156" t="str">
        <f t="shared" si="31"/>
        <v/>
      </c>
      <c r="W156" t="str">
        <f t="shared" si="32"/>
        <v/>
      </c>
      <c r="X156" t="str">
        <f t="shared" si="33"/>
        <v/>
      </c>
      <c r="Y156" t="str">
        <f t="shared" si="34"/>
        <v/>
      </c>
      <c r="Z156" t="str">
        <f t="shared" si="35"/>
        <v/>
      </c>
      <c r="AA156">
        <f t="shared" si="36"/>
        <v>0</v>
      </c>
      <c r="AB156" t="str">
        <f>IFERROR(V144+MATCH(AA156,V156:Z156,0)-1,"")</f>
        <v/>
      </c>
      <c r="AC156" t="str">
        <f t="shared" si="37"/>
        <v/>
      </c>
      <c r="AE156" t="str">
        <f>IF(ISNUMBER(MATCH("N/A",J156:N156,0)),"",IFERROR((5 * SUMPRODUCT(J144:N144,J156:N156) - PRODUCT(SUM(J144:N144),SUM(J156:N156))) / ((5 * SUM((J144^2)+(K144^2)+(L144^2)+(M144^2)+(N144^2))) - SUM(J144:N144)^2),""))</f>
        <v/>
      </c>
      <c r="AF156" t="str">
        <f>IFERROR(CORREL(J144:N144,J156:N156),"")</f>
        <v/>
      </c>
      <c r="AZ156">
        <f t="shared" si="38"/>
        <v>0</v>
      </c>
      <c r="BA156" t="str">
        <f>IF(AZ156=1,IF(Q156="","",IF(Q156=N144,"Yes","No")),"")</f>
        <v/>
      </c>
      <c r="BB156" t="str">
        <f t="shared" si="39"/>
        <v/>
      </c>
      <c r="BC156" t="str">
        <f>IF(AZ156=1,IF(S156="","",IF(S156=N144,"Yes","No")),"")</f>
        <v/>
      </c>
      <c r="BD156" t="str">
        <f t="shared" si="40"/>
        <v/>
      </c>
      <c r="BE156" t="str">
        <f t="shared" si="41"/>
        <v/>
      </c>
      <c r="BF156" t="str">
        <f t="shared" si="42"/>
        <v>No</v>
      </c>
      <c r="BG156" t="str">
        <f t="shared" si="43"/>
        <v>No</v>
      </c>
      <c r="BH156" t="str">
        <f t="shared" si="44"/>
        <v/>
      </c>
    </row>
    <row r="157" spans="1:60" x14ac:dyDescent="0.3">
      <c r="B157" s="1" t="s">
        <v>316</v>
      </c>
      <c r="C157" s="1" t="s">
        <v>252</v>
      </c>
      <c r="D157" s="1" t="s">
        <v>253</v>
      </c>
      <c r="E157" s="1" t="s">
        <v>254</v>
      </c>
      <c r="F157" s="1" t="s">
        <v>255</v>
      </c>
      <c r="G157" s="1" t="s">
        <v>256</v>
      </c>
      <c r="H157" s="1" t="s">
        <v>257</v>
      </c>
      <c r="P157">
        <f t="shared" si="27"/>
        <v>0</v>
      </c>
      <c r="Q157" t="str">
        <f>IFERROR(J144+MATCH(P157,J157:N157,0)-1,"")</f>
        <v/>
      </c>
      <c r="R157" t="str">
        <f t="shared" si="28"/>
        <v/>
      </c>
      <c r="S157" t="str">
        <f>IFERROR(J144+MATCH(R157,J157:N157,0)-1,"")</f>
        <v/>
      </c>
      <c r="T157" t="str">
        <f t="shared" si="29"/>
        <v/>
      </c>
      <c r="U157" t="str">
        <f t="shared" si="30"/>
        <v/>
      </c>
      <c r="V157" t="str">
        <f t="shared" si="31"/>
        <v/>
      </c>
      <c r="W157" t="str">
        <f t="shared" si="32"/>
        <v/>
      </c>
      <c r="X157" t="str">
        <f t="shared" si="33"/>
        <v/>
      </c>
      <c r="Y157" t="str">
        <f t="shared" si="34"/>
        <v/>
      </c>
      <c r="Z157" t="str">
        <f t="shared" si="35"/>
        <v/>
      </c>
      <c r="AA157">
        <f t="shared" si="36"/>
        <v>0</v>
      </c>
      <c r="AB157" t="str">
        <f>IFERROR(V144+MATCH(AA157,V157:Z157,0)-1,"")</f>
        <v/>
      </c>
      <c r="AC157" t="str">
        <f t="shared" si="37"/>
        <v/>
      </c>
      <c r="AE157">
        <f>IF(ISNUMBER(MATCH("N/A",J157:N157,0)),"",IFERROR((5 * SUMPRODUCT(J144:N144,J157:N157) - PRODUCT(SUM(J144:N144),SUM(J157:N157))) / ((5 * SUM((J144^2)+(K144^2)+(L144^2)+(M144^2)+(N144^2))) - SUM(J144:N144)^2),""))</f>
        <v>0</v>
      </c>
      <c r="AF157" t="str">
        <f>IFERROR(CORREL(J144:N144,J157:N157),"")</f>
        <v/>
      </c>
      <c r="AZ157">
        <f t="shared" si="38"/>
        <v>0</v>
      </c>
      <c r="BA157" t="str">
        <f>IF(AZ157=1,IF(Q157="","",IF(Q157=N144,"Yes","No")),"")</f>
        <v/>
      </c>
      <c r="BB157" t="str">
        <f t="shared" si="39"/>
        <v/>
      </c>
      <c r="BC157" t="str">
        <f>IF(AZ157=1,IF(S157="","",IF(S157=N144,"Yes","No")),"")</f>
        <v/>
      </c>
      <c r="BD157" t="str">
        <f t="shared" si="40"/>
        <v/>
      </c>
      <c r="BE157" t="str">
        <f t="shared" si="41"/>
        <v/>
      </c>
      <c r="BF157" t="str">
        <f t="shared" si="42"/>
        <v>No</v>
      </c>
      <c r="BG157" t="str">
        <f t="shared" si="43"/>
        <v>No</v>
      </c>
      <c r="BH157" t="str">
        <f t="shared" si="44"/>
        <v/>
      </c>
    </row>
    <row r="158" spans="1:60" x14ac:dyDescent="0.3">
      <c r="A158" s="1">
        <v>0</v>
      </c>
      <c r="B158" t="s">
        <v>317</v>
      </c>
      <c r="C158" t="s">
        <v>1834</v>
      </c>
      <c r="D158" t="s">
        <v>1835</v>
      </c>
      <c r="E158" t="s">
        <v>1836</v>
      </c>
      <c r="F158" t="s">
        <v>1285</v>
      </c>
      <c r="G158" t="s">
        <v>1837</v>
      </c>
      <c r="I158" t="str">
        <f t="shared" ref="I158:I204" si="46">IF(AND(K158&gt; J158, L158&gt; K158, M158&gt; L158, N158&gt; M158), "pos_trend", IF(AND(K158&lt; J158, L158&lt; K158, M158&lt; L158, N158&lt; M158), "neg_trend", "N/A"))</f>
        <v>N/A</v>
      </c>
      <c r="J158">
        <f>IFERROR(IF(TRIM(C158)="-", "0", IF(RIGHT(C158,1)=")",IF(RIGHT(C158,2)="T)",-1000000000000*VALUE(MID(C158,2,LEN(C158)-3)),IF(RIGHT(C158,2)="M)",-1000000*VALUE(MID(C158,2,LEN(C158)-3)),IF(RIGHT(C158,2)="B)",-1000000000*VALUE(MID(C158,2,LEN(C158)-3)),IF(RIGHT(C158,2)="k)",-1000*VALUE(MID(C158,2,LEN(C158)-3)),VALUE(SUBSTITUTE(C158,",","")))))),IF(RIGHT(C158,1)="T",1000000000000*VALUE(LEFT(C158,LEN(C158)-1)),IF(RIGHT(C158,1)="M",1000000*VALUE(LEFT(C158,LEN(C158)-1)),IF(RIGHT(C158,1)="B",1000000000*VALUE(LEFT(C158,LEN(C158)-1)),IF(RIGHT(C158,1)="%",0.01*VALUE(LEFT(C158,LEN(C158)-1)),IF(RIGHT(C158,1)="k",1000*VALUE(LEFT(C158,LEN(C158)-1)),VALUE(SUBSTITUTE(C158,",",""))))))))),"N/A")</f>
        <v>278830000</v>
      </c>
      <c r="K158">
        <f>IFERROR(IF(TRIM(D158)="-", "0", IF(RIGHT(D158,1)=")",IF(RIGHT(D158,2)="T)",-1000000000000*VALUE(MID(D158,2,LEN(D158)-3)),IF(RIGHT(D158,2)="M)",-1000000*VALUE(MID(D158,2,LEN(D158)-3)),IF(RIGHT(D158,2)="B)",-1000000000*VALUE(MID(D158,2,LEN(D158)-3)),IF(RIGHT(D158,2)="k)",-1000*VALUE(MID(D158,2,LEN(D158)-3)),VALUE(SUBSTITUTE(D158,",","")))))),IF(RIGHT(D158,1)="T",1000000000000*VALUE(LEFT(D158,LEN(D158)-1)),IF(RIGHT(D158,1)="M",1000000*VALUE(LEFT(D158,LEN(D158)-1)),IF(RIGHT(D158,1)="B",1000000000*VALUE(LEFT(D158,LEN(D158)-1)),IF(RIGHT(D158,1)="%",0.01*VALUE(LEFT(D158,LEN(D158)-1)),IF(RIGHT(D158,1)="k",1000*VALUE(LEFT(D158,LEN(D158)-1)),VALUE(SUBSTITUTE(D158,",",""))))))))),"N/A")</f>
        <v>226550000</v>
      </c>
      <c r="L158">
        <f>IFERROR(IF(TRIM(E158)="-", "0", IF(RIGHT(E158,1)=")",IF(RIGHT(E158,2)="T)",-1000000000000*VALUE(MID(E158,2,LEN(E158)-3)),IF(RIGHT(E158,2)="M)",-1000000*VALUE(MID(E158,2,LEN(E158)-3)),IF(RIGHT(E158,2)="B)",-1000000000*VALUE(MID(E158,2,LEN(E158)-3)),IF(RIGHT(E158,2)="k)",-1000*VALUE(MID(E158,2,LEN(E158)-3)),VALUE(SUBSTITUTE(E158,",","")))))),IF(RIGHT(E158,1)="T",1000000000000*VALUE(LEFT(E158,LEN(E158)-1)),IF(RIGHT(E158,1)="M",1000000*VALUE(LEFT(E158,LEN(E158)-1)),IF(RIGHT(E158,1)="B",1000000000*VALUE(LEFT(E158,LEN(E158)-1)),IF(RIGHT(E158,1)="%",0.01*VALUE(LEFT(E158,LEN(E158)-1)),IF(RIGHT(E158,1)="k",1000*VALUE(LEFT(E158,LEN(E158)-1)),VALUE(SUBSTITUTE(E158,",",""))))))))),"N/A")</f>
        <v>243280000</v>
      </c>
      <c r="M158">
        <f>IFERROR(IF(TRIM(F158)="-", "0", IF(RIGHT(F158,1)=")",IF(RIGHT(F158,2)="T)",-1000000000000*VALUE(MID(F158,2,LEN(F158)-3)),IF(RIGHT(F158,2)="M)",-1000000*VALUE(MID(F158,2,LEN(F158)-3)),IF(RIGHT(F158,2)="B)",-1000000000*VALUE(MID(F158,2,LEN(F158)-3)),IF(RIGHT(F158,2)="k)",-1000*VALUE(MID(F158,2,LEN(F158)-3)),VALUE(SUBSTITUTE(F158,",","")))))),IF(RIGHT(F158,1)="T",1000000000000*VALUE(LEFT(F158,LEN(F158)-1)),IF(RIGHT(F158,1)="M",1000000*VALUE(LEFT(F158,LEN(F158)-1)),IF(RIGHT(F158,1)="B",1000000000*VALUE(LEFT(F158,LEN(F158)-1)),IF(RIGHT(F158,1)="%",0.01*VALUE(LEFT(F158,LEN(F158)-1)),IF(RIGHT(F158,1)="k",1000*VALUE(LEFT(F158,LEN(F158)-1)),VALUE(SUBSTITUTE(F158,",",""))))))))),"N/A")</f>
        <v>235490000</v>
      </c>
      <c r="N158">
        <f>IFERROR(IF(TRIM(G158)="-", "0", IF(RIGHT(G158,1)=")",IF(RIGHT(G158,2)="T)",-1000000000000*VALUE(MID(G158,2,LEN(G158)-3)),IF(RIGHT(G158,2)="M)",-1000000*VALUE(MID(G158,2,LEN(G158)-3)),IF(RIGHT(G158,2)="B)",-1000000000*VALUE(MID(G158,2,LEN(G158)-3)),IF(RIGHT(G158,2)="k)",-1000*VALUE(MID(G158,2,LEN(G158)-3)),VALUE(SUBSTITUTE(G158,",","")))))),IF(RIGHT(G158,1)="T",1000000000000*VALUE(LEFT(G158,LEN(G158)-1)),IF(RIGHT(G158,1)="M",1000000*VALUE(LEFT(G158,LEN(G158)-1)),IF(RIGHT(G158,1)="B",1000000000*VALUE(LEFT(G158,LEN(G158)-1)),IF(RIGHT(G158,1)="%",0.01*VALUE(LEFT(G158,LEN(G158)-1)),IF(RIGHT(G158,1)="k",1000*VALUE(LEFT(G158,LEN(G158)-1)),VALUE(SUBSTITUTE(G158,",",""))))))))),"N/A")</f>
        <v>243080000</v>
      </c>
      <c r="P158">
        <f t="shared" si="27"/>
        <v>278830000</v>
      </c>
      <c r="Q158">
        <f>IFERROR(J144+MATCH(P158,J158:N158,0)-1,"")</f>
        <v>2012</v>
      </c>
      <c r="R158">
        <f t="shared" si="28"/>
        <v>226550000</v>
      </c>
      <c r="S158">
        <f>IFERROR(J144+MATCH(R158,J158:N158,0)-1,"")</f>
        <v>2013</v>
      </c>
      <c r="T158">
        <f t="shared" si="29"/>
        <v>245446000</v>
      </c>
      <c r="U158">
        <f t="shared" si="30"/>
        <v>19880654.667289004</v>
      </c>
      <c r="V158">
        <f t="shared" si="31"/>
        <v>1.6792203556017182</v>
      </c>
      <c r="W158">
        <f t="shared" si="32"/>
        <v>-0.95047171817188081</v>
      </c>
      <c r="X158">
        <f t="shared" si="33"/>
        <v>-0.10895013450255576</v>
      </c>
      <c r="Y158">
        <f t="shared" si="34"/>
        <v>-0.50078833753806329</v>
      </c>
      <c r="Z158">
        <f t="shared" si="35"/>
        <v>-0.11901016538921835</v>
      </c>
      <c r="AA158">
        <f t="shared" si="36"/>
        <v>1.6792203556017182</v>
      </c>
      <c r="AB158">
        <f>IFERROR(V144+MATCH(AA158,V158:Z158,0)-1,"")</f>
        <v>2012</v>
      </c>
      <c r="AC158" t="str">
        <f t="shared" si="37"/>
        <v>High</v>
      </c>
      <c r="AE158">
        <f>IF(ISNUMBER(MATCH("N/A",J158:N158,0)),"",IFERROR((5 * SUMPRODUCT(J144:N144,J158:N158) - PRODUCT(SUM(J144:N144),SUM(J158:N158))) / ((5 * SUM((J144^2)+(K144^2)+(L144^2)+(M144^2)+(N144^2))) - SUM(J144:N144)^2),""))</f>
        <v>-6256000</v>
      </c>
      <c r="AF158">
        <f>IFERROR(CORREL(J144:N144,J158:N158),"")</f>
        <v>-0.49754923499989273</v>
      </c>
      <c r="AZ158">
        <f t="shared" si="38"/>
        <v>1</v>
      </c>
      <c r="BA158" t="str">
        <f>IF(AZ158=1,IF(Q158="","",IF(Q158=N144,"Yes","No")),"")</f>
        <v>No</v>
      </c>
      <c r="BB158" t="str">
        <f t="shared" si="39"/>
        <v/>
      </c>
      <c r="BC158" t="str">
        <f>IF(AZ158=1,IF(S158="","",IF(S158=N144,"Yes","No")),"")</f>
        <v>No</v>
      </c>
      <c r="BD158" t="str">
        <f t="shared" si="40"/>
        <v/>
      </c>
      <c r="BE158" t="str">
        <f t="shared" si="41"/>
        <v>Decreasing</v>
      </c>
      <c r="BF158" t="str">
        <f t="shared" si="42"/>
        <v>No</v>
      </c>
      <c r="BG158" t="str">
        <f t="shared" si="43"/>
        <v>No</v>
      </c>
      <c r="BH158" t="str">
        <f t="shared" si="44"/>
        <v>No</v>
      </c>
    </row>
    <row r="159" spans="1:60" x14ac:dyDescent="0.3">
      <c r="A159" s="1">
        <v>1</v>
      </c>
      <c r="B159" t="s">
        <v>321</v>
      </c>
      <c r="C159" t="s">
        <v>832</v>
      </c>
      <c r="D159" t="s">
        <v>1838</v>
      </c>
      <c r="E159" t="s">
        <v>1839</v>
      </c>
      <c r="F159" t="s">
        <v>1445</v>
      </c>
      <c r="G159" t="s">
        <v>1840</v>
      </c>
      <c r="I159" t="str">
        <f t="shared" si="46"/>
        <v>N/A</v>
      </c>
      <c r="J159">
        <f t="shared" ref="J159:J204" si="47">IFERROR(IF(TRIM(C159)="-", "N/A", IF(RIGHT(C159,1)=")",IF(RIGHT(C159,2)="T)",-1000000000000*VALUE(MID(C159,2,LEN(C159)-3)),IF(RIGHT(C159,2)="M)",-1000000*VALUE(MID(C159,2,LEN(C159)-3)),IF(RIGHT(C159,2)="B)",-1000000000*VALUE(MID(C159,2,LEN(C159)-3)),IF(RIGHT(C159,2)="k)",-1000*VALUE(MID(C159,2,LEN(C159)-3)),VALUE(SUBSTITUTE(C159,",","")))))),IF(RIGHT(C159,1)="T",1000000000000*VALUE(LEFT(C159,LEN(C159)-1)),IF(RIGHT(C159,1)="M",1000000*VALUE(LEFT(C159,LEN(C159)-1)),IF(RIGHT(C159,1)="B",1000000000*VALUE(LEFT(C159,LEN(C159)-1)),IF(RIGHT(C159,1)="%",0.01*VALUE(LEFT(C159,LEN(C159)-1)),IF(RIGHT(C159,1)="k",1000*VALUE(LEFT(C159,LEN(C159)-1)),VALUE(SUBSTITUTE(C159,",",""))))))))),"N/A")</f>
        <v>9000000</v>
      </c>
      <c r="K159">
        <f t="shared" ref="K159:K204" si="48">IFERROR(IF(TRIM(D159)="-", "N/A", IF(RIGHT(D159,1)=")",IF(RIGHT(D159,2)="T)",-1000000000000*VALUE(MID(D159,2,LEN(D159)-3)),IF(RIGHT(D159,2)="M)",-1000000*VALUE(MID(D159,2,LEN(D159)-3)),IF(RIGHT(D159,2)="B)",-1000000000*VALUE(MID(D159,2,LEN(D159)-3)),IF(RIGHT(D159,2)="k)",-1000*VALUE(MID(D159,2,LEN(D159)-3)),VALUE(SUBSTITUTE(D159,",","")))))),IF(RIGHT(D159,1)="T",1000000000000*VALUE(LEFT(D159,LEN(D159)-1)),IF(RIGHT(D159,1)="M",1000000*VALUE(LEFT(D159,LEN(D159)-1)),IF(RIGHT(D159,1)="B",1000000000*VALUE(LEFT(D159,LEN(D159)-1)),IF(RIGHT(D159,1)="%",0.01*VALUE(LEFT(D159,LEN(D159)-1)),IF(RIGHT(D159,1)="k",1000*VALUE(LEFT(D159,LEN(D159)-1)),VALUE(SUBSTITUTE(D159,",",""))))))))),"N/A")</f>
        <v>15000000</v>
      </c>
      <c r="L159">
        <f t="shared" ref="L159:L204" si="49">IFERROR(IF(TRIM(E159)="-", "N/A", IF(RIGHT(E159,1)=")",IF(RIGHT(E159,2)="T)",-1000000000000*VALUE(MID(E159,2,LEN(E159)-3)),IF(RIGHT(E159,2)="M)",-1000000*VALUE(MID(E159,2,LEN(E159)-3)),IF(RIGHT(E159,2)="B)",-1000000000*VALUE(MID(E159,2,LEN(E159)-3)),IF(RIGHT(E159,2)="k)",-1000*VALUE(MID(E159,2,LEN(E159)-3)),VALUE(SUBSTITUTE(E159,",","")))))),IF(RIGHT(E159,1)="T",1000000000000*VALUE(LEFT(E159,LEN(E159)-1)),IF(RIGHT(E159,1)="M",1000000*VALUE(LEFT(E159,LEN(E159)-1)),IF(RIGHT(E159,1)="B",1000000000*VALUE(LEFT(E159,LEN(E159)-1)),IF(RIGHT(E159,1)="%",0.01*VALUE(LEFT(E159,LEN(E159)-1)),IF(RIGHT(E159,1)="k",1000*VALUE(LEFT(E159,LEN(E159)-1)),VALUE(SUBSTITUTE(E159,",",""))))))))),"N/A")</f>
        <v>16000000</v>
      </c>
      <c r="M159">
        <f t="shared" ref="M159:M204" si="50">IFERROR(IF(TRIM(F159)="-", "N/A", IF(RIGHT(F159,1)=")",IF(RIGHT(F159,2)="T)",-1000000000000*VALUE(MID(F159,2,LEN(F159)-3)),IF(RIGHT(F159,2)="M)",-1000000*VALUE(MID(F159,2,LEN(F159)-3)),IF(RIGHT(F159,2)="B)",-1000000000*VALUE(MID(F159,2,LEN(F159)-3)),IF(RIGHT(F159,2)="k)",-1000*VALUE(MID(F159,2,LEN(F159)-3)),VALUE(SUBSTITUTE(F159,",","")))))),IF(RIGHT(F159,1)="T",1000000000000*VALUE(LEFT(F159,LEN(F159)-1)),IF(RIGHT(F159,1)="M",1000000*VALUE(LEFT(F159,LEN(F159)-1)),IF(RIGHT(F159,1)="B",1000000000*VALUE(LEFT(F159,LEN(F159)-1)),IF(RIGHT(F159,1)="%",0.01*VALUE(LEFT(F159,LEN(F159)-1)),IF(RIGHT(F159,1)="k",1000*VALUE(LEFT(F159,LEN(F159)-1)),VALUE(SUBSTITUTE(F159,",",""))))))))),"N/A")</f>
        <v>12690000</v>
      </c>
      <c r="N159">
        <f t="shared" ref="N159:N204" si="51">IFERROR(IF(TRIM(G159)="-", "N/A", IF(RIGHT(G159,1)=")",IF(RIGHT(G159,2)="T)",-1000000000000*VALUE(MID(G159,2,LEN(G159)-3)),IF(RIGHT(G159,2)="M)",-1000000*VALUE(MID(G159,2,LEN(G159)-3)),IF(RIGHT(G159,2)="B)",-1000000000*VALUE(MID(G159,2,LEN(G159)-3)),IF(RIGHT(G159,2)="k)",-1000*VALUE(MID(G159,2,LEN(G159)-3)),VALUE(SUBSTITUTE(G159,",","")))))),IF(RIGHT(G159,1)="T",1000000000000*VALUE(LEFT(G159,LEN(G159)-1)),IF(RIGHT(G159,1)="M",1000000*VALUE(LEFT(G159,LEN(G159)-1)),IF(RIGHT(G159,1)="B",1000000000*VALUE(LEFT(G159,LEN(G159)-1)),IF(RIGHT(G159,1)="%",0.01*VALUE(LEFT(G159,LEN(G159)-1)),IF(RIGHT(G159,1)="k",1000*VALUE(LEFT(G159,LEN(G159)-1)),VALUE(SUBSTITUTE(G159,",",""))))))))),"N/A")</f>
        <v>12910000</v>
      </c>
      <c r="P159">
        <f t="shared" si="27"/>
        <v>16000000</v>
      </c>
      <c r="Q159">
        <f>IFERROR(J144+MATCH(P159,J159:N159,0)-1,"")</f>
        <v>2014</v>
      </c>
      <c r="R159">
        <f t="shared" si="28"/>
        <v>9000000</v>
      </c>
      <c r="S159">
        <f>IFERROR(J144+MATCH(R159,J159:N159,0)-1,"")</f>
        <v>2012</v>
      </c>
      <c r="T159">
        <f t="shared" si="29"/>
        <v>13120000</v>
      </c>
      <c r="U159">
        <f t="shared" si="30"/>
        <v>2694076.8363207462</v>
      </c>
      <c r="V159">
        <f t="shared" si="31"/>
        <v>-1.5292808076055515</v>
      </c>
      <c r="W159">
        <f t="shared" si="32"/>
        <v>0.69782716463554295</v>
      </c>
      <c r="X159">
        <f t="shared" si="33"/>
        <v>1.0690118266757254</v>
      </c>
      <c r="Y159">
        <f t="shared" si="34"/>
        <v>-0.15960940467727844</v>
      </c>
      <c r="Z159">
        <f t="shared" si="35"/>
        <v>-7.7948779028438303E-2</v>
      </c>
      <c r="AA159">
        <f t="shared" si="36"/>
        <v>-1.5292808076055515</v>
      </c>
      <c r="AB159">
        <f>IFERROR(V144+MATCH(AA159,V159:Z159,0)-1,"")</f>
        <v>2012</v>
      </c>
      <c r="AC159" t="str">
        <f t="shared" si="37"/>
        <v>Low</v>
      </c>
      <c r="AE159">
        <f>IF(ISNUMBER(MATCH("N/A",J159:N159,0)),"",IFERROR((5 * SUMPRODUCT(J144:N144,J159:N159) - PRODUCT(SUM(J144:N144),SUM(J159:N159))) / ((5 * SUM((J144^2)+(K144^2)+(L144^2)+(M144^2)+(N144^2))) - SUM(J144:N144)^2),""))</f>
        <v>551000</v>
      </c>
      <c r="AF159">
        <f>IFERROR(CORREL(J144:N144,J159:N159),"")</f>
        <v>0.32337885973815855</v>
      </c>
      <c r="AZ159">
        <f t="shared" si="38"/>
        <v>1</v>
      </c>
      <c r="BA159" t="str">
        <f>IF(AZ159=1,IF(Q159="","",IF(Q159=N144,"Yes","No")),"")</f>
        <v>No</v>
      </c>
      <c r="BB159" t="str">
        <f t="shared" si="39"/>
        <v/>
      </c>
      <c r="BC159" t="str">
        <f>IF(AZ159=1,IF(S159="","",IF(S159=N144,"Yes","No")),"")</f>
        <v>No</v>
      </c>
      <c r="BD159" t="str">
        <f t="shared" si="40"/>
        <v/>
      </c>
      <c r="BE159" t="str">
        <f t="shared" si="41"/>
        <v>Increasing</v>
      </c>
      <c r="BF159" t="str">
        <f t="shared" si="42"/>
        <v>No</v>
      </c>
      <c r="BG159" t="str">
        <f t="shared" si="43"/>
        <v>No</v>
      </c>
      <c r="BH159" t="str">
        <f t="shared" si="44"/>
        <v>No</v>
      </c>
    </row>
    <row r="160" spans="1:60" x14ac:dyDescent="0.3">
      <c r="A160" s="1">
        <v>2</v>
      </c>
      <c r="B160" t="s">
        <v>322</v>
      </c>
      <c r="C160" t="s">
        <v>1841</v>
      </c>
      <c r="D160" t="s">
        <v>1842</v>
      </c>
      <c r="E160" t="s">
        <v>1843</v>
      </c>
      <c r="F160" t="s">
        <v>1844</v>
      </c>
      <c r="G160" t="s">
        <v>1845</v>
      </c>
      <c r="I160" t="str">
        <f t="shared" si="46"/>
        <v>N/A</v>
      </c>
      <c r="J160">
        <f t="shared" si="47"/>
        <v>269830000</v>
      </c>
      <c r="K160">
        <f t="shared" si="48"/>
        <v>211550000</v>
      </c>
      <c r="L160">
        <f t="shared" si="49"/>
        <v>227280000</v>
      </c>
      <c r="M160">
        <f t="shared" si="50"/>
        <v>222810000</v>
      </c>
      <c r="N160">
        <f t="shared" si="51"/>
        <v>230170000</v>
      </c>
      <c r="P160">
        <f t="shared" si="27"/>
        <v>269830000</v>
      </c>
      <c r="Q160">
        <f>IFERROR(J144+MATCH(P160,J160:N160,0)-1,"")</f>
        <v>2012</v>
      </c>
      <c r="R160">
        <f t="shared" si="28"/>
        <v>211550000</v>
      </c>
      <c r="S160">
        <f>IFERROR(J144+MATCH(R160,J160:N160,0)-1,"")</f>
        <v>2013</v>
      </c>
      <c r="T160">
        <f t="shared" si="29"/>
        <v>232328000</v>
      </c>
      <c r="U160">
        <f t="shared" si="30"/>
        <v>22129487.567496903</v>
      </c>
      <c r="V160">
        <f t="shared" si="31"/>
        <v>1.694661924982021</v>
      </c>
      <c r="W160">
        <f t="shared" si="32"/>
        <v>-0.93892820322319959</v>
      </c>
      <c r="X160">
        <f t="shared" si="33"/>
        <v>-0.22811192462559973</v>
      </c>
      <c r="Y160">
        <f t="shared" si="34"/>
        <v>-0.43010485312726987</v>
      </c>
      <c r="Z160">
        <f t="shared" si="35"/>
        <v>-9.7516944005951706E-2</v>
      </c>
      <c r="AA160">
        <f t="shared" si="36"/>
        <v>1.694661924982021</v>
      </c>
      <c r="AB160">
        <f>IFERROR(V144+MATCH(AA160,V160:Z160,0)-1,"")</f>
        <v>2012</v>
      </c>
      <c r="AC160" t="str">
        <f t="shared" si="37"/>
        <v>High</v>
      </c>
      <c r="AE160">
        <f>IF(ISNUMBER(MATCH("N/A",J160:N160,0)),"",IFERROR((5 * SUMPRODUCT(J144:N144,J160:N160) - PRODUCT(SUM(J144:N144),SUM(J160:N160))) / ((5 * SUM((J144^2)+(K144^2)+(L144^2)+(M144^2)+(N144^2))) - SUM(J144:N144)^2),""))</f>
        <v>-6806000</v>
      </c>
      <c r="AF160">
        <f>IFERROR(CORREL(J144:N144,J160:N160),"")</f>
        <v>-0.48628468439363021</v>
      </c>
      <c r="AZ160">
        <f t="shared" si="38"/>
        <v>1</v>
      </c>
      <c r="BA160" t="str">
        <f>IF(AZ160=1,IF(Q160="","",IF(Q160=N144,"Yes","No")),"")</f>
        <v>No</v>
      </c>
      <c r="BB160" t="str">
        <f t="shared" si="39"/>
        <v/>
      </c>
      <c r="BC160" t="str">
        <f>IF(AZ160=1,IF(S160="","",IF(S160=N144,"Yes","No")),"")</f>
        <v>No</v>
      </c>
      <c r="BD160" t="str">
        <f t="shared" si="40"/>
        <v/>
      </c>
      <c r="BE160" t="str">
        <f t="shared" si="41"/>
        <v>Decreasing</v>
      </c>
      <c r="BF160" t="str">
        <f t="shared" si="42"/>
        <v>No</v>
      </c>
      <c r="BG160" t="str">
        <f t="shared" si="43"/>
        <v>No</v>
      </c>
      <c r="BH160" t="str">
        <f t="shared" si="44"/>
        <v>No</v>
      </c>
    </row>
    <row r="161" spans="1:60" x14ac:dyDescent="0.3">
      <c r="A161" s="1">
        <v>3</v>
      </c>
      <c r="B161" t="s">
        <v>323</v>
      </c>
      <c r="C161" t="s">
        <v>264</v>
      </c>
      <c r="D161" t="s">
        <v>1846</v>
      </c>
      <c r="E161" t="s">
        <v>1847</v>
      </c>
      <c r="F161" t="s">
        <v>1848</v>
      </c>
      <c r="G161" t="s">
        <v>1849</v>
      </c>
      <c r="I161" t="str">
        <f t="shared" si="46"/>
        <v>N/A</v>
      </c>
      <c r="J161" t="str">
        <f t="shared" si="47"/>
        <v>N/A</v>
      </c>
      <c r="K161">
        <f t="shared" si="48"/>
        <v>-0.1875</v>
      </c>
      <c r="L161">
        <f t="shared" si="49"/>
        <v>7.3899999999999993E-2</v>
      </c>
      <c r="M161">
        <f t="shared" si="50"/>
        <v>-3.2000000000000001E-2</v>
      </c>
      <c r="N161">
        <f t="shared" si="51"/>
        <v>3.2199999999999999E-2</v>
      </c>
      <c r="P161">
        <f t="shared" si="27"/>
        <v>7.3899999999999993E-2</v>
      </c>
      <c r="Q161">
        <f>IFERROR(J144+MATCH(P161,J161:N161,0)-1,"")</f>
        <v>2014</v>
      </c>
      <c r="R161">
        <f t="shared" si="28"/>
        <v>-0.1875</v>
      </c>
      <c r="S161">
        <f>IFERROR(J144+MATCH(R161,J161:N161,0)-1,"")</f>
        <v>2013</v>
      </c>
      <c r="T161">
        <f t="shared" si="29"/>
        <v>-2.835E-2</v>
      </c>
      <c r="U161">
        <f t="shared" si="30"/>
        <v>0.11469293788198121</v>
      </c>
      <c r="V161" t="str">
        <f t="shared" si="31"/>
        <v/>
      </c>
      <c r="W161">
        <f t="shared" si="32"/>
        <v>-1.3876181301046193</v>
      </c>
      <c r="X161">
        <f t="shared" si="33"/>
        <v>0.89151086272822688</v>
      </c>
      <c r="Y161">
        <f t="shared" si="34"/>
        <v>-3.1824104146288786E-2</v>
      </c>
      <c r="Z161">
        <f t="shared" si="35"/>
        <v>0.5279313715226811</v>
      </c>
      <c r="AA161">
        <f t="shared" si="36"/>
        <v>-1.3876181301046193</v>
      </c>
      <c r="AB161">
        <f>IFERROR(V144+MATCH(AA161,V161:Z161,0)-1,"")</f>
        <v>2013</v>
      </c>
      <c r="AC161" t="str">
        <f t="shared" si="37"/>
        <v>Low</v>
      </c>
      <c r="AE161" t="str">
        <f>IF(ISNUMBER(MATCH("N/A",J161:N161,0)),"",IFERROR((5 * SUMPRODUCT(J144:N144,J161:N161) - PRODUCT(SUM(J144:N144),SUM(J161:N161))) / ((5 * SUM((J144^2)+(K144^2)+(L144^2)+(M144^2)+(N144^2))) - SUM(J144:N144)^2),""))</f>
        <v/>
      </c>
      <c r="AF161">
        <f>IFERROR(CORREL(J144:N144,J161:N161),"")</f>
        <v>0.62268710020797913</v>
      </c>
      <c r="AZ161">
        <f t="shared" si="38"/>
        <v>1</v>
      </c>
      <c r="BA161" t="str">
        <f>IF(AZ161=1,IF(Q161="","",IF(Q161=N144,"Yes","No")),"")</f>
        <v>No</v>
      </c>
      <c r="BB161" t="str">
        <f t="shared" si="39"/>
        <v/>
      </c>
      <c r="BC161" t="str">
        <f>IF(AZ161=1,IF(S161="","",IF(S161=N144,"Yes","No")),"")</f>
        <v>No</v>
      </c>
      <c r="BD161" t="str">
        <f t="shared" si="40"/>
        <v/>
      </c>
      <c r="BE161" t="str">
        <f t="shared" si="41"/>
        <v/>
      </c>
      <c r="BF161" t="str">
        <f t="shared" si="42"/>
        <v>No</v>
      </c>
      <c r="BG161" t="str">
        <f t="shared" si="43"/>
        <v>No</v>
      </c>
      <c r="BH161" t="str">
        <f t="shared" si="44"/>
        <v>No</v>
      </c>
    </row>
    <row r="162" spans="1:60" x14ac:dyDescent="0.3">
      <c r="A162" s="1">
        <v>4</v>
      </c>
      <c r="B162" t="s">
        <v>328</v>
      </c>
      <c r="C162" t="s">
        <v>264</v>
      </c>
      <c r="D162" t="s">
        <v>264</v>
      </c>
      <c r="E162" t="s">
        <v>264</v>
      </c>
      <c r="F162" t="s">
        <v>264</v>
      </c>
      <c r="G162" t="s">
        <v>264</v>
      </c>
      <c r="I162" t="str">
        <f t="shared" si="46"/>
        <v>N/A</v>
      </c>
      <c r="J162" t="str">
        <f t="shared" si="47"/>
        <v>N/A</v>
      </c>
      <c r="K162" t="str">
        <f t="shared" si="48"/>
        <v>N/A</v>
      </c>
      <c r="L162" t="str">
        <f t="shared" si="49"/>
        <v>N/A</v>
      </c>
      <c r="M162" t="str">
        <f t="shared" si="50"/>
        <v>N/A</v>
      </c>
      <c r="N162" t="str">
        <f t="shared" si="51"/>
        <v>N/A</v>
      </c>
      <c r="P162">
        <f t="shared" si="27"/>
        <v>0</v>
      </c>
      <c r="Q162" t="str">
        <f>IFERROR(J144+MATCH(P162,J162:N162,0)-1,"")</f>
        <v/>
      </c>
      <c r="R162" t="str">
        <f t="shared" si="28"/>
        <v/>
      </c>
      <c r="S162" t="str">
        <f>IFERROR(J144+MATCH(R162,J162:N162,0)-1,"")</f>
        <v/>
      </c>
      <c r="T162" t="str">
        <f t="shared" si="29"/>
        <v/>
      </c>
      <c r="U162" t="str">
        <f t="shared" si="30"/>
        <v/>
      </c>
      <c r="V162" t="str">
        <f t="shared" si="31"/>
        <v/>
      </c>
      <c r="W162" t="str">
        <f t="shared" si="32"/>
        <v/>
      </c>
      <c r="X162" t="str">
        <f t="shared" si="33"/>
        <v/>
      </c>
      <c r="Y162" t="str">
        <f t="shared" si="34"/>
        <v/>
      </c>
      <c r="Z162" t="str">
        <f t="shared" si="35"/>
        <v/>
      </c>
      <c r="AA162">
        <f t="shared" si="36"/>
        <v>0</v>
      </c>
      <c r="AB162" t="str">
        <f>IFERROR(V144+MATCH(AA162,V162:Z162,0)-1,"")</f>
        <v/>
      </c>
      <c r="AC162" t="str">
        <f t="shared" si="37"/>
        <v/>
      </c>
      <c r="AE162" t="str">
        <f>IF(ISNUMBER(MATCH("N/A",J162:N162,0)),"",IFERROR((5 * SUMPRODUCT(J144:N144,J162:N162) - PRODUCT(SUM(J144:N144),SUM(J162:N162))) / ((5 * SUM((J144^2)+(K144^2)+(L144^2)+(M144^2)+(N144^2))) - SUM(J144:N144)^2),""))</f>
        <v/>
      </c>
      <c r="AF162" t="str">
        <f>IFERROR(CORREL(J144:N144,J162:N162),"")</f>
        <v/>
      </c>
      <c r="AZ162">
        <f t="shared" si="38"/>
        <v>0</v>
      </c>
      <c r="BA162" t="str">
        <f>IF(AZ162=1,IF(Q162="","",IF(Q162=N144,"Yes","No")),"")</f>
        <v/>
      </c>
      <c r="BB162" t="str">
        <f t="shared" si="39"/>
        <v/>
      </c>
      <c r="BC162" t="str">
        <f>IF(AZ162=1,IF(S162="","",IF(S162=N144,"Yes","No")),"")</f>
        <v/>
      </c>
      <c r="BD162" t="str">
        <f t="shared" si="40"/>
        <v/>
      </c>
      <c r="BE162" t="str">
        <f t="shared" si="41"/>
        <v/>
      </c>
      <c r="BF162" t="str">
        <f t="shared" si="42"/>
        <v>No</v>
      </c>
      <c r="BG162" t="str">
        <f t="shared" si="43"/>
        <v>No</v>
      </c>
      <c r="BH162" t="str">
        <f t="shared" si="44"/>
        <v/>
      </c>
    </row>
    <row r="163" spans="1:60" x14ac:dyDescent="0.3">
      <c r="A163" s="1">
        <v>5</v>
      </c>
      <c r="B163" t="s">
        <v>331</v>
      </c>
      <c r="C163" t="s">
        <v>1850</v>
      </c>
      <c r="D163" t="s">
        <v>1851</v>
      </c>
      <c r="E163" t="s">
        <v>1852</v>
      </c>
      <c r="F163" t="s">
        <v>1853</v>
      </c>
      <c r="G163" t="s">
        <v>1854</v>
      </c>
      <c r="I163" t="str">
        <f t="shared" si="46"/>
        <v>N/A</v>
      </c>
      <c r="J163">
        <f t="shared" si="47"/>
        <v>-1090000</v>
      </c>
      <c r="K163">
        <f t="shared" si="48"/>
        <v>4380000</v>
      </c>
      <c r="L163">
        <f t="shared" si="49"/>
        <v>15330000</v>
      </c>
      <c r="M163">
        <f t="shared" si="50"/>
        <v>3640000</v>
      </c>
      <c r="N163">
        <f t="shared" si="51"/>
        <v>2900000</v>
      </c>
      <c r="P163">
        <f t="shared" si="27"/>
        <v>15330000</v>
      </c>
      <c r="Q163">
        <f>IFERROR(J144+MATCH(P163,J163:N163,0)-1,"")</f>
        <v>2014</v>
      </c>
      <c r="R163">
        <f t="shared" si="28"/>
        <v>-1090000</v>
      </c>
      <c r="S163">
        <f>IFERROR(J144+MATCH(R163,J163:N163,0)-1,"")</f>
        <v>2012</v>
      </c>
      <c r="T163">
        <f t="shared" si="29"/>
        <v>5032000</v>
      </c>
      <c r="U163">
        <f t="shared" si="30"/>
        <v>6132615.2659367109</v>
      </c>
      <c r="V163">
        <f t="shared" si="31"/>
        <v>-0.99826904746565914</v>
      </c>
      <c r="W163">
        <f t="shared" si="32"/>
        <v>-0.10631679499307575</v>
      </c>
      <c r="X163">
        <f t="shared" si="33"/>
        <v>1.6792183356421688</v>
      </c>
      <c r="Y163">
        <f t="shared" si="34"/>
        <v>-0.22698309605883657</v>
      </c>
      <c r="Z163">
        <f t="shared" si="35"/>
        <v>-0.34764939712459736</v>
      </c>
      <c r="AA163">
        <f t="shared" si="36"/>
        <v>1.6792183356421688</v>
      </c>
      <c r="AB163">
        <f>IFERROR(V144+MATCH(AA163,V163:Z163,0)-1,"")</f>
        <v>2014</v>
      </c>
      <c r="AC163" t="str">
        <f t="shared" si="37"/>
        <v>High</v>
      </c>
      <c r="AE163">
        <f>IF(ISNUMBER(MATCH("N/A",J163:N163,0)),"",IFERROR((5 * SUMPRODUCT(J144:N144,J163:N163) - PRODUCT(SUM(J144:N144),SUM(J163:N163))) / ((5 * SUM((J144^2)+(K144^2)+(L144^2)+(M144^2)+(N144^2))) - SUM(J144:N144)^2),""))</f>
        <v>724000</v>
      </c>
      <c r="AF163">
        <f>IFERROR(CORREL(J144:N144,J163:N163),"")</f>
        <v>0.18666498114423979</v>
      </c>
      <c r="AZ163">
        <f t="shared" si="38"/>
        <v>1</v>
      </c>
      <c r="BA163" t="str">
        <f>IF(AZ163=1,IF(Q163="","",IF(Q163=N144,"Yes","No")),"")</f>
        <v>No</v>
      </c>
      <c r="BB163" t="str">
        <f t="shared" si="39"/>
        <v/>
      </c>
      <c r="BC163" t="str">
        <f>IF(AZ163=1,IF(S163="","",IF(S163=N144,"Yes","No")),"")</f>
        <v>No</v>
      </c>
      <c r="BD163" t="str">
        <f t="shared" si="40"/>
        <v/>
      </c>
      <c r="BE163" t="str">
        <f t="shared" si="41"/>
        <v>Increasing</v>
      </c>
      <c r="BF163" t="str">
        <f t="shared" si="42"/>
        <v>No</v>
      </c>
      <c r="BG163" t="str">
        <f t="shared" si="43"/>
        <v>No</v>
      </c>
      <c r="BH163" t="str">
        <f t="shared" si="44"/>
        <v>No</v>
      </c>
    </row>
    <row r="164" spans="1:60" x14ac:dyDescent="0.3">
      <c r="A164" s="1">
        <v>6</v>
      </c>
      <c r="B164" t="s">
        <v>336</v>
      </c>
      <c r="C164" t="s">
        <v>1855</v>
      </c>
      <c r="D164" t="s">
        <v>1856</v>
      </c>
      <c r="E164" t="s">
        <v>1857</v>
      </c>
      <c r="F164" t="s">
        <v>1858</v>
      </c>
      <c r="G164" t="s">
        <v>1859</v>
      </c>
      <c r="I164" t="str">
        <f t="shared" si="46"/>
        <v>N/A</v>
      </c>
      <c r="J164">
        <f t="shared" si="47"/>
        <v>140020000</v>
      </c>
      <c r="K164">
        <f t="shared" si="48"/>
        <v>121730000</v>
      </c>
      <c r="L164">
        <f t="shared" si="49"/>
        <v>179560000</v>
      </c>
      <c r="M164">
        <f t="shared" si="50"/>
        <v>177100000</v>
      </c>
      <c r="N164">
        <f t="shared" si="51"/>
        <v>194540000</v>
      </c>
      <c r="P164">
        <f t="shared" si="27"/>
        <v>194540000</v>
      </c>
      <c r="Q164">
        <f>IFERROR(J144+MATCH(P164,J164:N164,0)-1,"")</f>
        <v>2016</v>
      </c>
      <c r="R164">
        <f t="shared" si="28"/>
        <v>121730000</v>
      </c>
      <c r="S164">
        <f>IFERROR(J144+MATCH(R164,J164:N164,0)-1,"")</f>
        <v>2013</v>
      </c>
      <c r="T164">
        <f t="shared" si="29"/>
        <v>162590000</v>
      </c>
      <c r="U164">
        <f t="shared" si="30"/>
        <v>30406693.342091639</v>
      </c>
      <c r="V164">
        <f t="shared" si="31"/>
        <v>-0.74227078051780815</v>
      </c>
      <c r="W164">
        <f t="shared" si="32"/>
        <v>-1.3437830789524874</v>
      </c>
      <c r="X164">
        <f t="shared" si="33"/>
        <v>0.55810080396044326</v>
      </c>
      <c r="Y164">
        <f t="shared" si="34"/>
        <v>0.47719756425845794</v>
      </c>
      <c r="Z164">
        <f t="shared" si="35"/>
        <v>1.0507554912513943</v>
      </c>
      <c r="AA164">
        <f t="shared" si="36"/>
        <v>-1.3437830789524874</v>
      </c>
      <c r="AB164">
        <f>IFERROR(V144+MATCH(AA164,V164:Z164,0)-1,"")</f>
        <v>2013</v>
      </c>
      <c r="AC164" t="str">
        <f t="shared" si="37"/>
        <v>Low</v>
      </c>
      <c r="AE164">
        <f>IF(ISNUMBER(MATCH("N/A",J164:N164,0)),"",IFERROR((5 * SUMPRODUCT(J144:N144,J164:N164) - PRODUCT(SUM(J144:N144),SUM(J164:N164))) / ((5 * SUM((J144^2)+(K144^2)+(L144^2)+(M144^2)+(N144^2))) - SUM(J144:N144)^2),""))</f>
        <v>16441000</v>
      </c>
      <c r="AF164">
        <f>IFERROR(CORREL(J144:N144,J164:N164),"")</f>
        <v>0.85492701271232552</v>
      </c>
      <c r="AZ164">
        <f t="shared" si="38"/>
        <v>1</v>
      </c>
      <c r="BA164" t="str">
        <f>IF(AZ164=1,IF(Q164="","",IF(Q164=N144,"Yes","No")),"")</f>
        <v>Yes</v>
      </c>
      <c r="BB164">
        <f t="shared" si="39"/>
        <v>194540000</v>
      </c>
      <c r="BC164" t="str">
        <f>IF(AZ164=1,IF(S164="","",IF(S164=N144,"Yes","No")),"")</f>
        <v>No</v>
      </c>
      <c r="BD164" t="str">
        <f t="shared" si="40"/>
        <v/>
      </c>
      <c r="BE164" t="str">
        <f t="shared" si="41"/>
        <v>Increasing</v>
      </c>
      <c r="BF164" t="str">
        <f t="shared" si="42"/>
        <v>Yes</v>
      </c>
      <c r="BG164" t="str">
        <f t="shared" si="43"/>
        <v>No</v>
      </c>
      <c r="BH164" t="str">
        <f t="shared" si="44"/>
        <v>Yes</v>
      </c>
    </row>
    <row r="165" spans="1:60" x14ac:dyDescent="0.3">
      <c r="A165" s="1">
        <v>7</v>
      </c>
      <c r="B165" t="s">
        <v>341</v>
      </c>
      <c r="C165" t="s">
        <v>1860</v>
      </c>
      <c r="D165" t="s">
        <v>1861</v>
      </c>
      <c r="E165" t="s">
        <v>1862</v>
      </c>
      <c r="F165" t="s">
        <v>1863</v>
      </c>
      <c r="G165" t="s">
        <v>1864</v>
      </c>
      <c r="I165" t="str">
        <f t="shared" si="46"/>
        <v>N/A</v>
      </c>
      <c r="J165">
        <f t="shared" si="47"/>
        <v>-6130000</v>
      </c>
      <c r="K165">
        <f t="shared" si="48"/>
        <v>-1920000</v>
      </c>
      <c r="L165">
        <f t="shared" si="49"/>
        <v>-2550000</v>
      </c>
      <c r="M165">
        <f t="shared" si="50"/>
        <v>-9310000</v>
      </c>
      <c r="N165">
        <f t="shared" si="51"/>
        <v>-589000</v>
      </c>
      <c r="P165">
        <f t="shared" si="27"/>
        <v>-589000</v>
      </c>
      <c r="Q165">
        <f>IFERROR(J144+MATCH(P165,J165:N165,0)-1,"")</f>
        <v>2016</v>
      </c>
      <c r="R165">
        <f t="shared" si="28"/>
        <v>-9310000</v>
      </c>
      <c r="S165">
        <f>IFERROR(J144+MATCH(R165,J165:N165,0)-1,"")</f>
        <v>2015</v>
      </c>
      <c r="T165">
        <f t="shared" si="29"/>
        <v>-4099800</v>
      </c>
      <c r="U165">
        <f t="shared" si="30"/>
        <v>3561847.161235305</v>
      </c>
      <c r="V165">
        <f t="shared" si="31"/>
        <v>-0.56998515323602328</v>
      </c>
      <c r="W165">
        <f t="shared" si="32"/>
        <v>0.61198583244206661</v>
      </c>
      <c r="X165">
        <f t="shared" si="33"/>
        <v>0.43511131439522654</v>
      </c>
      <c r="Y165">
        <f t="shared" si="34"/>
        <v>-1.4627803395676922</v>
      </c>
      <c r="Z165">
        <f t="shared" si="35"/>
        <v>0.98566834596642239</v>
      </c>
      <c r="AA165">
        <f t="shared" si="36"/>
        <v>-1.4627803395676922</v>
      </c>
      <c r="AB165">
        <f>IFERROR(V144+MATCH(AA165,V165:Z165,0)-1,"")</f>
        <v>2015</v>
      </c>
      <c r="AC165" t="str">
        <f t="shared" si="37"/>
        <v>Low</v>
      </c>
      <c r="AE165">
        <f>IF(ISNUMBER(MATCH("N/A",J165:N165,0)),"",IFERROR((5 * SUMPRODUCT(J144:N144,J165:N165) - PRODUCT(SUM(J144:N144),SUM(J165:N165))) / ((5 * SUM((J144^2)+(K144^2)+(L144^2)+(M144^2)+(N144^2))) - SUM(J144:N144)^2),""))</f>
        <v>369200</v>
      </c>
      <c r="AF165">
        <f>IFERROR(CORREL(J144:N144,J165:N165),"")</f>
        <v>0.16389149495808991</v>
      </c>
      <c r="AZ165">
        <f t="shared" si="38"/>
        <v>1</v>
      </c>
      <c r="BA165" t="str">
        <f>IF(AZ165=1,IF(Q165="","",IF(Q165=N144,"Yes","No")),"")</f>
        <v>Yes</v>
      </c>
      <c r="BB165">
        <f t="shared" si="39"/>
        <v>-589000</v>
      </c>
      <c r="BC165" t="str">
        <f>IF(AZ165=1,IF(S165="","",IF(S165=N144,"Yes","No")),"")</f>
        <v>No</v>
      </c>
      <c r="BD165" t="str">
        <f t="shared" si="40"/>
        <v/>
      </c>
      <c r="BE165" t="str">
        <f t="shared" si="41"/>
        <v>Increasing</v>
      </c>
      <c r="BF165" t="str">
        <f t="shared" si="42"/>
        <v>Yes</v>
      </c>
      <c r="BG165" t="str">
        <f t="shared" si="43"/>
        <v>No</v>
      </c>
      <c r="BH165" t="str">
        <f t="shared" si="44"/>
        <v>No</v>
      </c>
    </row>
    <row r="166" spans="1:60" x14ac:dyDescent="0.3">
      <c r="A166" s="1">
        <v>8</v>
      </c>
      <c r="B166" t="s">
        <v>347</v>
      </c>
      <c r="C166" t="s">
        <v>264</v>
      </c>
      <c r="D166" t="s">
        <v>264</v>
      </c>
      <c r="E166" t="s">
        <v>264</v>
      </c>
      <c r="F166" t="s">
        <v>264</v>
      </c>
      <c r="G166" t="s">
        <v>264</v>
      </c>
      <c r="I166" t="str">
        <f t="shared" si="46"/>
        <v>N/A</v>
      </c>
      <c r="J166" t="str">
        <f t="shared" si="47"/>
        <v>N/A</v>
      </c>
      <c r="K166" t="str">
        <f t="shared" si="48"/>
        <v>N/A</v>
      </c>
      <c r="L166" t="str">
        <f t="shared" si="49"/>
        <v>N/A</v>
      </c>
      <c r="M166" t="str">
        <f t="shared" si="50"/>
        <v>N/A</v>
      </c>
      <c r="N166" t="str">
        <f t="shared" si="51"/>
        <v>N/A</v>
      </c>
      <c r="P166">
        <f t="shared" si="27"/>
        <v>0</v>
      </c>
      <c r="Q166" t="str">
        <f>IFERROR(J144+MATCH(P166,J166:N166,0)-1,"")</f>
        <v/>
      </c>
      <c r="R166" t="str">
        <f t="shared" si="28"/>
        <v/>
      </c>
      <c r="S166" t="str">
        <f>IFERROR(J144+MATCH(R166,J166:N166,0)-1,"")</f>
        <v/>
      </c>
      <c r="T166" t="str">
        <f t="shared" si="29"/>
        <v/>
      </c>
      <c r="U166" t="str">
        <f t="shared" si="30"/>
        <v/>
      </c>
      <c r="V166" t="str">
        <f t="shared" si="31"/>
        <v/>
      </c>
      <c r="W166" t="str">
        <f t="shared" si="32"/>
        <v/>
      </c>
      <c r="X166" t="str">
        <f t="shared" si="33"/>
        <v/>
      </c>
      <c r="Y166" t="str">
        <f t="shared" si="34"/>
        <v/>
      </c>
      <c r="Z166" t="str">
        <f t="shared" si="35"/>
        <v/>
      </c>
      <c r="AA166">
        <f t="shared" si="36"/>
        <v>0</v>
      </c>
      <c r="AB166" t="str">
        <f>IFERROR(V144+MATCH(AA166,V166:Z166,0)-1,"")</f>
        <v/>
      </c>
      <c r="AC166" t="str">
        <f t="shared" si="37"/>
        <v/>
      </c>
      <c r="AE166" t="str">
        <f>IF(ISNUMBER(MATCH("N/A",J166:N166,0)),"",IFERROR((5 * SUMPRODUCT(J144:N144,J166:N166) - PRODUCT(SUM(J144:N144),SUM(J166:N166))) / ((5 * SUM((J144^2)+(K144^2)+(L144^2)+(M144^2)+(N144^2))) - SUM(J144:N144)^2),""))</f>
        <v/>
      </c>
      <c r="AF166" t="str">
        <f>IFERROR(CORREL(J144:N144,J166:N166),"")</f>
        <v/>
      </c>
      <c r="AZ166">
        <f t="shared" si="38"/>
        <v>0</v>
      </c>
      <c r="BA166" t="str">
        <f>IF(AZ166=1,IF(Q166="","",IF(Q166=N144,"Yes","No")),"")</f>
        <v/>
      </c>
      <c r="BB166" t="str">
        <f t="shared" si="39"/>
        <v/>
      </c>
      <c r="BC166" t="str">
        <f>IF(AZ166=1,IF(S166="","",IF(S166=N144,"Yes","No")),"")</f>
        <v/>
      </c>
      <c r="BD166" t="str">
        <f t="shared" si="40"/>
        <v/>
      </c>
      <c r="BE166" t="str">
        <f t="shared" si="41"/>
        <v/>
      </c>
      <c r="BF166" t="str">
        <f t="shared" si="42"/>
        <v>No</v>
      </c>
      <c r="BG166" t="str">
        <f t="shared" si="43"/>
        <v>No</v>
      </c>
      <c r="BH166" t="str">
        <f t="shared" si="44"/>
        <v/>
      </c>
    </row>
    <row r="167" spans="1:60" x14ac:dyDescent="0.3">
      <c r="A167" s="1">
        <v>9</v>
      </c>
      <c r="B167" t="s">
        <v>353</v>
      </c>
      <c r="C167" t="s">
        <v>264</v>
      </c>
      <c r="D167" t="s">
        <v>264</v>
      </c>
      <c r="E167" t="s">
        <v>264</v>
      </c>
      <c r="F167" t="s">
        <v>264</v>
      </c>
      <c r="G167" t="s">
        <v>264</v>
      </c>
      <c r="I167" t="str">
        <f t="shared" si="46"/>
        <v>N/A</v>
      </c>
      <c r="J167" t="str">
        <f t="shared" si="47"/>
        <v>N/A</v>
      </c>
      <c r="K167" t="str">
        <f t="shared" si="48"/>
        <v>N/A</v>
      </c>
      <c r="L167" t="str">
        <f t="shared" si="49"/>
        <v>N/A</v>
      </c>
      <c r="M167" t="str">
        <f t="shared" si="50"/>
        <v>N/A</v>
      </c>
      <c r="N167" t="str">
        <f t="shared" si="51"/>
        <v>N/A</v>
      </c>
      <c r="P167">
        <f t="shared" si="27"/>
        <v>0</v>
      </c>
      <c r="Q167" t="str">
        <f>IFERROR(J144+MATCH(P167,J167:N167,0)-1,"")</f>
        <v/>
      </c>
      <c r="R167" t="str">
        <f t="shared" si="28"/>
        <v/>
      </c>
      <c r="S167" t="str">
        <f>IFERROR(J144+MATCH(R167,J167:N167,0)-1,"")</f>
        <v/>
      </c>
      <c r="T167" t="str">
        <f t="shared" si="29"/>
        <v/>
      </c>
      <c r="U167" t="str">
        <f t="shared" si="30"/>
        <v/>
      </c>
      <c r="V167" t="str">
        <f t="shared" si="31"/>
        <v/>
      </c>
      <c r="W167" t="str">
        <f t="shared" si="32"/>
        <v/>
      </c>
      <c r="X167" t="str">
        <f t="shared" si="33"/>
        <v/>
      </c>
      <c r="Y167" t="str">
        <f t="shared" si="34"/>
        <v/>
      </c>
      <c r="Z167" t="str">
        <f t="shared" si="35"/>
        <v/>
      </c>
      <c r="AA167">
        <f t="shared" si="36"/>
        <v>0</v>
      </c>
      <c r="AB167" t="str">
        <f>IFERROR(V144+MATCH(AA167,V167:Z167,0)-1,"")</f>
        <v/>
      </c>
      <c r="AC167" t="str">
        <f t="shared" si="37"/>
        <v/>
      </c>
      <c r="AE167" t="str">
        <f>IF(ISNUMBER(MATCH("N/A",J167:N167,0)),"",IFERROR((5 * SUMPRODUCT(J144:N144,J167:N167) - PRODUCT(SUM(J144:N144),SUM(J167:N167))) / ((5 * SUM((J144^2)+(K144^2)+(L144^2)+(M144^2)+(N144^2))) - SUM(J144:N144)^2),""))</f>
        <v/>
      </c>
      <c r="AF167" t="str">
        <f>IFERROR(CORREL(J144:N144,J167:N167),"")</f>
        <v/>
      </c>
      <c r="AZ167">
        <f t="shared" si="38"/>
        <v>0</v>
      </c>
      <c r="BA167" t="str">
        <f>IF(AZ167=1,IF(Q167="","",IF(Q167=N144,"Yes","No")),"")</f>
        <v/>
      </c>
      <c r="BB167" t="str">
        <f t="shared" si="39"/>
        <v/>
      </c>
      <c r="BC167" t="str">
        <f>IF(AZ167=1,IF(S167="","",IF(S167=N144,"Yes","No")),"")</f>
        <v/>
      </c>
      <c r="BD167" t="str">
        <f t="shared" si="40"/>
        <v/>
      </c>
      <c r="BE167" t="str">
        <f t="shared" si="41"/>
        <v/>
      </c>
      <c r="BF167" t="str">
        <f t="shared" si="42"/>
        <v>No</v>
      </c>
      <c r="BG167" t="str">
        <f t="shared" si="43"/>
        <v>No</v>
      </c>
      <c r="BH167" t="str">
        <f t="shared" si="44"/>
        <v/>
      </c>
    </row>
    <row r="168" spans="1:60" x14ac:dyDescent="0.3">
      <c r="A168" s="1">
        <v>10</v>
      </c>
      <c r="B168" t="s">
        <v>354</v>
      </c>
      <c r="C168" t="s">
        <v>1865</v>
      </c>
      <c r="D168" t="s">
        <v>1865</v>
      </c>
      <c r="E168" t="s">
        <v>1866</v>
      </c>
      <c r="F168" t="s">
        <v>1867</v>
      </c>
      <c r="G168" t="s">
        <v>1868</v>
      </c>
      <c r="I168" t="str">
        <f t="shared" si="46"/>
        <v>N/A</v>
      </c>
      <c r="J168">
        <f t="shared" si="47"/>
        <v>12240000</v>
      </c>
      <c r="K168">
        <f t="shared" si="48"/>
        <v>12240000</v>
      </c>
      <c r="L168">
        <f t="shared" si="49"/>
        <v>10510000</v>
      </c>
      <c r="M168">
        <f t="shared" si="50"/>
        <v>9850000</v>
      </c>
      <c r="N168">
        <f t="shared" si="51"/>
        <v>11330000</v>
      </c>
      <c r="P168">
        <f t="shared" si="27"/>
        <v>12240000</v>
      </c>
      <c r="Q168">
        <f>IFERROR(J144+MATCH(P168,J168:N168,0)-1,"")</f>
        <v>2012</v>
      </c>
      <c r="R168">
        <f t="shared" si="28"/>
        <v>9850000</v>
      </c>
      <c r="S168">
        <f>IFERROR(J144+MATCH(R168,J168:N168,0)-1,"")</f>
        <v>2015</v>
      </c>
      <c r="T168">
        <f t="shared" si="29"/>
        <v>11234000</v>
      </c>
      <c r="U168">
        <f t="shared" si="30"/>
        <v>1057463.9473759851</v>
      </c>
      <c r="V168">
        <f t="shared" si="31"/>
        <v>0.95133266954047091</v>
      </c>
      <c r="W168">
        <f t="shared" si="32"/>
        <v>0.95133266954047091</v>
      </c>
      <c r="X168">
        <f t="shared" si="33"/>
        <v>-0.68465691127962325</v>
      </c>
      <c r="Y168">
        <f t="shared" si="34"/>
        <v>-1.3087916646560753</v>
      </c>
      <c r="Z168">
        <f t="shared" si="35"/>
        <v>9.0783236854756671E-2</v>
      </c>
      <c r="AA168">
        <f t="shared" si="36"/>
        <v>-1.3087916646560753</v>
      </c>
      <c r="AB168">
        <f>IFERROR(V144+MATCH(AA168,V168:Z168,0)-1,"")</f>
        <v>2015</v>
      </c>
      <c r="AC168" t="str">
        <f t="shared" si="37"/>
        <v>Low</v>
      </c>
      <c r="AE168">
        <f>IF(ISNUMBER(MATCH("N/A",J168:N168,0)),"",IFERROR((5 * SUMPRODUCT(J144:N144,J168:N168) - PRODUCT(SUM(J144:N144),SUM(J168:N168))) / ((5 * SUM((J144^2)+(K144^2)+(L144^2)+(M144^2)+(N144^2))) - SUM(J144:N144)^2),""))</f>
        <v>-421000</v>
      </c>
      <c r="AF168">
        <f>IFERROR(CORREL(J144:N144,J168:N168),"")</f>
        <v>-0.62948665920689417</v>
      </c>
      <c r="AZ168">
        <f t="shared" si="38"/>
        <v>1</v>
      </c>
      <c r="BA168" t="str">
        <f>IF(AZ168=1,IF(Q168="","",IF(Q168=N144,"Yes","No")),"")</f>
        <v>No</v>
      </c>
      <c r="BB168" t="str">
        <f t="shared" si="39"/>
        <v/>
      </c>
      <c r="BC168" t="str">
        <f>IF(AZ168=1,IF(S168="","",IF(S168=N144,"Yes","No")),"")</f>
        <v>No</v>
      </c>
      <c r="BD168" t="str">
        <f t="shared" si="40"/>
        <v/>
      </c>
      <c r="BE168" t="str">
        <f t="shared" si="41"/>
        <v>Decreasing</v>
      </c>
      <c r="BF168" t="str">
        <f t="shared" si="42"/>
        <v>No</v>
      </c>
      <c r="BG168" t="str">
        <f t="shared" si="43"/>
        <v>No</v>
      </c>
      <c r="BH168" t="str">
        <f t="shared" si="44"/>
        <v>No</v>
      </c>
    </row>
    <row r="169" spans="1:60" x14ac:dyDescent="0.3">
      <c r="A169" s="1">
        <v>11</v>
      </c>
      <c r="B169" t="s">
        <v>360</v>
      </c>
      <c r="C169" t="s">
        <v>264</v>
      </c>
      <c r="D169" t="s">
        <v>1869</v>
      </c>
      <c r="E169" t="s">
        <v>1870</v>
      </c>
      <c r="F169" t="s">
        <v>462</v>
      </c>
      <c r="G169" t="s">
        <v>1871</v>
      </c>
      <c r="I169" t="str">
        <f t="shared" si="46"/>
        <v>N/A</v>
      </c>
      <c r="J169" t="str">
        <f t="shared" si="47"/>
        <v>N/A</v>
      </c>
      <c r="K169">
        <f t="shared" si="48"/>
        <v>2.0000000000000001E-4</v>
      </c>
      <c r="L169">
        <f t="shared" si="49"/>
        <v>-0.14169999999999999</v>
      </c>
      <c r="M169">
        <f t="shared" si="50"/>
        <v>-6.2899999999999998E-2</v>
      </c>
      <c r="N169">
        <f t="shared" si="51"/>
        <v>0.15040000000000001</v>
      </c>
      <c r="P169">
        <f t="shared" si="27"/>
        <v>0.15040000000000001</v>
      </c>
      <c r="Q169">
        <f>IFERROR(J144+MATCH(P169,J169:N169,0)-1,"")</f>
        <v>2016</v>
      </c>
      <c r="R169">
        <f t="shared" si="28"/>
        <v>-0.14169999999999999</v>
      </c>
      <c r="S169">
        <f>IFERROR(J144+MATCH(R169,J169:N169,0)-1,"")</f>
        <v>2014</v>
      </c>
      <c r="T169">
        <f t="shared" si="29"/>
        <v>-1.3499999999999991E-2</v>
      </c>
      <c r="U169">
        <f t="shared" si="30"/>
        <v>0.12372887024996766</v>
      </c>
      <c r="V169" t="str">
        <f t="shared" si="31"/>
        <v/>
      </c>
      <c r="W169">
        <f t="shared" si="32"/>
        <v>0.11072597666431511</v>
      </c>
      <c r="X169">
        <f t="shared" si="33"/>
        <v>-1.0361365115595043</v>
      </c>
      <c r="Y169">
        <f t="shared" si="34"/>
        <v>-0.39926009103774968</v>
      </c>
      <c r="Z169">
        <f t="shared" si="35"/>
        <v>1.3246706259329384</v>
      </c>
      <c r="AA169">
        <f t="shared" si="36"/>
        <v>1.3246706259329384</v>
      </c>
      <c r="AB169">
        <f>IFERROR(V144+MATCH(AA169,V169:Z169,0)-1,"")</f>
        <v>2016</v>
      </c>
      <c r="AC169" t="str">
        <f t="shared" si="37"/>
        <v>High</v>
      </c>
      <c r="AE169" t="str">
        <f>IF(ISNUMBER(MATCH("N/A",J169:N169,0)),"",IFERROR((5 * SUMPRODUCT(J144:N144,J169:N169) - PRODUCT(SUM(J144:N144),SUM(J169:N169))) / ((5 * SUM((J144^2)+(K144^2)+(L144^2)+(M144^2)+(N144^2))) - SUM(J144:N144)^2),""))</f>
        <v/>
      </c>
      <c r="AF169">
        <f>IFERROR(CORREL(J144:N144,J169:N169),"")</f>
        <v>0.55237913332592969</v>
      </c>
      <c r="AZ169">
        <f t="shared" si="38"/>
        <v>1</v>
      </c>
      <c r="BA169" t="str">
        <f>IF(AZ169=1,IF(Q169="","",IF(Q169=N144,"Yes","No")),"")</f>
        <v>Yes</v>
      </c>
      <c r="BB169">
        <f t="shared" si="39"/>
        <v>0.15040000000000001</v>
      </c>
      <c r="BC169" t="str">
        <f>IF(AZ169=1,IF(S169="","",IF(S169=N144,"Yes","No")),"")</f>
        <v>No</v>
      </c>
      <c r="BD169" t="str">
        <f t="shared" si="40"/>
        <v/>
      </c>
      <c r="BE169" t="str">
        <f t="shared" si="41"/>
        <v/>
      </c>
      <c r="BF169" t="str">
        <f t="shared" si="42"/>
        <v>No</v>
      </c>
      <c r="BG169" t="str">
        <f t="shared" si="43"/>
        <v>No</v>
      </c>
      <c r="BH169" t="str">
        <f t="shared" si="44"/>
        <v>No</v>
      </c>
    </row>
    <row r="170" spans="1:60" x14ac:dyDescent="0.3">
      <c r="A170" s="1">
        <v>12</v>
      </c>
      <c r="B170" t="s">
        <v>365</v>
      </c>
      <c r="C170" t="s">
        <v>1872</v>
      </c>
      <c r="D170" t="s">
        <v>1873</v>
      </c>
      <c r="E170" t="s">
        <v>1874</v>
      </c>
      <c r="F170" t="s">
        <v>1875</v>
      </c>
      <c r="G170" t="s">
        <v>1876</v>
      </c>
      <c r="I170" t="str">
        <f t="shared" si="46"/>
        <v>N/A</v>
      </c>
      <c r="J170">
        <f t="shared" si="47"/>
        <v>12430000</v>
      </c>
      <c r="K170">
        <f t="shared" si="48"/>
        <v>12490000</v>
      </c>
      <c r="L170">
        <f t="shared" si="49"/>
        <v>10870000</v>
      </c>
      <c r="M170">
        <f t="shared" si="50"/>
        <v>10270000</v>
      </c>
      <c r="N170">
        <f t="shared" si="51"/>
        <v>11650000</v>
      </c>
      <c r="P170">
        <f t="shared" si="27"/>
        <v>12490000</v>
      </c>
      <c r="Q170">
        <f>IFERROR(J144+MATCH(P170,J170:N170,0)-1,"")</f>
        <v>2013</v>
      </c>
      <c r="R170">
        <f t="shared" si="28"/>
        <v>10270000</v>
      </c>
      <c r="S170">
        <f>IFERROR(J144+MATCH(R170,J170:N170,0)-1,"")</f>
        <v>2015</v>
      </c>
      <c r="T170">
        <f t="shared" si="29"/>
        <v>11542000</v>
      </c>
      <c r="U170">
        <f t="shared" si="30"/>
        <v>970628.66225967184</v>
      </c>
      <c r="V170">
        <f t="shared" si="31"/>
        <v>0.91487098467985872</v>
      </c>
      <c r="W170">
        <f t="shared" si="32"/>
        <v>0.97668659175282213</v>
      </c>
      <c r="X170">
        <f t="shared" si="33"/>
        <v>-0.69233479921719043</v>
      </c>
      <c r="Y170">
        <f t="shared" si="34"/>
        <v>-1.3104908699468247</v>
      </c>
      <c r="Z170">
        <f t="shared" si="35"/>
        <v>0.11126809273133417</v>
      </c>
      <c r="AA170">
        <f t="shared" si="36"/>
        <v>-1.3104908699468247</v>
      </c>
      <c r="AB170">
        <f>IFERROR(V144+MATCH(AA170,V170:Z170,0)-1,"")</f>
        <v>2015</v>
      </c>
      <c r="AC170" t="str">
        <f t="shared" si="37"/>
        <v>Low</v>
      </c>
      <c r="AE170">
        <f>IF(ISNUMBER(MATCH("N/A",J170:N170,0)),"",IFERROR((5 * SUMPRODUCT(J144:N144,J170:N170) - PRODUCT(SUM(J144:N144),SUM(J170:N170))) / ((5 * SUM((J144^2)+(K144^2)+(L144^2)+(M144^2)+(N144^2))) - SUM(J144:N144)^2),""))</f>
        <v>-378000</v>
      </c>
      <c r="AF170">
        <f>IFERROR(CORREL(J144:N144,J170:N170),"")</f>
        <v>-0.61575605688422297</v>
      </c>
      <c r="AZ170">
        <f t="shared" si="38"/>
        <v>1</v>
      </c>
      <c r="BA170" t="str">
        <f>IF(AZ170=1,IF(Q170="","",IF(Q170=N144,"Yes","No")),"")</f>
        <v>No</v>
      </c>
      <c r="BB170" t="str">
        <f t="shared" si="39"/>
        <v/>
      </c>
      <c r="BC170" t="str">
        <f>IF(AZ170=1,IF(S170="","",IF(S170=N144,"Yes","No")),"")</f>
        <v>No</v>
      </c>
      <c r="BD170" t="str">
        <f t="shared" si="40"/>
        <v/>
      </c>
      <c r="BE170" t="str">
        <f t="shared" si="41"/>
        <v>Decreasing</v>
      </c>
      <c r="BF170" t="str">
        <f t="shared" si="42"/>
        <v>No</v>
      </c>
      <c r="BG170" t="str">
        <f t="shared" si="43"/>
        <v>No</v>
      </c>
      <c r="BH170" t="str">
        <f t="shared" si="44"/>
        <v>No</v>
      </c>
    </row>
    <row r="171" spans="1:60" x14ac:dyDescent="0.3">
      <c r="A171" s="1">
        <v>13</v>
      </c>
      <c r="B171" t="s">
        <v>366</v>
      </c>
      <c r="C171" t="s">
        <v>1877</v>
      </c>
      <c r="D171" t="s">
        <v>1878</v>
      </c>
      <c r="E171" t="s">
        <v>1879</v>
      </c>
      <c r="F171" t="s">
        <v>1880</v>
      </c>
      <c r="G171" t="s">
        <v>1881</v>
      </c>
      <c r="I171" t="str">
        <f t="shared" si="46"/>
        <v>N/A</v>
      </c>
      <c r="J171">
        <f t="shared" si="47"/>
        <v>195000</v>
      </c>
      <c r="K171">
        <f t="shared" si="48"/>
        <v>247000</v>
      </c>
      <c r="L171">
        <f t="shared" si="49"/>
        <v>359000</v>
      </c>
      <c r="M171">
        <f t="shared" si="50"/>
        <v>422000</v>
      </c>
      <c r="N171">
        <f t="shared" si="51"/>
        <v>324000</v>
      </c>
      <c r="P171">
        <f t="shared" si="27"/>
        <v>422000</v>
      </c>
      <c r="Q171">
        <f>IFERROR(J144+MATCH(P171,J171:N171,0)-1,"")</f>
        <v>2015</v>
      </c>
      <c r="R171">
        <f t="shared" si="28"/>
        <v>195000</v>
      </c>
      <c r="S171">
        <f>IFERROR(J144+MATCH(R171,J171:N171,0)-1,"")</f>
        <v>2012</v>
      </c>
      <c r="T171">
        <f t="shared" si="29"/>
        <v>309400</v>
      </c>
      <c r="U171">
        <f t="shared" si="30"/>
        <v>89907.174352217306</v>
      </c>
      <c r="V171">
        <f t="shared" si="31"/>
        <v>-1.2724234837125503</v>
      </c>
      <c r="W171">
        <f t="shared" si="32"/>
        <v>-0.69404917293411839</v>
      </c>
      <c r="X171">
        <f t="shared" si="33"/>
        <v>0.55168011181942744</v>
      </c>
      <c r="Y171">
        <f t="shared" si="34"/>
        <v>1.2524028344932969</v>
      </c>
      <c r="Z171">
        <f t="shared" si="35"/>
        <v>0.16238971033394436</v>
      </c>
      <c r="AA171">
        <f t="shared" si="36"/>
        <v>-1.2724234837125503</v>
      </c>
      <c r="AB171">
        <f>IFERROR(V144+MATCH(AA171,V171:Z171,0)-1,"")</f>
        <v>2012</v>
      </c>
      <c r="AC171" t="str">
        <f t="shared" si="37"/>
        <v>Low</v>
      </c>
      <c r="AE171">
        <f>IF(ISNUMBER(MATCH("N/A",J171:N171,0)),"",IFERROR((5 * SUMPRODUCT(J144:N144,J171:N171) - PRODUCT(SUM(J144:N144),SUM(J171:N171))) / ((5 * SUM((J144^2)+(K144^2)+(L144^2)+(M144^2)+(N144^2))) - SUM(J144:N144)^2),""))</f>
        <v>43300</v>
      </c>
      <c r="AF171">
        <f>IFERROR(CORREL(J144:N144,J171:N171),"")</f>
        <v>0.76148885598868743</v>
      </c>
      <c r="AZ171">
        <f t="shared" si="38"/>
        <v>1</v>
      </c>
      <c r="BA171" t="str">
        <f>IF(AZ171=1,IF(Q171="","",IF(Q171=N144,"Yes","No")),"")</f>
        <v>No</v>
      </c>
      <c r="BB171" t="str">
        <f t="shared" si="39"/>
        <v/>
      </c>
      <c r="BC171" t="str">
        <f>IF(AZ171=1,IF(S171="","",IF(S171=N144,"Yes","No")),"")</f>
        <v>No</v>
      </c>
      <c r="BD171" t="str">
        <f t="shared" si="40"/>
        <v/>
      </c>
      <c r="BE171" t="str">
        <f t="shared" si="41"/>
        <v>Increasing</v>
      </c>
      <c r="BF171" t="str">
        <f t="shared" si="42"/>
        <v>No</v>
      </c>
      <c r="BG171" t="str">
        <f t="shared" si="43"/>
        <v>No</v>
      </c>
      <c r="BH171" t="str">
        <f t="shared" si="44"/>
        <v>No</v>
      </c>
    </row>
    <row r="172" spans="1:60" x14ac:dyDescent="0.3">
      <c r="A172" s="1">
        <v>14</v>
      </c>
      <c r="B172" t="s">
        <v>367</v>
      </c>
      <c r="C172" t="s">
        <v>1882</v>
      </c>
      <c r="D172" t="s">
        <v>1883</v>
      </c>
      <c r="E172" t="s">
        <v>1884</v>
      </c>
      <c r="F172" t="s">
        <v>1885</v>
      </c>
      <c r="G172" t="s">
        <v>1886</v>
      </c>
      <c r="I172" t="str">
        <f t="shared" si="46"/>
        <v>N/A</v>
      </c>
      <c r="J172">
        <f t="shared" si="47"/>
        <v>121650000</v>
      </c>
      <c r="K172">
        <f t="shared" si="48"/>
        <v>107570000</v>
      </c>
      <c r="L172">
        <f t="shared" si="49"/>
        <v>166500000</v>
      </c>
      <c r="M172">
        <f t="shared" si="50"/>
        <v>157950000</v>
      </c>
      <c r="N172">
        <f t="shared" si="51"/>
        <v>182620000</v>
      </c>
      <c r="P172">
        <f t="shared" si="27"/>
        <v>182620000</v>
      </c>
      <c r="Q172">
        <f>IFERROR(J144+MATCH(P172,J172:N172,0)-1,"")</f>
        <v>2016</v>
      </c>
      <c r="R172">
        <f t="shared" si="28"/>
        <v>107570000</v>
      </c>
      <c r="S172">
        <f>IFERROR(J144+MATCH(R172,J172:N172,0)-1,"")</f>
        <v>2013</v>
      </c>
      <c r="T172">
        <f t="shared" si="29"/>
        <v>147258000</v>
      </c>
      <c r="U172">
        <f t="shared" si="30"/>
        <v>31487900.374588333</v>
      </c>
      <c r="V172">
        <f t="shared" si="31"/>
        <v>-0.81326476822400051</v>
      </c>
      <c r="W172">
        <f t="shared" si="32"/>
        <v>-1.2604206545327294</v>
      </c>
      <c r="X172">
        <f t="shared" si="33"/>
        <v>0.61109187246822161</v>
      </c>
      <c r="Y172">
        <f t="shared" si="34"/>
        <v>0.33955900116569093</v>
      </c>
      <c r="Z172">
        <f t="shared" si="35"/>
        <v>1.1230345491228173</v>
      </c>
      <c r="AA172">
        <f t="shared" si="36"/>
        <v>-1.2604206545327294</v>
      </c>
      <c r="AB172">
        <f>IFERROR(V144+MATCH(AA172,V172:Z172,0)-1,"")</f>
        <v>2013</v>
      </c>
      <c r="AC172" t="str">
        <f t="shared" si="37"/>
        <v>Low</v>
      </c>
      <c r="AE172">
        <f>IF(ISNUMBER(MATCH("N/A",J172:N172,0)),"",IFERROR((5 * SUMPRODUCT(J144:N144,J172:N172) - PRODUCT(SUM(J144:N144),SUM(J172:N172))) / ((5 * SUM((J144^2)+(K144^2)+(L144^2)+(M144^2)+(N144^2))) - SUM(J144:N144)^2),""))</f>
        <v>17232000</v>
      </c>
      <c r="AF172">
        <f>IFERROR(CORREL(J144:N144,J172:N172),"")</f>
        <v>0.86529060356146303</v>
      </c>
      <c r="AZ172">
        <f t="shared" si="38"/>
        <v>1</v>
      </c>
      <c r="BA172" t="str">
        <f>IF(AZ172=1,IF(Q172="","",IF(Q172=N144,"Yes","No")),"")</f>
        <v>Yes</v>
      </c>
      <c r="BB172">
        <f t="shared" si="39"/>
        <v>182620000</v>
      </c>
      <c r="BC172" t="str">
        <f>IF(AZ172=1,IF(S172="","",IF(S172=N144,"Yes","No")),"")</f>
        <v>No</v>
      </c>
      <c r="BD172" t="str">
        <f t="shared" si="40"/>
        <v/>
      </c>
      <c r="BE172" t="str">
        <f t="shared" si="41"/>
        <v>Increasing</v>
      </c>
      <c r="BF172" t="str">
        <f t="shared" si="42"/>
        <v>Yes</v>
      </c>
      <c r="BG172" t="str">
        <f t="shared" si="43"/>
        <v>No</v>
      </c>
      <c r="BH172" t="str">
        <f t="shared" si="44"/>
        <v>Yes</v>
      </c>
    </row>
    <row r="173" spans="1:60" x14ac:dyDescent="0.3">
      <c r="A173" s="1">
        <v>15</v>
      </c>
      <c r="B173" t="s">
        <v>373</v>
      </c>
      <c r="C173" t="s">
        <v>264</v>
      </c>
      <c r="D173" t="s">
        <v>1887</v>
      </c>
      <c r="E173" t="s">
        <v>1888</v>
      </c>
      <c r="F173" t="s">
        <v>1889</v>
      </c>
      <c r="G173" t="s">
        <v>1890</v>
      </c>
      <c r="I173" t="str">
        <f t="shared" si="46"/>
        <v>N/A</v>
      </c>
      <c r="J173" t="str">
        <f t="shared" si="47"/>
        <v>N/A</v>
      </c>
      <c r="K173">
        <f t="shared" si="48"/>
        <v>-0.11570000000000001</v>
      </c>
      <c r="L173">
        <f t="shared" si="49"/>
        <v>0.54780000000000006</v>
      </c>
      <c r="M173">
        <f t="shared" si="50"/>
        <v>-5.1400000000000001E-2</v>
      </c>
      <c r="N173">
        <f t="shared" si="51"/>
        <v>0.15620000000000001</v>
      </c>
      <c r="P173">
        <f t="shared" si="27"/>
        <v>0.54780000000000006</v>
      </c>
      <c r="Q173">
        <f>IFERROR(J144+MATCH(P173,J173:N173,0)-1,"")</f>
        <v>2014</v>
      </c>
      <c r="R173">
        <f t="shared" si="28"/>
        <v>-0.11570000000000001</v>
      </c>
      <c r="S173">
        <f>IFERROR(J144+MATCH(R173,J173:N173,0)-1,"")</f>
        <v>2013</v>
      </c>
      <c r="T173">
        <f t="shared" si="29"/>
        <v>0.13422500000000001</v>
      </c>
      <c r="U173">
        <f t="shared" si="30"/>
        <v>0.29913560330837702</v>
      </c>
      <c r="V173" t="str">
        <f t="shared" si="31"/>
        <v/>
      </c>
      <c r="W173">
        <f t="shared" si="32"/>
        <v>-0.83549065118254706</v>
      </c>
      <c r="X173">
        <f t="shared" si="33"/>
        <v>1.3825669543375889</v>
      </c>
      <c r="Y173">
        <f t="shared" si="34"/>
        <v>-0.62053796989400944</v>
      </c>
      <c r="Z173">
        <f t="shared" si="35"/>
        <v>7.3461666738967563E-2</v>
      </c>
      <c r="AA173">
        <f t="shared" si="36"/>
        <v>1.3825669543375889</v>
      </c>
      <c r="AB173">
        <f>IFERROR(V144+MATCH(AA173,V173:Z173,0)-1,"")</f>
        <v>2014</v>
      </c>
      <c r="AC173" t="str">
        <f t="shared" si="37"/>
        <v>High</v>
      </c>
      <c r="AE173" t="str">
        <f>IF(ISNUMBER(MATCH("N/A",J173:N173,0)),"",IFERROR((5 * SUMPRODUCT(J144:N144,J173:N173) - PRODUCT(SUM(J144:N144),SUM(J173:N173))) / ((5 * SUM((J144^2)+(K144^2)+(L144^2)+(M144^2)+(N144^2))) - SUM(J144:N144)^2),""))</f>
        <v/>
      </c>
      <c r="AF173">
        <f>IFERROR(CORREL(J144:N144,J173:N173),"")</f>
        <v>9.3435985238830593E-2</v>
      </c>
      <c r="AZ173">
        <f t="shared" si="38"/>
        <v>1</v>
      </c>
      <c r="BA173" t="str">
        <f>IF(AZ173=1,IF(Q173="","",IF(Q173=N144,"Yes","No")),"")</f>
        <v>No</v>
      </c>
      <c r="BB173" t="str">
        <f t="shared" si="39"/>
        <v/>
      </c>
      <c r="BC173" t="str">
        <f>IF(AZ173=1,IF(S173="","",IF(S173=N144,"Yes","No")),"")</f>
        <v>No</v>
      </c>
      <c r="BD173" t="str">
        <f t="shared" si="40"/>
        <v/>
      </c>
      <c r="BE173" t="str">
        <f t="shared" si="41"/>
        <v/>
      </c>
      <c r="BF173" t="str">
        <f t="shared" si="42"/>
        <v>No</v>
      </c>
      <c r="BG173" t="str">
        <f t="shared" si="43"/>
        <v>No</v>
      </c>
      <c r="BH173" t="str">
        <f t="shared" si="44"/>
        <v>No</v>
      </c>
    </row>
    <row r="174" spans="1:60" x14ac:dyDescent="0.3">
      <c r="A174" s="1">
        <v>16</v>
      </c>
      <c r="B174" t="s">
        <v>378</v>
      </c>
      <c r="C174" t="s">
        <v>264</v>
      </c>
      <c r="D174" t="s">
        <v>264</v>
      </c>
      <c r="E174" t="s">
        <v>264</v>
      </c>
      <c r="F174" t="s">
        <v>264</v>
      </c>
      <c r="G174" t="s">
        <v>1891</v>
      </c>
      <c r="I174" t="str">
        <f t="shared" si="46"/>
        <v>N/A</v>
      </c>
      <c r="J174" t="str">
        <f t="shared" si="47"/>
        <v>N/A</v>
      </c>
      <c r="K174" t="str">
        <f t="shared" si="48"/>
        <v>N/A</v>
      </c>
      <c r="L174" t="str">
        <f t="shared" si="49"/>
        <v>N/A</v>
      </c>
      <c r="M174" t="str">
        <f t="shared" si="50"/>
        <v>N/A</v>
      </c>
      <c r="N174">
        <f t="shared" si="51"/>
        <v>0.1484</v>
      </c>
      <c r="P174">
        <f t="shared" si="27"/>
        <v>0.1484</v>
      </c>
      <c r="Q174">
        <f>IFERROR(J144+MATCH(P174,J174:N174,0)-1,"")</f>
        <v>2016</v>
      </c>
      <c r="R174">
        <f t="shared" si="28"/>
        <v>0.1484</v>
      </c>
      <c r="S174">
        <f>IFERROR(J144+MATCH(R174,J174:N174,0)-1,"")</f>
        <v>2016</v>
      </c>
      <c r="T174">
        <f t="shared" si="29"/>
        <v>0.1484</v>
      </c>
      <c r="U174" t="str">
        <f t="shared" si="30"/>
        <v/>
      </c>
      <c r="V174" t="str">
        <f t="shared" si="31"/>
        <v/>
      </c>
      <c r="W174" t="str">
        <f t="shared" si="32"/>
        <v/>
      </c>
      <c r="X174" t="str">
        <f t="shared" si="33"/>
        <v/>
      </c>
      <c r="Y174" t="str">
        <f t="shared" si="34"/>
        <v/>
      </c>
      <c r="Z174" t="str">
        <f t="shared" si="35"/>
        <v/>
      </c>
      <c r="AA174">
        <f t="shared" si="36"/>
        <v>0</v>
      </c>
      <c r="AB174" t="str">
        <f>IFERROR(V144+MATCH(AA174,V174:Z174,0)-1,"")</f>
        <v/>
      </c>
      <c r="AC174" t="str">
        <f t="shared" si="37"/>
        <v/>
      </c>
      <c r="AE174" t="str">
        <f>IF(ISNUMBER(MATCH("N/A",J174:N174,0)),"",IFERROR((5 * SUMPRODUCT(J144:N144,J174:N174) - PRODUCT(SUM(J144:N144),SUM(J174:N174))) / ((5 * SUM((J144^2)+(K144^2)+(L144^2)+(M144^2)+(N144^2))) - SUM(J144:N144)^2),""))</f>
        <v/>
      </c>
      <c r="AF174" t="str">
        <f>IFERROR(CORREL(J144:N144,J174:N174),"")</f>
        <v/>
      </c>
      <c r="AZ174">
        <f t="shared" si="38"/>
        <v>0</v>
      </c>
      <c r="BA174" t="str">
        <f>IF(AZ174=1,IF(Q174="","",IF(Q174=N144,"Yes","No")),"")</f>
        <v/>
      </c>
      <c r="BB174" t="str">
        <f t="shared" si="39"/>
        <v/>
      </c>
      <c r="BC174" t="str">
        <f>IF(AZ174=1,IF(S174="","",IF(S174=N144,"Yes","No")),"")</f>
        <v/>
      </c>
      <c r="BD174" t="str">
        <f t="shared" si="40"/>
        <v/>
      </c>
      <c r="BE174" t="str">
        <f t="shared" si="41"/>
        <v/>
      </c>
      <c r="BF174" t="str">
        <f t="shared" si="42"/>
        <v>No</v>
      </c>
      <c r="BG174" t="str">
        <f t="shared" si="43"/>
        <v>No</v>
      </c>
      <c r="BH174" t="str">
        <f t="shared" si="44"/>
        <v/>
      </c>
    </row>
    <row r="175" spans="1:60" x14ac:dyDescent="0.3">
      <c r="A175" s="1">
        <v>17</v>
      </c>
      <c r="B175" t="s">
        <v>380</v>
      </c>
      <c r="C175" t="s">
        <v>1892</v>
      </c>
      <c r="D175" t="s">
        <v>1893</v>
      </c>
      <c r="E175" t="s">
        <v>1894</v>
      </c>
      <c r="F175" t="s">
        <v>1895</v>
      </c>
      <c r="G175" t="s">
        <v>1896</v>
      </c>
      <c r="I175" t="str">
        <f t="shared" si="46"/>
        <v>N/A</v>
      </c>
      <c r="J175">
        <f t="shared" si="47"/>
        <v>23350000</v>
      </c>
      <c r="K175">
        <f t="shared" si="48"/>
        <v>35250000</v>
      </c>
      <c r="L175">
        <f t="shared" si="49"/>
        <v>45960000</v>
      </c>
      <c r="M175">
        <f t="shared" si="50"/>
        <v>36570000</v>
      </c>
      <c r="N175">
        <f t="shared" si="51"/>
        <v>47020000</v>
      </c>
      <c r="P175">
        <f t="shared" si="27"/>
        <v>47020000</v>
      </c>
      <c r="Q175">
        <f>IFERROR(J144+MATCH(P175,J175:N175,0)-1,"")</f>
        <v>2016</v>
      </c>
      <c r="R175">
        <f t="shared" si="28"/>
        <v>23350000</v>
      </c>
      <c r="S175">
        <f>IFERROR(J144+MATCH(R175,J175:N175,0)-1,"")</f>
        <v>2012</v>
      </c>
      <c r="T175">
        <f t="shared" si="29"/>
        <v>37630000</v>
      </c>
      <c r="U175">
        <f t="shared" si="30"/>
        <v>9595147.2109603398</v>
      </c>
      <c r="V175">
        <f t="shared" si="31"/>
        <v>-1.4882523098434852</v>
      </c>
      <c r="W175">
        <f t="shared" si="32"/>
        <v>-0.24804205164058085</v>
      </c>
      <c r="X175">
        <f t="shared" si="33"/>
        <v>0.86814718074203301</v>
      </c>
      <c r="Y175">
        <f t="shared" si="34"/>
        <v>-0.11047251039454442</v>
      </c>
      <c r="Z175">
        <f t="shared" si="35"/>
        <v>0.97861969113657743</v>
      </c>
      <c r="AA175">
        <f t="shared" si="36"/>
        <v>-1.4882523098434852</v>
      </c>
      <c r="AB175">
        <f>IFERROR(V144+MATCH(AA175,V175:Z175,0)-1,"")</f>
        <v>2012</v>
      </c>
      <c r="AC175" t="str">
        <f t="shared" si="37"/>
        <v>Low</v>
      </c>
      <c r="AE175">
        <f>IF(ISNUMBER(MATCH("N/A",J175:N175,0)),"",IFERROR((5 * SUMPRODUCT(J144:N144,J175:N175) - PRODUCT(SUM(J144:N144),SUM(J175:N175))) / ((5 * SUM((J144^2)+(K144^2)+(L144^2)+(M144^2)+(N144^2))) - SUM(J144:N144)^2),""))</f>
        <v>4866000</v>
      </c>
      <c r="AF175">
        <f>IFERROR(CORREL(J144:N144,J175:N175),"")</f>
        <v>0.80184507626950952</v>
      </c>
      <c r="AZ175">
        <f t="shared" si="38"/>
        <v>1</v>
      </c>
      <c r="BA175" t="str">
        <f>IF(AZ175=1,IF(Q175="","",IF(Q175=N144,"Yes","No")),"")</f>
        <v>Yes</v>
      </c>
      <c r="BB175">
        <f t="shared" si="39"/>
        <v>47020000</v>
      </c>
      <c r="BC175" t="str">
        <f>IF(AZ175=1,IF(S175="","",IF(S175=N144,"Yes","No")),"")</f>
        <v>No</v>
      </c>
      <c r="BD175" t="str">
        <f t="shared" si="40"/>
        <v/>
      </c>
      <c r="BE175" t="str">
        <f t="shared" si="41"/>
        <v>Increasing</v>
      </c>
      <c r="BF175" t="str">
        <f t="shared" si="42"/>
        <v>Yes</v>
      </c>
      <c r="BG175" t="str">
        <f t="shared" si="43"/>
        <v>No</v>
      </c>
      <c r="BH175" t="str">
        <f t="shared" si="44"/>
        <v>Yes</v>
      </c>
    </row>
    <row r="176" spans="1:60" x14ac:dyDescent="0.3">
      <c r="A176" s="1">
        <v>18</v>
      </c>
      <c r="B176" t="s">
        <v>386</v>
      </c>
      <c r="C176" t="s">
        <v>1897</v>
      </c>
      <c r="D176" t="s">
        <v>1898</v>
      </c>
      <c r="E176" t="s">
        <v>1899</v>
      </c>
      <c r="F176" t="s">
        <v>1900</v>
      </c>
      <c r="G176" t="s">
        <v>1901</v>
      </c>
      <c r="I176" t="str">
        <f t="shared" si="46"/>
        <v>N/A</v>
      </c>
      <c r="J176">
        <f t="shared" si="47"/>
        <v>1290000</v>
      </c>
      <c r="K176">
        <f t="shared" si="48"/>
        <v>8900000</v>
      </c>
      <c r="L176">
        <f t="shared" si="49"/>
        <v>23910000</v>
      </c>
      <c r="M176">
        <f t="shared" si="50"/>
        <v>1810000</v>
      </c>
      <c r="N176">
        <f t="shared" si="51"/>
        <v>7970000</v>
      </c>
      <c r="P176">
        <f t="shared" si="27"/>
        <v>23910000</v>
      </c>
      <c r="Q176">
        <f>IFERROR(J144+MATCH(P176,J176:N176,0)-1,"")</f>
        <v>2014</v>
      </c>
      <c r="R176">
        <f t="shared" si="28"/>
        <v>1290000</v>
      </c>
      <c r="S176">
        <f>IFERROR(J144+MATCH(R176,J176:N176,0)-1,"")</f>
        <v>2012</v>
      </c>
      <c r="T176">
        <f t="shared" si="29"/>
        <v>8776000</v>
      </c>
      <c r="U176">
        <f t="shared" si="30"/>
        <v>9141503.1586714443</v>
      </c>
      <c r="V176">
        <f t="shared" si="31"/>
        <v>-0.81890252292905819</v>
      </c>
      <c r="W176">
        <f t="shared" si="32"/>
        <v>1.3564508795512051E-2</v>
      </c>
      <c r="X176">
        <f t="shared" si="33"/>
        <v>1.6555264202522531</v>
      </c>
      <c r="Y176">
        <f t="shared" si="34"/>
        <v>-0.76201909894787856</v>
      </c>
      <c r="Z176">
        <f t="shared" si="35"/>
        <v>-8.8169307170828326E-2</v>
      </c>
      <c r="AA176">
        <f t="shared" si="36"/>
        <v>1.6555264202522531</v>
      </c>
      <c r="AB176">
        <f>IFERROR(V144+MATCH(AA176,V176:Z176,0)-1,"")</f>
        <v>2014</v>
      </c>
      <c r="AC176" t="str">
        <f t="shared" si="37"/>
        <v>High</v>
      </c>
      <c r="AE176">
        <f>IF(ISNUMBER(MATCH("N/A",J176:N176,0)),"",IFERROR((5 * SUMPRODUCT(J144:N144,J176:N176) - PRODUCT(SUM(J144:N144),SUM(J176:N176))) / ((5 * SUM((J144^2)+(K144^2)+(L144^2)+(M144^2)+(N144^2))) - SUM(J144:N144)^2),""))</f>
        <v>627000</v>
      </c>
      <c r="AF176">
        <f>IFERROR(CORREL(J144:N144,J176:N176),"")</f>
        <v>0.10844759655553905</v>
      </c>
      <c r="AZ176">
        <f t="shared" si="38"/>
        <v>1</v>
      </c>
      <c r="BA176" t="str">
        <f>IF(AZ176=1,IF(Q176="","",IF(Q176=N144,"Yes","No")),"")</f>
        <v>No</v>
      </c>
      <c r="BB176" t="str">
        <f t="shared" si="39"/>
        <v/>
      </c>
      <c r="BC176" t="str">
        <f>IF(AZ176=1,IF(S176="","",IF(S176=N144,"Yes","No")),"")</f>
        <v>No</v>
      </c>
      <c r="BD176" t="str">
        <f t="shared" si="40"/>
        <v/>
      </c>
      <c r="BE176" t="str">
        <f t="shared" si="41"/>
        <v>Increasing</v>
      </c>
      <c r="BF176" t="str">
        <f t="shared" si="42"/>
        <v>No</v>
      </c>
      <c r="BG176" t="str">
        <f t="shared" si="43"/>
        <v>No</v>
      </c>
      <c r="BH176" t="str">
        <f t="shared" si="44"/>
        <v>No</v>
      </c>
    </row>
    <row r="177" spans="1:60" x14ac:dyDescent="0.3">
      <c r="A177" s="1">
        <v>19</v>
      </c>
      <c r="B177" t="s">
        <v>391</v>
      </c>
      <c r="C177" t="s">
        <v>1902</v>
      </c>
      <c r="D177" t="s">
        <v>1903</v>
      </c>
      <c r="E177" t="s">
        <v>1904</v>
      </c>
      <c r="F177" t="s">
        <v>1905</v>
      </c>
      <c r="G177" t="s">
        <v>1906</v>
      </c>
      <c r="I177" t="str">
        <f t="shared" si="46"/>
        <v>N/A</v>
      </c>
      <c r="J177">
        <f t="shared" si="47"/>
        <v>13420000</v>
      </c>
      <c r="K177">
        <f t="shared" si="48"/>
        <v>16930000</v>
      </c>
      <c r="L177">
        <f t="shared" si="49"/>
        <v>35950000</v>
      </c>
      <c r="M177">
        <f t="shared" si="50"/>
        <v>32220000</v>
      </c>
      <c r="N177">
        <f t="shared" si="51"/>
        <v>41520000</v>
      </c>
      <c r="P177">
        <f t="shared" si="27"/>
        <v>41520000</v>
      </c>
      <c r="Q177">
        <f>IFERROR(J144+MATCH(P177,J177:N177,0)-1,"")</f>
        <v>2016</v>
      </c>
      <c r="R177">
        <f t="shared" si="28"/>
        <v>13420000</v>
      </c>
      <c r="S177">
        <f>IFERROR(J144+MATCH(R177,J177:N177,0)-1,"")</f>
        <v>2012</v>
      </c>
      <c r="T177">
        <f t="shared" si="29"/>
        <v>28008000</v>
      </c>
      <c r="U177">
        <f t="shared" si="30"/>
        <v>12236444.336489256</v>
      </c>
      <c r="V177">
        <f t="shared" si="31"/>
        <v>-1.1921763870978737</v>
      </c>
      <c r="W177">
        <f t="shared" si="32"/>
        <v>-0.90532835318551175</v>
      </c>
      <c r="X177">
        <f t="shared" si="33"/>
        <v>0.64904475365583447</v>
      </c>
      <c r="Y177">
        <f t="shared" si="34"/>
        <v>0.3442176406948344</v>
      </c>
      <c r="Z177">
        <f t="shared" si="35"/>
        <v>1.1042423459327166</v>
      </c>
      <c r="AA177">
        <f t="shared" si="36"/>
        <v>-1.1921763870978737</v>
      </c>
      <c r="AB177">
        <f>IFERROR(V144+MATCH(AA177,V177:Z177,0)-1,"")</f>
        <v>2012</v>
      </c>
      <c r="AC177" t="str">
        <f t="shared" si="37"/>
        <v>Low</v>
      </c>
      <c r="AE177">
        <f>IF(ISNUMBER(MATCH("N/A",J177:N177,0)),"",IFERROR((5 * SUMPRODUCT(J144:N144,J177:N177) - PRODUCT(SUM(J144:N144),SUM(J177:N177))) / ((5 * SUM((J144^2)+(K144^2)+(L144^2)+(M144^2)+(N144^2))) - SUM(J144:N144)^2),""))</f>
        <v>7149000</v>
      </c>
      <c r="AF177">
        <f>IFERROR(CORREL(J144:N144,J177:N177),"")</f>
        <v>0.92376193487551661</v>
      </c>
      <c r="AZ177">
        <f t="shared" si="38"/>
        <v>1</v>
      </c>
      <c r="BA177" t="str">
        <f>IF(AZ177=1,IF(Q177="","",IF(Q177=N144,"Yes","No")),"")</f>
        <v>Yes</v>
      </c>
      <c r="BB177">
        <f t="shared" si="39"/>
        <v>41520000</v>
      </c>
      <c r="BC177" t="str">
        <f>IF(AZ177=1,IF(S177="","",IF(S177=N144,"Yes","No")),"")</f>
        <v>No</v>
      </c>
      <c r="BD177" t="str">
        <f t="shared" si="40"/>
        <v/>
      </c>
      <c r="BE177" t="str">
        <f t="shared" si="41"/>
        <v>Increasing</v>
      </c>
      <c r="BF177" t="str">
        <f t="shared" si="42"/>
        <v>Yes</v>
      </c>
      <c r="BG177" t="str">
        <f t="shared" si="43"/>
        <v>No</v>
      </c>
      <c r="BH177" t="str">
        <f t="shared" si="44"/>
        <v>Yes</v>
      </c>
    </row>
    <row r="178" spans="1:60" x14ac:dyDescent="0.3">
      <c r="A178" s="1">
        <v>20</v>
      </c>
      <c r="B178" t="s">
        <v>392</v>
      </c>
      <c r="C178" t="s">
        <v>1907</v>
      </c>
      <c r="D178" t="s">
        <v>1908</v>
      </c>
      <c r="E178" t="s">
        <v>1909</v>
      </c>
      <c r="F178" t="s">
        <v>1910</v>
      </c>
      <c r="G178" t="s">
        <v>1911</v>
      </c>
      <c r="I178" t="str">
        <f t="shared" si="46"/>
        <v>N/A</v>
      </c>
      <c r="J178">
        <f t="shared" si="47"/>
        <v>14360000</v>
      </c>
      <c r="K178">
        <f t="shared" si="48"/>
        <v>13680000</v>
      </c>
      <c r="L178">
        <f t="shared" si="49"/>
        <v>-5460000</v>
      </c>
      <c r="M178">
        <f t="shared" si="50"/>
        <v>6530000</v>
      </c>
      <c r="N178">
        <f t="shared" si="51"/>
        <v>7150000</v>
      </c>
      <c r="P178">
        <f t="shared" si="27"/>
        <v>14360000</v>
      </c>
      <c r="Q178">
        <f>IFERROR(J144+MATCH(P178,J178:N178,0)-1,"")</f>
        <v>2012</v>
      </c>
      <c r="R178">
        <f t="shared" si="28"/>
        <v>-5460000</v>
      </c>
      <c r="S178">
        <f>IFERROR(J144+MATCH(R178,J178:N178,0)-1,"")</f>
        <v>2014</v>
      </c>
      <c r="T178">
        <f t="shared" si="29"/>
        <v>7252000</v>
      </c>
      <c r="U178">
        <f t="shared" si="30"/>
        <v>7968209.9620931176</v>
      </c>
      <c r="V178">
        <f t="shared" si="31"/>
        <v>0.89204476712017333</v>
      </c>
      <c r="W178">
        <f t="shared" si="32"/>
        <v>0.80670565040074194</v>
      </c>
      <c r="X178">
        <f t="shared" si="33"/>
        <v>-1.5953394878491338</v>
      </c>
      <c r="Y178">
        <f t="shared" si="34"/>
        <v>-9.0610062163866786E-2</v>
      </c>
      <c r="Z178">
        <f t="shared" si="35"/>
        <v>-1.2800867507914699E-2</v>
      </c>
      <c r="AA178">
        <f t="shared" si="36"/>
        <v>-1.5953394878491338</v>
      </c>
      <c r="AB178">
        <f>IFERROR(V144+MATCH(AA178,V178:Z178,0)-1,"")</f>
        <v>2014</v>
      </c>
      <c r="AC178" t="str">
        <f t="shared" si="37"/>
        <v>Low</v>
      </c>
      <c r="AE178">
        <f>IF(ISNUMBER(MATCH("N/A",J178:N178,0)),"",IFERROR((5 * SUMPRODUCT(J144:N144,J178:N178) - PRODUCT(SUM(J144:N144),SUM(J178:N178))) / ((5 * SUM((J144^2)+(K144^2)+(L144^2)+(M144^2)+(N144^2))) - SUM(J144:N144)^2),""))</f>
        <v>-2157000</v>
      </c>
      <c r="AF178">
        <f>IFERROR(CORREL(J144:N144,J178:N178),"")</f>
        <v>-0.42801538522658489</v>
      </c>
      <c r="AZ178">
        <f t="shared" si="38"/>
        <v>1</v>
      </c>
      <c r="BA178" t="str">
        <f>IF(AZ178=1,IF(Q178="","",IF(Q178=N144,"Yes","No")),"")</f>
        <v>No</v>
      </c>
      <c r="BB178" t="str">
        <f t="shared" si="39"/>
        <v/>
      </c>
      <c r="BC178" t="str">
        <f>IF(AZ178=1,IF(S178="","",IF(S178=N144,"Yes","No")),"")</f>
        <v>No</v>
      </c>
      <c r="BD178" t="str">
        <f t="shared" si="40"/>
        <v/>
      </c>
      <c r="BE178" t="str">
        <f t="shared" si="41"/>
        <v>Decreasing</v>
      </c>
      <c r="BF178" t="str">
        <f t="shared" si="42"/>
        <v>No</v>
      </c>
      <c r="BG178" t="str">
        <f t="shared" si="43"/>
        <v>No</v>
      </c>
      <c r="BH178" t="str">
        <f t="shared" si="44"/>
        <v>No</v>
      </c>
    </row>
    <row r="179" spans="1:60" x14ac:dyDescent="0.3">
      <c r="A179" s="1">
        <v>21</v>
      </c>
      <c r="B179" t="s">
        <v>397</v>
      </c>
      <c r="C179" t="s">
        <v>1912</v>
      </c>
      <c r="D179" t="s">
        <v>1913</v>
      </c>
      <c r="E179" t="s">
        <v>1914</v>
      </c>
      <c r="F179" t="s">
        <v>1915</v>
      </c>
      <c r="G179" t="s">
        <v>1916</v>
      </c>
      <c r="I179" t="str">
        <f t="shared" si="46"/>
        <v>N/A</v>
      </c>
      <c r="J179">
        <f t="shared" si="47"/>
        <v>-5720000</v>
      </c>
      <c r="K179">
        <f t="shared" si="48"/>
        <v>-4260000</v>
      </c>
      <c r="L179">
        <f t="shared" si="49"/>
        <v>-8450000</v>
      </c>
      <c r="M179">
        <f t="shared" si="50"/>
        <v>-3990000</v>
      </c>
      <c r="N179">
        <f t="shared" si="51"/>
        <v>-9620000</v>
      </c>
      <c r="P179">
        <f t="shared" si="27"/>
        <v>-3990000</v>
      </c>
      <c r="Q179">
        <f>IFERROR(J144+MATCH(P179,J179:N179,0)-1,"")</f>
        <v>2015</v>
      </c>
      <c r="R179">
        <f t="shared" si="28"/>
        <v>-9620000</v>
      </c>
      <c r="S179">
        <f>IFERROR(J144+MATCH(R179,J179:N179,0)-1,"")</f>
        <v>2016</v>
      </c>
      <c r="T179">
        <f t="shared" si="29"/>
        <v>-6408000</v>
      </c>
      <c r="U179">
        <f t="shared" si="30"/>
        <v>2520946.2509145252</v>
      </c>
      <c r="V179">
        <f t="shared" si="31"/>
        <v>0.27291339501999051</v>
      </c>
      <c r="W179">
        <f t="shared" si="32"/>
        <v>0.85206100654497041</v>
      </c>
      <c r="X179">
        <f t="shared" si="33"/>
        <v>-0.81001330324247189</v>
      </c>
      <c r="Y179">
        <f t="shared" si="34"/>
        <v>0.9591636470324667</v>
      </c>
      <c r="Z179">
        <f t="shared" si="35"/>
        <v>-1.2741247453549558</v>
      </c>
      <c r="AA179">
        <f t="shared" si="36"/>
        <v>-1.2741247453549558</v>
      </c>
      <c r="AB179">
        <f>IFERROR(V144+MATCH(AA179,V179:Z179,0)-1,"")</f>
        <v>2016</v>
      </c>
      <c r="AC179" t="str">
        <f t="shared" si="37"/>
        <v>Low</v>
      </c>
      <c r="AE179">
        <f>IF(ISNUMBER(MATCH("N/A",J179:N179,0)),"",IFERROR((5 * SUMPRODUCT(J144:N144,J179:N179) - PRODUCT(SUM(J144:N144),SUM(J179:N179))) / ((5 * SUM((J144^2)+(K144^2)+(L144^2)+(M144^2)+(N144^2))) - SUM(J144:N144)^2),""))</f>
        <v>-753000</v>
      </c>
      <c r="AF179">
        <f>IFERROR(CORREL(J144:N144,J179:N179),"")</f>
        <v>-0.47228200070567983</v>
      </c>
      <c r="AZ179">
        <f t="shared" si="38"/>
        <v>1</v>
      </c>
      <c r="BA179" t="str">
        <f>IF(AZ179=1,IF(Q179="","",IF(Q179=N144,"Yes","No")),"")</f>
        <v>No</v>
      </c>
      <c r="BB179" t="str">
        <f t="shared" si="39"/>
        <v/>
      </c>
      <c r="BC179" t="str">
        <f>IF(AZ179=1,IF(S179="","",IF(S179=N144,"Yes","No")),"")</f>
        <v>Yes</v>
      </c>
      <c r="BD179">
        <f t="shared" si="40"/>
        <v>-9620000</v>
      </c>
      <c r="BE179" t="str">
        <f t="shared" si="41"/>
        <v>Decreasing</v>
      </c>
      <c r="BF179" t="str">
        <f t="shared" si="42"/>
        <v>Yes</v>
      </c>
      <c r="BG179" t="str">
        <f t="shared" si="43"/>
        <v>No</v>
      </c>
      <c r="BH179" t="str">
        <f t="shared" si="44"/>
        <v>No</v>
      </c>
    </row>
    <row r="180" spans="1:60" x14ac:dyDescent="0.3">
      <c r="A180" s="1">
        <v>22</v>
      </c>
      <c r="B180" t="s">
        <v>398</v>
      </c>
      <c r="C180" t="s">
        <v>264</v>
      </c>
      <c r="D180" t="s">
        <v>264</v>
      </c>
      <c r="E180" t="s">
        <v>264</v>
      </c>
      <c r="F180" t="s">
        <v>264</v>
      </c>
      <c r="G180" t="s">
        <v>264</v>
      </c>
      <c r="I180" t="str">
        <f t="shared" si="46"/>
        <v>N/A</v>
      </c>
      <c r="J180" t="str">
        <f t="shared" si="47"/>
        <v>N/A</v>
      </c>
      <c r="K180" t="str">
        <f t="shared" si="48"/>
        <v>N/A</v>
      </c>
      <c r="L180" t="str">
        <f t="shared" si="49"/>
        <v>N/A</v>
      </c>
      <c r="M180" t="str">
        <f t="shared" si="50"/>
        <v>N/A</v>
      </c>
      <c r="N180" t="str">
        <f t="shared" si="51"/>
        <v>N/A</v>
      </c>
      <c r="P180">
        <f t="shared" si="27"/>
        <v>0</v>
      </c>
      <c r="Q180" t="str">
        <f>IFERROR(J144+MATCH(P180,J180:N180,0)-1,"")</f>
        <v/>
      </c>
      <c r="R180" t="str">
        <f t="shared" si="28"/>
        <v/>
      </c>
      <c r="S180" t="str">
        <f>IFERROR(J144+MATCH(R180,J180:N180,0)-1,"")</f>
        <v/>
      </c>
      <c r="T180" t="str">
        <f t="shared" si="29"/>
        <v/>
      </c>
      <c r="U180" t="str">
        <f t="shared" si="30"/>
        <v/>
      </c>
      <c r="V180" t="str">
        <f t="shared" si="31"/>
        <v/>
      </c>
      <c r="W180" t="str">
        <f t="shared" si="32"/>
        <v/>
      </c>
      <c r="X180" t="str">
        <f t="shared" si="33"/>
        <v/>
      </c>
      <c r="Y180" t="str">
        <f t="shared" si="34"/>
        <v/>
      </c>
      <c r="Z180" t="str">
        <f t="shared" si="35"/>
        <v/>
      </c>
      <c r="AA180">
        <f t="shared" si="36"/>
        <v>0</v>
      </c>
      <c r="AB180" t="str">
        <f>IFERROR(V144+MATCH(AA180,V180:Z180,0)-1,"")</f>
        <v/>
      </c>
      <c r="AC180" t="str">
        <f t="shared" si="37"/>
        <v/>
      </c>
      <c r="AE180" t="str">
        <f>IF(ISNUMBER(MATCH("N/A",J180:N180,0)),"",IFERROR((5 * SUMPRODUCT(J144:N144,J180:N180) - PRODUCT(SUM(J144:N144),SUM(J180:N180))) / ((5 * SUM((J144^2)+(K144^2)+(L144^2)+(M144^2)+(N144^2))) - SUM(J144:N144)^2),""))</f>
        <v/>
      </c>
      <c r="AF180" t="str">
        <f>IFERROR(CORREL(J144:N144,J180:N180),"")</f>
        <v/>
      </c>
      <c r="AZ180">
        <f t="shared" si="38"/>
        <v>0</v>
      </c>
      <c r="BA180" t="str">
        <f>IF(AZ180=1,IF(Q180="","",IF(Q180=N144,"Yes","No")),"")</f>
        <v/>
      </c>
      <c r="BB180" t="str">
        <f t="shared" si="39"/>
        <v/>
      </c>
      <c r="BC180" t="str">
        <f>IF(AZ180=1,IF(S180="","",IF(S180=N144,"Yes","No")),"")</f>
        <v/>
      </c>
      <c r="BD180" t="str">
        <f t="shared" si="40"/>
        <v/>
      </c>
      <c r="BE180" t="str">
        <f t="shared" si="41"/>
        <v/>
      </c>
      <c r="BF180" t="str">
        <f t="shared" si="42"/>
        <v>No</v>
      </c>
      <c r="BG180" t="str">
        <f t="shared" si="43"/>
        <v>No</v>
      </c>
      <c r="BH180" t="str">
        <f t="shared" si="44"/>
        <v/>
      </c>
    </row>
    <row r="181" spans="1:60" x14ac:dyDescent="0.3">
      <c r="A181" s="1">
        <v>23</v>
      </c>
      <c r="B181" t="s">
        <v>399</v>
      </c>
      <c r="C181" t="s">
        <v>264</v>
      </c>
      <c r="D181" t="s">
        <v>264</v>
      </c>
      <c r="E181" t="s">
        <v>264</v>
      </c>
      <c r="F181" t="s">
        <v>264</v>
      </c>
      <c r="G181" t="s">
        <v>264</v>
      </c>
      <c r="I181" t="str">
        <f t="shared" si="46"/>
        <v>N/A</v>
      </c>
      <c r="J181" t="str">
        <f t="shared" si="47"/>
        <v>N/A</v>
      </c>
      <c r="K181" t="str">
        <f t="shared" si="48"/>
        <v>N/A</v>
      </c>
      <c r="L181" t="str">
        <f t="shared" si="49"/>
        <v>N/A</v>
      </c>
      <c r="M181" t="str">
        <f t="shared" si="50"/>
        <v>N/A</v>
      </c>
      <c r="N181" t="str">
        <f t="shared" si="51"/>
        <v>N/A</v>
      </c>
      <c r="P181">
        <f t="shared" si="27"/>
        <v>0</v>
      </c>
      <c r="Q181" t="str">
        <f>IFERROR(J144+MATCH(P181,J181:N181,0)-1,"")</f>
        <v/>
      </c>
      <c r="R181" t="str">
        <f t="shared" si="28"/>
        <v/>
      </c>
      <c r="S181" t="str">
        <f>IFERROR(J144+MATCH(R181,J181:N181,0)-1,"")</f>
        <v/>
      </c>
      <c r="T181" t="str">
        <f t="shared" si="29"/>
        <v/>
      </c>
      <c r="U181" t="str">
        <f t="shared" si="30"/>
        <v/>
      </c>
      <c r="V181" t="str">
        <f t="shared" si="31"/>
        <v/>
      </c>
      <c r="W181" t="str">
        <f t="shared" si="32"/>
        <v/>
      </c>
      <c r="X181" t="str">
        <f t="shared" si="33"/>
        <v/>
      </c>
      <c r="Y181" t="str">
        <f t="shared" si="34"/>
        <v/>
      </c>
      <c r="Z181" t="str">
        <f t="shared" si="35"/>
        <v/>
      </c>
      <c r="AA181">
        <f t="shared" si="36"/>
        <v>0</v>
      </c>
      <c r="AB181" t="str">
        <f>IFERROR(V144+MATCH(AA181,V181:Z181,0)-1,"")</f>
        <v/>
      </c>
      <c r="AC181" t="str">
        <f t="shared" si="37"/>
        <v/>
      </c>
      <c r="AE181" t="str">
        <f>IF(ISNUMBER(MATCH("N/A",J181:N181,0)),"",IFERROR((5 * SUMPRODUCT(J144:N144,J181:N181) - PRODUCT(SUM(J144:N144),SUM(J181:N181))) / ((5 * SUM((J144^2)+(K144^2)+(L144^2)+(M144^2)+(N144^2))) - SUM(J144:N144)^2),""))</f>
        <v/>
      </c>
      <c r="AF181" t="str">
        <f>IFERROR(CORREL(J144:N144,J181:N181),"")</f>
        <v/>
      </c>
      <c r="AZ181">
        <f t="shared" si="38"/>
        <v>0</v>
      </c>
      <c r="BA181" t="str">
        <f>IF(AZ181=1,IF(Q181="","",IF(Q181=N144,"Yes","No")),"")</f>
        <v/>
      </c>
      <c r="BB181" t="str">
        <f t="shared" si="39"/>
        <v/>
      </c>
      <c r="BC181" t="str">
        <f>IF(AZ181=1,IF(S181="","",IF(S181=N144,"Yes","No")),"")</f>
        <v/>
      </c>
      <c r="BD181" t="str">
        <f t="shared" si="40"/>
        <v/>
      </c>
      <c r="BE181" t="str">
        <f t="shared" si="41"/>
        <v/>
      </c>
      <c r="BF181" t="str">
        <f t="shared" si="42"/>
        <v>No</v>
      </c>
      <c r="BG181" t="str">
        <f t="shared" si="43"/>
        <v>No</v>
      </c>
      <c r="BH181" t="str">
        <f t="shared" si="44"/>
        <v/>
      </c>
    </row>
    <row r="182" spans="1:60" x14ac:dyDescent="0.3">
      <c r="A182" s="1">
        <v>24</v>
      </c>
      <c r="B182" t="s">
        <v>400</v>
      </c>
      <c r="C182" t="s">
        <v>264</v>
      </c>
      <c r="D182" t="s">
        <v>264</v>
      </c>
      <c r="E182" t="s">
        <v>264</v>
      </c>
      <c r="F182" t="s">
        <v>264</v>
      </c>
      <c r="G182" t="s">
        <v>264</v>
      </c>
      <c r="I182" t="str">
        <f t="shared" si="46"/>
        <v>N/A</v>
      </c>
      <c r="J182" t="str">
        <f t="shared" si="47"/>
        <v>N/A</v>
      </c>
      <c r="K182" t="str">
        <f t="shared" si="48"/>
        <v>N/A</v>
      </c>
      <c r="L182" t="str">
        <f t="shared" si="49"/>
        <v>N/A</v>
      </c>
      <c r="M182" t="str">
        <f t="shared" si="50"/>
        <v>N/A</v>
      </c>
      <c r="N182" t="str">
        <f t="shared" si="51"/>
        <v>N/A</v>
      </c>
      <c r="P182">
        <f t="shared" si="27"/>
        <v>0</v>
      </c>
      <c r="Q182" t="str">
        <f>IFERROR(J144+MATCH(P182,J182:N182,0)-1,"")</f>
        <v/>
      </c>
      <c r="R182" t="str">
        <f t="shared" si="28"/>
        <v/>
      </c>
      <c r="S182" t="str">
        <f>IFERROR(J144+MATCH(R182,J182:N182,0)-1,"")</f>
        <v/>
      </c>
      <c r="T182" t="str">
        <f t="shared" si="29"/>
        <v/>
      </c>
      <c r="U182" t="str">
        <f t="shared" si="30"/>
        <v/>
      </c>
      <c r="V182" t="str">
        <f t="shared" si="31"/>
        <v/>
      </c>
      <c r="W182" t="str">
        <f t="shared" si="32"/>
        <v/>
      </c>
      <c r="X182" t="str">
        <f t="shared" si="33"/>
        <v/>
      </c>
      <c r="Y182" t="str">
        <f t="shared" si="34"/>
        <v/>
      </c>
      <c r="Z182" t="str">
        <f t="shared" si="35"/>
        <v/>
      </c>
      <c r="AA182">
        <f t="shared" si="36"/>
        <v>0</v>
      </c>
      <c r="AB182" t="str">
        <f>IFERROR(V144+MATCH(AA182,V182:Z182,0)-1,"")</f>
        <v/>
      </c>
      <c r="AC182" t="str">
        <f t="shared" si="37"/>
        <v/>
      </c>
      <c r="AE182" t="str">
        <f>IF(ISNUMBER(MATCH("N/A",J182:N182,0)),"",IFERROR((5 * SUMPRODUCT(J144:N144,J182:N182) - PRODUCT(SUM(J144:N144),SUM(J182:N182))) / ((5 * SUM((J144^2)+(K144^2)+(L144^2)+(M144^2)+(N144^2))) - SUM(J144:N144)^2),""))</f>
        <v/>
      </c>
      <c r="AF182" t="str">
        <f>IFERROR(CORREL(J144:N144,J182:N182),"")</f>
        <v/>
      </c>
      <c r="AZ182">
        <f t="shared" si="38"/>
        <v>0</v>
      </c>
      <c r="BA182" t="str">
        <f>IF(AZ182=1,IF(Q182="","",IF(Q182=N144,"Yes","No")),"")</f>
        <v/>
      </c>
      <c r="BB182" t="str">
        <f t="shared" si="39"/>
        <v/>
      </c>
      <c r="BC182" t="str">
        <f>IF(AZ182=1,IF(S182="","",IF(S182=N144,"Yes","No")),"")</f>
        <v/>
      </c>
      <c r="BD182" t="str">
        <f t="shared" si="40"/>
        <v/>
      </c>
      <c r="BE182" t="str">
        <f t="shared" si="41"/>
        <v/>
      </c>
      <c r="BF182" t="str">
        <f t="shared" si="42"/>
        <v>No</v>
      </c>
      <c r="BG182" t="str">
        <f t="shared" si="43"/>
        <v>No</v>
      </c>
      <c r="BH182" t="str">
        <f t="shared" si="44"/>
        <v/>
      </c>
    </row>
    <row r="183" spans="1:60" x14ac:dyDescent="0.3">
      <c r="A183" s="1">
        <v>25</v>
      </c>
      <c r="B183" t="s">
        <v>401</v>
      </c>
      <c r="C183" t="s">
        <v>1917</v>
      </c>
      <c r="D183" t="s">
        <v>1918</v>
      </c>
      <c r="E183" t="s">
        <v>1919</v>
      </c>
      <c r="F183" t="s">
        <v>1920</v>
      </c>
      <c r="G183" t="s">
        <v>1921</v>
      </c>
      <c r="I183" t="str">
        <f t="shared" si="46"/>
        <v>N/A</v>
      </c>
      <c r="J183">
        <f t="shared" si="47"/>
        <v>98300000</v>
      </c>
      <c r="K183">
        <f t="shared" si="48"/>
        <v>72320000</v>
      </c>
      <c r="L183">
        <f t="shared" si="49"/>
        <v>120540000</v>
      </c>
      <c r="M183">
        <f t="shared" si="50"/>
        <v>121380000</v>
      </c>
      <c r="N183">
        <f t="shared" si="51"/>
        <v>135600000</v>
      </c>
      <c r="P183">
        <f t="shared" si="27"/>
        <v>135600000</v>
      </c>
      <c r="Q183">
        <f>IFERROR(J144+MATCH(P183,J183:N183,0)-1,"")</f>
        <v>2016</v>
      </c>
      <c r="R183">
        <f t="shared" si="28"/>
        <v>72320000</v>
      </c>
      <c r="S183">
        <f>IFERROR(J144+MATCH(R183,J183:N183,0)-1,"")</f>
        <v>2013</v>
      </c>
      <c r="T183">
        <f t="shared" si="29"/>
        <v>109628000</v>
      </c>
      <c r="U183">
        <f t="shared" si="30"/>
        <v>24758516.11062343</v>
      </c>
      <c r="V183">
        <f t="shared" si="31"/>
        <v>-0.45753953707828882</v>
      </c>
      <c r="W183">
        <f t="shared" si="32"/>
        <v>-1.5068754457377118</v>
      </c>
      <c r="X183">
        <f t="shared" si="33"/>
        <v>0.44073723769405787</v>
      </c>
      <c r="Y183">
        <f t="shared" si="34"/>
        <v>0.47466495760452421</v>
      </c>
      <c r="Z183">
        <f t="shared" si="35"/>
        <v>1.0490127875174184</v>
      </c>
      <c r="AA183">
        <f t="shared" si="36"/>
        <v>-1.5068754457377118</v>
      </c>
      <c r="AB183">
        <f>IFERROR(V144+MATCH(AA183,V183:Z183,0)-1,"")</f>
        <v>2013</v>
      </c>
      <c r="AC183" t="str">
        <f t="shared" si="37"/>
        <v>Low</v>
      </c>
      <c r="AE183">
        <f>IF(ISNUMBER(MATCH("N/A",J183:N183,0)),"",IFERROR((5 * SUMPRODUCT(J144:N144,J183:N183) - PRODUCT(SUM(J144:N144),SUM(J183:N183))) / ((5 * SUM((J144^2)+(K144^2)+(L144^2)+(M144^2)+(N144^2))) - SUM(J144:N144)^2),""))</f>
        <v>12366000</v>
      </c>
      <c r="AF183">
        <f>IFERROR(CORREL(J144:N144,J183:N183),"")</f>
        <v>0.78972272350488415</v>
      </c>
      <c r="AZ183">
        <f t="shared" si="38"/>
        <v>1</v>
      </c>
      <c r="BA183" t="str">
        <f>IF(AZ183=1,IF(Q183="","",IF(Q183=N144,"Yes","No")),"")</f>
        <v>Yes</v>
      </c>
      <c r="BB183">
        <f t="shared" si="39"/>
        <v>135600000</v>
      </c>
      <c r="BC183" t="str">
        <f>IF(AZ183=1,IF(S183="","",IF(S183=N144,"Yes","No")),"")</f>
        <v>No</v>
      </c>
      <c r="BD183" t="str">
        <f t="shared" si="40"/>
        <v/>
      </c>
      <c r="BE183" t="str">
        <f t="shared" si="41"/>
        <v>Increasing</v>
      </c>
      <c r="BF183" t="str">
        <f t="shared" si="42"/>
        <v>Yes</v>
      </c>
      <c r="BG183" t="str">
        <f t="shared" si="43"/>
        <v>No</v>
      </c>
      <c r="BH183" t="str">
        <f t="shared" si="44"/>
        <v>No</v>
      </c>
    </row>
    <row r="184" spans="1:60" x14ac:dyDescent="0.3">
      <c r="A184" s="1">
        <v>26</v>
      </c>
      <c r="B184" t="s">
        <v>407</v>
      </c>
      <c r="C184" t="s">
        <v>264</v>
      </c>
      <c r="D184" t="s">
        <v>264</v>
      </c>
      <c r="E184" t="s">
        <v>264</v>
      </c>
      <c r="F184" t="s">
        <v>264</v>
      </c>
      <c r="G184" t="s">
        <v>264</v>
      </c>
      <c r="I184" t="str">
        <f t="shared" si="46"/>
        <v>N/A</v>
      </c>
      <c r="J184" t="str">
        <f t="shared" si="47"/>
        <v>N/A</v>
      </c>
      <c r="K184" t="str">
        <f t="shared" si="48"/>
        <v>N/A</v>
      </c>
      <c r="L184" t="str">
        <f t="shared" si="49"/>
        <v>N/A</v>
      </c>
      <c r="M184" t="str">
        <f t="shared" si="50"/>
        <v>N/A</v>
      </c>
      <c r="N184" t="str">
        <f t="shared" si="51"/>
        <v>N/A</v>
      </c>
      <c r="P184">
        <f t="shared" si="27"/>
        <v>0</v>
      </c>
      <c r="Q184" t="str">
        <f>IFERROR(J144+MATCH(P184,J184:N184,0)-1,"")</f>
        <v/>
      </c>
      <c r="R184" t="str">
        <f t="shared" si="28"/>
        <v/>
      </c>
      <c r="S184" t="str">
        <f>IFERROR(J144+MATCH(R184,J184:N184,0)-1,"")</f>
        <v/>
      </c>
      <c r="T184" t="str">
        <f t="shared" si="29"/>
        <v/>
      </c>
      <c r="U184" t="str">
        <f t="shared" si="30"/>
        <v/>
      </c>
      <c r="V184" t="str">
        <f t="shared" si="31"/>
        <v/>
      </c>
      <c r="W184" t="str">
        <f t="shared" si="32"/>
        <v/>
      </c>
      <c r="X184" t="str">
        <f t="shared" si="33"/>
        <v/>
      </c>
      <c r="Y184" t="str">
        <f t="shared" si="34"/>
        <v/>
      </c>
      <c r="Z184" t="str">
        <f t="shared" si="35"/>
        <v/>
      </c>
      <c r="AA184">
        <f t="shared" si="36"/>
        <v>0</v>
      </c>
      <c r="AB184" t="str">
        <f>IFERROR(V144+MATCH(AA184,V184:Z184,0)-1,"")</f>
        <v/>
      </c>
      <c r="AC184" t="str">
        <f t="shared" si="37"/>
        <v/>
      </c>
      <c r="AE184" t="str">
        <f>IF(ISNUMBER(MATCH("N/A",J184:N184,0)),"",IFERROR((5 * SUMPRODUCT(J144:N144,J184:N184) - PRODUCT(SUM(J144:N144),SUM(J184:N184))) / ((5 * SUM((J144^2)+(K144^2)+(L144^2)+(M144^2)+(N144^2))) - SUM(J144:N144)^2),""))</f>
        <v/>
      </c>
      <c r="AF184" t="str">
        <f>IFERROR(CORREL(J144:N144,J184:N184),"")</f>
        <v/>
      </c>
      <c r="AZ184">
        <f t="shared" si="38"/>
        <v>0</v>
      </c>
      <c r="BA184" t="str">
        <f>IF(AZ184=1,IF(Q184="","",IF(Q184=N144,"Yes","No")),"")</f>
        <v/>
      </c>
      <c r="BB184" t="str">
        <f t="shared" si="39"/>
        <v/>
      </c>
      <c r="BC184" t="str">
        <f>IF(AZ184=1,IF(S184="","",IF(S184=N144,"Yes","No")),"")</f>
        <v/>
      </c>
      <c r="BD184" t="str">
        <f t="shared" si="40"/>
        <v/>
      </c>
      <c r="BE184" t="str">
        <f t="shared" si="41"/>
        <v/>
      </c>
      <c r="BF184" t="str">
        <f t="shared" si="42"/>
        <v>No</v>
      </c>
      <c r="BG184" t="str">
        <f t="shared" si="43"/>
        <v>No</v>
      </c>
      <c r="BH184" t="str">
        <f t="shared" si="44"/>
        <v/>
      </c>
    </row>
    <row r="185" spans="1:60" x14ac:dyDescent="0.3">
      <c r="A185" s="1">
        <v>27</v>
      </c>
      <c r="B185" t="s">
        <v>408</v>
      </c>
      <c r="C185" t="s">
        <v>1917</v>
      </c>
      <c r="D185" t="s">
        <v>1918</v>
      </c>
      <c r="E185" t="s">
        <v>1919</v>
      </c>
      <c r="F185" t="s">
        <v>1920</v>
      </c>
      <c r="G185" t="s">
        <v>1921</v>
      </c>
      <c r="I185" t="str">
        <f t="shared" si="46"/>
        <v>N/A</v>
      </c>
      <c r="J185">
        <f t="shared" si="47"/>
        <v>98300000</v>
      </c>
      <c r="K185">
        <f t="shared" si="48"/>
        <v>72320000</v>
      </c>
      <c r="L185">
        <f t="shared" si="49"/>
        <v>120540000</v>
      </c>
      <c r="M185">
        <f t="shared" si="50"/>
        <v>121380000</v>
      </c>
      <c r="N185">
        <f t="shared" si="51"/>
        <v>135600000</v>
      </c>
      <c r="P185">
        <f t="shared" si="27"/>
        <v>135600000</v>
      </c>
      <c r="Q185">
        <f>IFERROR(J144+MATCH(P185,J185:N185,0)-1,"")</f>
        <v>2016</v>
      </c>
      <c r="R185">
        <f t="shared" si="28"/>
        <v>72320000</v>
      </c>
      <c r="S185">
        <f>IFERROR(J144+MATCH(R185,J185:N185,0)-1,"")</f>
        <v>2013</v>
      </c>
      <c r="T185">
        <f t="shared" si="29"/>
        <v>109628000</v>
      </c>
      <c r="U185">
        <f t="shared" si="30"/>
        <v>24758516.11062343</v>
      </c>
      <c r="V185">
        <f t="shared" si="31"/>
        <v>-0.45753953707828882</v>
      </c>
      <c r="W185">
        <f t="shared" si="32"/>
        <v>-1.5068754457377118</v>
      </c>
      <c r="X185">
        <f t="shared" si="33"/>
        <v>0.44073723769405787</v>
      </c>
      <c r="Y185">
        <f t="shared" si="34"/>
        <v>0.47466495760452421</v>
      </c>
      <c r="Z185">
        <f t="shared" si="35"/>
        <v>1.0490127875174184</v>
      </c>
      <c r="AA185">
        <f t="shared" si="36"/>
        <v>-1.5068754457377118</v>
      </c>
      <c r="AB185">
        <f>IFERROR(V144+MATCH(AA185,V185:Z185,0)-1,"")</f>
        <v>2013</v>
      </c>
      <c r="AC185" t="str">
        <f t="shared" si="37"/>
        <v>Low</v>
      </c>
      <c r="AE185">
        <f>IF(ISNUMBER(MATCH("N/A",J185:N185,0)),"",IFERROR((5 * SUMPRODUCT(J144:N144,J185:N185) - PRODUCT(SUM(J144:N144),SUM(J185:N185))) / ((5 * SUM((J144^2)+(K144^2)+(L144^2)+(M144^2)+(N144^2))) - SUM(J144:N144)^2),""))</f>
        <v>12366000</v>
      </c>
      <c r="AF185">
        <f>IFERROR(CORREL(J144:N144,J185:N185),"")</f>
        <v>0.78972272350488415</v>
      </c>
      <c r="AZ185">
        <f t="shared" si="38"/>
        <v>1</v>
      </c>
      <c r="BA185" t="str">
        <f>IF(AZ185=1,IF(Q185="","",IF(Q185=N144,"Yes","No")),"")</f>
        <v>Yes</v>
      </c>
      <c r="BB185">
        <f t="shared" si="39"/>
        <v>135600000</v>
      </c>
      <c r="BC185" t="str">
        <f>IF(AZ185=1,IF(S185="","",IF(S185=N144,"Yes","No")),"")</f>
        <v>No</v>
      </c>
      <c r="BD185" t="str">
        <f t="shared" si="40"/>
        <v/>
      </c>
      <c r="BE185" t="str">
        <f t="shared" si="41"/>
        <v>Increasing</v>
      </c>
      <c r="BF185" t="str">
        <f t="shared" si="42"/>
        <v>Yes</v>
      </c>
      <c r="BG185" t="str">
        <f t="shared" si="43"/>
        <v>No</v>
      </c>
      <c r="BH185" t="str">
        <f t="shared" si="44"/>
        <v>No</v>
      </c>
    </row>
    <row r="186" spans="1:60" x14ac:dyDescent="0.3">
      <c r="A186" s="1">
        <v>28</v>
      </c>
      <c r="B186" t="s">
        <v>409</v>
      </c>
      <c r="C186" t="s">
        <v>264</v>
      </c>
      <c r="D186" t="s">
        <v>1922</v>
      </c>
      <c r="E186" t="s">
        <v>1923</v>
      </c>
      <c r="F186" t="s">
        <v>1924</v>
      </c>
      <c r="G186" t="s">
        <v>1925</v>
      </c>
      <c r="I186" t="str">
        <f t="shared" si="46"/>
        <v>N/A</v>
      </c>
      <c r="J186" t="str">
        <f t="shared" si="47"/>
        <v>N/A</v>
      </c>
      <c r="K186">
        <f t="shared" si="48"/>
        <v>-0.26429999999999998</v>
      </c>
      <c r="L186">
        <f t="shared" si="49"/>
        <v>0.66670000000000007</v>
      </c>
      <c r="M186">
        <f t="shared" si="50"/>
        <v>6.9999999999999993E-3</v>
      </c>
      <c r="N186">
        <f t="shared" si="51"/>
        <v>0.11720000000000001</v>
      </c>
      <c r="P186">
        <f t="shared" si="27"/>
        <v>0.66670000000000007</v>
      </c>
      <c r="Q186">
        <f>IFERROR(J144+MATCH(P186,J186:N186,0)-1,"")</f>
        <v>2014</v>
      </c>
      <c r="R186">
        <f t="shared" si="28"/>
        <v>-0.26429999999999998</v>
      </c>
      <c r="S186">
        <f>IFERROR(J144+MATCH(R186,J186:N186,0)-1,"")</f>
        <v>2013</v>
      </c>
      <c r="T186">
        <f t="shared" si="29"/>
        <v>0.13165000000000002</v>
      </c>
      <c r="U186">
        <f t="shared" si="30"/>
        <v>0.39106748352000159</v>
      </c>
      <c r="V186" t="str">
        <f t="shared" si="31"/>
        <v/>
      </c>
      <c r="W186">
        <f t="shared" si="32"/>
        <v>-1.0124850995947063</v>
      </c>
      <c r="X186">
        <f t="shared" si="33"/>
        <v>1.3681781854732862</v>
      </c>
      <c r="Y186">
        <f t="shared" si="34"/>
        <v>-0.31874294144331394</v>
      </c>
      <c r="Z186">
        <f t="shared" si="35"/>
        <v>-3.6950144435265848E-2</v>
      </c>
      <c r="AA186">
        <f t="shared" si="36"/>
        <v>1.3681781854732862</v>
      </c>
      <c r="AB186">
        <f>IFERROR(V144+MATCH(AA186,V186:Z186,0)-1,"")</f>
        <v>2014</v>
      </c>
      <c r="AC186" t="str">
        <f t="shared" si="37"/>
        <v>High</v>
      </c>
      <c r="AE186" t="str">
        <f>IF(ISNUMBER(MATCH("N/A",J186:N186,0)),"",IFERROR((5 * SUMPRODUCT(J144:N144,J186:N186) - PRODUCT(SUM(J144:N144),SUM(J186:N186))) / ((5 * SUM((J144^2)+(K144^2)+(L144^2)+(M144^2)+(N144^2))) - SUM(J144:N144)^2),""))</f>
        <v/>
      </c>
      <c r="AF186">
        <f>IFERROR(CORREL(J144:N144,J186:N186),"")</f>
        <v>0.16004248246712324</v>
      </c>
      <c r="AZ186">
        <f t="shared" si="38"/>
        <v>1</v>
      </c>
      <c r="BA186" t="str">
        <f>IF(AZ186=1,IF(Q186="","",IF(Q186=N144,"Yes","No")),"")</f>
        <v>No</v>
      </c>
      <c r="BB186" t="str">
        <f t="shared" si="39"/>
        <v/>
      </c>
      <c r="BC186" t="str">
        <f>IF(AZ186=1,IF(S186="","",IF(S186=N144,"Yes","No")),"")</f>
        <v>No</v>
      </c>
      <c r="BD186" t="str">
        <f t="shared" si="40"/>
        <v/>
      </c>
      <c r="BE186" t="str">
        <f t="shared" si="41"/>
        <v/>
      </c>
      <c r="BF186" t="str">
        <f t="shared" si="42"/>
        <v>No</v>
      </c>
      <c r="BG186" t="str">
        <f t="shared" si="43"/>
        <v>No</v>
      </c>
      <c r="BH186" t="str">
        <f t="shared" si="44"/>
        <v>No</v>
      </c>
    </row>
    <row r="187" spans="1:60" x14ac:dyDescent="0.3">
      <c r="A187" s="1">
        <v>29</v>
      </c>
      <c r="B187" t="s">
        <v>414</v>
      </c>
      <c r="C187" t="s">
        <v>264</v>
      </c>
      <c r="D187" t="s">
        <v>264</v>
      </c>
      <c r="E187" t="s">
        <v>264</v>
      </c>
      <c r="F187" t="s">
        <v>264</v>
      </c>
      <c r="G187" t="s">
        <v>1926</v>
      </c>
      <c r="I187" t="str">
        <f t="shared" si="46"/>
        <v>N/A</v>
      </c>
      <c r="J187" t="str">
        <f t="shared" si="47"/>
        <v>N/A</v>
      </c>
      <c r="K187" t="str">
        <f t="shared" si="48"/>
        <v>N/A</v>
      </c>
      <c r="L187" t="str">
        <f t="shared" si="49"/>
        <v>N/A</v>
      </c>
      <c r="M187" t="str">
        <f t="shared" si="50"/>
        <v>N/A</v>
      </c>
      <c r="N187">
        <f t="shared" si="51"/>
        <v>0.11019999999999999</v>
      </c>
      <c r="P187">
        <f t="shared" si="27"/>
        <v>0.11019999999999999</v>
      </c>
      <c r="Q187">
        <f>IFERROR(J144+MATCH(P187,J187:N187,0)-1,"")</f>
        <v>2016</v>
      </c>
      <c r="R187">
        <f t="shared" si="28"/>
        <v>0.11019999999999999</v>
      </c>
      <c r="S187">
        <f>IFERROR(J144+MATCH(R187,J187:N187,0)-1,"")</f>
        <v>2016</v>
      </c>
      <c r="T187">
        <f t="shared" si="29"/>
        <v>0.11019999999999999</v>
      </c>
      <c r="U187" t="str">
        <f t="shared" si="30"/>
        <v/>
      </c>
      <c r="V187" t="str">
        <f t="shared" si="31"/>
        <v/>
      </c>
      <c r="W187" t="str">
        <f t="shared" si="32"/>
        <v/>
      </c>
      <c r="X187" t="str">
        <f t="shared" si="33"/>
        <v/>
      </c>
      <c r="Y187" t="str">
        <f t="shared" si="34"/>
        <v/>
      </c>
      <c r="Z187" t="str">
        <f t="shared" si="35"/>
        <v/>
      </c>
      <c r="AA187">
        <f t="shared" si="36"/>
        <v>0</v>
      </c>
      <c r="AB187" t="str">
        <f>IFERROR(V144+MATCH(AA187,V187:Z187,0)-1,"")</f>
        <v/>
      </c>
      <c r="AC187" t="str">
        <f t="shared" si="37"/>
        <v/>
      </c>
      <c r="AE187" t="str">
        <f>IF(ISNUMBER(MATCH("N/A",J187:N187,0)),"",IFERROR((5 * SUMPRODUCT(J144:N144,J187:N187) - PRODUCT(SUM(J144:N144),SUM(J187:N187))) / ((5 * SUM((J144^2)+(K144^2)+(L144^2)+(M144^2)+(N144^2))) - SUM(J144:N144)^2),""))</f>
        <v/>
      </c>
      <c r="AF187" t="str">
        <f>IFERROR(CORREL(J144:N144,J187:N187),"")</f>
        <v/>
      </c>
      <c r="AZ187">
        <f t="shared" si="38"/>
        <v>0</v>
      </c>
      <c r="BA187" t="str">
        <f>IF(AZ187=1,IF(Q187="","",IF(Q187=N144,"Yes","No")),"")</f>
        <v/>
      </c>
      <c r="BB187" t="str">
        <f t="shared" si="39"/>
        <v/>
      </c>
      <c r="BC187" t="str">
        <f>IF(AZ187=1,IF(S187="","",IF(S187=N144,"Yes","No")),"")</f>
        <v/>
      </c>
      <c r="BD187" t="str">
        <f t="shared" si="40"/>
        <v/>
      </c>
      <c r="BE187" t="str">
        <f t="shared" si="41"/>
        <v/>
      </c>
      <c r="BF187" t="str">
        <f t="shared" si="42"/>
        <v>No</v>
      </c>
      <c r="BG187" t="str">
        <f t="shared" si="43"/>
        <v>No</v>
      </c>
      <c r="BH187" t="str">
        <f t="shared" si="44"/>
        <v/>
      </c>
    </row>
    <row r="188" spans="1:60" x14ac:dyDescent="0.3">
      <c r="A188" s="1">
        <v>30</v>
      </c>
      <c r="B188" t="s">
        <v>416</v>
      </c>
      <c r="C188" t="s">
        <v>1927</v>
      </c>
      <c r="D188" t="s">
        <v>1928</v>
      </c>
      <c r="E188" t="s">
        <v>1929</v>
      </c>
      <c r="F188" t="s">
        <v>264</v>
      </c>
      <c r="G188" t="s">
        <v>264</v>
      </c>
      <c r="I188" t="str">
        <f t="shared" si="46"/>
        <v>N/A</v>
      </c>
      <c r="J188">
        <f t="shared" si="47"/>
        <v>-3050000</v>
      </c>
      <c r="K188">
        <f t="shared" si="48"/>
        <v>198210000</v>
      </c>
      <c r="L188">
        <f t="shared" si="49"/>
        <v>-2170000</v>
      </c>
      <c r="M188" t="str">
        <f t="shared" si="50"/>
        <v>N/A</v>
      </c>
      <c r="N188" t="str">
        <f t="shared" si="51"/>
        <v>N/A</v>
      </c>
      <c r="P188">
        <f t="shared" si="27"/>
        <v>198210000</v>
      </c>
      <c r="Q188">
        <f>IFERROR(J144+MATCH(P188,J188:N188,0)-1,"")</f>
        <v>2013</v>
      </c>
      <c r="R188">
        <f t="shared" si="28"/>
        <v>-3050000</v>
      </c>
      <c r="S188">
        <f>IFERROR(J144+MATCH(R188,J188:N188,0)-1,"")</f>
        <v>2012</v>
      </c>
      <c r="T188">
        <f t="shared" si="29"/>
        <v>64330000</v>
      </c>
      <c r="U188">
        <f t="shared" si="30"/>
        <v>115944315.94519845</v>
      </c>
      <c r="V188">
        <f t="shared" si="31"/>
        <v>-0.58114103697715924</v>
      </c>
      <c r="W188">
        <f t="shared" si="32"/>
        <v>1.1546922236643229</v>
      </c>
      <c r="X188">
        <f t="shared" si="33"/>
        <v>-0.57355118668716365</v>
      </c>
      <c r="Y188" t="str">
        <f t="shared" si="34"/>
        <v/>
      </c>
      <c r="Z188" t="str">
        <f t="shared" si="35"/>
        <v/>
      </c>
      <c r="AA188">
        <f t="shared" si="36"/>
        <v>1.1546922236643229</v>
      </c>
      <c r="AB188">
        <f>IFERROR(V144+MATCH(AA188,V188:Z188,0)-1,"")</f>
        <v>2013</v>
      </c>
      <c r="AC188" t="str">
        <f t="shared" si="37"/>
        <v>High</v>
      </c>
      <c r="AE188" t="str">
        <f>IF(ISNUMBER(MATCH("N/A",J188:N188,0)),"",IFERROR((5 * SUMPRODUCT(J144:N144,J188:N188) - PRODUCT(SUM(J144:N144),SUM(J188:N188))) / ((5 * SUM((J144^2)+(K144^2)+(L144^2)+(M144^2)+(N144^2))) - SUM(J144:N144)^2),""))</f>
        <v/>
      </c>
      <c r="AF188">
        <f>IFERROR(CORREL(J144:N144,J188:N188),"")</f>
        <v>3.794925144997774E-3</v>
      </c>
      <c r="AZ188">
        <f t="shared" si="38"/>
        <v>1</v>
      </c>
      <c r="BA188" t="str">
        <f>IF(AZ188=1,IF(Q188="","",IF(Q188=N144,"Yes","No")),"")</f>
        <v>No</v>
      </c>
      <c r="BB188" t="str">
        <f t="shared" si="39"/>
        <v/>
      </c>
      <c r="BC188" t="str">
        <f>IF(AZ188=1,IF(S188="","",IF(S188=N144,"Yes","No")),"")</f>
        <v>No</v>
      </c>
      <c r="BD188" t="str">
        <f t="shared" si="40"/>
        <v/>
      </c>
      <c r="BE188" t="str">
        <f t="shared" si="41"/>
        <v/>
      </c>
      <c r="BF188" t="str">
        <f t="shared" si="42"/>
        <v>No</v>
      </c>
      <c r="BG188" t="str">
        <f t="shared" si="43"/>
        <v>No</v>
      </c>
      <c r="BH188" t="str">
        <f t="shared" si="44"/>
        <v>No</v>
      </c>
    </row>
    <row r="189" spans="1:60" x14ac:dyDescent="0.3">
      <c r="A189" s="1">
        <v>31</v>
      </c>
      <c r="B189" t="s">
        <v>417</v>
      </c>
      <c r="C189" t="s">
        <v>1930</v>
      </c>
      <c r="D189" t="s">
        <v>1931</v>
      </c>
      <c r="E189" t="s">
        <v>1932</v>
      </c>
      <c r="F189" t="s">
        <v>264</v>
      </c>
      <c r="G189" t="s">
        <v>264</v>
      </c>
      <c r="I189" t="str">
        <f t="shared" si="46"/>
        <v>N/A</v>
      </c>
      <c r="J189">
        <f t="shared" si="47"/>
        <v>-799000</v>
      </c>
      <c r="K189">
        <f t="shared" si="48"/>
        <v>195320000</v>
      </c>
      <c r="L189">
        <f t="shared" si="49"/>
        <v>-1990000</v>
      </c>
      <c r="M189" t="str">
        <f t="shared" si="50"/>
        <v>N/A</v>
      </c>
      <c r="N189" t="str">
        <f t="shared" si="51"/>
        <v>N/A</v>
      </c>
      <c r="P189">
        <f t="shared" si="27"/>
        <v>195320000</v>
      </c>
      <c r="Q189">
        <f>IFERROR(J144+MATCH(P189,J189:N189,0)-1,"")</f>
        <v>2013</v>
      </c>
      <c r="R189">
        <f t="shared" si="28"/>
        <v>-1990000</v>
      </c>
      <c r="S189">
        <f>IFERROR(J144+MATCH(R189,J189:N189,0)-1,"")</f>
        <v>2014</v>
      </c>
      <c r="T189">
        <f t="shared" si="29"/>
        <v>64177000</v>
      </c>
      <c r="U189">
        <f t="shared" si="30"/>
        <v>113574730.71506707</v>
      </c>
      <c r="V189">
        <f t="shared" si="31"/>
        <v>-0.57209908921562724</v>
      </c>
      <c r="W189">
        <f t="shared" si="32"/>
        <v>1.1546846659844405</v>
      </c>
      <c r="X189">
        <f t="shared" si="33"/>
        <v>-0.58258557676881328</v>
      </c>
      <c r="Y189" t="str">
        <f t="shared" si="34"/>
        <v/>
      </c>
      <c r="Z189" t="str">
        <f t="shared" si="35"/>
        <v/>
      </c>
      <c r="AA189">
        <f t="shared" si="36"/>
        <v>1.1546846659844405</v>
      </c>
      <c r="AB189">
        <f>IFERROR(V144+MATCH(AA189,V189:Z189,0)-1,"")</f>
        <v>2013</v>
      </c>
      <c r="AC189" t="str">
        <f t="shared" si="37"/>
        <v>High</v>
      </c>
      <c r="AE189" t="str">
        <f>IF(ISNUMBER(MATCH("N/A",J189:N189,0)),"",IFERROR((5 * SUMPRODUCT(J144:N144,J189:N189) - PRODUCT(SUM(J144:N144),SUM(J189:N189))) / ((5 * SUM((J144^2)+(K144^2)+(L144^2)+(M144^2)+(N144^2))) - SUM(J144:N144)^2),""))</f>
        <v/>
      </c>
      <c r="AF189">
        <f>IFERROR(CORREL(J144:N144,J189:N189),"")</f>
        <v>-5.2432437765929886E-3</v>
      </c>
      <c r="AZ189">
        <f t="shared" si="38"/>
        <v>1</v>
      </c>
      <c r="BA189" t="str">
        <f>IF(AZ189=1,IF(Q189="","",IF(Q189=N144,"Yes","No")),"")</f>
        <v>No</v>
      </c>
      <c r="BB189" t="str">
        <f t="shared" si="39"/>
        <v/>
      </c>
      <c r="BC189" t="str">
        <f>IF(AZ189=1,IF(S189="","",IF(S189=N144,"Yes","No")),"")</f>
        <v>No</v>
      </c>
      <c r="BD189" t="str">
        <f t="shared" si="40"/>
        <v/>
      </c>
      <c r="BE189" t="str">
        <f t="shared" si="41"/>
        <v/>
      </c>
      <c r="BF189" t="str">
        <f t="shared" si="42"/>
        <v>No</v>
      </c>
      <c r="BG189" t="str">
        <f t="shared" si="43"/>
        <v>No</v>
      </c>
      <c r="BH189" t="str">
        <f t="shared" si="44"/>
        <v>No</v>
      </c>
    </row>
    <row r="190" spans="1:60" x14ac:dyDescent="0.3">
      <c r="A190" s="1">
        <v>32</v>
      </c>
      <c r="B190" t="s">
        <v>418</v>
      </c>
      <c r="C190" t="s">
        <v>264</v>
      </c>
      <c r="D190" t="s">
        <v>264</v>
      </c>
      <c r="E190" t="s">
        <v>264</v>
      </c>
      <c r="F190" t="s">
        <v>264</v>
      </c>
      <c r="G190" t="s">
        <v>264</v>
      </c>
      <c r="I190" t="str">
        <f t="shared" si="46"/>
        <v>N/A</v>
      </c>
      <c r="J190" t="str">
        <f t="shared" si="47"/>
        <v>N/A</v>
      </c>
      <c r="K190" t="str">
        <f t="shared" si="48"/>
        <v>N/A</v>
      </c>
      <c r="L190" t="str">
        <f t="shared" si="49"/>
        <v>N/A</v>
      </c>
      <c r="M190" t="str">
        <f t="shared" si="50"/>
        <v>N/A</v>
      </c>
      <c r="N190" t="str">
        <f t="shared" si="51"/>
        <v>N/A</v>
      </c>
      <c r="P190">
        <f t="shared" si="27"/>
        <v>0</v>
      </c>
      <c r="Q190" t="str">
        <f>IFERROR(J144+MATCH(P190,J190:N190,0)-1,"")</f>
        <v/>
      </c>
      <c r="R190" t="str">
        <f t="shared" si="28"/>
        <v/>
      </c>
      <c r="S190" t="str">
        <f>IFERROR(J144+MATCH(R190,J190:N190,0)-1,"")</f>
        <v/>
      </c>
      <c r="T190" t="str">
        <f t="shared" si="29"/>
        <v/>
      </c>
      <c r="U190" t="str">
        <f t="shared" si="30"/>
        <v/>
      </c>
      <c r="V190" t="str">
        <f t="shared" si="31"/>
        <v/>
      </c>
      <c r="W190" t="str">
        <f t="shared" si="32"/>
        <v/>
      </c>
      <c r="X190" t="str">
        <f t="shared" si="33"/>
        <v/>
      </c>
      <c r="Y190" t="str">
        <f t="shared" si="34"/>
        <v/>
      </c>
      <c r="Z190" t="str">
        <f t="shared" si="35"/>
        <v/>
      </c>
      <c r="AA190">
        <f t="shared" si="36"/>
        <v>0</v>
      </c>
      <c r="AB190" t="str">
        <f>IFERROR(V144+MATCH(AA190,V190:Z190,0)-1,"")</f>
        <v/>
      </c>
      <c r="AC190" t="str">
        <f t="shared" si="37"/>
        <v/>
      </c>
      <c r="AE190" t="str">
        <f>IF(ISNUMBER(MATCH("N/A",J190:N190,0)),"",IFERROR((5 * SUMPRODUCT(J144:N144,J190:N190) - PRODUCT(SUM(J144:N144),SUM(J190:N190))) / ((5 * SUM((J144^2)+(K144^2)+(L144^2)+(M144^2)+(N144^2))) - SUM(J144:N144)^2),""))</f>
        <v/>
      </c>
      <c r="AF190" t="str">
        <f>IFERROR(CORREL(J144:N144,J190:N190),"")</f>
        <v/>
      </c>
      <c r="AZ190">
        <f t="shared" si="38"/>
        <v>0</v>
      </c>
      <c r="BA190" t="str">
        <f>IF(AZ190=1,IF(Q190="","",IF(Q190=N144,"Yes","No")),"")</f>
        <v/>
      </c>
      <c r="BB190" t="str">
        <f t="shared" si="39"/>
        <v/>
      </c>
      <c r="BC190" t="str">
        <f>IF(AZ190=1,IF(S190="","",IF(S190=N144,"Yes","No")),"")</f>
        <v/>
      </c>
      <c r="BD190" t="str">
        <f t="shared" si="40"/>
        <v/>
      </c>
      <c r="BE190" t="str">
        <f t="shared" si="41"/>
        <v/>
      </c>
      <c r="BF190" t="str">
        <f t="shared" si="42"/>
        <v>No</v>
      </c>
      <c r="BG190" t="str">
        <f t="shared" si="43"/>
        <v>No</v>
      </c>
      <c r="BH190" t="str">
        <f t="shared" si="44"/>
        <v/>
      </c>
    </row>
    <row r="191" spans="1:60" x14ac:dyDescent="0.3">
      <c r="A191" s="1">
        <v>33</v>
      </c>
      <c r="B191" t="s">
        <v>419</v>
      </c>
      <c r="C191" t="s">
        <v>1933</v>
      </c>
      <c r="D191" t="s">
        <v>1934</v>
      </c>
      <c r="E191" t="s">
        <v>1935</v>
      </c>
      <c r="F191" t="s">
        <v>264</v>
      </c>
      <c r="G191" t="s">
        <v>264</v>
      </c>
      <c r="I191" t="str">
        <f t="shared" si="46"/>
        <v>N/A</v>
      </c>
      <c r="J191">
        <f t="shared" si="47"/>
        <v>-2250000</v>
      </c>
      <c r="K191">
        <f t="shared" si="48"/>
        <v>2890000</v>
      </c>
      <c r="L191">
        <f t="shared" si="49"/>
        <v>-184000</v>
      </c>
      <c r="M191" t="str">
        <f t="shared" si="50"/>
        <v>N/A</v>
      </c>
      <c r="N191" t="str">
        <f t="shared" si="51"/>
        <v>N/A</v>
      </c>
      <c r="P191">
        <f t="shared" si="27"/>
        <v>2890000</v>
      </c>
      <c r="Q191">
        <f>IFERROR(J144+MATCH(P191,J191:N191,0)-1,"")</f>
        <v>2013</v>
      </c>
      <c r="R191">
        <f t="shared" si="28"/>
        <v>-2250000</v>
      </c>
      <c r="S191">
        <f>IFERROR(J144+MATCH(R191,J191:N191,0)-1,"")</f>
        <v>2012</v>
      </c>
      <c r="T191">
        <f t="shared" si="29"/>
        <v>152000</v>
      </c>
      <c r="U191">
        <f t="shared" si="30"/>
        <v>2586420.6927721561</v>
      </c>
      <c r="V191">
        <f t="shared" si="31"/>
        <v>-0.92869655996507983</v>
      </c>
      <c r="W191">
        <f t="shared" si="32"/>
        <v>1.0586058206429594</v>
      </c>
      <c r="X191">
        <f t="shared" si="33"/>
        <v>-0.12990926067787961</v>
      </c>
      <c r="Y191" t="str">
        <f t="shared" si="34"/>
        <v/>
      </c>
      <c r="Z191" t="str">
        <f t="shared" si="35"/>
        <v/>
      </c>
      <c r="AA191">
        <f t="shared" si="36"/>
        <v>1.0586058206429594</v>
      </c>
      <c r="AB191">
        <f>IFERROR(V144+MATCH(AA191,V191:Z191,0)-1,"")</f>
        <v>2013</v>
      </c>
      <c r="AC191" t="str">
        <f t="shared" si="37"/>
        <v>High</v>
      </c>
      <c r="AE191" t="str">
        <f>IF(ISNUMBER(MATCH("N/A",J191:N191,0)),"",IFERROR((5 * SUMPRODUCT(J144:N144,J191:N191) - PRODUCT(SUM(J144:N144),SUM(J191:N191))) / ((5 * SUM((J144^2)+(K144^2)+(L144^2)+(M144^2)+(N144^2))) - SUM(J144:N144)^2),""))</f>
        <v/>
      </c>
      <c r="AF191">
        <f>IFERROR(CORREL(J144:N144,J191:N191),"")</f>
        <v>0.39939364964360002</v>
      </c>
      <c r="AZ191">
        <f t="shared" si="38"/>
        <v>1</v>
      </c>
      <c r="BA191" t="str">
        <f>IF(AZ191=1,IF(Q191="","",IF(Q191=N144,"Yes","No")),"")</f>
        <v>No</v>
      </c>
      <c r="BB191" t="str">
        <f t="shared" si="39"/>
        <v/>
      </c>
      <c r="BC191" t="str">
        <f>IF(AZ191=1,IF(S191="","",IF(S191=N144,"Yes","No")),"")</f>
        <v>No</v>
      </c>
      <c r="BD191" t="str">
        <f t="shared" si="40"/>
        <v/>
      </c>
      <c r="BE191" t="str">
        <f t="shared" si="41"/>
        <v/>
      </c>
      <c r="BF191" t="str">
        <f t="shared" si="42"/>
        <v>No</v>
      </c>
      <c r="BG191" t="str">
        <f t="shared" si="43"/>
        <v>No</v>
      </c>
      <c r="BH191" t="str">
        <f t="shared" si="44"/>
        <v>No</v>
      </c>
    </row>
    <row r="192" spans="1:60" x14ac:dyDescent="0.3">
      <c r="A192" s="1">
        <v>34</v>
      </c>
      <c r="B192" t="s">
        <v>420</v>
      </c>
      <c r="C192" t="s">
        <v>1936</v>
      </c>
      <c r="D192" t="s">
        <v>1937</v>
      </c>
      <c r="E192" t="s">
        <v>1938</v>
      </c>
      <c r="F192" t="s">
        <v>1920</v>
      </c>
      <c r="G192" t="s">
        <v>1921</v>
      </c>
      <c r="I192" t="str">
        <f t="shared" si="46"/>
        <v>N/A</v>
      </c>
      <c r="J192">
        <f t="shared" si="47"/>
        <v>95250000</v>
      </c>
      <c r="K192">
        <f t="shared" si="48"/>
        <v>270530000</v>
      </c>
      <c r="L192">
        <f t="shared" si="49"/>
        <v>118370000</v>
      </c>
      <c r="M192">
        <f t="shared" si="50"/>
        <v>121380000</v>
      </c>
      <c r="N192">
        <f t="shared" si="51"/>
        <v>135600000</v>
      </c>
      <c r="P192">
        <f t="shared" si="27"/>
        <v>270530000</v>
      </c>
      <c r="Q192">
        <f>IFERROR(J144+MATCH(P192,J192:N192,0)-1,"")</f>
        <v>2013</v>
      </c>
      <c r="R192">
        <f t="shared" si="28"/>
        <v>95250000</v>
      </c>
      <c r="S192">
        <f>IFERROR(J144+MATCH(R192,J192:N192,0)-1,"")</f>
        <v>2012</v>
      </c>
      <c r="T192">
        <f t="shared" si="29"/>
        <v>148226000</v>
      </c>
      <c r="U192">
        <f t="shared" si="30"/>
        <v>69886031.007634133</v>
      </c>
      <c r="V192">
        <f t="shared" si="31"/>
        <v>-0.75803417701905362</v>
      </c>
      <c r="W192">
        <f t="shared" si="32"/>
        <v>1.7500493050841575</v>
      </c>
      <c r="X192">
        <f t="shared" si="33"/>
        <v>-0.42720983821128178</v>
      </c>
      <c r="Y192">
        <f t="shared" si="34"/>
        <v>-0.38413971451701739</v>
      </c>
      <c r="Z192">
        <f t="shared" si="35"/>
        <v>-0.1806655753368048</v>
      </c>
      <c r="AA192">
        <f t="shared" si="36"/>
        <v>1.7500493050841575</v>
      </c>
      <c r="AB192">
        <f>IFERROR(V144+MATCH(AA192,V192:Z192,0)-1,"")</f>
        <v>2013</v>
      </c>
      <c r="AC192" t="str">
        <f t="shared" si="37"/>
        <v>High</v>
      </c>
      <c r="AE192">
        <f>IF(ISNUMBER(MATCH("N/A",J192:N192,0)),"",IFERROR((5 * SUMPRODUCT(J144:N144,J192:N192) - PRODUCT(SUM(J144:N144),SUM(J192:N192))) / ((5 * SUM((J144^2)+(K144^2)+(L144^2)+(M144^2)+(N144^2))) - SUM(J144:N144)^2),""))</f>
        <v>-6845000</v>
      </c>
      <c r="AF192">
        <f>IFERROR(CORREL(J144:N144,J192:N192),"")</f>
        <v>-0.15486492988482947</v>
      </c>
      <c r="AZ192">
        <f t="shared" si="38"/>
        <v>1</v>
      </c>
      <c r="BA192" t="str">
        <f>IF(AZ192=1,IF(Q192="","",IF(Q192=N144,"Yes","No")),"")</f>
        <v>No</v>
      </c>
      <c r="BB192" t="str">
        <f t="shared" si="39"/>
        <v/>
      </c>
      <c r="BC192" t="str">
        <f>IF(AZ192=1,IF(S192="","",IF(S192=N144,"Yes","No")),"")</f>
        <v>No</v>
      </c>
      <c r="BD192" t="str">
        <f t="shared" si="40"/>
        <v/>
      </c>
      <c r="BE192" t="str">
        <f t="shared" si="41"/>
        <v>Decreasing</v>
      </c>
      <c r="BF192" t="str">
        <f t="shared" si="42"/>
        <v>No</v>
      </c>
      <c r="BG192" t="str">
        <f t="shared" si="43"/>
        <v>No</v>
      </c>
      <c r="BH192" t="str">
        <f t="shared" si="44"/>
        <v>No</v>
      </c>
    </row>
    <row r="193" spans="1:60" x14ac:dyDescent="0.3">
      <c r="A193" s="1">
        <v>35</v>
      </c>
      <c r="B193" t="s">
        <v>421</v>
      </c>
      <c r="C193" t="s">
        <v>264</v>
      </c>
      <c r="D193" t="s">
        <v>264</v>
      </c>
      <c r="E193" t="s">
        <v>264</v>
      </c>
      <c r="F193" t="s">
        <v>264</v>
      </c>
      <c r="G193" t="s">
        <v>264</v>
      </c>
      <c r="I193" t="str">
        <f t="shared" si="46"/>
        <v>N/A</v>
      </c>
      <c r="J193" t="str">
        <f t="shared" si="47"/>
        <v>N/A</v>
      </c>
      <c r="K193" t="str">
        <f t="shared" si="48"/>
        <v>N/A</v>
      </c>
      <c r="L193" t="str">
        <f t="shared" si="49"/>
        <v>N/A</v>
      </c>
      <c r="M193" t="str">
        <f t="shared" si="50"/>
        <v>N/A</v>
      </c>
      <c r="N193" t="str">
        <f t="shared" si="51"/>
        <v>N/A</v>
      </c>
      <c r="P193">
        <f t="shared" si="27"/>
        <v>0</v>
      </c>
      <c r="Q193" t="str">
        <f>IFERROR(J144+MATCH(P193,J193:N193,0)-1,"")</f>
        <v/>
      </c>
      <c r="R193" t="str">
        <f t="shared" si="28"/>
        <v/>
      </c>
      <c r="S193" t="str">
        <f>IFERROR(J144+MATCH(R193,J193:N193,0)-1,"")</f>
        <v/>
      </c>
      <c r="T193" t="str">
        <f t="shared" si="29"/>
        <v/>
      </c>
      <c r="U193" t="str">
        <f t="shared" si="30"/>
        <v/>
      </c>
      <c r="V193" t="str">
        <f t="shared" si="31"/>
        <v/>
      </c>
      <c r="W193" t="str">
        <f t="shared" si="32"/>
        <v/>
      </c>
      <c r="X193" t="str">
        <f t="shared" si="33"/>
        <v/>
      </c>
      <c r="Y193" t="str">
        <f t="shared" si="34"/>
        <v/>
      </c>
      <c r="Z193" t="str">
        <f t="shared" si="35"/>
        <v/>
      </c>
      <c r="AA193">
        <f t="shared" si="36"/>
        <v>0</v>
      </c>
      <c r="AB193" t="str">
        <f>IFERROR(V144+MATCH(AA193,V193:Z193,0)-1,"")</f>
        <v/>
      </c>
      <c r="AC193" t="str">
        <f t="shared" si="37"/>
        <v/>
      </c>
      <c r="AE193" t="str">
        <f>IF(ISNUMBER(MATCH("N/A",J193:N193,0)),"",IFERROR((5 * SUMPRODUCT(J144:N144,J193:N193) - PRODUCT(SUM(J144:N144),SUM(J193:N193))) / ((5 * SUM((J144^2)+(K144^2)+(L144^2)+(M144^2)+(N144^2))) - SUM(J144:N144)^2),""))</f>
        <v/>
      </c>
      <c r="AF193" t="str">
        <f>IFERROR(CORREL(J144:N144,J193:N193),"")</f>
        <v/>
      </c>
      <c r="AZ193">
        <f t="shared" si="38"/>
        <v>0</v>
      </c>
      <c r="BA193" t="str">
        <f>IF(AZ193=1,IF(Q193="","",IF(Q193=N144,"Yes","No")),"")</f>
        <v/>
      </c>
      <c r="BB193" t="str">
        <f t="shared" si="39"/>
        <v/>
      </c>
      <c r="BC193" t="str">
        <f>IF(AZ193=1,IF(S193="","",IF(S193=N144,"Yes","No")),"")</f>
        <v/>
      </c>
      <c r="BD193" t="str">
        <f t="shared" si="40"/>
        <v/>
      </c>
      <c r="BE193" t="str">
        <f t="shared" si="41"/>
        <v/>
      </c>
      <c r="BF193" t="str">
        <f t="shared" si="42"/>
        <v>No</v>
      </c>
      <c r="BG193" t="str">
        <f t="shared" si="43"/>
        <v>No</v>
      </c>
      <c r="BH193" t="str">
        <f t="shared" si="44"/>
        <v/>
      </c>
    </row>
    <row r="194" spans="1:60" x14ac:dyDescent="0.3">
      <c r="A194" s="1">
        <v>36</v>
      </c>
      <c r="B194" t="s">
        <v>422</v>
      </c>
      <c r="C194" t="s">
        <v>1939</v>
      </c>
      <c r="D194" t="s">
        <v>1940</v>
      </c>
      <c r="E194" t="s">
        <v>1941</v>
      </c>
      <c r="F194" t="s">
        <v>1920</v>
      </c>
      <c r="G194" t="s">
        <v>1921</v>
      </c>
      <c r="I194" t="str">
        <f t="shared" si="46"/>
        <v>N/A</v>
      </c>
      <c r="J194">
        <f t="shared" si="47"/>
        <v>96050000</v>
      </c>
      <c r="K194">
        <f t="shared" si="48"/>
        <v>75210000</v>
      </c>
      <c r="L194">
        <f t="shared" si="49"/>
        <v>120360000</v>
      </c>
      <c r="M194">
        <f t="shared" si="50"/>
        <v>121380000</v>
      </c>
      <c r="N194">
        <f t="shared" si="51"/>
        <v>135600000</v>
      </c>
      <c r="P194">
        <f t="shared" si="27"/>
        <v>135600000</v>
      </c>
      <c r="Q194">
        <f>IFERROR(J144+MATCH(P194,J194:N194,0)-1,"")</f>
        <v>2016</v>
      </c>
      <c r="R194">
        <f t="shared" si="28"/>
        <v>75210000</v>
      </c>
      <c r="S194">
        <f>IFERROR(J144+MATCH(R194,J194:N194,0)-1,"")</f>
        <v>2013</v>
      </c>
      <c r="T194">
        <f t="shared" si="29"/>
        <v>109720000</v>
      </c>
      <c r="U194">
        <f t="shared" si="30"/>
        <v>23962202.528148368</v>
      </c>
      <c r="V194">
        <f t="shared" si="31"/>
        <v>-0.57048178204578104</v>
      </c>
      <c r="W194">
        <f t="shared" si="32"/>
        <v>-1.4401848060277911</v>
      </c>
      <c r="X194">
        <f t="shared" si="33"/>
        <v>0.44403263796394365</v>
      </c>
      <c r="Y194">
        <f t="shared" si="34"/>
        <v>0.48659967656575032</v>
      </c>
      <c r="Z194">
        <f t="shared" si="35"/>
        <v>1.0800342735438779</v>
      </c>
      <c r="AA194">
        <f t="shared" si="36"/>
        <v>-1.4401848060277911</v>
      </c>
      <c r="AB194">
        <f>IFERROR(V144+MATCH(AA194,V194:Z194,0)-1,"")</f>
        <v>2013</v>
      </c>
      <c r="AC194" t="str">
        <f t="shared" si="37"/>
        <v>Low</v>
      </c>
      <c r="AE194">
        <f>IF(ISNUMBER(MATCH("N/A",J194:N194,0)),"",IFERROR((5 * SUMPRODUCT(J144:N144,J194:N194) - PRODUCT(SUM(J144:N144),SUM(J194:N194))) / ((5 * SUM((J144^2)+(K144^2)+(L144^2)+(M144^2)+(N144^2))) - SUM(J144:N144)^2),""))</f>
        <v>12527000</v>
      </c>
      <c r="AF194">
        <f>IFERROR(CORREL(J144:N144,J194:N194),"")</f>
        <v>0.82659038129727325</v>
      </c>
      <c r="AZ194">
        <f t="shared" si="38"/>
        <v>1</v>
      </c>
      <c r="BA194" t="str">
        <f>IF(AZ194=1,IF(Q194="","",IF(Q194=N144,"Yes","No")),"")</f>
        <v>Yes</v>
      </c>
      <c r="BB194">
        <f t="shared" si="39"/>
        <v>135600000</v>
      </c>
      <c r="BC194" t="str">
        <f>IF(AZ194=1,IF(S194="","",IF(S194=N144,"Yes","No")),"")</f>
        <v>No</v>
      </c>
      <c r="BD194" t="str">
        <f t="shared" si="40"/>
        <v/>
      </c>
      <c r="BE194" t="str">
        <f t="shared" si="41"/>
        <v>Increasing</v>
      </c>
      <c r="BF194" t="str">
        <f t="shared" si="42"/>
        <v>Yes</v>
      </c>
      <c r="BG194" t="str">
        <f t="shared" si="43"/>
        <v>No</v>
      </c>
      <c r="BH194" t="str">
        <f t="shared" si="44"/>
        <v>Yes</v>
      </c>
    </row>
    <row r="195" spans="1:60" x14ac:dyDescent="0.3">
      <c r="A195" s="1">
        <v>37</v>
      </c>
      <c r="B195" t="s">
        <v>423</v>
      </c>
      <c r="C195" t="s">
        <v>1942</v>
      </c>
      <c r="D195" t="s">
        <v>1943</v>
      </c>
      <c r="E195" t="s">
        <v>1944</v>
      </c>
      <c r="F195" t="s">
        <v>1945</v>
      </c>
      <c r="G195" t="s">
        <v>1732</v>
      </c>
      <c r="I195" t="str">
        <f t="shared" si="46"/>
        <v>N/A</v>
      </c>
      <c r="J195">
        <f t="shared" si="47"/>
        <v>1.76</v>
      </c>
      <c r="K195">
        <f t="shared" si="48"/>
        <v>1.4</v>
      </c>
      <c r="L195">
        <f t="shared" si="49"/>
        <v>2.2000000000000002</v>
      </c>
      <c r="M195">
        <f t="shared" si="50"/>
        <v>2.21</v>
      </c>
      <c r="N195">
        <f t="shared" si="51"/>
        <v>2.5</v>
      </c>
      <c r="P195">
        <f t="shared" si="27"/>
        <v>2.5</v>
      </c>
      <c r="Q195">
        <f>IFERROR(J144+MATCH(P195,J195:N195,0)-1,"")</f>
        <v>2016</v>
      </c>
      <c r="R195">
        <f t="shared" si="28"/>
        <v>1.4</v>
      </c>
      <c r="S195">
        <f>IFERROR(J144+MATCH(R195,J195:N195,0)-1,"")</f>
        <v>2013</v>
      </c>
      <c r="T195">
        <f t="shared" si="29"/>
        <v>2.0140000000000002</v>
      </c>
      <c r="U195">
        <f t="shared" si="30"/>
        <v>0.43322049812999314</v>
      </c>
      <c r="V195">
        <f t="shared" si="31"/>
        <v>-0.58630651388010824</v>
      </c>
      <c r="W195">
        <f t="shared" si="32"/>
        <v>-1.4172921241038832</v>
      </c>
      <c r="X195">
        <f t="shared" si="33"/>
        <v>0.42934256528228348</v>
      </c>
      <c r="Y195">
        <f t="shared" si="34"/>
        <v>0.45242549889961003</v>
      </c>
      <c r="Z195">
        <f t="shared" si="35"/>
        <v>1.1218305738020953</v>
      </c>
      <c r="AA195">
        <f t="shared" si="36"/>
        <v>-1.4172921241038832</v>
      </c>
      <c r="AB195">
        <f>IFERROR(V144+MATCH(AA195,V195:Z195,0)-1,"")</f>
        <v>2013</v>
      </c>
      <c r="AC195" t="str">
        <f t="shared" si="37"/>
        <v>Low</v>
      </c>
      <c r="AE195">
        <f>IF(ISNUMBER(MATCH("N/A",J195:N195,0)),"",IFERROR((5 * SUMPRODUCT(J144:N144,J195:N195) - PRODUCT(SUM(J144:N144),SUM(J195:N195))) / ((5 * SUM((J144^2)+(K144^2)+(L144^2)+(M144^2)+(N144^2))) - SUM(J144:N144)^2),""))</f>
        <v>0.22899999999935972</v>
      </c>
      <c r="AF195">
        <f>IFERROR(CORREL(J144:N144,J195:N195),"")</f>
        <v>0.83578868879060297</v>
      </c>
      <c r="AZ195">
        <f t="shared" si="38"/>
        <v>1</v>
      </c>
      <c r="BA195" t="str">
        <f>IF(AZ195=1,IF(Q195="","",IF(Q195=N144,"Yes","No")),"")</f>
        <v>Yes</v>
      </c>
      <c r="BB195">
        <f t="shared" si="39"/>
        <v>2.5</v>
      </c>
      <c r="BC195" t="str">
        <f>IF(AZ195=1,IF(S195="","",IF(S195=N144,"Yes","No")),"")</f>
        <v>No</v>
      </c>
      <c r="BD195" t="str">
        <f t="shared" si="40"/>
        <v/>
      </c>
      <c r="BE195" t="str">
        <f t="shared" si="41"/>
        <v>Increasing</v>
      </c>
      <c r="BF195" t="str">
        <f t="shared" si="42"/>
        <v>Yes</v>
      </c>
      <c r="BG195" t="str">
        <f t="shared" si="43"/>
        <v>No</v>
      </c>
      <c r="BH195" t="str">
        <f t="shared" si="44"/>
        <v>Yes</v>
      </c>
    </row>
    <row r="196" spans="1:60" x14ac:dyDescent="0.3">
      <c r="A196" s="1">
        <v>38</v>
      </c>
      <c r="B196" t="s">
        <v>429</v>
      </c>
      <c r="C196" t="s">
        <v>264</v>
      </c>
      <c r="D196" t="s">
        <v>1946</v>
      </c>
      <c r="E196" t="s">
        <v>1947</v>
      </c>
      <c r="F196" t="s">
        <v>1948</v>
      </c>
      <c r="G196" t="s">
        <v>1949</v>
      </c>
      <c r="I196" t="str">
        <f t="shared" si="46"/>
        <v>N/A</v>
      </c>
      <c r="J196" t="str">
        <f t="shared" si="47"/>
        <v>N/A</v>
      </c>
      <c r="K196">
        <f t="shared" si="48"/>
        <v>-0.20579999999999998</v>
      </c>
      <c r="L196">
        <f t="shared" si="49"/>
        <v>0.57310000000000005</v>
      </c>
      <c r="M196">
        <f t="shared" si="50"/>
        <v>6.1000000000000004E-3</v>
      </c>
      <c r="N196">
        <f t="shared" si="51"/>
        <v>0.13119999999999998</v>
      </c>
      <c r="P196">
        <f t="shared" si="27"/>
        <v>0.57310000000000005</v>
      </c>
      <c r="Q196">
        <f>IFERROR(J144+MATCH(P196,J196:N196,0)-1,"")</f>
        <v>2014</v>
      </c>
      <c r="R196">
        <f t="shared" si="28"/>
        <v>-0.20579999999999998</v>
      </c>
      <c r="S196">
        <f>IFERROR(J144+MATCH(R196,J196:N196,0)-1,"")</f>
        <v>2013</v>
      </c>
      <c r="T196">
        <f t="shared" si="29"/>
        <v>0.12615000000000001</v>
      </c>
      <c r="U196">
        <f t="shared" si="30"/>
        <v>0.32883258658472397</v>
      </c>
      <c r="V196" t="str">
        <f t="shared" si="31"/>
        <v/>
      </c>
      <c r="W196">
        <f t="shared" si="32"/>
        <v>-1.0094802447885523</v>
      </c>
      <c r="X196">
        <f t="shared" si="33"/>
        <v>1.3592022756687561</v>
      </c>
      <c r="Y196">
        <f t="shared" si="34"/>
        <v>-0.36507938962755154</v>
      </c>
      <c r="Z196">
        <f t="shared" si="35"/>
        <v>1.5357358747347975E-2</v>
      </c>
      <c r="AA196">
        <f t="shared" si="36"/>
        <v>1.3592022756687561</v>
      </c>
      <c r="AB196">
        <f>IFERROR(V144+MATCH(AA196,V196:Z196,0)-1,"")</f>
        <v>2014</v>
      </c>
      <c r="AC196" t="str">
        <f t="shared" si="37"/>
        <v>High</v>
      </c>
      <c r="AE196" t="str">
        <f>IF(ISNUMBER(MATCH("N/A",J196:N196,0)),"",IFERROR((5 * SUMPRODUCT(J144:N144,J196:N196) - PRODUCT(SUM(J144:N144),SUM(J196:N196))) / ((5 * SUM((J144^2)+(K144^2)+(L144^2)+(M144^2)+(N144^2))) - SUM(J144:N144)^2),""))</f>
        <v/>
      </c>
      <c r="AF196">
        <f>IFERROR(CORREL(J144:N144,J196:N196),"")</f>
        <v>0.17431409131071973</v>
      </c>
      <c r="AZ196">
        <f t="shared" si="38"/>
        <v>1</v>
      </c>
      <c r="BA196" t="str">
        <f>IF(AZ196=1,IF(Q196="","",IF(Q196=N144,"Yes","No")),"")</f>
        <v>No</v>
      </c>
      <c r="BB196" t="str">
        <f t="shared" si="39"/>
        <v/>
      </c>
      <c r="BC196" t="str">
        <f>IF(AZ196=1,IF(S196="","",IF(S196=N144,"Yes","No")),"")</f>
        <v>No</v>
      </c>
      <c r="BD196" t="str">
        <f t="shared" si="40"/>
        <v/>
      </c>
      <c r="BE196" t="str">
        <f t="shared" si="41"/>
        <v/>
      </c>
      <c r="BF196" t="str">
        <f t="shared" si="42"/>
        <v>No</v>
      </c>
      <c r="BG196" t="str">
        <f t="shared" si="43"/>
        <v>No</v>
      </c>
      <c r="BH196" t="str">
        <f t="shared" si="44"/>
        <v>No</v>
      </c>
    </row>
    <row r="197" spans="1:60" x14ac:dyDescent="0.3">
      <c r="A197" s="1">
        <v>39</v>
      </c>
      <c r="B197" t="s">
        <v>434</v>
      </c>
      <c r="C197" t="s">
        <v>1950</v>
      </c>
      <c r="D197" t="s">
        <v>1951</v>
      </c>
      <c r="E197" t="s">
        <v>1952</v>
      </c>
      <c r="F197" t="s">
        <v>1953</v>
      </c>
      <c r="G197" t="s">
        <v>1954</v>
      </c>
      <c r="I197" t="str">
        <f t="shared" si="46"/>
        <v>N/A</v>
      </c>
      <c r="J197">
        <f t="shared" si="47"/>
        <v>54630000</v>
      </c>
      <c r="K197">
        <f t="shared" si="48"/>
        <v>53860000</v>
      </c>
      <c r="L197">
        <f t="shared" si="49"/>
        <v>54790000</v>
      </c>
      <c r="M197">
        <f t="shared" si="50"/>
        <v>55030000</v>
      </c>
      <c r="N197">
        <f t="shared" si="51"/>
        <v>54190000</v>
      </c>
      <c r="P197">
        <f t="shared" si="27"/>
        <v>55030000</v>
      </c>
      <c r="Q197">
        <f>IFERROR(J144+MATCH(P197,J197:N197,0)-1,"")</f>
        <v>2015</v>
      </c>
      <c r="R197">
        <f t="shared" si="28"/>
        <v>53860000</v>
      </c>
      <c r="S197">
        <f>IFERROR(J144+MATCH(R197,J197:N197,0)-1,"")</f>
        <v>2013</v>
      </c>
      <c r="T197">
        <f t="shared" si="29"/>
        <v>54500000</v>
      </c>
      <c r="U197">
        <f t="shared" si="30"/>
        <v>471062.62853255513</v>
      </c>
      <c r="V197">
        <f t="shared" si="31"/>
        <v>0.2759717967969002</v>
      </c>
      <c r="W197">
        <f t="shared" si="32"/>
        <v>-1.3586303842308933</v>
      </c>
      <c r="X197">
        <f t="shared" si="33"/>
        <v>0.61562939285462359</v>
      </c>
      <c r="Y197">
        <f t="shared" si="34"/>
        <v>1.1251157869412087</v>
      </c>
      <c r="Z197">
        <f t="shared" si="35"/>
        <v>-0.65808659236183897</v>
      </c>
      <c r="AA197">
        <f t="shared" si="36"/>
        <v>-1.3586303842308933</v>
      </c>
      <c r="AB197">
        <f>IFERROR(V144+MATCH(AA197,V197:Z197,0)-1,"")</f>
        <v>2013</v>
      </c>
      <c r="AC197" t="str">
        <f t="shared" si="37"/>
        <v>Low</v>
      </c>
      <c r="AE197">
        <f>IF(ISNUMBER(MATCH("N/A",J197:N197,0)),"",IFERROR((5 * SUMPRODUCT(J144:N144,J197:N197) - PRODUCT(SUM(J144:N144),SUM(J197:N197))) / ((5 * SUM((J144^2)+(K144^2)+(L144^2)+(M144^2)+(N144^2))) - SUM(J144:N144)^2),""))</f>
        <v>29000</v>
      </c>
      <c r="AF197">
        <f>IFERROR(CORREL(J144:N144,J197:N197),"")</f>
        <v>9.7339553798359957E-2</v>
      </c>
      <c r="AZ197">
        <f t="shared" si="38"/>
        <v>1</v>
      </c>
      <c r="BA197" t="str">
        <f>IF(AZ197=1,IF(Q197="","",IF(Q197=N144,"Yes","No")),"")</f>
        <v>No</v>
      </c>
      <c r="BB197" t="str">
        <f t="shared" si="39"/>
        <v/>
      </c>
      <c r="BC197" t="str">
        <f>IF(AZ197=1,IF(S197="","",IF(S197=N144,"Yes","No")),"")</f>
        <v>No</v>
      </c>
      <c r="BD197" t="str">
        <f t="shared" si="40"/>
        <v/>
      </c>
      <c r="BE197" t="str">
        <f t="shared" si="41"/>
        <v>Increasing</v>
      </c>
      <c r="BF197" t="str">
        <f t="shared" si="42"/>
        <v>No</v>
      </c>
      <c r="BG197" t="str">
        <f t="shared" si="43"/>
        <v>No</v>
      </c>
      <c r="BH197" t="str">
        <f t="shared" si="44"/>
        <v>No</v>
      </c>
    </row>
    <row r="198" spans="1:60" x14ac:dyDescent="0.3">
      <c r="A198" s="1">
        <v>40</v>
      </c>
      <c r="B198" t="s">
        <v>440</v>
      </c>
      <c r="C198" t="s">
        <v>1955</v>
      </c>
      <c r="D198" t="s">
        <v>1956</v>
      </c>
      <c r="E198" t="s">
        <v>1957</v>
      </c>
      <c r="F198" t="s">
        <v>1958</v>
      </c>
      <c r="G198" t="s">
        <v>1959</v>
      </c>
      <c r="I198" t="str">
        <f t="shared" si="46"/>
        <v>N/A</v>
      </c>
      <c r="J198">
        <f t="shared" si="47"/>
        <v>1.74</v>
      </c>
      <c r="K198">
        <f t="shared" si="48"/>
        <v>1.37</v>
      </c>
      <c r="L198">
        <f t="shared" si="49"/>
        <v>2.16</v>
      </c>
      <c r="M198">
        <f t="shared" si="50"/>
        <v>2.19</v>
      </c>
      <c r="N198">
        <f t="shared" si="51"/>
        <v>2.48</v>
      </c>
      <c r="P198">
        <f t="shared" si="27"/>
        <v>2.48</v>
      </c>
      <c r="Q198">
        <f>IFERROR(J144+MATCH(P198,J198:N198,0)-1,"")</f>
        <v>2016</v>
      </c>
      <c r="R198">
        <f t="shared" si="28"/>
        <v>1.37</v>
      </c>
      <c r="S198">
        <f>IFERROR(J144+MATCH(R198,J198:N198,0)-1,"")</f>
        <v>2013</v>
      </c>
      <c r="T198">
        <f t="shared" si="29"/>
        <v>1.9880000000000002</v>
      </c>
      <c r="U198">
        <f t="shared" si="30"/>
        <v>0.43470679773842796</v>
      </c>
      <c r="V198">
        <f t="shared" si="31"/>
        <v>-0.57049947525602518</v>
      </c>
      <c r="W198">
        <f t="shared" si="32"/>
        <v>-1.4216478859202553</v>
      </c>
      <c r="X198">
        <f t="shared" si="33"/>
        <v>0.39566899090337176</v>
      </c>
      <c r="Y198">
        <f t="shared" si="34"/>
        <v>0.46468102420047108</v>
      </c>
      <c r="Z198">
        <f t="shared" si="35"/>
        <v>1.1317973460724355</v>
      </c>
      <c r="AA198">
        <f t="shared" si="36"/>
        <v>-1.4216478859202553</v>
      </c>
      <c r="AB198">
        <f>IFERROR(V144+MATCH(AA198,V198:Z198,0)-1,"")</f>
        <v>2013</v>
      </c>
      <c r="AC198" t="str">
        <f t="shared" si="37"/>
        <v>Low</v>
      </c>
      <c r="AE198">
        <f>IF(ISNUMBER(MATCH("N/A",J198:N198,0)),"",IFERROR((5 * SUMPRODUCT(J144:N144,J198:N198) - PRODUCT(SUM(J144:N144),SUM(J198:N198))) / ((5 * SUM((J144^2)+(K144^2)+(L144^2)+(M144^2)+(N144^2))) - SUM(J144:N144)^2),""))</f>
        <v>0.22999999999941792</v>
      </c>
      <c r="AF198">
        <f>IFERROR(CORREL(J144:N144,J198:N198),"")</f>
        <v>0.8365683095164872</v>
      </c>
      <c r="AZ198">
        <f t="shared" si="38"/>
        <v>1</v>
      </c>
      <c r="BA198" t="str">
        <f>IF(AZ198=1,IF(Q198="","",IF(Q198=N144,"Yes","No")),"")</f>
        <v>Yes</v>
      </c>
      <c r="BB198">
        <f t="shared" si="39"/>
        <v>2.48</v>
      </c>
      <c r="BC198" t="str">
        <f>IF(AZ198=1,IF(S198="","",IF(S198=N144,"Yes","No")),"")</f>
        <v>No</v>
      </c>
      <c r="BD198" t="str">
        <f t="shared" si="40"/>
        <v/>
      </c>
      <c r="BE198" t="str">
        <f t="shared" si="41"/>
        <v>Increasing</v>
      </c>
      <c r="BF198" t="str">
        <f t="shared" si="42"/>
        <v>Yes</v>
      </c>
      <c r="BG198" t="str">
        <f t="shared" si="43"/>
        <v>No</v>
      </c>
      <c r="BH198" t="str">
        <f t="shared" si="44"/>
        <v>Yes</v>
      </c>
    </row>
    <row r="199" spans="1:60" x14ac:dyDescent="0.3">
      <c r="A199" s="1">
        <v>41</v>
      </c>
      <c r="B199" t="s">
        <v>444</v>
      </c>
      <c r="C199" t="s">
        <v>264</v>
      </c>
      <c r="D199" t="s">
        <v>1960</v>
      </c>
      <c r="E199" t="s">
        <v>1961</v>
      </c>
      <c r="F199" t="s">
        <v>1962</v>
      </c>
      <c r="G199" t="s">
        <v>1963</v>
      </c>
      <c r="I199" t="str">
        <f t="shared" si="46"/>
        <v>N/A</v>
      </c>
      <c r="J199" t="str">
        <f t="shared" si="47"/>
        <v>N/A</v>
      </c>
      <c r="K199">
        <f t="shared" si="48"/>
        <v>-0.21340000000000001</v>
      </c>
      <c r="L199">
        <f t="shared" si="49"/>
        <v>0.57880000000000009</v>
      </c>
      <c r="M199">
        <f t="shared" si="50"/>
        <v>1.3899999999999999E-2</v>
      </c>
      <c r="N199">
        <f t="shared" si="51"/>
        <v>0.13240000000000002</v>
      </c>
      <c r="P199">
        <f t="shared" si="27"/>
        <v>0.57880000000000009</v>
      </c>
      <c r="Q199">
        <f>IFERROR(J144+MATCH(P199,J199:N199,0)-1,"")</f>
        <v>2014</v>
      </c>
      <c r="R199">
        <f t="shared" si="28"/>
        <v>-0.21340000000000001</v>
      </c>
      <c r="S199">
        <f>IFERROR(J144+MATCH(R199,J199:N199,0)-1,"")</f>
        <v>2013</v>
      </c>
      <c r="T199">
        <f t="shared" si="29"/>
        <v>0.12792500000000001</v>
      </c>
      <c r="U199">
        <f t="shared" si="30"/>
        <v>0.33307293870862581</v>
      </c>
      <c r="V199" t="str">
        <f t="shared" si="31"/>
        <v/>
      </c>
      <c r="W199">
        <f t="shared" si="32"/>
        <v>-1.0247755381249786</v>
      </c>
      <c r="X199">
        <f t="shared" si="33"/>
        <v>1.3536824749200902</v>
      </c>
      <c r="Y199">
        <f t="shared" si="34"/>
        <v>-0.34234243238760914</v>
      </c>
      <c r="Z199">
        <f t="shared" si="35"/>
        <v>1.3435495592497725E-2</v>
      </c>
      <c r="AA199">
        <f t="shared" si="36"/>
        <v>1.3536824749200902</v>
      </c>
      <c r="AB199">
        <f>IFERROR(V144+MATCH(AA199,V199:Z199,0)-1,"")</f>
        <v>2014</v>
      </c>
      <c r="AC199" t="str">
        <f t="shared" si="37"/>
        <v>High</v>
      </c>
      <c r="AE199" t="str">
        <f>IF(ISNUMBER(MATCH("N/A",J199:N199,0)),"",IFERROR((5 * SUMPRODUCT(J144:N144,J199:N199) - PRODUCT(SUM(J144:N144),SUM(J199:N199))) / ((5 * SUM((J144^2)+(K144^2)+(L144^2)+(M144^2)+(N144^2))) - SUM(J144:N144)^2),""))</f>
        <v/>
      </c>
      <c r="AF199">
        <f>IFERROR(CORREL(J144:N144,J199:N199),"")</f>
        <v>0.18314153031846733</v>
      </c>
      <c r="AZ199">
        <f t="shared" si="38"/>
        <v>1</v>
      </c>
      <c r="BA199" t="str">
        <f>IF(AZ199=1,IF(Q199="","",IF(Q199=N144,"Yes","No")),"")</f>
        <v>No</v>
      </c>
      <c r="BB199" t="str">
        <f t="shared" si="39"/>
        <v/>
      </c>
      <c r="BC199" t="str">
        <f>IF(AZ199=1,IF(S199="","",IF(S199=N144,"Yes","No")),"")</f>
        <v>No</v>
      </c>
      <c r="BD199" t="str">
        <f t="shared" si="40"/>
        <v/>
      </c>
      <c r="BE199" t="str">
        <f t="shared" si="41"/>
        <v/>
      </c>
      <c r="BF199" t="str">
        <f t="shared" si="42"/>
        <v>No</v>
      </c>
      <c r="BG199" t="str">
        <f t="shared" si="43"/>
        <v>No</v>
      </c>
      <c r="BH199" t="str">
        <f t="shared" si="44"/>
        <v>No</v>
      </c>
    </row>
    <row r="200" spans="1:60" x14ac:dyDescent="0.3">
      <c r="A200" s="1">
        <v>42</v>
      </c>
      <c r="B200" t="s">
        <v>449</v>
      </c>
      <c r="C200" t="s">
        <v>1964</v>
      </c>
      <c r="D200" t="s">
        <v>1965</v>
      </c>
      <c r="E200" t="s">
        <v>1966</v>
      </c>
      <c r="F200" t="s">
        <v>1967</v>
      </c>
      <c r="G200" t="s">
        <v>1950</v>
      </c>
      <c r="I200" t="str">
        <f t="shared" si="46"/>
        <v>N/A</v>
      </c>
      <c r="J200">
        <f t="shared" si="47"/>
        <v>55220000</v>
      </c>
      <c r="K200">
        <f t="shared" si="48"/>
        <v>54970000</v>
      </c>
      <c r="L200">
        <f t="shared" si="49"/>
        <v>55720000</v>
      </c>
      <c r="M200">
        <f t="shared" si="50"/>
        <v>55510000</v>
      </c>
      <c r="N200">
        <f t="shared" si="51"/>
        <v>54630000</v>
      </c>
      <c r="P200">
        <f t="shared" si="27"/>
        <v>55720000</v>
      </c>
      <c r="Q200">
        <f>IFERROR(J144+MATCH(P200,J200:N200,0)-1,"")</f>
        <v>2014</v>
      </c>
      <c r="R200">
        <f t="shared" si="28"/>
        <v>54630000</v>
      </c>
      <c r="S200">
        <f>IFERROR(J144+MATCH(R200,J200:N200,0)-1,"")</f>
        <v>2016</v>
      </c>
      <c r="T200">
        <f t="shared" si="29"/>
        <v>55210000</v>
      </c>
      <c r="U200">
        <f t="shared" si="30"/>
        <v>431335.13652379398</v>
      </c>
      <c r="V200">
        <f t="shared" si="31"/>
        <v>2.3183828891362213E-2</v>
      </c>
      <c r="W200">
        <f t="shared" si="32"/>
        <v>-0.55641189339269315</v>
      </c>
      <c r="X200">
        <f t="shared" si="33"/>
        <v>1.182375273459473</v>
      </c>
      <c r="Y200">
        <f t="shared" si="34"/>
        <v>0.69551486674086649</v>
      </c>
      <c r="Z200">
        <f t="shared" si="35"/>
        <v>-1.3446620756990084</v>
      </c>
      <c r="AA200">
        <f t="shared" si="36"/>
        <v>-1.3446620756990084</v>
      </c>
      <c r="AB200">
        <f>IFERROR(V144+MATCH(AA200,V200:Z200,0)-1,"")</f>
        <v>2016</v>
      </c>
      <c r="AC200" t="str">
        <f t="shared" si="37"/>
        <v>Low</v>
      </c>
      <c r="AE200">
        <f>IF(ISNUMBER(MATCH("N/A",J200:N200,0)),"",IFERROR((5 * SUMPRODUCT(J144:N144,J200:N200) - PRODUCT(SUM(J144:N144),SUM(J200:N200))) / ((5 * SUM((J144^2)+(K144^2)+(L144^2)+(M144^2)+(N144^2))) - SUM(J144:N144)^2),""))</f>
        <v>-64000</v>
      </c>
      <c r="AF200">
        <f>IFERROR(CORREL(J144:N144,J200:N200),"")</f>
        <v>-0.23460385337702711</v>
      </c>
      <c r="AZ200">
        <f t="shared" si="38"/>
        <v>1</v>
      </c>
      <c r="BA200" t="str">
        <f>IF(AZ200=1,IF(Q200="","",IF(Q200=N144,"Yes","No")),"")</f>
        <v>No</v>
      </c>
      <c r="BB200" t="str">
        <f t="shared" si="39"/>
        <v/>
      </c>
      <c r="BC200" t="str">
        <f>IF(AZ200=1,IF(S200="","",IF(S200=N144,"Yes","No")),"")</f>
        <v>Yes</v>
      </c>
      <c r="BD200">
        <f t="shared" si="40"/>
        <v>54630000</v>
      </c>
      <c r="BE200" t="str">
        <f t="shared" si="41"/>
        <v>Decreasing</v>
      </c>
      <c r="BF200" t="str">
        <f t="shared" si="42"/>
        <v>Yes</v>
      </c>
      <c r="BG200" t="str">
        <f t="shared" si="43"/>
        <v>No</v>
      </c>
      <c r="BH200" t="str">
        <f t="shared" si="44"/>
        <v>No</v>
      </c>
    </row>
    <row r="201" spans="1:60" x14ac:dyDescent="0.3">
      <c r="A201" s="1">
        <v>43</v>
      </c>
      <c r="B201" t="s">
        <v>156</v>
      </c>
      <c r="C201" t="s">
        <v>1968</v>
      </c>
      <c r="D201" t="s">
        <v>1969</v>
      </c>
      <c r="E201" t="s">
        <v>1970</v>
      </c>
      <c r="F201" t="s">
        <v>1971</v>
      </c>
      <c r="G201" t="s">
        <v>1972</v>
      </c>
      <c r="I201" t="str">
        <f t="shared" si="46"/>
        <v>N/A</v>
      </c>
      <c r="J201">
        <f t="shared" si="47"/>
        <v>196290000</v>
      </c>
      <c r="K201">
        <f t="shared" si="48"/>
        <v>191160000</v>
      </c>
      <c r="L201">
        <f t="shared" si="49"/>
        <v>276280000</v>
      </c>
      <c r="M201">
        <f t="shared" si="50"/>
        <v>258990000</v>
      </c>
      <c r="N201">
        <f t="shared" si="51"/>
        <v>277590000</v>
      </c>
      <c r="P201">
        <f t="shared" si="27"/>
        <v>277590000</v>
      </c>
      <c r="Q201">
        <f>IFERROR(J144+MATCH(P201,J201:N201,0)-1,"")</f>
        <v>2016</v>
      </c>
      <c r="R201">
        <f t="shared" si="28"/>
        <v>191160000</v>
      </c>
      <c r="S201">
        <f>IFERROR(J144+MATCH(R201,J201:N201,0)-1,"")</f>
        <v>2013</v>
      </c>
      <c r="T201">
        <f t="shared" si="29"/>
        <v>240062000</v>
      </c>
      <c r="U201">
        <f t="shared" si="30"/>
        <v>42970213.753250055</v>
      </c>
      <c r="V201">
        <f t="shared" si="31"/>
        <v>-1.018659117018921</v>
      </c>
      <c r="W201">
        <f t="shared" si="32"/>
        <v>-1.1380441410138737</v>
      </c>
      <c r="X201">
        <f t="shared" si="33"/>
        <v>0.84286292379126571</v>
      </c>
      <c r="Y201">
        <f t="shared" si="34"/>
        <v>0.44049117625272177</v>
      </c>
      <c r="Z201">
        <f t="shared" si="35"/>
        <v>0.87334915798880719</v>
      </c>
      <c r="AA201">
        <f t="shared" si="36"/>
        <v>-1.1380441410138737</v>
      </c>
      <c r="AB201">
        <f>IFERROR(V144+MATCH(AA201,V201:Z201,0)-1,"")</f>
        <v>2013</v>
      </c>
      <c r="AC201" t="str">
        <f t="shared" si="37"/>
        <v>Low</v>
      </c>
      <c r="AE201">
        <f>IF(ISNUMBER(MATCH("N/A",J201:N201,0)),"",IFERROR((5 * SUMPRODUCT(J144:N144,J201:N201) - PRODUCT(SUM(J144:N144),SUM(J201:N201))) / ((5 * SUM((J144^2)+(K144^2)+(L144^2)+(M144^2)+(N144^2))) - SUM(J144:N144)^2),""))</f>
        <v>23043000</v>
      </c>
      <c r="AF201">
        <f>IFERROR(CORREL(J144:N144,J201:N201),"")</f>
        <v>0.84789389857001307</v>
      </c>
      <c r="AZ201">
        <f t="shared" si="38"/>
        <v>1</v>
      </c>
      <c r="BA201" t="str">
        <f>IF(AZ201=1,IF(Q201="","",IF(Q201=N144,"Yes","No")),"")</f>
        <v>Yes</v>
      </c>
      <c r="BB201">
        <f t="shared" si="39"/>
        <v>277590000</v>
      </c>
      <c r="BC201" t="str">
        <f>IF(AZ201=1,IF(S201="","",IF(S201=N144,"Yes","No")),"")</f>
        <v>No</v>
      </c>
      <c r="BD201" t="str">
        <f t="shared" si="40"/>
        <v/>
      </c>
      <c r="BE201" t="str">
        <f t="shared" si="41"/>
        <v>Increasing</v>
      </c>
      <c r="BF201" t="str">
        <f t="shared" si="42"/>
        <v>Yes</v>
      </c>
      <c r="BG201" t="str">
        <f t="shared" si="43"/>
        <v>No</v>
      </c>
      <c r="BH201" t="str">
        <f t="shared" si="44"/>
        <v>Yes</v>
      </c>
    </row>
    <row r="202" spans="1:60" x14ac:dyDescent="0.3">
      <c r="A202" s="1">
        <v>44</v>
      </c>
      <c r="B202" t="s">
        <v>460</v>
      </c>
      <c r="C202" t="s">
        <v>264</v>
      </c>
      <c r="D202" t="s">
        <v>1973</v>
      </c>
      <c r="E202" t="s">
        <v>1974</v>
      </c>
      <c r="F202" t="s">
        <v>1975</v>
      </c>
      <c r="G202" t="s">
        <v>1976</v>
      </c>
      <c r="I202" t="str">
        <f t="shared" si="46"/>
        <v>N/A</v>
      </c>
      <c r="J202" t="str">
        <f t="shared" si="47"/>
        <v>N/A</v>
      </c>
      <c r="K202">
        <f t="shared" si="48"/>
        <v>-2.6099999999999998E-2</v>
      </c>
      <c r="L202">
        <f t="shared" si="49"/>
        <v>0.44530000000000003</v>
      </c>
      <c r="M202">
        <f t="shared" si="50"/>
        <v>-6.2600000000000003E-2</v>
      </c>
      <c r="N202">
        <f t="shared" si="51"/>
        <v>7.1800000000000003E-2</v>
      </c>
      <c r="P202">
        <f t="shared" si="27"/>
        <v>0.44530000000000003</v>
      </c>
      <c r="Q202">
        <f>IFERROR(J144+MATCH(P202,J202:N202,0)-1,"")</f>
        <v>2014</v>
      </c>
      <c r="R202">
        <f t="shared" si="28"/>
        <v>-6.2600000000000003E-2</v>
      </c>
      <c r="S202">
        <f>IFERROR(J144+MATCH(R202,J202:N202,0)-1,"")</f>
        <v>2015</v>
      </c>
      <c r="T202">
        <f t="shared" si="29"/>
        <v>0.1071</v>
      </c>
      <c r="U202">
        <f t="shared" si="30"/>
        <v>0.23249778493568493</v>
      </c>
      <c r="V202" t="str">
        <f t="shared" si="31"/>
        <v/>
      </c>
      <c r="W202">
        <f t="shared" si="32"/>
        <v>-0.57290868399820083</v>
      </c>
      <c r="X202">
        <f t="shared" si="33"/>
        <v>1.4546375144759127</v>
      </c>
      <c r="Y202">
        <f t="shared" si="34"/>
        <v>-0.72989942698569599</v>
      </c>
      <c r="Z202">
        <f t="shared" si="35"/>
        <v>-0.15182940349201571</v>
      </c>
      <c r="AA202">
        <f t="shared" si="36"/>
        <v>1.4546375144759127</v>
      </c>
      <c r="AB202">
        <f>IFERROR(V144+MATCH(AA202,V202:Z202,0)-1,"")</f>
        <v>2014</v>
      </c>
      <c r="AC202" t="str">
        <f t="shared" si="37"/>
        <v>High</v>
      </c>
      <c r="AE202" t="str">
        <f>IF(ISNUMBER(MATCH("N/A",J202:N202,0)),"",IFERROR((5 * SUMPRODUCT(J144:N144,J202:N202) - PRODUCT(SUM(J144:N144),SUM(J202:N202))) / ((5 * SUM((J144^2)+(K144^2)+(L144^2)+(M144^2)+(N144^2))) - SUM(J144:N144)^2),""))</f>
        <v/>
      </c>
      <c r="AF202">
        <f>IFERROR(CORREL(J144:N144,J202:N202),"")</f>
        <v>-0.11893920236517758</v>
      </c>
      <c r="AZ202">
        <f t="shared" si="38"/>
        <v>1</v>
      </c>
      <c r="BA202" t="str">
        <f>IF(AZ202=1,IF(Q202="","",IF(Q202=N144,"Yes","No")),"")</f>
        <v>No</v>
      </c>
      <c r="BB202" t="str">
        <f t="shared" si="39"/>
        <v/>
      </c>
      <c r="BC202" t="str">
        <f>IF(AZ202=1,IF(S202="","",IF(S202=N144,"Yes","No")),"")</f>
        <v>No</v>
      </c>
      <c r="BD202" t="str">
        <f t="shared" si="40"/>
        <v/>
      </c>
      <c r="BE202" t="str">
        <f t="shared" si="41"/>
        <v/>
      </c>
      <c r="BF202" t="str">
        <f t="shared" si="42"/>
        <v>No</v>
      </c>
      <c r="BG202" t="str">
        <f t="shared" si="43"/>
        <v>No</v>
      </c>
      <c r="BH202" t="str">
        <f t="shared" si="44"/>
        <v>No</v>
      </c>
    </row>
    <row r="203" spans="1:60" x14ac:dyDescent="0.3">
      <c r="A203" s="1">
        <v>45</v>
      </c>
      <c r="B203" t="s">
        <v>464</v>
      </c>
      <c r="C203" t="s">
        <v>264</v>
      </c>
      <c r="D203" t="s">
        <v>264</v>
      </c>
      <c r="E203" t="s">
        <v>264</v>
      </c>
      <c r="F203" t="s">
        <v>264</v>
      </c>
      <c r="G203" t="s">
        <v>1977</v>
      </c>
      <c r="I203" t="str">
        <f t="shared" si="46"/>
        <v>N/A</v>
      </c>
      <c r="J203" t="str">
        <f t="shared" si="47"/>
        <v>N/A</v>
      </c>
      <c r="K203" t="str">
        <f t="shared" si="48"/>
        <v>N/A</v>
      </c>
      <c r="L203" t="str">
        <f t="shared" si="49"/>
        <v>N/A</v>
      </c>
      <c r="M203" t="str">
        <f t="shared" si="50"/>
        <v>N/A</v>
      </c>
      <c r="N203">
        <f t="shared" si="51"/>
        <v>0.22550000000000001</v>
      </c>
      <c r="P203">
        <f t="shared" si="27"/>
        <v>0.22550000000000001</v>
      </c>
      <c r="Q203">
        <f>IFERROR(J144+MATCH(P203,J203:N203,0)-1,"")</f>
        <v>2016</v>
      </c>
      <c r="R203">
        <f t="shared" si="28"/>
        <v>0.22550000000000001</v>
      </c>
      <c r="S203">
        <f>IFERROR(J144+MATCH(R203,J203:N203,0)-1,"")</f>
        <v>2016</v>
      </c>
      <c r="T203">
        <f t="shared" si="29"/>
        <v>0.22550000000000001</v>
      </c>
      <c r="U203" t="str">
        <f t="shared" si="30"/>
        <v/>
      </c>
      <c r="V203" t="str">
        <f t="shared" si="31"/>
        <v/>
      </c>
      <c r="W203" t="str">
        <f t="shared" si="32"/>
        <v/>
      </c>
      <c r="X203" t="str">
        <f t="shared" si="33"/>
        <v/>
      </c>
      <c r="Y203" t="str">
        <f t="shared" si="34"/>
        <v/>
      </c>
      <c r="Z203" t="str">
        <f t="shared" si="35"/>
        <v/>
      </c>
      <c r="AA203">
        <f t="shared" si="36"/>
        <v>0</v>
      </c>
      <c r="AB203" t="str">
        <f>IFERROR(V144+MATCH(AA203,V203:Z203,0)-1,"")</f>
        <v/>
      </c>
      <c r="AC203" t="str">
        <f t="shared" si="37"/>
        <v/>
      </c>
      <c r="AE203" t="str">
        <f>IF(ISNUMBER(MATCH("N/A",J203:N203,0)),"",IFERROR((5 * SUMPRODUCT(J144:N144,J203:N203) - PRODUCT(SUM(J144:N144),SUM(J203:N203))) / ((5 * SUM((J144^2)+(K144^2)+(L144^2)+(M144^2)+(N144^2))) - SUM(J144:N144)^2),""))</f>
        <v/>
      </c>
      <c r="AF203" t="str">
        <f>IFERROR(CORREL(J144:N144,J203:N203),"")</f>
        <v/>
      </c>
      <c r="AZ203">
        <f t="shared" si="38"/>
        <v>0</v>
      </c>
      <c r="BA203" t="str">
        <f>IF(AZ203=1,IF(Q203="","",IF(Q203=N144,"Yes","No")),"")</f>
        <v/>
      </c>
      <c r="BB203" t="str">
        <f t="shared" si="39"/>
        <v/>
      </c>
      <c r="BC203" t="str">
        <f>IF(AZ203=1,IF(S203="","",IF(S203=N144,"Yes","No")),"")</f>
        <v/>
      </c>
      <c r="BD203" t="str">
        <f t="shared" si="40"/>
        <v/>
      </c>
      <c r="BE203" t="str">
        <f t="shared" si="41"/>
        <v/>
      </c>
      <c r="BF203" t="str">
        <f t="shared" si="42"/>
        <v>No</v>
      </c>
      <c r="BG203" t="str">
        <f t="shared" si="43"/>
        <v>No</v>
      </c>
      <c r="BH203" t="str">
        <f t="shared" si="44"/>
        <v/>
      </c>
    </row>
    <row r="204" spans="1:60" x14ac:dyDescent="0.3">
      <c r="I204" t="str">
        <f t="shared" si="46"/>
        <v>N/A</v>
      </c>
      <c r="J204" t="str">
        <f t="shared" si="47"/>
        <v>N/A</v>
      </c>
      <c r="K204" t="str">
        <f t="shared" si="48"/>
        <v>N/A</v>
      </c>
      <c r="L204" t="str">
        <f t="shared" si="49"/>
        <v>N/A</v>
      </c>
      <c r="M204" t="str">
        <f t="shared" si="50"/>
        <v>N/A</v>
      </c>
      <c r="N204" t="str">
        <f t="shared" si="51"/>
        <v>N/A</v>
      </c>
      <c r="P204">
        <f t="shared" si="27"/>
        <v>0</v>
      </c>
      <c r="Q204" t="str">
        <f>IFERROR(J144+MATCH(P204,J204:N204,0)-1,"")</f>
        <v/>
      </c>
      <c r="R204" t="str">
        <f t="shared" si="28"/>
        <v/>
      </c>
      <c r="S204" t="str">
        <f>IFERROR(J144+MATCH(R204,J204:N204,0)-1,"")</f>
        <v/>
      </c>
      <c r="T204" t="str">
        <f t="shared" si="29"/>
        <v/>
      </c>
      <c r="U204" t="str">
        <f t="shared" si="30"/>
        <v/>
      </c>
      <c r="V204" t="str">
        <f t="shared" si="31"/>
        <v/>
      </c>
      <c r="W204" t="str">
        <f t="shared" si="32"/>
        <v/>
      </c>
      <c r="X204" t="str">
        <f t="shared" si="33"/>
        <v/>
      </c>
      <c r="Y204" t="str">
        <f t="shared" si="34"/>
        <v/>
      </c>
      <c r="Z204" t="str">
        <f t="shared" si="35"/>
        <v/>
      </c>
      <c r="AA204">
        <f t="shared" si="36"/>
        <v>0</v>
      </c>
      <c r="AB204" t="str">
        <f>IFERROR(V144+MATCH(AA204,V204:Z204,0)-1,"")</f>
        <v/>
      </c>
      <c r="AC204" t="str">
        <f t="shared" si="37"/>
        <v/>
      </c>
      <c r="AE204" t="str">
        <f>IF(ISNUMBER(MATCH("N/A",J204:N204,0)),"",IFERROR((5 * SUMPRODUCT(J144:N144,J204:N204) - PRODUCT(SUM(J144:N144),SUM(J204:N204))) / ((5 * SUM((J144^2)+(K144^2)+(L144^2)+(M144^2)+(N144^2))) - SUM(J144:N144)^2),""))</f>
        <v/>
      </c>
      <c r="AF204" t="str">
        <f>IFERROR(CORREL(J144:N144,J204:N204),"")</f>
        <v/>
      </c>
      <c r="AZ204">
        <f t="shared" si="38"/>
        <v>0</v>
      </c>
      <c r="BA204" t="str">
        <f>IF(AZ204=1,IF(Q204="","",IF(Q204=N144,"Yes","No")),"")</f>
        <v/>
      </c>
      <c r="BB204" t="str">
        <f t="shared" si="39"/>
        <v/>
      </c>
      <c r="BC204" t="str">
        <f>IF(AZ204=1,IF(S204="","",IF(S204=N144,"Yes","No")),"")</f>
        <v/>
      </c>
      <c r="BD204" t="str">
        <f t="shared" si="40"/>
        <v/>
      </c>
      <c r="BE204" t="str">
        <f t="shared" si="41"/>
        <v/>
      </c>
      <c r="BF204" t="str">
        <f t="shared" si="42"/>
        <v>No</v>
      </c>
      <c r="BG204" t="str">
        <f t="shared" si="43"/>
        <v>No</v>
      </c>
      <c r="BH204" t="str">
        <f t="shared" si="44"/>
        <v/>
      </c>
    </row>
    <row r="205" spans="1:60" x14ac:dyDescent="0.3">
      <c r="B205" s="1" t="s">
        <v>251</v>
      </c>
      <c r="C205" s="1" t="s">
        <v>252</v>
      </c>
      <c r="D205" s="1" t="s">
        <v>253</v>
      </c>
      <c r="E205" s="1" t="s">
        <v>254</v>
      </c>
      <c r="F205" s="1" t="s">
        <v>255</v>
      </c>
      <c r="G205" s="1" t="s">
        <v>256</v>
      </c>
      <c r="H205" s="1" t="s">
        <v>257</v>
      </c>
      <c r="P205">
        <f t="shared" si="27"/>
        <v>0</v>
      </c>
      <c r="Q205" t="str">
        <f>IFERROR(J144+MATCH(P205,J205:N205,0)-1,"")</f>
        <v/>
      </c>
      <c r="R205" t="str">
        <f t="shared" si="28"/>
        <v/>
      </c>
      <c r="S205" t="str">
        <f>IFERROR(J144+MATCH(R205,J205:N205,0)-1,"")</f>
        <v/>
      </c>
      <c r="T205" t="str">
        <f t="shared" si="29"/>
        <v/>
      </c>
      <c r="U205" t="str">
        <f t="shared" si="30"/>
        <v/>
      </c>
      <c r="V205" t="str">
        <f t="shared" si="31"/>
        <v/>
      </c>
      <c r="W205" t="str">
        <f t="shared" si="32"/>
        <v/>
      </c>
      <c r="X205" t="str">
        <f t="shared" si="33"/>
        <v/>
      </c>
      <c r="Y205" t="str">
        <f t="shared" si="34"/>
        <v/>
      </c>
      <c r="Z205" t="str">
        <f t="shared" si="35"/>
        <v/>
      </c>
      <c r="AA205">
        <f t="shared" si="36"/>
        <v>0</v>
      </c>
      <c r="AB205" t="str">
        <f>IFERROR(V144+MATCH(AA205,V205:Z205,0)-1,"")</f>
        <v/>
      </c>
      <c r="AC205" t="str">
        <f t="shared" si="37"/>
        <v/>
      </c>
      <c r="AE205">
        <f>IF(ISNUMBER(MATCH("N/A",J205:N205,0)),"",IFERROR((5 * SUMPRODUCT(J144:N144,J205:N205) - PRODUCT(SUM(J144:N144),SUM(J205:N205))) / ((5 * SUM((J144^2)+(K144^2)+(L144^2)+(M144^2)+(N144^2))) - SUM(J144:N144)^2),""))</f>
        <v>0</v>
      </c>
      <c r="AF205" t="str">
        <f>IFERROR(CORREL(J144:N144,J205:N205),"")</f>
        <v/>
      </c>
      <c r="AZ205">
        <f t="shared" si="38"/>
        <v>0</v>
      </c>
      <c r="BA205" t="str">
        <f>IF(AZ205=1,IF(Q205="","",IF(Q205=N144,"Yes","No")),"")</f>
        <v/>
      </c>
      <c r="BB205" t="str">
        <f t="shared" si="39"/>
        <v/>
      </c>
      <c r="BC205" t="str">
        <f>IF(AZ205=1,IF(S205="","",IF(S205=N144,"Yes","No")),"")</f>
        <v/>
      </c>
      <c r="BD205" t="str">
        <f t="shared" si="40"/>
        <v/>
      </c>
      <c r="BE205" t="str">
        <f t="shared" si="41"/>
        <v/>
      </c>
      <c r="BF205" t="str">
        <f t="shared" si="42"/>
        <v>No</v>
      </c>
      <c r="BG205" t="str">
        <f t="shared" si="43"/>
        <v>No</v>
      </c>
      <c r="BH205" t="str">
        <f t="shared" si="44"/>
        <v/>
      </c>
    </row>
    <row r="206" spans="1:60" x14ac:dyDescent="0.3">
      <c r="A206" s="1">
        <v>0</v>
      </c>
      <c r="B206" t="s">
        <v>466</v>
      </c>
      <c r="C206" t="s">
        <v>1978</v>
      </c>
      <c r="D206" t="s">
        <v>1979</v>
      </c>
      <c r="E206" t="s">
        <v>1980</v>
      </c>
      <c r="F206" t="s">
        <v>1981</v>
      </c>
      <c r="G206" t="s">
        <v>1982</v>
      </c>
      <c r="I206" t="str">
        <f t="shared" ref="I206:I226" si="52">IF(AND(K206&gt; J206, L206&gt; K206, M206&gt; L206, N206&gt; M206), "pos_trend", IF(AND(K206&lt; J206, L206&lt; K206, M206&lt; L206, N206&lt; M206), "neg_trend", "N/A"))</f>
        <v>N/A</v>
      </c>
      <c r="J206">
        <f t="shared" ref="J206:J226" si="53">IFERROR(IF(TRIM(C206)="-", "N/A", IF(RIGHT(C206,1)=")",IF(RIGHT(C206,2)="T)",-1000000000000*VALUE(MID(C206,2,LEN(C206)-3)),IF(RIGHT(C206,2)="M)",-1000000*VALUE(MID(C206,2,LEN(C206)-3)),IF(RIGHT(C206,2)="B)",-1000000000*VALUE(MID(C206,2,LEN(C206)-3)),IF(RIGHT(C206,2)="k)",-1000*VALUE(MID(C206,2,LEN(C206)-3)),VALUE(SUBSTITUTE(C206,",","")))))),IF(RIGHT(C206,1)="T",1000000000000*VALUE(LEFT(C206,LEN(C206)-1)),IF(RIGHT(C206,1)="M",1000000*VALUE(LEFT(C206,LEN(C206)-1)),IF(RIGHT(C206,1)="B",1000000000*VALUE(LEFT(C206,LEN(C206)-1)),IF(RIGHT(C206,1)="%",0.01*VALUE(LEFT(C206,LEN(C206)-1)),IF(RIGHT(C206,1)="k",1000*VALUE(LEFT(C206,LEN(C206)-1)),VALUE(SUBSTITUTE(C206,",",""))))))))),"N/A")</f>
        <v>86360000</v>
      </c>
      <c r="K206">
        <f t="shared" ref="K206:K226" si="54">IFERROR(IF(TRIM(D206)="-", "N/A", IF(RIGHT(D206,1)=")",IF(RIGHT(D206,2)="T)",-1000000000000*VALUE(MID(D206,2,LEN(D206)-3)),IF(RIGHT(D206,2)="M)",-1000000*VALUE(MID(D206,2,LEN(D206)-3)),IF(RIGHT(D206,2)="B)",-1000000000*VALUE(MID(D206,2,LEN(D206)-3)),IF(RIGHT(D206,2)="k)",-1000*VALUE(MID(D206,2,LEN(D206)-3)),VALUE(SUBSTITUTE(D206,",","")))))),IF(RIGHT(D206,1)="T",1000000000000*VALUE(LEFT(D206,LEN(D206)-1)),IF(RIGHT(D206,1)="M",1000000*VALUE(LEFT(D206,LEN(D206)-1)),IF(RIGHT(D206,1)="B",1000000000*VALUE(LEFT(D206,LEN(D206)-1)),IF(RIGHT(D206,1)="%",0.01*VALUE(LEFT(D206,LEN(D206)-1)),IF(RIGHT(D206,1)="k",1000*VALUE(LEFT(D206,LEN(D206)-1)),VALUE(SUBSTITUTE(D206,",",""))))))))),"N/A")</f>
        <v>70860000</v>
      </c>
      <c r="L206">
        <f t="shared" ref="L206:L226" si="55">IFERROR(IF(TRIM(E206)="-", "N/A", IF(RIGHT(E206,1)=")",IF(RIGHT(E206,2)="T)",-1000000000000*VALUE(MID(E206,2,LEN(E206)-3)),IF(RIGHT(E206,2)="M)",-1000000*VALUE(MID(E206,2,LEN(E206)-3)),IF(RIGHT(E206,2)="B)",-1000000000*VALUE(MID(E206,2,LEN(E206)-3)),IF(RIGHT(E206,2)="k)",-1000*VALUE(MID(E206,2,LEN(E206)-3)),VALUE(SUBSTITUTE(E206,",","")))))),IF(RIGHT(E206,1)="T",1000000000000*VALUE(LEFT(E206,LEN(E206)-1)),IF(RIGHT(E206,1)="M",1000000*VALUE(LEFT(E206,LEN(E206)-1)),IF(RIGHT(E206,1)="B",1000000000*VALUE(LEFT(E206,LEN(E206)-1)),IF(RIGHT(E206,1)="%",0.01*VALUE(LEFT(E206,LEN(E206)-1)),IF(RIGHT(E206,1)="k",1000*VALUE(LEFT(E206,LEN(E206)-1)),VALUE(SUBSTITUTE(E206,",",""))))))))),"N/A")</f>
        <v>46040000</v>
      </c>
      <c r="M206">
        <f t="shared" ref="M206:M226" si="56">IFERROR(IF(TRIM(F206)="-", "N/A", IF(RIGHT(F206,1)=")",IF(RIGHT(F206,2)="T)",-1000000000000*VALUE(MID(F206,2,LEN(F206)-3)),IF(RIGHT(F206,2)="M)",-1000000*VALUE(MID(F206,2,LEN(F206)-3)),IF(RIGHT(F206,2)="B)",-1000000000*VALUE(MID(F206,2,LEN(F206)-3)),IF(RIGHT(F206,2)="k)",-1000*VALUE(MID(F206,2,LEN(F206)-3)),VALUE(SUBSTITUTE(F206,",","")))))),IF(RIGHT(F206,1)="T",1000000000000*VALUE(LEFT(F206,LEN(F206)-1)),IF(RIGHT(F206,1)="M",1000000*VALUE(LEFT(F206,LEN(F206)-1)),IF(RIGHT(F206,1)="B",1000000000*VALUE(LEFT(F206,LEN(F206)-1)),IF(RIGHT(F206,1)="%",0.01*VALUE(LEFT(F206,LEN(F206)-1)),IF(RIGHT(F206,1)="k",1000*VALUE(LEFT(F206,LEN(F206)-1)),VALUE(SUBSTITUTE(F206,",",""))))))))),"N/A")</f>
        <v>83930000</v>
      </c>
      <c r="N206">
        <f t="shared" ref="N206:N226" si="57">IFERROR(IF(TRIM(G206)="-", "N/A", IF(RIGHT(G206,1)=")",IF(RIGHT(G206,2)="T)",-1000000000000*VALUE(MID(G206,2,LEN(G206)-3)),IF(RIGHT(G206,2)="M)",-1000000*VALUE(MID(G206,2,LEN(G206)-3)),IF(RIGHT(G206,2)="B)",-1000000000*VALUE(MID(G206,2,LEN(G206)-3)),IF(RIGHT(G206,2)="k)",-1000*VALUE(MID(G206,2,LEN(G206)-3)),VALUE(SUBSTITUTE(G206,",","")))))),IF(RIGHT(G206,1)="T",1000000000000*VALUE(LEFT(G206,LEN(G206)-1)),IF(RIGHT(G206,1)="M",1000000*VALUE(LEFT(G206,LEN(G206)-1)),IF(RIGHT(G206,1)="B",1000000000*VALUE(LEFT(G206,LEN(G206)-1)),IF(RIGHT(G206,1)="%",0.01*VALUE(LEFT(G206,LEN(G206)-1)),IF(RIGHT(G206,1)="k",1000*VALUE(LEFT(G206,LEN(G206)-1)),VALUE(SUBSTITUTE(G206,",",""))))))))),"N/A")</f>
        <v>66450000</v>
      </c>
      <c r="P206">
        <f t="shared" si="27"/>
        <v>86360000</v>
      </c>
      <c r="Q206">
        <f>IFERROR(J144+MATCH(P206,J206:N206,0)-1,"")</f>
        <v>2012</v>
      </c>
      <c r="R206">
        <f t="shared" si="28"/>
        <v>46040000</v>
      </c>
      <c r="S206">
        <f>IFERROR(J144+MATCH(R206,J206:N206,0)-1,"")</f>
        <v>2014</v>
      </c>
      <c r="T206">
        <f t="shared" si="29"/>
        <v>70728000</v>
      </c>
      <c r="U206">
        <f t="shared" si="30"/>
        <v>16174580.983753489</v>
      </c>
      <c r="V206">
        <f t="shared" si="31"/>
        <v>0.96645471160591523</v>
      </c>
      <c r="W206">
        <f t="shared" si="32"/>
        <v>8.1609532965699096E-3</v>
      </c>
      <c r="X206">
        <f t="shared" si="33"/>
        <v>-1.5263455680736207</v>
      </c>
      <c r="Y206">
        <f t="shared" si="34"/>
        <v>0.81621898046451469</v>
      </c>
      <c r="Z206">
        <f t="shared" si="35"/>
        <v>-0.26448907729337934</v>
      </c>
      <c r="AA206">
        <f t="shared" si="36"/>
        <v>-1.5263455680736207</v>
      </c>
      <c r="AB206">
        <f>IFERROR(V144+MATCH(AA206,V206:Z206,0)-1,"")</f>
        <v>2014</v>
      </c>
      <c r="AC206" t="str">
        <f t="shared" si="37"/>
        <v>Low</v>
      </c>
      <c r="AE206">
        <f>IF(ISNUMBER(MATCH("N/A",J206:N206,0)),"",IFERROR((5 * SUMPRODUCT(J144:N144,J206:N206) - PRODUCT(SUM(J144:N144),SUM(J206:N206))) / ((5 * SUM((J144^2)+(K144^2)+(L144^2)+(M144^2)+(N144^2))) - SUM(J144:N144)^2),""))</f>
        <v>-2675000</v>
      </c>
      <c r="AF206">
        <f>IFERROR(CORREL(J144:N144,J206:N206),"")</f>
        <v>-0.26149341208427984</v>
      </c>
      <c r="AZ206">
        <f t="shared" si="38"/>
        <v>1</v>
      </c>
      <c r="BA206" t="str">
        <f>IF(AZ206=1,IF(Q206="","",IF(Q206=N144,"Yes","No")),"")</f>
        <v>No</v>
      </c>
      <c r="BB206" t="str">
        <f t="shared" si="39"/>
        <v/>
      </c>
      <c r="BC206" t="str">
        <f>IF(AZ206=1,IF(S206="","",IF(S206=N144,"Yes","No")),"")</f>
        <v>No</v>
      </c>
      <c r="BD206" t="str">
        <f t="shared" si="40"/>
        <v/>
      </c>
      <c r="BE206" t="str">
        <f t="shared" si="41"/>
        <v>Decreasing</v>
      </c>
      <c r="BF206" t="str">
        <f t="shared" si="42"/>
        <v>No</v>
      </c>
      <c r="BG206" t="str">
        <f t="shared" si="43"/>
        <v>No</v>
      </c>
      <c r="BH206" t="str">
        <f t="shared" si="44"/>
        <v>No</v>
      </c>
    </row>
    <row r="207" spans="1:60" x14ac:dyDescent="0.3">
      <c r="A207" s="1">
        <v>1</v>
      </c>
      <c r="B207" t="s">
        <v>472</v>
      </c>
      <c r="C207" t="s">
        <v>1978</v>
      </c>
      <c r="D207" t="s">
        <v>1979</v>
      </c>
      <c r="E207" t="s">
        <v>1980</v>
      </c>
      <c r="F207" t="s">
        <v>1981</v>
      </c>
      <c r="G207" t="s">
        <v>1982</v>
      </c>
      <c r="I207" t="str">
        <f t="shared" si="52"/>
        <v>N/A</v>
      </c>
      <c r="J207">
        <f t="shared" si="53"/>
        <v>86360000</v>
      </c>
      <c r="K207">
        <f t="shared" si="54"/>
        <v>70860000</v>
      </c>
      <c r="L207">
        <f t="shared" si="55"/>
        <v>46040000</v>
      </c>
      <c r="M207">
        <f t="shared" si="56"/>
        <v>83930000</v>
      </c>
      <c r="N207">
        <f t="shared" si="57"/>
        <v>66450000</v>
      </c>
      <c r="P207">
        <f t="shared" si="27"/>
        <v>86360000</v>
      </c>
      <c r="Q207">
        <f>IFERROR(J144+MATCH(P207,J207:N207,0)-1,"")</f>
        <v>2012</v>
      </c>
      <c r="R207">
        <f t="shared" si="28"/>
        <v>46040000</v>
      </c>
      <c r="S207">
        <f>IFERROR(J144+MATCH(R207,J207:N207,0)-1,"")</f>
        <v>2014</v>
      </c>
      <c r="T207">
        <f t="shared" si="29"/>
        <v>70728000</v>
      </c>
      <c r="U207">
        <f t="shared" si="30"/>
        <v>16174580.983753489</v>
      </c>
      <c r="V207">
        <f t="shared" si="31"/>
        <v>0.96645471160591523</v>
      </c>
      <c r="W207">
        <f t="shared" si="32"/>
        <v>8.1609532965699096E-3</v>
      </c>
      <c r="X207">
        <f t="shared" si="33"/>
        <v>-1.5263455680736207</v>
      </c>
      <c r="Y207">
        <f t="shared" si="34"/>
        <v>0.81621898046451469</v>
      </c>
      <c r="Z207">
        <f t="shared" si="35"/>
        <v>-0.26448907729337934</v>
      </c>
      <c r="AA207">
        <f t="shared" si="36"/>
        <v>-1.5263455680736207</v>
      </c>
      <c r="AB207">
        <f>IFERROR(V144+MATCH(AA207,V207:Z207,0)-1,"")</f>
        <v>2014</v>
      </c>
      <c r="AC207" t="str">
        <f t="shared" si="37"/>
        <v>Low</v>
      </c>
      <c r="AE207">
        <f>IF(ISNUMBER(MATCH("N/A",J207:N207,0)),"",IFERROR((5 * SUMPRODUCT(J144:N144,J207:N207) - PRODUCT(SUM(J144:N144),SUM(J207:N207))) / ((5 * SUM((J144^2)+(K144^2)+(L144^2)+(M144^2)+(N144^2))) - SUM(J144:N144)^2),""))</f>
        <v>-2675000</v>
      </c>
      <c r="AF207">
        <f>IFERROR(CORREL(J144:N144,J207:N207),"")</f>
        <v>-0.26149341208427984</v>
      </c>
      <c r="AZ207">
        <f t="shared" si="38"/>
        <v>1</v>
      </c>
      <c r="BA207" t="str">
        <f>IF(AZ207=1,IF(Q207="","",IF(Q207=N144,"Yes","No")),"")</f>
        <v>No</v>
      </c>
      <c r="BB207" t="str">
        <f t="shared" si="39"/>
        <v/>
      </c>
      <c r="BC207" t="str">
        <f>IF(AZ207=1,IF(S207="","",IF(S207=N144,"Yes","No")),"")</f>
        <v>No</v>
      </c>
      <c r="BD207" t="str">
        <f t="shared" si="40"/>
        <v/>
      </c>
      <c r="BE207" t="str">
        <f t="shared" si="41"/>
        <v>Decreasing</v>
      </c>
      <c r="BF207" t="str">
        <f t="shared" si="42"/>
        <v>No</v>
      </c>
      <c r="BG207" t="str">
        <f t="shared" si="43"/>
        <v>No</v>
      </c>
      <c r="BH207" t="str">
        <f t="shared" si="44"/>
        <v>No</v>
      </c>
    </row>
    <row r="208" spans="1:60" x14ac:dyDescent="0.3">
      <c r="A208" s="1">
        <v>2</v>
      </c>
      <c r="B208" t="s">
        <v>478</v>
      </c>
      <c r="C208" t="s">
        <v>264</v>
      </c>
      <c r="D208" t="s">
        <v>264</v>
      </c>
      <c r="E208" t="s">
        <v>264</v>
      </c>
      <c r="F208" t="s">
        <v>264</v>
      </c>
      <c r="G208" t="s">
        <v>264</v>
      </c>
      <c r="I208" t="str">
        <f t="shared" si="52"/>
        <v>N/A</v>
      </c>
      <c r="J208" t="str">
        <f t="shared" si="53"/>
        <v>N/A</v>
      </c>
      <c r="K208" t="str">
        <f t="shared" si="54"/>
        <v>N/A</v>
      </c>
      <c r="L208" t="str">
        <f t="shared" si="55"/>
        <v>N/A</v>
      </c>
      <c r="M208" t="str">
        <f t="shared" si="56"/>
        <v>N/A</v>
      </c>
      <c r="N208" t="str">
        <f t="shared" si="57"/>
        <v>N/A</v>
      </c>
      <c r="P208">
        <f t="shared" si="27"/>
        <v>0</v>
      </c>
      <c r="Q208" t="str">
        <f>IFERROR(J144+MATCH(P208,J208:N208,0)-1,"")</f>
        <v/>
      </c>
      <c r="R208" t="str">
        <f t="shared" si="28"/>
        <v/>
      </c>
      <c r="S208" t="str">
        <f>IFERROR(J144+MATCH(R208,J208:N208,0)-1,"")</f>
        <v/>
      </c>
      <c r="T208" t="str">
        <f t="shared" si="29"/>
        <v/>
      </c>
      <c r="U208" t="str">
        <f t="shared" si="30"/>
        <v/>
      </c>
      <c r="V208" t="str">
        <f t="shared" si="31"/>
        <v/>
      </c>
      <c r="W208" t="str">
        <f t="shared" si="32"/>
        <v/>
      </c>
      <c r="X208" t="str">
        <f t="shared" si="33"/>
        <v/>
      </c>
      <c r="Y208" t="str">
        <f t="shared" si="34"/>
        <v/>
      </c>
      <c r="Z208" t="str">
        <f t="shared" si="35"/>
        <v/>
      </c>
      <c r="AA208">
        <f t="shared" si="36"/>
        <v>0</v>
      </c>
      <c r="AB208" t="str">
        <f>IFERROR(V144+MATCH(AA208,V208:Z208,0)-1,"")</f>
        <v/>
      </c>
      <c r="AC208" t="str">
        <f t="shared" si="37"/>
        <v/>
      </c>
      <c r="AE208" t="str">
        <f>IF(ISNUMBER(MATCH("N/A",J208:N208,0)),"",IFERROR((5 * SUMPRODUCT(J144:N144,J208:N208) - PRODUCT(SUM(J144:N144),SUM(J208:N208))) / ((5 * SUM((J144^2)+(K144^2)+(L144^2)+(M144^2)+(N144^2))) - SUM(J144:N144)^2),""))</f>
        <v/>
      </c>
      <c r="AF208" t="str">
        <f>IFERROR(CORREL(J144:N144,J208:N208),"")</f>
        <v/>
      </c>
      <c r="AZ208">
        <f t="shared" si="38"/>
        <v>0</v>
      </c>
      <c r="BA208" t="str">
        <f>IF(AZ208=1,IF(Q208="","",IF(Q208=N144,"Yes","No")),"")</f>
        <v/>
      </c>
      <c r="BB208" t="str">
        <f t="shared" si="39"/>
        <v/>
      </c>
      <c r="BC208" t="str">
        <f>IF(AZ208=1,IF(S208="","",IF(S208=N144,"Yes","No")),"")</f>
        <v/>
      </c>
      <c r="BD208" t="str">
        <f t="shared" si="40"/>
        <v/>
      </c>
      <c r="BE208" t="str">
        <f t="shared" si="41"/>
        <v/>
      </c>
      <c r="BF208" t="str">
        <f t="shared" si="42"/>
        <v>No</v>
      </c>
      <c r="BG208" t="str">
        <f t="shared" si="43"/>
        <v>No</v>
      </c>
      <c r="BH208" t="str">
        <f t="shared" si="44"/>
        <v/>
      </c>
    </row>
    <row r="209" spans="1:60" x14ac:dyDescent="0.3">
      <c r="A209" s="1">
        <v>3</v>
      </c>
      <c r="B209" t="s">
        <v>484</v>
      </c>
      <c r="C209" t="s">
        <v>264</v>
      </c>
      <c r="D209" t="s">
        <v>1983</v>
      </c>
      <c r="E209" t="s">
        <v>1984</v>
      </c>
      <c r="F209" t="s">
        <v>1985</v>
      </c>
      <c r="G209" t="s">
        <v>1986</v>
      </c>
      <c r="I209" t="str">
        <f t="shared" si="52"/>
        <v>N/A</v>
      </c>
      <c r="J209" t="str">
        <f t="shared" si="53"/>
        <v>N/A</v>
      </c>
      <c r="K209">
        <f t="shared" si="54"/>
        <v>-0.17949999999999999</v>
      </c>
      <c r="L209">
        <f t="shared" si="55"/>
        <v>-0.35020000000000001</v>
      </c>
      <c r="M209">
        <f t="shared" si="56"/>
        <v>0.82290000000000008</v>
      </c>
      <c r="N209">
        <f t="shared" si="57"/>
        <v>-0.20829999999999999</v>
      </c>
      <c r="P209">
        <f t="shared" ref="P209:P272" si="58">MAX(J209:N209)</f>
        <v>0.82290000000000008</v>
      </c>
      <c r="Q209">
        <f>IFERROR(J144+MATCH(P209,J209:N209,0)-1,"")</f>
        <v>2015</v>
      </c>
      <c r="R209">
        <f t="shared" ref="R209:R272" si="59">IF(Q209="","",MIN(J209:N209))</f>
        <v>-0.35020000000000001</v>
      </c>
      <c r="S209">
        <f>IFERROR(J144+MATCH(R209,J209:N209,0)-1,"")</f>
        <v>2014</v>
      </c>
      <c r="T209">
        <f t="shared" ref="T209:T272" si="60">IFERROR(AVERAGE(J209:N209),"")</f>
        <v>2.1225000000000008E-2</v>
      </c>
      <c r="U209">
        <f t="shared" ref="U209:U272" si="61">IFERROR(STDEV(J209:N209),"")</f>
        <v>0.53963308136177124</v>
      </c>
      <c r="V209" t="str">
        <f t="shared" ref="V209:V272" si="62">IFERROR(IF(C209="-","",IF(ISBLANK(B209),"",IF(OR(ISNUMBER(FIND("Growth",B209)),ISNUMBER(FIND("Margin",B209))),"",(J209-T209)/U209))),"")</f>
        <v/>
      </c>
      <c r="W209">
        <f t="shared" ref="W209:W272" si="63">IFERROR(IF(OR(D209="-",ISBLANK(D209)),"",(K209-T209)/U209),"")</f>
        <v>-0.37196570583380062</v>
      </c>
      <c r="X209">
        <f t="shared" ref="X209:X272" si="64">IFERROR(IF(OR(E209="-",ISBLANK(E209)),"",(L209-T209)/U209),"")</f>
        <v>-0.68829175383893082</v>
      </c>
      <c r="Y209">
        <f t="shared" ref="Y209:Y272" si="65">IFERROR(IF(OR(F209="-",ISBLANK(F209)),"",(M209-T209)/U209),"")</f>
        <v>1.4855927623580127</v>
      </c>
      <c r="Z209">
        <f t="shared" ref="Z209:Z272" si="66">IFERROR(IF(OR(G209="-",ISBLANK(G209)),"",(N209-T209)/U209),"")</f>
        <v>-0.42533530268528125</v>
      </c>
      <c r="AA209">
        <f t="shared" ref="AA209:AA272" si="67">IF(MAX(MAX(V209:Z209),ABS(MIN(V209:Z209)))=ABS(MIN(V209:Z209)),MIN(V209:Z209),MAX(V209:Z209))</f>
        <v>1.4855927623580127</v>
      </c>
      <c r="AB209">
        <f>IFERROR(V144+MATCH(AA209,V209:Z209,0)-1,"")</f>
        <v>2015</v>
      </c>
      <c r="AC209" t="str">
        <f t="shared" ref="AC209:AC272" si="68">IF(AB209&lt;&gt;"",IF(S209=AB209,"Low",IF(AB209=Q209,"High","")),"")</f>
        <v>High</v>
      </c>
      <c r="AE209" t="str">
        <f>IF(ISNUMBER(MATCH("N/A",J209:N209,0)),"",IFERROR((5 * SUMPRODUCT(J144:N144,J209:N209) - PRODUCT(SUM(J144:N144),SUM(J209:N209))) / ((5 * SUM((J144^2)+(K144^2)+(L144^2)+(M144^2)+(N144^2))) - SUM(J144:N144)^2),""))</f>
        <v/>
      </c>
      <c r="AF209">
        <f>IFERROR(CORREL(J144:N144,J209:N209),"")</f>
        <v>0.25997732828033887</v>
      </c>
      <c r="AZ209">
        <f t="shared" ref="AZ209:AZ272" si="69">IF(Q209=S209,0,1)</f>
        <v>1</v>
      </c>
      <c r="BA209" t="str">
        <f>IF(AZ209=1,IF(Q209="","",IF(Q209=N144,"Yes","No")),"")</f>
        <v>No</v>
      </c>
      <c r="BB209" t="str">
        <f t="shared" ref="BB209:BB272" si="70">IF(BA209="Yes",P209,"")</f>
        <v/>
      </c>
      <c r="BC209" t="str">
        <f>IF(AZ209=1,IF(S209="","",IF(S209=N144,"Yes","No")),"")</f>
        <v>No</v>
      </c>
      <c r="BD209" t="str">
        <f t="shared" ref="BD209:BD272" si="71">IF(BC209="Yes",R209,"")</f>
        <v/>
      </c>
      <c r="BE209" t="str">
        <f t="shared" ref="BE209:BE272" si="72">IFERROR(IF(SIGN(AE209)=1,"Increasing",IF(SIGN(AE209)=-1,"Decreasing","")),"")</f>
        <v/>
      </c>
      <c r="BF209" t="str">
        <f t="shared" ref="BF209:BF272" si="73">IF(OR(AND(BE209="Increasing",BA209="Yes"),AND(BE209="Decreasing",BC209="Yes")),"Yes","No")</f>
        <v>No</v>
      </c>
      <c r="BG209" t="str">
        <f t="shared" ref="BG209:BG272" si="74">IF(I209="pos_trend","Yes","No")</f>
        <v>No</v>
      </c>
      <c r="BH209" t="str">
        <f t="shared" ref="BH209:BH272" si="75">IF(AF209&lt;&gt;"",IF(ABS(AF209)&gt;0.8,"Yes","No"),"")</f>
        <v>No</v>
      </c>
    </row>
    <row r="210" spans="1:60" x14ac:dyDescent="0.3">
      <c r="A210" s="1">
        <v>4</v>
      </c>
      <c r="B210" t="s">
        <v>489</v>
      </c>
      <c r="C210" t="s">
        <v>1987</v>
      </c>
      <c r="D210" t="s">
        <v>1988</v>
      </c>
      <c r="E210" t="s">
        <v>1989</v>
      </c>
      <c r="F210" t="s">
        <v>1533</v>
      </c>
      <c r="G210" t="s">
        <v>1990</v>
      </c>
      <c r="I210" t="str">
        <f t="shared" si="52"/>
        <v>N/A</v>
      </c>
      <c r="J210">
        <f t="shared" si="53"/>
        <v>4.6200000000000005E-2</v>
      </c>
      <c r="K210">
        <f t="shared" si="54"/>
        <v>3.3399999999999999E-2</v>
      </c>
      <c r="L210">
        <f t="shared" si="55"/>
        <v>2.2200000000000001E-2</v>
      </c>
      <c r="M210">
        <f t="shared" si="56"/>
        <v>4.0700000000000007E-2</v>
      </c>
      <c r="N210">
        <f t="shared" si="57"/>
        <v>3.1099999999999999E-2</v>
      </c>
      <c r="P210">
        <f t="shared" si="58"/>
        <v>4.6200000000000005E-2</v>
      </c>
      <c r="Q210">
        <f>IFERROR(J144+MATCH(P210,J210:N210,0)-1,"")</f>
        <v>2012</v>
      </c>
      <c r="R210">
        <f t="shared" si="59"/>
        <v>2.2200000000000001E-2</v>
      </c>
      <c r="S210">
        <f>IFERROR(J144+MATCH(R210,J210:N210,0)-1,"")</f>
        <v>2014</v>
      </c>
      <c r="T210">
        <f t="shared" si="60"/>
        <v>3.4720000000000001E-2</v>
      </c>
      <c r="U210">
        <f t="shared" si="61"/>
        <v>9.2079856646282866E-3</v>
      </c>
      <c r="V210">
        <f t="shared" si="62"/>
        <v>1.2467439044892819</v>
      </c>
      <c r="W210">
        <f t="shared" si="63"/>
        <v>-0.14335382873918584</v>
      </c>
      <c r="X210">
        <f t="shared" si="64"/>
        <v>-1.3596893453140941</v>
      </c>
      <c r="Y210">
        <f t="shared" si="65"/>
        <v>0.64943628474267512</v>
      </c>
      <c r="Z210">
        <f t="shared" si="66"/>
        <v>-0.393137015178676</v>
      </c>
      <c r="AA210">
        <f t="shared" si="67"/>
        <v>-1.3596893453140941</v>
      </c>
      <c r="AB210">
        <f>IFERROR(V144+MATCH(AA210,V210:Z210,0)-1,"")</f>
        <v>2014</v>
      </c>
      <c r="AC210" t="str">
        <f t="shared" si="68"/>
        <v>Low</v>
      </c>
      <c r="AE210">
        <f>IF(ISNUMBER(MATCH("N/A",J210:N210,0)),"",IFERROR((5 * SUMPRODUCT(J144:N144,J210:N210) - PRODUCT(SUM(J144:N144),SUM(J210:N210))) / ((5 * SUM((J144^2)+(K144^2)+(L144^2)+(M144^2)+(N144^2))) - SUM(J144:N144)^2),""))</f>
        <v>-2.2899999999981446E-3</v>
      </c>
      <c r="AF210">
        <f>IFERROR(CORREL(J144:N144,J210:N210),"")</f>
        <v>-0.39322475650693367</v>
      </c>
      <c r="AZ210">
        <f t="shared" si="69"/>
        <v>1</v>
      </c>
      <c r="BA210" t="str">
        <f>IF(AZ210=1,IF(Q210="","",IF(Q210=N144,"Yes","No")),"")</f>
        <v>No</v>
      </c>
      <c r="BB210" t="str">
        <f t="shared" si="70"/>
        <v/>
      </c>
      <c r="BC210" t="str">
        <f>IF(AZ210=1,IF(S210="","",IF(S210=N144,"Yes","No")),"")</f>
        <v>No</v>
      </c>
      <c r="BD210" t="str">
        <f t="shared" si="71"/>
        <v/>
      </c>
      <c r="BE210" t="str">
        <f t="shared" si="72"/>
        <v>Decreasing</v>
      </c>
      <c r="BF210" t="str">
        <f t="shared" si="73"/>
        <v>No</v>
      </c>
      <c r="BG210" t="str">
        <f t="shared" si="74"/>
        <v>No</v>
      </c>
      <c r="BH210" t="str">
        <f t="shared" si="75"/>
        <v>No</v>
      </c>
    </row>
    <row r="211" spans="1:60" x14ac:dyDescent="0.3">
      <c r="A211" s="1">
        <v>5</v>
      </c>
      <c r="B211" t="s">
        <v>495</v>
      </c>
      <c r="C211" t="s">
        <v>1991</v>
      </c>
      <c r="D211" t="s">
        <v>1992</v>
      </c>
      <c r="E211" t="s">
        <v>1993</v>
      </c>
      <c r="F211" t="s">
        <v>1994</v>
      </c>
      <c r="G211" t="s">
        <v>1995</v>
      </c>
      <c r="I211" t="str">
        <f t="shared" si="52"/>
        <v>N/A</v>
      </c>
      <c r="J211">
        <f t="shared" si="53"/>
        <v>253200000</v>
      </c>
      <c r="K211">
        <f t="shared" si="54"/>
        <v>265130000</v>
      </c>
      <c r="L211">
        <f t="shared" si="55"/>
        <v>275890000</v>
      </c>
      <c r="M211">
        <f t="shared" si="56"/>
        <v>261760000</v>
      </c>
      <c r="N211">
        <f t="shared" si="57"/>
        <v>296810000</v>
      </c>
      <c r="P211">
        <f t="shared" si="58"/>
        <v>296810000</v>
      </c>
      <c r="Q211">
        <f>IFERROR(J144+MATCH(P211,J211:N211,0)-1,"")</f>
        <v>2016</v>
      </c>
      <c r="R211">
        <f t="shared" si="59"/>
        <v>253200000</v>
      </c>
      <c r="S211">
        <f>IFERROR(J144+MATCH(R211,J211:N211,0)-1,"")</f>
        <v>2012</v>
      </c>
      <c r="T211">
        <f t="shared" si="60"/>
        <v>270558000</v>
      </c>
      <c r="U211">
        <f t="shared" si="61"/>
        <v>16776217.392487498</v>
      </c>
      <c r="V211">
        <f t="shared" si="62"/>
        <v>-1.0346790098090306</v>
      </c>
      <c r="W211">
        <f t="shared" si="63"/>
        <v>-0.32355327026405217</v>
      </c>
      <c r="X211">
        <f t="shared" si="64"/>
        <v>0.3178308837597506</v>
      </c>
      <c r="Y211">
        <f t="shared" si="65"/>
        <v>-0.52443287984213904</v>
      </c>
      <c r="Z211">
        <f t="shared" si="66"/>
        <v>1.5648342761554712</v>
      </c>
      <c r="AA211">
        <f t="shared" si="67"/>
        <v>1.5648342761554712</v>
      </c>
      <c r="AB211">
        <f>IFERROR(V144+MATCH(AA211,V211:Z211,0)-1,"")</f>
        <v>2016</v>
      </c>
      <c r="AC211" t="str">
        <f t="shared" si="68"/>
        <v>High</v>
      </c>
      <c r="AE211">
        <f>IF(ISNUMBER(MATCH("N/A",J211:N211,0)),"",IFERROR((5 * SUMPRODUCT(J144:N144,J211:N211) - PRODUCT(SUM(J144:N144),SUM(J211:N211))) / ((5 * SUM((J144^2)+(K144^2)+(L144^2)+(M144^2)+(N144^2))) - SUM(J144:N144)^2),""))</f>
        <v>8385000</v>
      </c>
      <c r="AF211">
        <f>IFERROR(CORREL(J144:N144,J211:N211),"")</f>
        <v>0.79027642406403742</v>
      </c>
      <c r="AZ211">
        <f t="shared" si="69"/>
        <v>1</v>
      </c>
      <c r="BA211" t="str">
        <f>IF(AZ211=1,IF(Q211="","",IF(Q211=N144,"Yes","No")),"")</f>
        <v>Yes</v>
      </c>
      <c r="BB211">
        <f t="shared" si="70"/>
        <v>296810000</v>
      </c>
      <c r="BC211" t="str">
        <f>IF(AZ211=1,IF(S211="","",IF(S211=N144,"Yes","No")),"")</f>
        <v>No</v>
      </c>
      <c r="BD211" t="str">
        <f t="shared" si="71"/>
        <v/>
      </c>
      <c r="BE211" t="str">
        <f t="shared" si="72"/>
        <v>Increasing</v>
      </c>
      <c r="BF211" t="str">
        <f t="shared" si="73"/>
        <v>Yes</v>
      </c>
      <c r="BG211" t="str">
        <f t="shared" si="74"/>
        <v>No</v>
      </c>
      <c r="BH211" t="str">
        <f t="shared" si="75"/>
        <v>No</v>
      </c>
    </row>
    <row r="212" spans="1:60" x14ac:dyDescent="0.3">
      <c r="A212" s="1">
        <v>6</v>
      </c>
      <c r="B212" t="s">
        <v>501</v>
      </c>
      <c r="C212" t="s">
        <v>1991</v>
      </c>
      <c r="D212" t="s">
        <v>1992</v>
      </c>
      <c r="E212" t="s">
        <v>1993</v>
      </c>
      <c r="F212" t="s">
        <v>1994</v>
      </c>
      <c r="G212" t="s">
        <v>1995</v>
      </c>
      <c r="I212" t="str">
        <f t="shared" si="52"/>
        <v>N/A</v>
      </c>
      <c r="J212">
        <f t="shared" si="53"/>
        <v>253200000</v>
      </c>
      <c r="K212">
        <f t="shared" si="54"/>
        <v>265130000</v>
      </c>
      <c r="L212">
        <f t="shared" si="55"/>
        <v>275890000</v>
      </c>
      <c r="M212">
        <f t="shared" si="56"/>
        <v>261760000</v>
      </c>
      <c r="N212">
        <f t="shared" si="57"/>
        <v>296810000</v>
      </c>
      <c r="P212">
        <f t="shared" si="58"/>
        <v>296810000</v>
      </c>
      <c r="Q212">
        <f>IFERROR(J144+MATCH(P212,J212:N212,0)-1,"")</f>
        <v>2016</v>
      </c>
      <c r="R212">
        <f t="shared" si="59"/>
        <v>253200000</v>
      </c>
      <c r="S212">
        <f>IFERROR(J144+MATCH(R212,J212:N212,0)-1,"")</f>
        <v>2012</v>
      </c>
      <c r="T212">
        <f t="shared" si="60"/>
        <v>270558000</v>
      </c>
      <c r="U212">
        <f t="shared" si="61"/>
        <v>16776217.392487498</v>
      </c>
      <c r="V212">
        <f t="shared" si="62"/>
        <v>-1.0346790098090306</v>
      </c>
      <c r="W212">
        <f t="shared" si="63"/>
        <v>-0.32355327026405217</v>
      </c>
      <c r="X212">
        <f t="shared" si="64"/>
        <v>0.3178308837597506</v>
      </c>
      <c r="Y212">
        <f t="shared" si="65"/>
        <v>-0.52443287984213904</v>
      </c>
      <c r="Z212">
        <f t="shared" si="66"/>
        <v>1.5648342761554712</v>
      </c>
      <c r="AA212">
        <f t="shared" si="67"/>
        <v>1.5648342761554712</v>
      </c>
      <c r="AB212">
        <f>IFERROR(V144+MATCH(AA212,V212:Z212,0)-1,"")</f>
        <v>2016</v>
      </c>
      <c r="AC212" t="str">
        <f t="shared" si="68"/>
        <v>High</v>
      </c>
      <c r="AE212">
        <f>IF(ISNUMBER(MATCH("N/A",J212:N212,0)),"",IFERROR((5 * SUMPRODUCT(J144:N144,J212:N212) - PRODUCT(SUM(J144:N144),SUM(J212:N212))) / ((5 * SUM((J144^2)+(K144^2)+(L144^2)+(M144^2)+(N144^2))) - SUM(J144:N144)^2),""))</f>
        <v>8385000</v>
      </c>
      <c r="AF212">
        <f>IFERROR(CORREL(J144:N144,J212:N212),"")</f>
        <v>0.79027642406403742</v>
      </c>
      <c r="AZ212">
        <f t="shared" si="69"/>
        <v>1</v>
      </c>
      <c r="BA212" t="str">
        <f>IF(AZ212=1,IF(Q212="","",IF(Q212=N144,"Yes","No")),"")</f>
        <v>Yes</v>
      </c>
      <c r="BB212">
        <f t="shared" si="70"/>
        <v>296810000</v>
      </c>
      <c r="BC212" t="str">
        <f>IF(AZ212=1,IF(S212="","",IF(S212=N144,"Yes","No")),"")</f>
        <v>No</v>
      </c>
      <c r="BD212" t="str">
        <f t="shared" si="71"/>
        <v/>
      </c>
      <c r="BE212" t="str">
        <f t="shared" si="72"/>
        <v>Increasing</v>
      </c>
      <c r="BF212" t="str">
        <f t="shared" si="73"/>
        <v>Yes</v>
      </c>
      <c r="BG212" t="str">
        <f t="shared" si="74"/>
        <v>No</v>
      </c>
      <c r="BH212" t="str">
        <f t="shared" si="75"/>
        <v>No</v>
      </c>
    </row>
    <row r="213" spans="1:60" x14ac:dyDescent="0.3">
      <c r="A213" s="1">
        <v>7</v>
      </c>
      <c r="B213" t="s">
        <v>504</v>
      </c>
      <c r="C213" t="s">
        <v>1996</v>
      </c>
      <c r="D213" t="s">
        <v>1997</v>
      </c>
      <c r="E213" t="s">
        <v>1998</v>
      </c>
      <c r="F213" t="s">
        <v>1999</v>
      </c>
      <c r="G213" t="s">
        <v>2000</v>
      </c>
      <c r="I213" t="str">
        <f t="shared" si="52"/>
        <v>N/A</v>
      </c>
      <c r="J213">
        <f t="shared" si="53"/>
        <v>256060000</v>
      </c>
      <c r="K213">
        <f t="shared" si="54"/>
        <v>268560000</v>
      </c>
      <c r="L213">
        <f t="shared" si="55"/>
        <v>279760000</v>
      </c>
      <c r="M213">
        <f t="shared" si="56"/>
        <v>265839999.99999997</v>
      </c>
      <c r="N213">
        <f t="shared" si="57"/>
        <v>300810000</v>
      </c>
      <c r="P213">
        <f t="shared" si="58"/>
        <v>300810000</v>
      </c>
      <c r="Q213">
        <f>IFERROR(J144+MATCH(P213,J213:N213,0)-1,"")</f>
        <v>2016</v>
      </c>
      <c r="R213">
        <f t="shared" si="59"/>
        <v>256060000</v>
      </c>
      <c r="S213">
        <f>IFERROR(J144+MATCH(R213,J213:N213,0)-1,"")</f>
        <v>2012</v>
      </c>
      <c r="T213">
        <f t="shared" si="60"/>
        <v>274206000</v>
      </c>
      <c r="U213">
        <f t="shared" si="61"/>
        <v>17100908.747782972</v>
      </c>
      <c r="V213">
        <f t="shared" si="62"/>
        <v>-1.0611131997504237</v>
      </c>
      <c r="W213">
        <f t="shared" si="63"/>
        <v>-0.33015789296764531</v>
      </c>
      <c r="X213">
        <f t="shared" si="64"/>
        <v>0.32477806190972408</v>
      </c>
      <c r="Y213">
        <f t="shared" si="65"/>
        <v>-0.48921376772357966</v>
      </c>
      <c r="Z213">
        <f t="shared" si="66"/>
        <v>1.5557067985319228</v>
      </c>
      <c r="AA213">
        <f t="shared" si="67"/>
        <v>1.5557067985319228</v>
      </c>
      <c r="AB213">
        <f>IFERROR(V144+MATCH(AA213,V213:Z213,0)-1,"")</f>
        <v>2016</v>
      </c>
      <c r="AC213" t="str">
        <f t="shared" si="68"/>
        <v>High</v>
      </c>
      <c r="AE213">
        <f>IF(ISNUMBER(MATCH("N/A",J213:N213,0)),"",IFERROR((5 * SUMPRODUCT(J144:N144,J213:N213) - PRODUCT(SUM(J144:N144),SUM(J213:N213))) / ((5 * SUM((J144^2)+(K144^2)+(L144^2)+(M144^2)+(N144^2))) - SUM(J144:N144)^2),""))</f>
        <v>8678000</v>
      </c>
      <c r="AF213">
        <f>IFERROR(CORREL(J144:N144,J213:N213),"")</f>
        <v>0.80236220015205062</v>
      </c>
      <c r="AZ213">
        <f t="shared" si="69"/>
        <v>1</v>
      </c>
      <c r="BA213" t="str">
        <f>IF(AZ213=1,IF(Q213="","",IF(Q213=N144,"Yes","No")),"")</f>
        <v>Yes</v>
      </c>
      <c r="BB213">
        <f t="shared" si="70"/>
        <v>300810000</v>
      </c>
      <c r="BC213" t="str">
        <f>IF(AZ213=1,IF(S213="","",IF(S213=N144,"Yes","No")),"")</f>
        <v>No</v>
      </c>
      <c r="BD213" t="str">
        <f t="shared" si="71"/>
        <v/>
      </c>
      <c r="BE213" t="str">
        <f t="shared" si="72"/>
        <v>Increasing</v>
      </c>
      <c r="BF213" t="str">
        <f t="shared" si="73"/>
        <v>Yes</v>
      </c>
      <c r="BG213" t="str">
        <f t="shared" si="74"/>
        <v>No</v>
      </c>
      <c r="BH213" t="str">
        <f t="shared" si="75"/>
        <v>Yes</v>
      </c>
    </row>
    <row r="214" spans="1:60" x14ac:dyDescent="0.3">
      <c r="A214" s="1">
        <v>8</v>
      </c>
      <c r="B214" t="s">
        <v>510</v>
      </c>
      <c r="C214" t="s">
        <v>2001</v>
      </c>
      <c r="D214" t="s">
        <v>2002</v>
      </c>
      <c r="E214" t="s">
        <v>2003</v>
      </c>
      <c r="F214" t="s">
        <v>2004</v>
      </c>
      <c r="G214" t="s">
        <v>1915</v>
      </c>
      <c r="I214" t="str">
        <f t="shared" si="52"/>
        <v>N/A</v>
      </c>
      <c r="J214">
        <f t="shared" si="53"/>
        <v>-2860000</v>
      </c>
      <c r="K214">
        <f t="shared" si="54"/>
        <v>-3440000</v>
      </c>
      <c r="L214">
        <f t="shared" si="55"/>
        <v>-3870000</v>
      </c>
      <c r="M214">
        <f t="shared" si="56"/>
        <v>-4090000</v>
      </c>
      <c r="N214">
        <f t="shared" si="57"/>
        <v>-3990000</v>
      </c>
      <c r="P214">
        <f t="shared" si="58"/>
        <v>-2860000</v>
      </c>
      <c r="Q214">
        <f>IFERROR(J144+MATCH(P214,J214:N214,0)-1,"")</f>
        <v>2012</v>
      </c>
      <c r="R214">
        <f t="shared" si="59"/>
        <v>-4090000</v>
      </c>
      <c r="S214">
        <f>IFERROR(J144+MATCH(R214,J214:N214,0)-1,"")</f>
        <v>2015</v>
      </c>
      <c r="T214">
        <f t="shared" si="60"/>
        <v>-3650000</v>
      </c>
      <c r="U214">
        <f t="shared" si="61"/>
        <v>506408.92567173421</v>
      </c>
      <c r="V214">
        <f t="shared" si="62"/>
        <v>1.5600040993592124</v>
      </c>
      <c r="W214">
        <f t="shared" si="63"/>
        <v>0.41468463400687922</v>
      </c>
      <c r="X214">
        <f t="shared" si="64"/>
        <v>-0.43443152134054014</v>
      </c>
      <c r="Y214">
        <f t="shared" si="65"/>
        <v>-0.86886304268108028</v>
      </c>
      <c r="Z214">
        <f t="shared" si="66"/>
        <v>-0.67139416934447116</v>
      </c>
      <c r="AA214">
        <f t="shared" si="67"/>
        <v>1.5600040993592124</v>
      </c>
      <c r="AB214">
        <f>IFERROR(V144+MATCH(AA214,V214:Z214,0)-1,"")</f>
        <v>2012</v>
      </c>
      <c r="AC214" t="str">
        <f t="shared" si="68"/>
        <v>High</v>
      </c>
      <c r="AE214">
        <f>IF(ISNUMBER(MATCH("N/A",J214:N214,0)),"",IFERROR((5 * SUMPRODUCT(J144:N144,J214:N214) - PRODUCT(SUM(J144:N144),SUM(J214:N214))) / ((5 * SUM((J144^2)+(K144^2)+(L144^2)+(M144^2)+(N144^2))) - SUM(J144:N144)^2),""))</f>
        <v>-291000</v>
      </c>
      <c r="AF214">
        <f>IFERROR(CORREL(J144:N144,J214:N214),"")</f>
        <v>-0.90857679679357373</v>
      </c>
      <c r="AZ214">
        <f t="shared" si="69"/>
        <v>1</v>
      </c>
      <c r="BA214" t="str">
        <f>IF(AZ214=1,IF(Q214="","",IF(Q214=N144,"Yes","No")),"")</f>
        <v>No</v>
      </c>
      <c r="BB214" t="str">
        <f t="shared" si="70"/>
        <v/>
      </c>
      <c r="BC214" t="str">
        <f>IF(AZ214=1,IF(S214="","",IF(S214=N144,"Yes","No")),"")</f>
        <v>No</v>
      </c>
      <c r="BD214" t="str">
        <f t="shared" si="71"/>
        <v/>
      </c>
      <c r="BE214" t="str">
        <f t="shared" si="72"/>
        <v>Decreasing</v>
      </c>
      <c r="BF214" t="str">
        <f t="shared" si="73"/>
        <v>No</v>
      </c>
      <c r="BG214" t="str">
        <f t="shared" si="74"/>
        <v>No</v>
      </c>
      <c r="BH214" t="str">
        <f t="shared" si="75"/>
        <v>Yes</v>
      </c>
    </row>
    <row r="215" spans="1:60" x14ac:dyDescent="0.3">
      <c r="A215" s="1">
        <v>9</v>
      </c>
      <c r="B215" t="s">
        <v>516</v>
      </c>
      <c r="C215" t="s">
        <v>264</v>
      </c>
      <c r="D215" t="s">
        <v>264</v>
      </c>
      <c r="E215" t="s">
        <v>264</v>
      </c>
      <c r="F215" t="s">
        <v>264</v>
      </c>
      <c r="G215" t="s">
        <v>264</v>
      </c>
      <c r="I215" t="str">
        <f t="shared" si="52"/>
        <v>N/A</v>
      </c>
      <c r="J215" t="str">
        <f t="shared" si="53"/>
        <v>N/A</v>
      </c>
      <c r="K215" t="str">
        <f t="shared" si="54"/>
        <v>N/A</v>
      </c>
      <c r="L215" t="str">
        <f t="shared" si="55"/>
        <v>N/A</v>
      </c>
      <c r="M215" t="str">
        <f t="shared" si="56"/>
        <v>N/A</v>
      </c>
      <c r="N215" t="str">
        <f t="shared" si="57"/>
        <v>N/A</v>
      </c>
      <c r="P215">
        <f t="shared" si="58"/>
        <v>0</v>
      </c>
      <c r="Q215" t="str">
        <f>IFERROR(J144+MATCH(P215,J215:N215,0)-1,"")</f>
        <v/>
      </c>
      <c r="R215" t="str">
        <f t="shared" si="59"/>
        <v/>
      </c>
      <c r="S215" t="str">
        <f>IFERROR(J144+MATCH(R215,J215:N215,0)-1,"")</f>
        <v/>
      </c>
      <c r="T215" t="str">
        <f t="shared" si="60"/>
        <v/>
      </c>
      <c r="U215" t="str">
        <f t="shared" si="61"/>
        <v/>
      </c>
      <c r="V215" t="str">
        <f t="shared" si="62"/>
        <v/>
      </c>
      <c r="W215" t="str">
        <f t="shared" si="63"/>
        <v/>
      </c>
      <c r="X215" t="str">
        <f t="shared" si="64"/>
        <v/>
      </c>
      <c r="Y215" t="str">
        <f t="shared" si="65"/>
        <v/>
      </c>
      <c r="Z215" t="str">
        <f t="shared" si="66"/>
        <v/>
      </c>
      <c r="AA215">
        <f t="shared" si="67"/>
        <v>0</v>
      </c>
      <c r="AB215" t="str">
        <f>IFERROR(V144+MATCH(AA215,V215:Z215,0)-1,"")</f>
        <v/>
      </c>
      <c r="AC215" t="str">
        <f t="shared" si="68"/>
        <v/>
      </c>
      <c r="AE215" t="str">
        <f>IF(ISNUMBER(MATCH("N/A",J215:N215,0)),"",IFERROR((5 * SUMPRODUCT(J144:N144,J215:N215) - PRODUCT(SUM(J144:N144),SUM(J215:N215))) / ((5 * SUM((J144^2)+(K144^2)+(L144^2)+(M144^2)+(N144^2))) - SUM(J144:N144)^2),""))</f>
        <v/>
      </c>
      <c r="AF215" t="str">
        <f>IFERROR(CORREL(J144:N144,J215:N215),"")</f>
        <v/>
      </c>
      <c r="AZ215">
        <f t="shared" si="69"/>
        <v>0</v>
      </c>
      <c r="BA215" t="str">
        <f>IF(AZ215=1,IF(Q215="","",IF(Q215=N144,"Yes","No")),"")</f>
        <v/>
      </c>
      <c r="BB215" t="str">
        <f t="shared" si="70"/>
        <v/>
      </c>
      <c r="BC215" t="str">
        <f>IF(AZ215=1,IF(S215="","",IF(S215=N144,"Yes","No")),"")</f>
        <v/>
      </c>
      <c r="BD215" t="str">
        <f t="shared" si="71"/>
        <v/>
      </c>
      <c r="BE215" t="str">
        <f t="shared" si="72"/>
        <v/>
      </c>
      <c r="BF215" t="str">
        <f t="shared" si="73"/>
        <v>No</v>
      </c>
      <c r="BG215" t="str">
        <f t="shared" si="74"/>
        <v>No</v>
      </c>
      <c r="BH215" t="str">
        <f t="shared" si="75"/>
        <v/>
      </c>
    </row>
    <row r="216" spans="1:60" x14ac:dyDescent="0.3">
      <c r="A216" s="1">
        <v>10</v>
      </c>
      <c r="B216" t="s">
        <v>519</v>
      </c>
      <c r="C216" t="s">
        <v>264</v>
      </c>
      <c r="D216" t="s">
        <v>2005</v>
      </c>
      <c r="E216" t="s">
        <v>2006</v>
      </c>
      <c r="F216" t="s">
        <v>2007</v>
      </c>
      <c r="G216" t="s">
        <v>2008</v>
      </c>
      <c r="I216" t="str">
        <f t="shared" si="52"/>
        <v>N/A</v>
      </c>
      <c r="J216" t="str">
        <f t="shared" si="53"/>
        <v>N/A</v>
      </c>
      <c r="K216">
        <f t="shared" si="54"/>
        <v>4.7100000000000003E-2</v>
      </c>
      <c r="L216">
        <f t="shared" si="55"/>
        <v>4.0599999999999997E-2</v>
      </c>
      <c r="M216">
        <f t="shared" si="56"/>
        <v>-5.1200000000000002E-2</v>
      </c>
      <c r="N216">
        <f t="shared" si="57"/>
        <v>0.13390000000000002</v>
      </c>
      <c r="P216">
        <f t="shared" si="58"/>
        <v>0.13390000000000002</v>
      </c>
      <c r="Q216">
        <f>IFERROR(J144+MATCH(P216,J216:N216,0)-1,"")</f>
        <v>2016</v>
      </c>
      <c r="R216">
        <f t="shared" si="59"/>
        <v>-5.1200000000000002E-2</v>
      </c>
      <c r="S216">
        <f>IFERROR(J144+MATCH(R216,J216:N216,0)-1,"")</f>
        <v>2015</v>
      </c>
      <c r="T216">
        <f t="shared" si="60"/>
        <v>4.2600000000000006E-2</v>
      </c>
      <c r="U216">
        <f t="shared" si="61"/>
        <v>7.5627111540769551E-2</v>
      </c>
      <c r="V216" t="str">
        <f t="shared" si="62"/>
        <v/>
      </c>
      <c r="W216">
        <f t="shared" si="63"/>
        <v>5.9502470851000411E-2</v>
      </c>
      <c r="X216">
        <f t="shared" si="64"/>
        <v>-2.6445542600444759E-2</v>
      </c>
      <c r="Y216">
        <f t="shared" si="65"/>
        <v>-1.240295947960854</v>
      </c>
      <c r="Z216">
        <f t="shared" si="66"/>
        <v>1.2072390197102982</v>
      </c>
      <c r="AA216">
        <f t="shared" si="67"/>
        <v>-1.240295947960854</v>
      </c>
      <c r="AB216">
        <f>IFERROR(V144+MATCH(AA216,V216:Z216,0)-1,"")</f>
        <v>2015</v>
      </c>
      <c r="AC216" t="str">
        <f t="shared" si="68"/>
        <v>Low</v>
      </c>
      <c r="AE216" t="str">
        <f>IF(ISNUMBER(MATCH("N/A",J216:N216,0)),"",IFERROR((5 * SUMPRODUCT(J144:N144,J216:N216) - PRODUCT(SUM(J144:N144),SUM(J216:N216))) / ((5 * SUM((J144^2)+(K144^2)+(L144^2)+(M144^2)+(N144^2))) - SUM(J144:N144)^2),""))</f>
        <v/>
      </c>
      <c r="AF216">
        <f>IFERROR(CORREL(J144:N144,J216:N216),"")</f>
        <v>0.28780904046496386</v>
      </c>
      <c r="AZ216">
        <f t="shared" si="69"/>
        <v>1</v>
      </c>
      <c r="BA216" t="str">
        <f>IF(AZ216=1,IF(Q216="","",IF(Q216=N144,"Yes","No")),"")</f>
        <v>Yes</v>
      </c>
      <c r="BB216">
        <f t="shared" si="70"/>
        <v>0.13390000000000002</v>
      </c>
      <c r="BC216" t="str">
        <f>IF(AZ216=1,IF(S216="","",IF(S216=N144,"Yes","No")),"")</f>
        <v>No</v>
      </c>
      <c r="BD216" t="str">
        <f t="shared" si="71"/>
        <v/>
      </c>
      <c r="BE216" t="str">
        <f t="shared" si="72"/>
        <v/>
      </c>
      <c r="BF216" t="str">
        <f t="shared" si="73"/>
        <v>No</v>
      </c>
      <c r="BG216" t="str">
        <f t="shared" si="74"/>
        <v>No</v>
      </c>
      <c r="BH216" t="str">
        <f t="shared" si="75"/>
        <v>No</v>
      </c>
    </row>
    <row r="217" spans="1:60" x14ac:dyDescent="0.3">
      <c r="A217" s="1">
        <v>11</v>
      </c>
      <c r="B217" t="s">
        <v>524</v>
      </c>
      <c r="C217" t="s">
        <v>2009</v>
      </c>
      <c r="D217" t="s">
        <v>2010</v>
      </c>
      <c r="E217" t="s">
        <v>2011</v>
      </c>
      <c r="F217" t="s">
        <v>2012</v>
      </c>
      <c r="G217" t="s">
        <v>2013</v>
      </c>
      <c r="I217" t="str">
        <f t="shared" si="52"/>
        <v>N/A</v>
      </c>
      <c r="J217">
        <f t="shared" si="53"/>
        <v>4.8600000000000003</v>
      </c>
      <c r="K217">
        <f t="shared" si="54"/>
        <v>4.1100000000000003</v>
      </c>
      <c r="L217">
        <f t="shared" si="55"/>
        <v>4.58</v>
      </c>
      <c r="M217">
        <f t="shared" si="56"/>
        <v>4.5599999999999996</v>
      </c>
      <c r="N217">
        <f t="shared" si="57"/>
        <v>4.1500000000000004</v>
      </c>
      <c r="P217">
        <f t="shared" si="58"/>
        <v>4.8600000000000003</v>
      </c>
      <c r="Q217">
        <f>IFERROR(J144+MATCH(P217,J217:N217,0)-1,"")</f>
        <v>2012</v>
      </c>
      <c r="R217">
        <f t="shared" si="59"/>
        <v>4.1100000000000003</v>
      </c>
      <c r="S217">
        <f>IFERROR(J144+MATCH(R217,J217:N217,0)-1,"")</f>
        <v>2013</v>
      </c>
      <c r="T217">
        <f t="shared" si="60"/>
        <v>4.452</v>
      </c>
      <c r="U217">
        <f t="shared" si="61"/>
        <v>0.31728536051951706</v>
      </c>
      <c r="V217">
        <f t="shared" si="62"/>
        <v>1.2859086827452388</v>
      </c>
      <c r="W217">
        <f t="shared" si="63"/>
        <v>-1.0778940428893893</v>
      </c>
      <c r="X217">
        <f t="shared" si="64"/>
        <v>0.40342233184164356</v>
      </c>
      <c r="Y217">
        <f t="shared" si="65"/>
        <v>0.34038759249138534</v>
      </c>
      <c r="Z217">
        <f t="shared" si="66"/>
        <v>-0.95182456418887562</v>
      </c>
      <c r="AA217">
        <f t="shared" si="67"/>
        <v>1.2859086827452388</v>
      </c>
      <c r="AB217">
        <f>IFERROR(V144+MATCH(AA217,V217:Z217,0)-1,"")</f>
        <v>2012</v>
      </c>
      <c r="AC217" t="str">
        <f t="shared" si="68"/>
        <v>High</v>
      </c>
      <c r="AE217">
        <f>IF(ISNUMBER(MATCH("N/A",J217:N217,0)),"",IFERROR((5 * SUMPRODUCT(J144:N144,J217:N217) - PRODUCT(SUM(J144:N144),SUM(J217:N217))) / ((5 * SUM((J144^2)+(K144^2)+(L144^2)+(M144^2)+(N144^2))) - SUM(J144:N144)^2),""))</f>
        <v>-9.6999999998952258E-2</v>
      </c>
      <c r="AF217">
        <f>IFERROR(CORREL(J144:N144,J217:N217),"")</f>
        <v>-0.48338336904999513</v>
      </c>
      <c r="AZ217">
        <f t="shared" si="69"/>
        <v>1</v>
      </c>
      <c r="BA217" t="str">
        <f>IF(AZ217=1,IF(Q217="","",IF(Q217=N144,"Yes","No")),"")</f>
        <v>No</v>
      </c>
      <c r="BB217" t="str">
        <f t="shared" si="70"/>
        <v/>
      </c>
      <c r="BC217" t="str">
        <f>IF(AZ217=1,IF(S217="","",IF(S217=N144,"Yes","No")),"")</f>
        <v>No</v>
      </c>
      <c r="BD217" t="str">
        <f t="shared" si="71"/>
        <v/>
      </c>
      <c r="BE217" t="str">
        <f t="shared" si="72"/>
        <v>Decreasing</v>
      </c>
      <c r="BF217" t="str">
        <f t="shared" si="73"/>
        <v>No</v>
      </c>
      <c r="BG217" t="str">
        <f t="shared" si="74"/>
        <v>No</v>
      </c>
      <c r="BH217" t="str">
        <f t="shared" si="75"/>
        <v>No</v>
      </c>
    </row>
    <row r="218" spans="1:60" x14ac:dyDescent="0.3">
      <c r="A218" s="1">
        <v>12</v>
      </c>
      <c r="B218" t="s">
        <v>530</v>
      </c>
      <c r="C218" t="s">
        <v>2014</v>
      </c>
      <c r="D218" t="s">
        <v>2015</v>
      </c>
      <c r="E218" t="s">
        <v>2016</v>
      </c>
      <c r="F218" t="s">
        <v>2017</v>
      </c>
      <c r="G218" t="s">
        <v>2018</v>
      </c>
      <c r="I218" t="str">
        <f t="shared" si="52"/>
        <v>N/A</v>
      </c>
      <c r="J218">
        <f t="shared" si="53"/>
        <v>226220000</v>
      </c>
      <c r="K218">
        <f t="shared" si="54"/>
        <v>211250000</v>
      </c>
      <c r="L218">
        <f t="shared" si="55"/>
        <v>212040000</v>
      </c>
      <c r="M218">
        <f t="shared" si="56"/>
        <v>208610000</v>
      </c>
      <c r="N218">
        <f t="shared" si="57"/>
        <v>227760000</v>
      </c>
      <c r="P218">
        <f t="shared" si="58"/>
        <v>227760000</v>
      </c>
      <c r="Q218">
        <f>IFERROR(J144+MATCH(P218,J218:N218,0)-1,"")</f>
        <v>2016</v>
      </c>
      <c r="R218">
        <f t="shared" si="59"/>
        <v>208610000</v>
      </c>
      <c r="S218">
        <f>IFERROR(J144+MATCH(R218,J218:N218,0)-1,"")</f>
        <v>2015</v>
      </c>
      <c r="T218">
        <f t="shared" si="60"/>
        <v>217176000</v>
      </c>
      <c r="U218">
        <f t="shared" si="61"/>
        <v>9064867.8975482043</v>
      </c>
      <c r="V218">
        <f t="shared" si="62"/>
        <v>0.99769793693807185</v>
      </c>
      <c r="W218">
        <f t="shared" si="63"/>
        <v>-0.65373263758237654</v>
      </c>
      <c r="X218">
        <f t="shared" si="64"/>
        <v>-0.5665829947052119</v>
      </c>
      <c r="Y218">
        <f t="shared" si="65"/>
        <v>-0.94496688719720512</v>
      </c>
      <c r="Z218">
        <f t="shared" si="66"/>
        <v>1.1675845825467219</v>
      </c>
      <c r="AA218">
        <f t="shared" si="67"/>
        <v>1.1675845825467219</v>
      </c>
      <c r="AB218">
        <f>IFERROR(V144+MATCH(AA218,V218:Z218,0)-1,"")</f>
        <v>2016</v>
      </c>
      <c r="AC218" t="str">
        <f t="shared" si="68"/>
        <v>High</v>
      </c>
      <c r="AE218">
        <f>IF(ISNUMBER(MATCH("N/A",J218:N218,0)),"",IFERROR((5 * SUMPRODUCT(J144:N144,J218:N218) - PRODUCT(SUM(J144:N144),SUM(J218:N218))) / ((5 * SUM((J144^2)+(K144^2)+(L144^2)+(M144^2)+(N144^2))) - SUM(J144:N144)^2),""))</f>
        <v>44000</v>
      </c>
      <c r="AF218">
        <f>IFERROR(CORREL(J144:N144,J218:N218),"")</f>
        <v>7.6746963452739483E-3</v>
      </c>
      <c r="AZ218">
        <f t="shared" si="69"/>
        <v>1</v>
      </c>
      <c r="BA218" t="str">
        <f>IF(AZ218=1,IF(Q218="","",IF(Q218=N144,"Yes","No")),"")</f>
        <v>Yes</v>
      </c>
      <c r="BB218">
        <f t="shared" si="70"/>
        <v>227760000</v>
      </c>
      <c r="BC218" t="str">
        <f>IF(AZ218=1,IF(S218="","",IF(S218=N144,"Yes","No")),"")</f>
        <v>No</v>
      </c>
      <c r="BD218" t="str">
        <f t="shared" si="71"/>
        <v/>
      </c>
      <c r="BE218" t="str">
        <f t="shared" si="72"/>
        <v>Increasing</v>
      </c>
      <c r="BF218" t="str">
        <f t="shared" si="73"/>
        <v>Yes</v>
      </c>
      <c r="BG218" t="str">
        <f t="shared" si="74"/>
        <v>No</v>
      </c>
      <c r="BH218" t="str">
        <f t="shared" si="75"/>
        <v>No</v>
      </c>
    </row>
    <row r="219" spans="1:60" x14ac:dyDescent="0.3">
      <c r="A219" s="1">
        <v>13</v>
      </c>
      <c r="B219" t="s">
        <v>535</v>
      </c>
      <c r="C219" t="s">
        <v>2019</v>
      </c>
      <c r="D219" t="s">
        <v>2020</v>
      </c>
      <c r="E219" t="s">
        <v>2021</v>
      </c>
      <c r="F219" t="s">
        <v>2022</v>
      </c>
      <c r="G219" t="s">
        <v>2023</v>
      </c>
      <c r="I219" t="str">
        <f t="shared" si="52"/>
        <v>neg_trend</v>
      </c>
      <c r="J219">
        <f t="shared" si="53"/>
        <v>126140000</v>
      </c>
      <c r="K219">
        <f t="shared" si="54"/>
        <v>85030000</v>
      </c>
      <c r="L219">
        <f t="shared" si="55"/>
        <v>83910000</v>
      </c>
      <c r="M219">
        <f t="shared" si="56"/>
        <v>76840000</v>
      </c>
      <c r="N219">
        <f t="shared" si="57"/>
        <v>71100000</v>
      </c>
      <c r="P219">
        <f t="shared" si="58"/>
        <v>126140000</v>
      </c>
      <c r="Q219">
        <f>IFERROR(J144+MATCH(P219,J219:N219,0)-1,"")</f>
        <v>2012</v>
      </c>
      <c r="R219">
        <f t="shared" si="59"/>
        <v>71100000</v>
      </c>
      <c r="S219">
        <f>IFERROR(J144+MATCH(R219,J219:N219,0)-1,"")</f>
        <v>2016</v>
      </c>
      <c r="T219">
        <f t="shared" si="60"/>
        <v>88604000</v>
      </c>
      <c r="U219">
        <f t="shared" si="61"/>
        <v>21728668.389940511</v>
      </c>
      <c r="V219">
        <f t="shared" si="62"/>
        <v>1.7274873603104752</v>
      </c>
      <c r="W219">
        <f t="shared" si="63"/>
        <v>-0.16448315818812975</v>
      </c>
      <c r="X219">
        <f t="shared" si="64"/>
        <v>-0.21602796433550114</v>
      </c>
      <c r="Y219">
        <f t="shared" si="65"/>
        <v>-0.54140455314078306</v>
      </c>
      <c r="Z219">
        <f t="shared" si="66"/>
        <v>-0.80557168464606144</v>
      </c>
      <c r="AA219">
        <f t="shared" si="67"/>
        <v>1.7274873603104752</v>
      </c>
      <c r="AB219">
        <f>IFERROR(V144+MATCH(AA219,V219:Z219,0)-1,"")</f>
        <v>2012</v>
      </c>
      <c r="AC219" t="str">
        <f t="shared" si="68"/>
        <v>High</v>
      </c>
      <c r="AE219">
        <f>IF(ISNUMBER(MATCH("N/A",J219:N219,0)),"",IFERROR((5 * SUMPRODUCT(J144:N144,J219:N219) - PRODUCT(SUM(J144:N144),SUM(J219:N219))) / ((5 * SUM((J144^2)+(K144^2)+(L144^2)+(M144^2)+(N144^2))) - SUM(J144:N144)^2),""))</f>
        <v>-11827000</v>
      </c>
      <c r="AF219">
        <f>IFERROR(CORREL(J144:N144,J219:N219),"")</f>
        <v>-0.86062010832026448</v>
      </c>
      <c r="AZ219">
        <f t="shared" si="69"/>
        <v>1</v>
      </c>
      <c r="BA219" t="str">
        <f>IF(AZ219=1,IF(Q219="","",IF(Q219=N144,"Yes","No")),"")</f>
        <v>No</v>
      </c>
      <c r="BB219" t="str">
        <f t="shared" si="70"/>
        <v/>
      </c>
      <c r="BC219" t="str">
        <f>IF(AZ219=1,IF(S219="","",IF(S219=N144,"Yes","No")),"")</f>
        <v>Yes</v>
      </c>
      <c r="BD219">
        <f t="shared" si="71"/>
        <v>71100000</v>
      </c>
      <c r="BE219" t="str">
        <f t="shared" si="72"/>
        <v>Decreasing</v>
      </c>
      <c r="BF219" t="str">
        <f t="shared" si="73"/>
        <v>Yes</v>
      </c>
      <c r="BG219" t="str">
        <f t="shared" si="74"/>
        <v>No</v>
      </c>
      <c r="BH219" t="str">
        <f t="shared" si="75"/>
        <v>Yes</v>
      </c>
    </row>
    <row r="220" spans="1:60" x14ac:dyDescent="0.3">
      <c r="A220" s="1">
        <v>14</v>
      </c>
      <c r="B220" t="s">
        <v>536</v>
      </c>
      <c r="C220" t="s">
        <v>2024</v>
      </c>
      <c r="D220" t="s">
        <v>2025</v>
      </c>
      <c r="E220" t="s">
        <v>1361</v>
      </c>
      <c r="F220" t="s">
        <v>2026</v>
      </c>
      <c r="G220" t="s">
        <v>2027</v>
      </c>
      <c r="I220" t="str">
        <f t="shared" si="52"/>
        <v>N/A</v>
      </c>
      <c r="J220">
        <f t="shared" si="53"/>
        <v>56190000</v>
      </c>
      <c r="K220">
        <f t="shared" si="54"/>
        <v>71980000</v>
      </c>
      <c r="L220">
        <f t="shared" si="55"/>
        <v>79560000</v>
      </c>
      <c r="M220">
        <f t="shared" si="56"/>
        <v>77060000</v>
      </c>
      <c r="N220">
        <f t="shared" si="57"/>
        <v>98250000</v>
      </c>
      <c r="P220">
        <f t="shared" si="58"/>
        <v>98250000</v>
      </c>
      <c r="Q220">
        <f>IFERROR(J144+MATCH(P220,J220:N220,0)-1,"")</f>
        <v>2016</v>
      </c>
      <c r="R220">
        <f t="shared" si="59"/>
        <v>56190000</v>
      </c>
      <c r="S220">
        <f>IFERROR(J144+MATCH(R220,J220:N220,0)-1,"")</f>
        <v>2012</v>
      </c>
      <c r="T220">
        <f t="shared" si="60"/>
        <v>76608000</v>
      </c>
      <c r="U220">
        <f t="shared" si="61"/>
        <v>15129506.601340309</v>
      </c>
      <c r="V220">
        <f t="shared" si="62"/>
        <v>-1.3495483057055666</v>
      </c>
      <c r="W220">
        <f t="shared" si="63"/>
        <v>-0.30589232827923218</v>
      </c>
      <c r="X220">
        <f t="shared" si="64"/>
        <v>0.19511541769237109</v>
      </c>
      <c r="Y220">
        <f t="shared" si="65"/>
        <v>2.9875395933926737E-2</v>
      </c>
      <c r="Z220">
        <f t="shared" si="66"/>
        <v>1.430449820358501</v>
      </c>
      <c r="AA220">
        <f t="shared" si="67"/>
        <v>1.430449820358501</v>
      </c>
      <c r="AB220">
        <f>IFERROR(V144+MATCH(AA220,V220:Z220,0)-1,"")</f>
        <v>2016</v>
      </c>
      <c r="AC220" t="str">
        <f t="shared" si="68"/>
        <v>High</v>
      </c>
      <c r="AE220">
        <f>IF(ISNUMBER(MATCH("N/A",J220:N220,0)),"",IFERROR((5 * SUMPRODUCT(J144:N144,J220:N220) - PRODUCT(SUM(J144:N144),SUM(J220:N220))) / ((5 * SUM((J144^2)+(K144^2)+(L144^2)+(M144^2)+(N144^2))) - SUM(J144:N144)^2),""))</f>
        <v>8920000</v>
      </c>
      <c r="AF220">
        <f>IFERROR(CORREL(J144:N144,J220:N220),"")</f>
        <v>0.93220213560047827</v>
      </c>
      <c r="AZ220">
        <f t="shared" si="69"/>
        <v>1</v>
      </c>
      <c r="BA220" t="str">
        <f>IF(AZ220=1,IF(Q220="","",IF(Q220=N144,"Yes","No")),"")</f>
        <v>Yes</v>
      </c>
      <c r="BB220">
        <f t="shared" si="70"/>
        <v>98250000</v>
      </c>
      <c r="BC220" t="str">
        <f>IF(AZ220=1,IF(S220="","",IF(S220=N144,"Yes","No")),"")</f>
        <v>No</v>
      </c>
      <c r="BD220" t="str">
        <f t="shared" si="71"/>
        <v/>
      </c>
      <c r="BE220" t="str">
        <f t="shared" si="72"/>
        <v>Increasing</v>
      </c>
      <c r="BF220" t="str">
        <f t="shared" si="73"/>
        <v>Yes</v>
      </c>
      <c r="BG220" t="str">
        <f t="shared" si="74"/>
        <v>No</v>
      </c>
      <c r="BH220" t="str">
        <f t="shared" si="75"/>
        <v>Yes</v>
      </c>
    </row>
    <row r="221" spans="1:60" x14ac:dyDescent="0.3">
      <c r="A221" s="1">
        <v>15</v>
      </c>
      <c r="B221" t="s">
        <v>537</v>
      </c>
      <c r="C221" t="s">
        <v>2028</v>
      </c>
      <c r="D221" t="s">
        <v>2029</v>
      </c>
      <c r="E221" t="s">
        <v>2030</v>
      </c>
      <c r="F221" t="s">
        <v>2031</v>
      </c>
      <c r="G221" t="s">
        <v>2032</v>
      </c>
      <c r="I221" t="str">
        <f t="shared" si="52"/>
        <v>N/A</v>
      </c>
      <c r="J221">
        <f t="shared" si="53"/>
        <v>43900000</v>
      </c>
      <c r="K221">
        <f t="shared" si="54"/>
        <v>54230000</v>
      </c>
      <c r="L221">
        <f t="shared" si="55"/>
        <v>48580000</v>
      </c>
      <c r="M221">
        <f t="shared" si="56"/>
        <v>54710000</v>
      </c>
      <c r="N221">
        <f t="shared" si="57"/>
        <v>58410000</v>
      </c>
      <c r="P221">
        <f t="shared" si="58"/>
        <v>58410000</v>
      </c>
      <c r="Q221">
        <f>IFERROR(J144+MATCH(P221,J221:N221,0)-1,"")</f>
        <v>2016</v>
      </c>
      <c r="R221">
        <f t="shared" si="59"/>
        <v>43900000</v>
      </c>
      <c r="S221">
        <f>IFERROR(J144+MATCH(R221,J221:N221,0)-1,"")</f>
        <v>2012</v>
      </c>
      <c r="T221">
        <f t="shared" si="60"/>
        <v>51966000</v>
      </c>
      <c r="U221">
        <f t="shared" si="61"/>
        <v>5716330.1164295962</v>
      </c>
      <c r="V221">
        <f t="shared" si="62"/>
        <v>-1.4110451698401913</v>
      </c>
      <c r="W221">
        <f t="shared" si="63"/>
        <v>0.39605830207267456</v>
      </c>
      <c r="X221">
        <f t="shared" si="64"/>
        <v>-0.59233807898324919</v>
      </c>
      <c r="Y221">
        <f t="shared" si="65"/>
        <v>0.48002826010928401</v>
      </c>
      <c r="Z221">
        <f t="shared" si="66"/>
        <v>1.1272966866414817</v>
      </c>
      <c r="AA221">
        <f t="shared" si="67"/>
        <v>-1.4110451698401913</v>
      </c>
      <c r="AB221">
        <f>IFERROR(V144+MATCH(AA221,V221:Z221,0)-1,"")</f>
        <v>2012</v>
      </c>
      <c r="AC221" t="str">
        <f t="shared" si="68"/>
        <v>Low</v>
      </c>
      <c r="AE221">
        <f>IF(ISNUMBER(MATCH("N/A",J221:N221,0)),"",IFERROR((5 * SUMPRODUCT(J144:N144,J221:N221) - PRODUCT(SUM(J144:N144),SUM(J221:N221))) / ((5 * SUM((J144^2)+(K144^2)+(L144^2)+(M144^2)+(N144^2))) - SUM(J144:N144)^2),""))</f>
        <v>2950000</v>
      </c>
      <c r="AF221">
        <f>IFERROR(CORREL(J144:N144,J221:N221),"")</f>
        <v>0.81597099078345492</v>
      </c>
      <c r="AZ221">
        <f t="shared" si="69"/>
        <v>1</v>
      </c>
      <c r="BA221" t="str">
        <f>IF(AZ221=1,IF(Q221="","",IF(Q221=N144,"Yes","No")),"")</f>
        <v>Yes</v>
      </c>
      <c r="BB221">
        <f t="shared" si="70"/>
        <v>58410000</v>
      </c>
      <c r="BC221" t="str">
        <f>IF(AZ221=1,IF(S221="","",IF(S221=N144,"Yes","No")),"")</f>
        <v>No</v>
      </c>
      <c r="BD221" t="str">
        <f t="shared" si="71"/>
        <v/>
      </c>
      <c r="BE221" t="str">
        <f t="shared" si="72"/>
        <v>Increasing</v>
      </c>
      <c r="BF221" t="str">
        <f t="shared" si="73"/>
        <v>Yes</v>
      </c>
      <c r="BG221" t="str">
        <f t="shared" si="74"/>
        <v>No</v>
      </c>
      <c r="BH221" t="str">
        <f t="shared" si="75"/>
        <v>Yes</v>
      </c>
    </row>
    <row r="222" spans="1:60" x14ac:dyDescent="0.3">
      <c r="A222" s="1">
        <v>16</v>
      </c>
      <c r="B222" t="s">
        <v>538</v>
      </c>
      <c r="C222" t="s">
        <v>264</v>
      </c>
      <c r="D222" t="s">
        <v>264</v>
      </c>
      <c r="E222" t="s">
        <v>264</v>
      </c>
      <c r="F222" t="s">
        <v>264</v>
      </c>
      <c r="G222" t="s">
        <v>264</v>
      </c>
      <c r="I222" t="str">
        <f t="shared" si="52"/>
        <v>N/A</v>
      </c>
      <c r="J222" t="str">
        <f t="shared" si="53"/>
        <v>N/A</v>
      </c>
      <c r="K222" t="str">
        <f t="shared" si="54"/>
        <v>N/A</v>
      </c>
      <c r="L222" t="str">
        <f t="shared" si="55"/>
        <v>N/A</v>
      </c>
      <c r="M222" t="str">
        <f t="shared" si="56"/>
        <v>N/A</v>
      </c>
      <c r="N222" t="str">
        <f t="shared" si="57"/>
        <v>N/A</v>
      </c>
      <c r="P222">
        <f t="shared" si="58"/>
        <v>0</v>
      </c>
      <c r="Q222" t="str">
        <f>IFERROR(J144+MATCH(P222,J222:N222,0)-1,"")</f>
        <v/>
      </c>
      <c r="R222" t="str">
        <f t="shared" si="59"/>
        <v/>
      </c>
      <c r="S222" t="str">
        <f>IFERROR(J144+MATCH(R222,J222:N222,0)-1,"")</f>
        <v/>
      </c>
      <c r="T222" t="str">
        <f t="shared" si="60"/>
        <v/>
      </c>
      <c r="U222" t="str">
        <f t="shared" si="61"/>
        <v/>
      </c>
      <c r="V222" t="str">
        <f t="shared" si="62"/>
        <v/>
      </c>
      <c r="W222" t="str">
        <f t="shared" si="63"/>
        <v/>
      </c>
      <c r="X222" t="str">
        <f t="shared" si="64"/>
        <v/>
      </c>
      <c r="Y222" t="str">
        <f t="shared" si="65"/>
        <v/>
      </c>
      <c r="Z222" t="str">
        <f t="shared" si="66"/>
        <v/>
      </c>
      <c r="AA222">
        <f t="shared" si="67"/>
        <v>0</v>
      </c>
      <c r="AB222" t="str">
        <f>IFERROR(V144+MATCH(AA222,V222:Z222,0)-1,"")</f>
        <v/>
      </c>
      <c r="AC222" t="str">
        <f t="shared" si="68"/>
        <v/>
      </c>
      <c r="AE222" t="str">
        <f>IF(ISNUMBER(MATCH("N/A",J222:N222,0)),"",IFERROR((5 * SUMPRODUCT(J144:N144,J222:N222) - PRODUCT(SUM(J144:N144),SUM(J222:N222))) / ((5 * SUM((J144^2)+(K144^2)+(L144^2)+(M144^2)+(N144^2))) - SUM(J144:N144)^2),""))</f>
        <v/>
      </c>
      <c r="AF222" t="str">
        <f>IFERROR(CORREL(J144:N144,J222:N222),"")</f>
        <v/>
      </c>
      <c r="AZ222">
        <f t="shared" si="69"/>
        <v>0</v>
      </c>
      <c r="BA222" t="str">
        <f>IF(AZ222=1,IF(Q222="","",IF(Q222=N144,"Yes","No")),"")</f>
        <v/>
      </c>
      <c r="BB222" t="str">
        <f t="shared" si="70"/>
        <v/>
      </c>
      <c r="BC222" t="str">
        <f>IF(AZ222=1,IF(S222="","",IF(S222=N144,"Yes","No")),"")</f>
        <v/>
      </c>
      <c r="BD222" t="str">
        <f t="shared" si="71"/>
        <v/>
      </c>
      <c r="BE222" t="str">
        <f t="shared" si="72"/>
        <v/>
      </c>
      <c r="BF222" t="str">
        <f t="shared" si="73"/>
        <v>No</v>
      </c>
      <c r="BG222" t="str">
        <f t="shared" si="74"/>
        <v>No</v>
      </c>
      <c r="BH222" t="str">
        <f t="shared" si="75"/>
        <v/>
      </c>
    </row>
    <row r="223" spans="1:60" x14ac:dyDescent="0.3">
      <c r="A223" s="1">
        <v>17</v>
      </c>
      <c r="B223" t="s">
        <v>539</v>
      </c>
      <c r="C223" t="s">
        <v>2033</v>
      </c>
      <c r="D223" t="s">
        <v>2034</v>
      </c>
      <c r="E223" t="s">
        <v>2035</v>
      </c>
      <c r="F223" t="s">
        <v>2036</v>
      </c>
      <c r="G223" t="s">
        <v>2037</v>
      </c>
      <c r="I223" t="str">
        <f t="shared" si="52"/>
        <v>N/A</v>
      </c>
      <c r="J223">
        <f t="shared" si="53"/>
        <v>52760000</v>
      </c>
      <c r="K223">
        <f t="shared" si="54"/>
        <v>29970000</v>
      </c>
      <c r="L223">
        <f t="shared" si="55"/>
        <v>54420000</v>
      </c>
      <c r="M223">
        <f t="shared" si="56"/>
        <v>57290000</v>
      </c>
      <c r="N223">
        <f t="shared" si="57"/>
        <v>17470000</v>
      </c>
      <c r="P223">
        <f t="shared" si="58"/>
        <v>57290000</v>
      </c>
      <c r="Q223">
        <f>IFERROR(J144+MATCH(P223,J223:N223,0)-1,"")</f>
        <v>2015</v>
      </c>
      <c r="R223">
        <f t="shared" si="59"/>
        <v>17470000</v>
      </c>
      <c r="S223">
        <f>IFERROR(J144+MATCH(R223,J223:N223,0)-1,"")</f>
        <v>2016</v>
      </c>
      <c r="T223">
        <f t="shared" si="60"/>
        <v>42382000</v>
      </c>
      <c r="U223">
        <f t="shared" si="61"/>
        <v>17674347.795604791</v>
      </c>
      <c r="V223">
        <f t="shared" si="62"/>
        <v>0.58717866820414</v>
      </c>
      <c r="W223">
        <f t="shared" si="63"/>
        <v>-0.70226070820483588</v>
      </c>
      <c r="X223">
        <f t="shared" si="64"/>
        <v>0.68110009711326247</v>
      </c>
      <c r="Y223">
        <f t="shared" si="65"/>
        <v>0.84348232661276934</v>
      </c>
      <c r="Z223">
        <f t="shared" si="66"/>
        <v>-1.4095003837253359</v>
      </c>
      <c r="AA223">
        <f t="shared" si="67"/>
        <v>-1.4095003837253359</v>
      </c>
      <c r="AB223">
        <f>IFERROR(V144+MATCH(AA223,V223:Z223,0)-1,"")</f>
        <v>2016</v>
      </c>
      <c r="AC223" t="str">
        <f t="shared" si="68"/>
        <v>Low</v>
      </c>
      <c r="AE223">
        <f>IF(ISNUMBER(MATCH("N/A",J223:N223,0)),"",IFERROR((5 * SUMPRODUCT(J144:N144,J223:N223) - PRODUCT(SUM(J144:N144),SUM(J223:N223))) / ((5 * SUM((J144^2)+(K144^2)+(L144^2)+(M144^2)+(N144^2))) - SUM(J144:N144)^2),""))</f>
        <v>-4326000</v>
      </c>
      <c r="AF223">
        <f>IFERROR(CORREL(J144:N144,J223:N223),"")</f>
        <v>-0.38700192267604677</v>
      </c>
      <c r="AZ223">
        <f t="shared" si="69"/>
        <v>1</v>
      </c>
      <c r="BA223" t="str">
        <f>IF(AZ223=1,IF(Q223="","",IF(Q223=N144,"Yes","No")),"")</f>
        <v>No</v>
      </c>
      <c r="BB223" t="str">
        <f t="shared" si="70"/>
        <v/>
      </c>
      <c r="BC223" t="str">
        <f>IF(AZ223=1,IF(S223="","",IF(S223=N144,"Yes","No")),"")</f>
        <v>Yes</v>
      </c>
      <c r="BD223">
        <f t="shared" si="71"/>
        <v>17470000</v>
      </c>
      <c r="BE223" t="str">
        <f t="shared" si="72"/>
        <v>Decreasing</v>
      </c>
      <c r="BF223" t="str">
        <f t="shared" si="73"/>
        <v>Yes</v>
      </c>
      <c r="BG223" t="str">
        <f t="shared" si="74"/>
        <v>No</v>
      </c>
      <c r="BH223" t="str">
        <f t="shared" si="75"/>
        <v>No</v>
      </c>
    </row>
    <row r="224" spans="1:60" x14ac:dyDescent="0.3">
      <c r="A224" s="1">
        <v>18</v>
      </c>
      <c r="B224" t="s">
        <v>540</v>
      </c>
      <c r="C224" t="s">
        <v>2033</v>
      </c>
      <c r="D224" t="s">
        <v>2034</v>
      </c>
      <c r="E224" t="s">
        <v>2035</v>
      </c>
      <c r="F224" t="s">
        <v>2036</v>
      </c>
      <c r="G224" t="s">
        <v>2037</v>
      </c>
      <c r="I224" t="str">
        <f t="shared" si="52"/>
        <v>N/A</v>
      </c>
      <c r="J224">
        <f t="shared" si="53"/>
        <v>52760000</v>
      </c>
      <c r="K224">
        <f t="shared" si="54"/>
        <v>29970000</v>
      </c>
      <c r="L224">
        <f t="shared" si="55"/>
        <v>54420000</v>
      </c>
      <c r="M224">
        <f t="shared" si="56"/>
        <v>57290000</v>
      </c>
      <c r="N224">
        <f t="shared" si="57"/>
        <v>17470000</v>
      </c>
      <c r="P224">
        <f t="shared" si="58"/>
        <v>57290000</v>
      </c>
      <c r="Q224">
        <f>IFERROR(J144+MATCH(P224,J224:N224,0)-1,"")</f>
        <v>2015</v>
      </c>
      <c r="R224">
        <f t="shared" si="59"/>
        <v>17470000</v>
      </c>
      <c r="S224">
        <f>IFERROR(J144+MATCH(R224,J224:N224,0)-1,"")</f>
        <v>2016</v>
      </c>
      <c r="T224">
        <f t="shared" si="60"/>
        <v>42382000</v>
      </c>
      <c r="U224">
        <f t="shared" si="61"/>
        <v>17674347.795604791</v>
      </c>
      <c r="V224">
        <f t="shared" si="62"/>
        <v>0.58717866820414</v>
      </c>
      <c r="W224">
        <f t="shared" si="63"/>
        <v>-0.70226070820483588</v>
      </c>
      <c r="X224">
        <f t="shared" si="64"/>
        <v>0.68110009711326247</v>
      </c>
      <c r="Y224">
        <f t="shared" si="65"/>
        <v>0.84348232661276934</v>
      </c>
      <c r="Z224">
        <f t="shared" si="66"/>
        <v>-1.4095003837253359</v>
      </c>
      <c r="AA224">
        <f t="shared" si="67"/>
        <v>-1.4095003837253359</v>
      </c>
      <c r="AB224">
        <f>IFERROR(V144+MATCH(AA224,V224:Z224,0)-1,"")</f>
        <v>2016</v>
      </c>
      <c r="AC224" t="str">
        <f t="shared" si="68"/>
        <v>Low</v>
      </c>
      <c r="AE224">
        <f>IF(ISNUMBER(MATCH("N/A",J224:N224,0)),"",IFERROR((5 * SUMPRODUCT(J144:N144,J224:N224) - PRODUCT(SUM(J144:N144),SUM(J224:N224))) / ((5 * SUM((J144^2)+(K144^2)+(L144^2)+(M144^2)+(N144^2))) - SUM(J144:N144)^2),""))</f>
        <v>-4326000</v>
      </c>
      <c r="AF224">
        <f>IFERROR(CORREL(J144:N144,J224:N224),"")</f>
        <v>-0.38700192267604677</v>
      </c>
      <c r="AZ224">
        <f t="shared" si="69"/>
        <v>1</v>
      </c>
      <c r="BA224" t="str">
        <f>IF(AZ224=1,IF(Q224="","",IF(Q224=N144,"Yes","No")),"")</f>
        <v>No</v>
      </c>
      <c r="BB224" t="str">
        <f t="shared" si="70"/>
        <v/>
      </c>
      <c r="BC224" t="str">
        <f>IF(AZ224=1,IF(S224="","",IF(S224=N144,"Yes","No")),"")</f>
        <v>Yes</v>
      </c>
      <c r="BD224">
        <f t="shared" si="71"/>
        <v>17470000</v>
      </c>
      <c r="BE224" t="str">
        <f t="shared" si="72"/>
        <v>Decreasing</v>
      </c>
      <c r="BF224" t="str">
        <f t="shared" si="73"/>
        <v>Yes</v>
      </c>
      <c r="BG224" t="str">
        <f t="shared" si="74"/>
        <v>No</v>
      </c>
      <c r="BH224" t="str">
        <f t="shared" si="75"/>
        <v>No</v>
      </c>
    </row>
    <row r="225" spans="1:60" x14ac:dyDescent="0.3">
      <c r="A225" s="1">
        <v>19</v>
      </c>
      <c r="B225" t="s">
        <v>541</v>
      </c>
      <c r="C225" t="s">
        <v>2038</v>
      </c>
      <c r="D225" t="s">
        <v>2039</v>
      </c>
      <c r="E225" t="s">
        <v>2040</v>
      </c>
      <c r="F225" t="s">
        <v>2041</v>
      </c>
      <c r="G225" t="s">
        <v>2042</v>
      </c>
      <c r="I225" t="str">
        <f t="shared" si="52"/>
        <v>N/A</v>
      </c>
      <c r="J225">
        <f t="shared" si="53"/>
        <v>618540000</v>
      </c>
      <c r="K225">
        <f t="shared" si="54"/>
        <v>577200000</v>
      </c>
      <c r="L225">
        <f t="shared" si="55"/>
        <v>588400000</v>
      </c>
      <c r="M225">
        <f t="shared" si="56"/>
        <v>611590000</v>
      </c>
      <c r="N225">
        <f t="shared" si="57"/>
        <v>608490000</v>
      </c>
      <c r="P225">
        <f t="shared" si="58"/>
        <v>618540000</v>
      </c>
      <c r="Q225">
        <f>IFERROR(J144+MATCH(P225,J225:N225,0)-1,"")</f>
        <v>2012</v>
      </c>
      <c r="R225">
        <f t="shared" si="59"/>
        <v>577200000</v>
      </c>
      <c r="S225">
        <f>IFERROR(J144+MATCH(R225,J225:N225,0)-1,"")</f>
        <v>2013</v>
      </c>
      <c r="T225">
        <f t="shared" si="60"/>
        <v>600844000</v>
      </c>
      <c r="U225">
        <f t="shared" si="61"/>
        <v>17327565.610898722</v>
      </c>
      <c r="V225">
        <f t="shared" si="62"/>
        <v>1.0212629054406546</v>
      </c>
      <c r="W225">
        <f t="shared" si="63"/>
        <v>-1.3645309751491206</v>
      </c>
      <c r="X225">
        <f t="shared" si="64"/>
        <v>-0.71816204765503533</v>
      </c>
      <c r="Y225">
        <f t="shared" si="65"/>
        <v>0.6201679013260214</v>
      </c>
      <c r="Z225">
        <f t="shared" si="66"/>
        <v>0.44126221603747995</v>
      </c>
      <c r="AA225">
        <f t="shared" si="67"/>
        <v>-1.3645309751491206</v>
      </c>
      <c r="AB225">
        <f>IFERROR(V144+MATCH(AA225,V225:Z225,0)-1,"")</f>
        <v>2013</v>
      </c>
      <c r="AC225" t="str">
        <f t="shared" si="68"/>
        <v>Low</v>
      </c>
      <c r="AE225">
        <f>IF(ISNUMBER(MATCH("N/A",J225:N225,0)),"",IFERROR((5 * SUMPRODUCT(J144:N144,J225:N225) - PRODUCT(SUM(J144:N144),SUM(J225:N225))) / ((5 * SUM((J144^2)+(K144^2)+(L144^2)+(M144^2)+(N144^2))) - SUM(J144:N144)^2),""))</f>
        <v>1429000</v>
      </c>
      <c r="AF225">
        <f>IFERROR(CORREL(J144:N144,J225:N225),"")</f>
        <v>0.13039612366373934</v>
      </c>
      <c r="AZ225">
        <f t="shared" si="69"/>
        <v>1</v>
      </c>
      <c r="BA225" t="str">
        <f>IF(AZ225=1,IF(Q225="","",IF(Q225=N144,"Yes","No")),"")</f>
        <v>No</v>
      </c>
      <c r="BB225" t="str">
        <f t="shared" si="70"/>
        <v/>
      </c>
      <c r="BC225" t="str">
        <f>IF(AZ225=1,IF(S225="","",IF(S225=N144,"Yes","No")),"")</f>
        <v>No</v>
      </c>
      <c r="BD225" t="str">
        <f t="shared" si="71"/>
        <v/>
      </c>
      <c r="BE225" t="str">
        <f t="shared" si="72"/>
        <v>Increasing</v>
      </c>
      <c r="BF225" t="str">
        <f t="shared" si="73"/>
        <v>No</v>
      </c>
      <c r="BG225" t="str">
        <f t="shared" si="74"/>
        <v>No</v>
      </c>
      <c r="BH225" t="str">
        <f t="shared" si="75"/>
        <v>No</v>
      </c>
    </row>
    <row r="226" spans="1:60" x14ac:dyDescent="0.3">
      <c r="I226" t="str">
        <f t="shared" si="52"/>
        <v>N/A</v>
      </c>
      <c r="J226" t="str">
        <f t="shared" si="53"/>
        <v>N/A</v>
      </c>
      <c r="K226" t="str">
        <f t="shared" si="54"/>
        <v>N/A</v>
      </c>
      <c r="L226" t="str">
        <f t="shared" si="55"/>
        <v>N/A</v>
      </c>
      <c r="M226" t="str">
        <f t="shared" si="56"/>
        <v>N/A</v>
      </c>
      <c r="N226" t="str">
        <f t="shared" si="57"/>
        <v>N/A</v>
      </c>
      <c r="P226">
        <f t="shared" si="58"/>
        <v>0</v>
      </c>
      <c r="Q226" t="str">
        <f>IFERROR(J144+MATCH(P226,J226:N226,0)-1,"")</f>
        <v/>
      </c>
      <c r="R226" t="str">
        <f t="shared" si="59"/>
        <v/>
      </c>
      <c r="S226" t="str">
        <f>IFERROR(J144+MATCH(R226,J226:N226,0)-1,"")</f>
        <v/>
      </c>
      <c r="T226" t="str">
        <f t="shared" si="60"/>
        <v/>
      </c>
      <c r="U226" t="str">
        <f t="shared" si="61"/>
        <v/>
      </c>
      <c r="V226" t="str">
        <f t="shared" si="62"/>
        <v/>
      </c>
      <c r="W226" t="str">
        <f t="shared" si="63"/>
        <v/>
      </c>
      <c r="X226" t="str">
        <f t="shared" si="64"/>
        <v/>
      </c>
      <c r="Y226" t="str">
        <f t="shared" si="65"/>
        <v/>
      </c>
      <c r="Z226" t="str">
        <f t="shared" si="66"/>
        <v/>
      </c>
      <c r="AA226">
        <f t="shared" si="67"/>
        <v>0</v>
      </c>
      <c r="AB226" t="str">
        <f>IFERROR(V144+MATCH(AA226,V226:Z226,0)-1,"")</f>
        <v/>
      </c>
      <c r="AC226" t="str">
        <f t="shared" si="68"/>
        <v/>
      </c>
      <c r="AE226" t="str">
        <f>IF(ISNUMBER(MATCH("N/A",J226:N226,0)),"",IFERROR((5 * SUMPRODUCT(J144:N144,J226:N226) - PRODUCT(SUM(J144:N144),SUM(J226:N226))) / ((5 * SUM((J144^2)+(K144^2)+(L144^2)+(M144^2)+(N144^2))) - SUM(J144:N144)^2),""))</f>
        <v/>
      </c>
      <c r="AF226" t="str">
        <f>IFERROR(CORREL(J144:N144,J226:N226),"")</f>
        <v/>
      </c>
      <c r="AZ226">
        <f t="shared" si="69"/>
        <v>0</v>
      </c>
      <c r="BA226" t="str">
        <f>IF(AZ226=1,IF(Q226="","",IF(Q226=N144,"Yes","No")),"")</f>
        <v/>
      </c>
      <c r="BB226" t="str">
        <f t="shared" si="70"/>
        <v/>
      </c>
      <c r="BC226" t="str">
        <f>IF(AZ226=1,IF(S226="","",IF(S226=N144,"Yes","No")),"")</f>
        <v/>
      </c>
      <c r="BD226" t="str">
        <f t="shared" si="71"/>
        <v/>
      </c>
      <c r="BE226" t="str">
        <f t="shared" si="72"/>
        <v/>
      </c>
      <c r="BF226" t="str">
        <f t="shared" si="73"/>
        <v>No</v>
      </c>
      <c r="BG226" t="str">
        <f t="shared" si="74"/>
        <v>No</v>
      </c>
      <c r="BH226" t="str">
        <f t="shared" si="75"/>
        <v/>
      </c>
    </row>
    <row r="227" spans="1:60" x14ac:dyDescent="0.3">
      <c r="B227" s="1" t="s">
        <v>316</v>
      </c>
      <c r="C227" s="1" t="s">
        <v>252</v>
      </c>
      <c r="D227" s="1" t="s">
        <v>253</v>
      </c>
      <c r="E227" s="1" t="s">
        <v>254</v>
      </c>
      <c r="F227" s="1" t="s">
        <v>255</v>
      </c>
      <c r="G227" s="1" t="s">
        <v>256</v>
      </c>
      <c r="H227" s="1" t="s">
        <v>257</v>
      </c>
      <c r="P227">
        <f t="shared" si="58"/>
        <v>0</v>
      </c>
      <c r="Q227" t="str">
        <f>IFERROR(J144+MATCH(P227,J227:N227,0)-1,"")</f>
        <v/>
      </c>
      <c r="R227" t="str">
        <f t="shared" si="59"/>
        <v/>
      </c>
      <c r="S227" t="str">
        <f>IFERROR(J144+MATCH(R227,J227:N227,0)-1,"")</f>
        <v/>
      </c>
      <c r="T227" t="str">
        <f t="shared" si="60"/>
        <v/>
      </c>
      <c r="U227" t="str">
        <f t="shared" si="61"/>
        <v/>
      </c>
      <c r="V227" t="str">
        <f t="shared" si="62"/>
        <v/>
      </c>
      <c r="W227" t="str">
        <f t="shared" si="63"/>
        <v/>
      </c>
      <c r="X227" t="str">
        <f t="shared" si="64"/>
        <v/>
      </c>
      <c r="Y227" t="str">
        <f t="shared" si="65"/>
        <v/>
      </c>
      <c r="Z227" t="str">
        <f t="shared" si="66"/>
        <v/>
      </c>
      <c r="AA227">
        <f t="shared" si="67"/>
        <v>0</v>
      </c>
      <c r="AB227" t="str">
        <f>IFERROR(V144+MATCH(AA227,V227:Z227,0)-1,"")</f>
        <v/>
      </c>
      <c r="AC227" t="str">
        <f t="shared" si="68"/>
        <v/>
      </c>
      <c r="AE227">
        <f>IF(ISNUMBER(MATCH("N/A",J227:N227,0)),"",IFERROR((5 * SUMPRODUCT(J144:N144,J227:N227) - PRODUCT(SUM(J144:N144),SUM(J227:N227))) / ((5 * SUM((J144^2)+(K144^2)+(L144^2)+(M144^2)+(N144^2))) - SUM(J144:N144)^2),""))</f>
        <v>0</v>
      </c>
      <c r="AF227" t="str">
        <f>IFERROR(CORREL(J144:N144,J227:N227),"")</f>
        <v/>
      </c>
      <c r="AZ227">
        <f t="shared" si="69"/>
        <v>0</v>
      </c>
      <c r="BA227" t="str">
        <f>IF(AZ227=1,IF(Q227="","",IF(Q227=N144,"Yes","No")),"")</f>
        <v/>
      </c>
      <c r="BB227" t="str">
        <f t="shared" si="70"/>
        <v/>
      </c>
      <c r="BC227" t="str">
        <f>IF(AZ227=1,IF(S227="","",IF(S227=N144,"Yes","No")),"")</f>
        <v/>
      </c>
      <c r="BD227" t="str">
        <f t="shared" si="71"/>
        <v/>
      </c>
      <c r="BE227" t="str">
        <f t="shared" si="72"/>
        <v/>
      </c>
      <c r="BF227" t="str">
        <f t="shared" si="73"/>
        <v>No</v>
      </c>
      <c r="BG227" t="str">
        <f t="shared" si="74"/>
        <v>No</v>
      </c>
      <c r="BH227" t="str">
        <f t="shared" si="75"/>
        <v/>
      </c>
    </row>
    <row r="228" spans="1:60" x14ac:dyDescent="0.3">
      <c r="A228" s="1">
        <v>0</v>
      </c>
      <c r="B228" t="s">
        <v>546</v>
      </c>
      <c r="C228" t="s">
        <v>2043</v>
      </c>
      <c r="D228" t="s">
        <v>2044</v>
      </c>
      <c r="E228" t="s">
        <v>2045</v>
      </c>
      <c r="F228" t="s">
        <v>2046</v>
      </c>
      <c r="G228" t="s">
        <v>2047</v>
      </c>
      <c r="I228" t="str">
        <f t="shared" ref="I228:I245" si="76">IF(AND(K228&gt; J228, L228&gt; K228, M228&gt; L228, N228&gt; M228), "pos_trend", IF(AND(K228&lt; J228, L228&lt; K228, M228&lt; L228, N228&lt; M228), "neg_trend", "N/A"))</f>
        <v>N/A</v>
      </c>
      <c r="J228">
        <f t="shared" ref="J228:J245" si="77">IFERROR(IF(TRIM(C228)="-", "N/A", IF(RIGHT(C228,1)=")",IF(RIGHT(C228,2)="T)",-1000000000000*VALUE(MID(C228,2,LEN(C228)-3)),IF(RIGHT(C228,2)="M)",-1000000*VALUE(MID(C228,2,LEN(C228)-3)),IF(RIGHT(C228,2)="B)",-1000000000*VALUE(MID(C228,2,LEN(C228)-3)),IF(RIGHT(C228,2)="k)",-1000*VALUE(MID(C228,2,LEN(C228)-3)),VALUE(SUBSTITUTE(C228,",","")))))),IF(RIGHT(C228,1)="T",1000000000000*VALUE(LEFT(C228,LEN(C228)-1)),IF(RIGHT(C228,1)="M",1000000*VALUE(LEFT(C228,LEN(C228)-1)),IF(RIGHT(C228,1)="B",1000000000*VALUE(LEFT(C228,LEN(C228)-1)),IF(RIGHT(C228,1)="%",0.01*VALUE(LEFT(C228,LEN(C228)-1)),IF(RIGHT(C228,1)="k",1000*VALUE(LEFT(C228,LEN(C228)-1)),VALUE(SUBSTITUTE(C228,",",""))))))))),"N/A")</f>
        <v>233100000</v>
      </c>
      <c r="K228">
        <f t="shared" ref="K228:K245" si="78">IFERROR(IF(TRIM(D228)="-", "N/A", IF(RIGHT(D228,1)=")",IF(RIGHT(D228,2)="T)",-1000000000000*VALUE(MID(D228,2,LEN(D228)-3)),IF(RIGHT(D228,2)="M)",-1000000*VALUE(MID(D228,2,LEN(D228)-3)),IF(RIGHT(D228,2)="B)",-1000000000*VALUE(MID(D228,2,LEN(D228)-3)),IF(RIGHT(D228,2)="k)",-1000*VALUE(MID(D228,2,LEN(D228)-3)),VALUE(SUBSTITUTE(D228,",","")))))),IF(RIGHT(D228,1)="T",1000000000000*VALUE(LEFT(D228,LEN(D228)-1)),IF(RIGHT(D228,1)="M",1000000*VALUE(LEFT(D228,LEN(D228)-1)),IF(RIGHT(D228,1)="B",1000000000*VALUE(LEFT(D228,LEN(D228)-1)),IF(RIGHT(D228,1)="%",0.01*VALUE(LEFT(D228,LEN(D228)-1)),IF(RIGHT(D228,1)="k",1000*VALUE(LEFT(D228,LEN(D228)-1)),VALUE(SUBSTITUTE(D228,",",""))))))))),"N/A")</f>
        <v>302560000</v>
      </c>
      <c r="L228">
        <f t="shared" ref="L228:L245" si="79">IFERROR(IF(TRIM(E228)="-", "N/A", IF(RIGHT(E228,1)=")",IF(RIGHT(E228,2)="T)",-1000000000000*VALUE(MID(E228,2,LEN(E228)-3)),IF(RIGHT(E228,2)="M)",-1000000*VALUE(MID(E228,2,LEN(E228)-3)),IF(RIGHT(E228,2)="B)",-1000000000*VALUE(MID(E228,2,LEN(E228)-3)),IF(RIGHT(E228,2)="k)",-1000*VALUE(MID(E228,2,LEN(E228)-3)),VALUE(SUBSTITUTE(E228,",","")))))),IF(RIGHT(E228,1)="T",1000000000000*VALUE(LEFT(E228,LEN(E228)-1)),IF(RIGHT(E228,1)="M",1000000*VALUE(LEFT(E228,LEN(E228)-1)),IF(RIGHT(E228,1)="B",1000000000*VALUE(LEFT(E228,LEN(E228)-1)),IF(RIGHT(E228,1)="%",0.01*VALUE(LEFT(E228,LEN(E228)-1)),IF(RIGHT(E228,1)="k",1000*VALUE(LEFT(E228,LEN(E228)-1)),VALUE(SUBSTITUTE(E228,",",""))))))))),"N/A")</f>
        <v>299440000</v>
      </c>
      <c r="M228">
        <f t="shared" ref="M228:M245" si="80">IFERROR(IF(TRIM(F228)="-", "N/A", IF(RIGHT(F228,1)=")",IF(RIGHT(F228,2)="T)",-1000000000000*VALUE(MID(F228,2,LEN(F228)-3)),IF(RIGHT(F228,2)="M)",-1000000*VALUE(MID(F228,2,LEN(F228)-3)),IF(RIGHT(F228,2)="B)",-1000000000*VALUE(MID(F228,2,LEN(F228)-3)),IF(RIGHT(F228,2)="k)",-1000*VALUE(MID(F228,2,LEN(F228)-3)),VALUE(SUBSTITUTE(F228,",","")))))),IF(RIGHT(F228,1)="T",1000000000000*VALUE(LEFT(F228,LEN(F228)-1)),IF(RIGHT(F228,1)="M",1000000*VALUE(LEFT(F228,LEN(F228)-1)),IF(RIGHT(F228,1)="B",1000000000*VALUE(LEFT(F228,LEN(F228)-1)),IF(RIGHT(F228,1)="%",0.01*VALUE(LEFT(F228,LEN(F228)-1)),IF(RIGHT(F228,1)="k",1000*VALUE(LEFT(F228,LEN(F228)-1)),VALUE(SUBSTITUTE(F228,",",""))))))))),"N/A")</f>
        <v>308860000</v>
      </c>
      <c r="N228">
        <f t="shared" ref="N228:N245" si="81">IFERROR(IF(TRIM(G228)="-", "N/A", IF(RIGHT(G228,1)=")",IF(RIGHT(G228,2)="T)",-1000000000000*VALUE(MID(G228,2,LEN(G228)-3)),IF(RIGHT(G228,2)="M)",-1000000*VALUE(MID(G228,2,LEN(G228)-3)),IF(RIGHT(G228,2)="B)",-1000000000*VALUE(MID(G228,2,LEN(G228)-3)),IF(RIGHT(G228,2)="k)",-1000*VALUE(MID(G228,2,LEN(G228)-3)),VALUE(SUBSTITUTE(G228,",","")))))),IF(RIGHT(G228,1)="T",1000000000000*VALUE(LEFT(G228,LEN(G228)-1)),IF(RIGHT(G228,1)="M",1000000*VALUE(LEFT(G228,LEN(G228)-1)),IF(RIGHT(G228,1)="B",1000000000*VALUE(LEFT(G228,LEN(G228)-1)),IF(RIGHT(G228,1)="%",0.01*VALUE(LEFT(G228,LEN(G228)-1)),IF(RIGHT(G228,1)="k",1000*VALUE(LEFT(G228,LEN(G228)-1)),VALUE(SUBSTITUTE(G228,",",""))))))))),"N/A")</f>
        <v>334490000</v>
      </c>
      <c r="P228">
        <f t="shared" si="58"/>
        <v>334490000</v>
      </c>
      <c r="Q228">
        <f>IFERROR(J144+MATCH(P228,J228:N228,0)-1,"")</f>
        <v>2016</v>
      </c>
      <c r="R228">
        <f t="shared" si="59"/>
        <v>233100000</v>
      </c>
      <c r="S228">
        <f>IFERROR(J144+MATCH(R228,J228:N228,0)-1,"")</f>
        <v>2012</v>
      </c>
      <c r="T228">
        <f t="shared" si="60"/>
        <v>295690000</v>
      </c>
      <c r="U228">
        <f t="shared" si="61"/>
        <v>37608697.132445306</v>
      </c>
      <c r="V228">
        <f t="shared" si="62"/>
        <v>-1.664242709062185</v>
      </c>
      <c r="W228">
        <f t="shared" si="63"/>
        <v>0.18267051304133583</v>
      </c>
      <c r="X228">
        <f t="shared" si="64"/>
        <v>9.9710978734353625E-2</v>
      </c>
      <c r="Y228">
        <f t="shared" si="65"/>
        <v>0.35018495731504995</v>
      </c>
      <c r="Z228">
        <f t="shared" si="66"/>
        <v>1.0316762599714455</v>
      </c>
      <c r="AA228">
        <f t="shared" si="67"/>
        <v>-1.664242709062185</v>
      </c>
      <c r="AB228">
        <f>IFERROR(V144+MATCH(AA228,V228:Z228,0)-1,"")</f>
        <v>2012</v>
      </c>
      <c r="AC228" t="str">
        <f t="shared" si="68"/>
        <v>Low</v>
      </c>
      <c r="AE228">
        <f>IF(ISNUMBER(MATCH("N/A",J228:N228,0)),"",IFERROR((5 * SUMPRODUCT(J144:N144,J228:N228) - PRODUCT(SUM(J144:N144),SUM(J228:N228))) / ((5 * SUM((J144^2)+(K144^2)+(L144^2)+(M144^2)+(N144^2))) - SUM(J144:N144)^2),""))</f>
        <v>20908000</v>
      </c>
      <c r="AF228">
        <f>IFERROR(CORREL(J144:N144,J228:N228),"")</f>
        <v>0.8790107921840361</v>
      </c>
      <c r="AZ228">
        <f t="shared" si="69"/>
        <v>1</v>
      </c>
      <c r="BA228" t="str">
        <f>IF(AZ228=1,IF(Q228="","",IF(Q228=N144,"Yes","No")),"")</f>
        <v>Yes</v>
      </c>
      <c r="BB228">
        <f t="shared" si="70"/>
        <v>334490000</v>
      </c>
      <c r="BC228" t="str">
        <f>IF(AZ228=1,IF(S228="","",IF(S228=N144,"Yes","No")),"")</f>
        <v>No</v>
      </c>
      <c r="BD228" t="str">
        <f t="shared" si="71"/>
        <v/>
      </c>
      <c r="BE228" t="str">
        <f t="shared" si="72"/>
        <v>Increasing</v>
      </c>
      <c r="BF228" t="str">
        <f t="shared" si="73"/>
        <v>Yes</v>
      </c>
      <c r="BG228" t="str">
        <f t="shared" si="74"/>
        <v>No</v>
      </c>
      <c r="BH228" t="str">
        <f t="shared" si="75"/>
        <v>Yes</v>
      </c>
    </row>
    <row r="229" spans="1:60" x14ac:dyDescent="0.3">
      <c r="A229" s="1">
        <v>1</v>
      </c>
      <c r="B229" t="s">
        <v>552</v>
      </c>
      <c r="C229" t="s">
        <v>2048</v>
      </c>
      <c r="D229" t="s">
        <v>2049</v>
      </c>
      <c r="E229" t="s">
        <v>2050</v>
      </c>
      <c r="F229" t="s">
        <v>2051</v>
      </c>
      <c r="G229" t="s">
        <v>2052</v>
      </c>
      <c r="I229" t="str">
        <f t="shared" si="76"/>
        <v>N/A</v>
      </c>
      <c r="J229">
        <f t="shared" si="77"/>
        <v>634460000</v>
      </c>
      <c r="K229">
        <f t="shared" si="78"/>
        <v>686540000</v>
      </c>
      <c r="L229">
        <f t="shared" si="79"/>
        <v>672230000</v>
      </c>
      <c r="M229">
        <f t="shared" si="80"/>
        <v>714810000</v>
      </c>
      <c r="N229">
        <f t="shared" si="81"/>
        <v>762190000</v>
      </c>
      <c r="P229">
        <f t="shared" si="58"/>
        <v>762190000</v>
      </c>
      <c r="Q229">
        <f>IFERROR(J144+MATCH(P229,J229:N229,0)-1,"")</f>
        <v>2016</v>
      </c>
      <c r="R229">
        <f t="shared" si="59"/>
        <v>634460000</v>
      </c>
      <c r="S229">
        <f>IFERROR(J144+MATCH(R229,J229:N229,0)-1,"")</f>
        <v>2012</v>
      </c>
      <c r="T229">
        <f t="shared" si="60"/>
        <v>694046000</v>
      </c>
      <c r="U229">
        <f t="shared" si="61"/>
        <v>47847460.01618059</v>
      </c>
      <c r="V229">
        <f t="shared" si="62"/>
        <v>-1.2453325626867087</v>
      </c>
      <c r="W229">
        <f t="shared" si="63"/>
        <v>-0.15687353095570158</v>
      </c>
      <c r="X229">
        <f t="shared" si="64"/>
        <v>-0.45594896766980897</v>
      </c>
      <c r="Y229">
        <f t="shared" si="65"/>
        <v>0.43396242962485848</v>
      </c>
      <c r="Z229">
        <f t="shared" si="66"/>
        <v>1.4241926316873608</v>
      </c>
      <c r="AA229">
        <f t="shared" si="67"/>
        <v>1.4241926316873608</v>
      </c>
      <c r="AB229">
        <f>IFERROR(V144+MATCH(AA229,V229:Z229,0)-1,"")</f>
        <v>2016</v>
      </c>
      <c r="AC229" t="str">
        <f t="shared" si="68"/>
        <v>High</v>
      </c>
      <c r="AE229">
        <f>IF(ISNUMBER(MATCH("N/A",J229:N229,0)),"",IFERROR((5 * SUMPRODUCT(J144:N144,J229:N229) - PRODUCT(SUM(J144:N144),SUM(J229:N229))) / ((5 * SUM((J144^2)+(K144^2)+(L144^2)+(M144^2)+(N144^2))) - SUM(J144:N144)^2),""))</f>
        <v>28373000</v>
      </c>
      <c r="AF229">
        <f>IFERROR(CORREL(J144:N144,J229:N229),"")</f>
        <v>0.93759735649097842</v>
      </c>
      <c r="AZ229">
        <f t="shared" si="69"/>
        <v>1</v>
      </c>
      <c r="BA229" t="str">
        <f>IF(AZ229=1,IF(Q229="","",IF(Q229=N144,"Yes","No")),"")</f>
        <v>Yes</v>
      </c>
      <c r="BB229">
        <f t="shared" si="70"/>
        <v>762190000</v>
      </c>
      <c r="BC229" t="str">
        <f>IF(AZ229=1,IF(S229="","",IF(S229=N144,"Yes","No")),"")</f>
        <v>No</v>
      </c>
      <c r="BD229" t="str">
        <f t="shared" si="71"/>
        <v/>
      </c>
      <c r="BE229" t="str">
        <f t="shared" si="72"/>
        <v>Increasing</v>
      </c>
      <c r="BF229" t="str">
        <f t="shared" si="73"/>
        <v>Yes</v>
      </c>
      <c r="BG229" t="str">
        <f t="shared" si="74"/>
        <v>No</v>
      </c>
      <c r="BH229" t="str">
        <f t="shared" si="75"/>
        <v>Yes</v>
      </c>
    </row>
    <row r="230" spans="1:60" x14ac:dyDescent="0.3">
      <c r="A230" s="1">
        <v>2</v>
      </c>
      <c r="B230" t="s">
        <v>558</v>
      </c>
      <c r="C230" t="s">
        <v>2053</v>
      </c>
      <c r="D230" t="s">
        <v>2054</v>
      </c>
      <c r="E230" t="s">
        <v>2055</v>
      </c>
      <c r="F230" t="s">
        <v>2056</v>
      </c>
      <c r="G230" t="s">
        <v>2057</v>
      </c>
      <c r="I230" t="str">
        <f t="shared" si="76"/>
        <v>N/A</v>
      </c>
      <c r="J230">
        <f t="shared" si="77"/>
        <v>127120000</v>
      </c>
      <c r="K230">
        <f t="shared" si="78"/>
        <v>154940000</v>
      </c>
      <c r="L230">
        <f t="shared" si="79"/>
        <v>145140000</v>
      </c>
      <c r="M230">
        <f t="shared" si="80"/>
        <v>156290000</v>
      </c>
      <c r="N230">
        <f t="shared" si="81"/>
        <v>169700000</v>
      </c>
      <c r="P230">
        <f t="shared" si="58"/>
        <v>169700000</v>
      </c>
      <c r="Q230">
        <f>IFERROR(J144+MATCH(P230,J230:N230,0)-1,"")</f>
        <v>2016</v>
      </c>
      <c r="R230">
        <f t="shared" si="59"/>
        <v>127120000</v>
      </c>
      <c r="S230">
        <f>IFERROR(J144+MATCH(R230,J230:N230,0)-1,"")</f>
        <v>2012</v>
      </c>
      <c r="T230">
        <f t="shared" si="60"/>
        <v>150638000</v>
      </c>
      <c r="U230">
        <f t="shared" si="61"/>
        <v>15788733.958110765</v>
      </c>
      <c r="V230">
        <f t="shared" si="62"/>
        <v>-1.4895431174149758</v>
      </c>
      <c r="W230">
        <f t="shared" si="63"/>
        <v>0.27247276516367153</v>
      </c>
      <c r="X230">
        <f t="shared" si="64"/>
        <v>-0.3482229806763984</v>
      </c>
      <c r="Y230">
        <f t="shared" si="65"/>
        <v>0.35797677096817093</v>
      </c>
      <c r="Z230">
        <f t="shared" si="66"/>
        <v>1.2073165619595319</v>
      </c>
      <c r="AA230">
        <f t="shared" si="67"/>
        <v>-1.4895431174149758</v>
      </c>
      <c r="AB230">
        <f>IFERROR(V144+MATCH(AA230,V230:Z230,0)-1,"")</f>
        <v>2012</v>
      </c>
      <c r="AC230" t="str">
        <f t="shared" si="68"/>
        <v>Low</v>
      </c>
      <c r="AE230">
        <f>IF(ISNUMBER(MATCH("N/A",J230:N230,0)),"",IFERROR((5 * SUMPRODUCT(J144:N144,J230:N230) - PRODUCT(SUM(J144:N144),SUM(J230:N230))) / ((5 * SUM((J144^2)+(K144^2)+(L144^2)+(M144^2)+(N144^2))) - SUM(J144:N144)^2),""))</f>
        <v>8651000</v>
      </c>
      <c r="AF230">
        <f>IFERROR(CORREL(J144:N144,J230:N230),"")</f>
        <v>0.86634128204001026</v>
      </c>
      <c r="AZ230">
        <f t="shared" si="69"/>
        <v>1</v>
      </c>
      <c r="BA230" t="str">
        <f>IF(AZ230=1,IF(Q230="","",IF(Q230=N144,"Yes","No")),"")</f>
        <v>Yes</v>
      </c>
      <c r="BB230">
        <f t="shared" si="70"/>
        <v>169700000</v>
      </c>
      <c r="BC230" t="str">
        <f>IF(AZ230=1,IF(S230="","",IF(S230=N144,"Yes","No")),"")</f>
        <v>No</v>
      </c>
      <c r="BD230" t="str">
        <f t="shared" si="71"/>
        <v/>
      </c>
      <c r="BE230" t="str">
        <f t="shared" si="72"/>
        <v>Increasing</v>
      </c>
      <c r="BF230" t="str">
        <f t="shared" si="73"/>
        <v>Yes</v>
      </c>
      <c r="BG230" t="str">
        <f t="shared" si="74"/>
        <v>No</v>
      </c>
      <c r="BH230" t="str">
        <f t="shared" si="75"/>
        <v>Yes</v>
      </c>
    </row>
    <row r="231" spans="1:60" x14ac:dyDescent="0.3">
      <c r="A231" s="1">
        <v>3</v>
      </c>
      <c r="B231" t="s">
        <v>564</v>
      </c>
      <c r="C231" t="s">
        <v>2058</v>
      </c>
      <c r="D231" t="s">
        <v>2059</v>
      </c>
      <c r="E231" t="s">
        <v>2060</v>
      </c>
      <c r="F231" t="s">
        <v>2061</v>
      </c>
      <c r="G231" t="s">
        <v>2062</v>
      </c>
      <c r="I231" t="str">
        <f t="shared" si="76"/>
        <v>N/A</v>
      </c>
      <c r="J231">
        <f t="shared" si="77"/>
        <v>15260000</v>
      </c>
      <c r="K231">
        <f t="shared" si="78"/>
        <v>21940000</v>
      </c>
      <c r="L231">
        <f t="shared" si="79"/>
        <v>19420000</v>
      </c>
      <c r="M231">
        <f t="shared" si="80"/>
        <v>19150000</v>
      </c>
      <c r="N231">
        <f t="shared" si="81"/>
        <v>19950000</v>
      </c>
      <c r="P231">
        <f t="shared" si="58"/>
        <v>21940000</v>
      </c>
      <c r="Q231">
        <f>IFERROR(J144+MATCH(P231,J231:N231,0)-1,"")</f>
        <v>2013</v>
      </c>
      <c r="R231">
        <f t="shared" si="59"/>
        <v>15260000</v>
      </c>
      <c r="S231">
        <f>IFERROR(J144+MATCH(R231,J231:N231,0)-1,"")</f>
        <v>2012</v>
      </c>
      <c r="T231">
        <f t="shared" si="60"/>
        <v>19144000</v>
      </c>
      <c r="U231">
        <f t="shared" si="61"/>
        <v>2430479.3765839692</v>
      </c>
      <c r="V231">
        <f t="shared" si="62"/>
        <v>-1.5980386574844956</v>
      </c>
      <c r="W231">
        <f t="shared" si="63"/>
        <v>1.1503903414847192</v>
      </c>
      <c r="X231">
        <f t="shared" si="64"/>
        <v>0.11355784486759031</v>
      </c>
      <c r="Y231">
        <f t="shared" si="65"/>
        <v>2.4686488014693548E-3</v>
      </c>
      <c r="Z231">
        <f t="shared" si="66"/>
        <v>0.33162182233071663</v>
      </c>
      <c r="AA231">
        <f t="shared" si="67"/>
        <v>-1.5980386574844956</v>
      </c>
      <c r="AB231">
        <f>IFERROR(V144+MATCH(AA231,V231:Z231,0)-1,"")</f>
        <v>2012</v>
      </c>
      <c r="AC231" t="str">
        <f t="shared" si="68"/>
        <v>Low</v>
      </c>
      <c r="AE231">
        <f>IF(ISNUMBER(MATCH("N/A",J231:N231,0)),"",IFERROR((5 * SUMPRODUCT(J144:N144,J231:N231) - PRODUCT(SUM(J144:N144),SUM(J231:N231))) / ((5 * SUM((J144^2)+(K144^2)+(L144^2)+(M144^2)+(N144^2))) - SUM(J144:N144)^2),""))</f>
        <v>659000</v>
      </c>
      <c r="AF231">
        <f>IFERROR(CORREL(J144:N144,J231:N231),"")</f>
        <v>0.42870986648319848</v>
      </c>
      <c r="AZ231">
        <f t="shared" si="69"/>
        <v>1</v>
      </c>
      <c r="BA231" t="str">
        <f>IF(AZ231=1,IF(Q231="","",IF(Q231=N144,"Yes","No")),"")</f>
        <v>No</v>
      </c>
      <c r="BB231" t="str">
        <f t="shared" si="70"/>
        <v/>
      </c>
      <c r="BC231" t="str">
        <f>IF(AZ231=1,IF(S231="","",IF(S231=N144,"Yes","No")),"")</f>
        <v>No</v>
      </c>
      <c r="BD231" t="str">
        <f t="shared" si="71"/>
        <v/>
      </c>
      <c r="BE231" t="str">
        <f t="shared" si="72"/>
        <v>Increasing</v>
      </c>
      <c r="BF231" t="str">
        <f t="shared" si="73"/>
        <v>No</v>
      </c>
      <c r="BG231" t="str">
        <f t="shared" si="74"/>
        <v>No</v>
      </c>
      <c r="BH231" t="str">
        <f t="shared" si="75"/>
        <v>No</v>
      </c>
    </row>
    <row r="232" spans="1:60" x14ac:dyDescent="0.3">
      <c r="A232" s="1">
        <v>4</v>
      </c>
      <c r="B232" t="s">
        <v>569</v>
      </c>
      <c r="C232" t="s">
        <v>264</v>
      </c>
      <c r="D232" t="s">
        <v>264</v>
      </c>
      <c r="E232" t="s">
        <v>264</v>
      </c>
      <c r="F232" t="s">
        <v>264</v>
      </c>
      <c r="G232" t="s">
        <v>264</v>
      </c>
      <c r="I232" t="str">
        <f t="shared" si="76"/>
        <v>N/A</v>
      </c>
      <c r="J232" t="str">
        <f t="shared" si="77"/>
        <v>N/A</v>
      </c>
      <c r="K232" t="str">
        <f t="shared" si="78"/>
        <v>N/A</v>
      </c>
      <c r="L232" t="str">
        <f t="shared" si="79"/>
        <v>N/A</v>
      </c>
      <c r="M232" t="str">
        <f t="shared" si="80"/>
        <v>N/A</v>
      </c>
      <c r="N232" t="str">
        <f t="shared" si="81"/>
        <v>N/A</v>
      </c>
      <c r="P232">
        <f t="shared" si="58"/>
        <v>0</v>
      </c>
      <c r="Q232" t="str">
        <f>IFERROR(J144+MATCH(P232,J232:N232,0)-1,"")</f>
        <v/>
      </c>
      <c r="R232" t="str">
        <f t="shared" si="59"/>
        <v/>
      </c>
      <c r="S232" t="str">
        <f>IFERROR(J144+MATCH(R232,J232:N232,0)-1,"")</f>
        <v/>
      </c>
      <c r="T232" t="str">
        <f t="shared" si="60"/>
        <v/>
      </c>
      <c r="U232" t="str">
        <f t="shared" si="61"/>
        <v/>
      </c>
      <c r="V232" t="str">
        <f t="shared" si="62"/>
        <v/>
      </c>
      <c r="W232" t="str">
        <f t="shared" si="63"/>
        <v/>
      </c>
      <c r="X232" t="str">
        <f t="shared" si="64"/>
        <v/>
      </c>
      <c r="Y232" t="str">
        <f t="shared" si="65"/>
        <v/>
      </c>
      <c r="Z232" t="str">
        <f t="shared" si="66"/>
        <v/>
      </c>
      <c r="AA232">
        <f t="shared" si="67"/>
        <v>0</v>
      </c>
      <c r="AB232" t="str">
        <f>IFERROR(V144+MATCH(AA232,V232:Z232,0)-1,"")</f>
        <v/>
      </c>
      <c r="AC232" t="str">
        <f t="shared" si="68"/>
        <v/>
      </c>
      <c r="AE232" t="str">
        <f>IF(ISNUMBER(MATCH("N/A",J232:N232,0)),"",IFERROR((5 * SUMPRODUCT(J144:N144,J232:N232) - PRODUCT(SUM(J144:N144),SUM(J232:N232))) / ((5 * SUM((J144^2)+(K144^2)+(L144^2)+(M144^2)+(N144^2))) - SUM(J144:N144)^2),""))</f>
        <v/>
      </c>
      <c r="AF232" t="str">
        <f>IFERROR(CORREL(J144:N144,J232:N232),"")</f>
        <v/>
      </c>
      <c r="AZ232">
        <f t="shared" si="69"/>
        <v>0</v>
      </c>
      <c r="BA232" t="str">
        <f>IF(AZ232=1,IF(Q232="","",IF(Q232=N144,"Yes","No")),"")</f>
        <v/>
      </c>
      <c r="BB232" t="str">
        <f t="shared" si="70"/>
        <v/>
      </c>
      <c r="BC232" t="str">
        <f>IF(AZ232=1,IF(S232="","",IF(S232=N144,"Yes","No")),"")</f>
        <v/>
      </c>
      <c r="BD232" t="str">
        <f t="shared" si="71"/>
        <v/>
      </c>
      <c r="BE232" t="str">
        <f t="shared" si="72"/>
        <v/>
      </c>
      <c r="BF232" t="str">
        <f t="shared" si="73"/>
        <v>No</v>
      </c>
      <c r="BG232" t="str">
        <f t="shared" si="74"/>
        <v>No</v>
      </c>
      <c r="BH232" t="str">
        <f t="shared" si="75"/>
        <v/>
      </c>
    </row>
    <row r="233" spans="1:60" x14ac:dyDescent="0.3">
      <c r="A233" s="1">
        <v>5</v>
      </c>
      <c r="B233" t="s">
        <v>570</v>
      </c>
      <c r="C233" t="s">
        <v>264</v>
      </c>
      <c r="D233" t="s">
        <v>264</v>
      </c>
      <c r="E233" t="s">
        <v>264</v>
      </c>
      <c r="F233" t="s">
        <v>264</v>
      </c>
      <c r="G233" t="s">
        <v>264</v>
      </c>
      <c r="I233" t="str">
        <f t="shared" si="76"/>
        <v>N/A</v>
      </c>
      <c r="J233" t="str">
        <f t="shared" si="77"/>
        <v>N/A</v>
      </c>
      <c r="K233" t="str">
        <f t="shared" si="78"/>
        <v>N/A</v>
      </c>
      <c r="L233" t="str">
        <f t="shared" si="79"/>
        <v>N/A</v>
      </c>
      <c r="M233" t="str">
        <f t="shared" si="80"/>
        <v>N/A</v>
      </c>
      <c r="N233" t="str">
        <f t="shared" si="81"/>
        <v>N/A</v>
      </c>
      <c r="P233">
        <f t="shared" si="58"/>
        <v>0</v>
      </c>
      <c r="Q233" t="str">
        <f>IFERROR(J144+MATCH(P233,J233:N233,0)-1,"")</f>
        <v/>
      </c>
      <c r="R233" t="str">
        <f t="shared" si="59"/>
        <v/>
      </c>
      <c r="S233" t="str">
        <f>IFERROR(J144+MATCH(R233,J233:N233,0)-1,"")</f>
        <v/>
      </c>
      <c r="T233" t="str">
        <f t="shared" si="60"/>
        <v/>
      </c>
      <c r="U233" t="str">
        <f t="shared" si="61"/>
        <v/>
      </c>
      <c r="V233" t="str">
        <f t="shared" si="62"/>
        <v/>
      </c>
      <c r="W233" t="str">
        <f t="shared" si="63"/>
        <v/>
      </c>
      <c r="X233" t="str">
        <f t="shared" si="64"/>
        <v/>
      </c>
      <c r="Y233" t="str">
        <f t="shared" si="65"/>
        <v/>
      </c>
      <c r="Z233" t="str">
        <f t="shared" si="66"/>
        <v/>
      </c>
      <c r="AA233">
        <f t="shared" si="67"/>
        <v>0</v>
      </c>
      <c r="AB233" t="str">
        <f>IFERROR(V144+MATCH(AA233,V233:Z233,0)-1,"")</f>
        <v/>
      </c>
      <c r="AC233" t="str">
        <f t="shared" si="68"/>
        <v/>
      </c>
      <c r="AE233" t="str">
        <f>IF(ISNUMBER(MATCH("N/A",J233:N233,0)),"",IFERROR((5 * SUMPRODUCT(J144:N144,J233:N233) - PRODUCT(SUM(J144:N144),SUM(J233:N233))) / ((5 * SUM((J144^2)+(K144^2)+(L144^2)+(M144^2)+(N144^2))) - SUM(J144:N144)^2),""))</f>
        <v/>
      </c>
      <c r="AF233" t="str">
        <f>IFERROR(CORREL(J144:N144,J233:N233),"")</f>
        <v/>
      </c>
      <c r="AZ233">
        <f t="shared" si="69"/>
        <v>0</v>
      </c>
      <c r="BA233" t="str">
        <f>IF(AZ233=1,IF(Q233="","",IF(Q233=N144,"Yes","No")),"")</f>
        <v/>
      </c>
      <c r="BB233" t="str">
        <f t="shared" si="70"/>
        <v/>
      </c>
      <c r="BC233" t="str">
        <f>IF(AZ233=1,IF(S233="","",IF(S233=N144,"Yes","No")),"")</f>
        <v/>
      </c>
      <c r="BD233" t="str">
        <f t="shared" si="71"/>
        <v/>
      </c>
      <c r="BE233" t="str">
        <f t="shared" si="72"/>
        <v/>
      </c>
      <c r="BF233" t="str">
        <f t="shared" si="73"/>
        <v>No</v>
      </c>
      <c r="BG233" t="str">
        <f t="shared" si="74"/>
        <v>No</v>
      </c>
      <c r="BH233" t="str">
        <f t="shared" si="75"/>
        <v/>
      </c>
    </row>
    <row r="234" spans="1:60" x14ac:dyDescent="0.3">
      <c r="A234" s="1">
        <v>6</v>
      </c>
      <c r="B234" t="s">
        <v>576</v>
      </c>
      <c r="C234" t="s">
        <v>2063</v>
      </c>
      <c r="D234" t="s">
        <v>2064</v>
      </c>
      <c r="E234" t="s">
        <v>2065</v>
      </c>
      <c r="F234" t="s">
        <v>2066</v>
      </c>
      <c r="G234" t="s">
        <v>2067</v>
      </c>
      <c r="I234" t="str">
        <f t="shared" si="76"/>
        <v>N/A</v>
      </c>
      <c r="J234">
        <f t="shared" si="77"/>
        <v>401370000</v>
      </c>
      <c r="K234">
        <f t="shared" si="78"/>
        <v>383980000</v>
      </c>
      <c r="L234">
        <f t="shared" si="79"/>
        <v>372790000</v>
      </c>
      <c r="M234">
        <f t="shared" si="80"/>
        <v>405950000</v>
      </c>
      <c r="N234">
        <f t="shared" si="81"/>
        <v>427700000</v>
      </c>
      <c r="P234">
        <f t="shared" si="58"/>
        <v>427700000</v>
      </c>
      <c r="Q234">
        <f>IFERROR(J144+MATCH(P234,J234:N234,0)-1,"")</f>
        <v>2016</v>
      </c>
      <c r="R234">
        <f t="shared" si="59"/>
        <v>372790000</v>
      </c>
      <c r="S234">
        <f>IFERROR(J144+MATCH(R234,J234:N234,0)-1,"")</f>
        <v>2014</v>
      </c>
      <c r="T234">
        <f t="shared" si="60"/>
        <v>398358000</v>
      </c>
      <c r="U234">
        <f t="shared" si="61"/>
        <v>21143043.063854359</v>
      </c>
      <c r="V234">
        <f t="shared" si="62"/>
        <v>0.14245820674457421</v>
      </c>
      <c r="W234">
        <f t="shared" si="63"/>
        <v>-0.68003456061536782</v>
      </c>
      <c r="X234">
        <f t="shared" si="64"/>
        <v>-1.2092866633616446</v>
      </c>
      <c r="Y234">
        <f t="shared" si="65"/>
        <v>0.35907792350757217</v>
      </c>
      <c r="Z234">
        <f t="shared" si="66"/>
        <v>1.3877850937248659</v>
      </c>
      <c r="AA234">
        <f t="shared" si="67"/>
        <v>1.3877850937248659</v>
      </c>
      <c r="AB234">
        <f>IFERROR(V144+MATCH(AA234,V234:Z234,0)-1,"")</f>
        <v>2016</v>
      </c>
      <c r="AC234" t="str">
        <f t="shared" si="68"/>
        <v>High</v>
      </c>
      <c r="AE234">
        <f>IF(ISNUMBER(MATCH("N/A",J234:N234,0)),"",IFERROR((5 * SUMPRODUCT(J144:N144,J234:N234) - PRODUCT(SUM(J144:N144),SUM(J234:N234))) / ((5 * SUM((J144^2)+(K144^2)+(L144^2)+(M144^2)+(N144^2))) - SUM(J144:N144)^2),""))</f>
        <v>7463000</v>
      </c>
      <c r="AF234">
        <f>IFERROR(CORREL(J144:N144,J234:N234),"")</f>
        <v>0.558105049177683</v>
      </c>
      <c r="AZ234">
        <f t="shared" si="69"/>
        <v>1</v>
      </c>
      <c r="BA234" t="str">
        <f>IF(AZ234=1,IF(Q234="","",IF(Q234=N144,"Yes","No")),"")</f>
        <v>Yes</v>
      </c>
      <c r="BB234">
        <f t="shared" si="70"/>
        <v>427700000</v>
      </c>
      <c r="BC234" t="str">
        <f>IF(AZ234=1,IF(S234="","",IF(S234=N144,"Yes","No")),"")</f>
        <v>No</v>
      </c>
      <c r="BD234" t="str">
        <f t="shared" si="71"/>
        <v/>
      </c>
      <c r="BE234" t="str">
        <f t="shared" si="72"/>
        <v>Increasing</v>
      </c>
      <c r="BF234" t="str">
        <f t="shared" si="73"/>
        <v>Yes</v>
      </c>
      <c r="BG234" t="str">
        <f t="shared" si="74"/>
        <v>No</v>
      </c>
      <c r="BH234" t="str">
        <f t="shared" si="75"/>
        <v>No</v>
      </c>
    </row>
    <row r="235" spans="1:60" x14ac:dyDescent="0.3">
      <c r="A235" s="1">
        <v>7</v>
      </c>
      <c r="B235" t="s">
        <v>582</v>
      </c>
      <c r="C235" t="s">
        <v>264</v>
      </c>
      <c r="D235" t="s">
        <v>2068</v>
      </c>
      <c r="E235" t="s">
        <v>264</v>
      </c>
      <c r="F235" t="s">
        <v>264</v>
      </c>
      <c r="G235" t="s">
        <v>264</v>
      </c>
      <c r="I235" t="str">
        <f t="shared" si="76"/>
        <v>N/A</v>
      </c>
      <c r="J235" t="str">
        <f t="shared" si="77"/>
        <v>N/A</v>
      </c>
      <c r="K235">
        <f t="shared" si="78"/>
        <v>7040000</v>
      </c>
      <c r="L235" t="str">
        <f t="shared" si="79"/>
        <v>N/A</v>
      </c>
      <c r="M235" t="str">
        <f t="shared" si="80"/>
        <v>N/A</v>
      </c>
      <c r="N235" t="str">
        <f t="shared" si="81"/>
        <v>N/A</v>
      </c>
      <c r="P235">
        <f t="shared" si="58"/>
        <v>7040000</v>
      </c>
      <c r="Q235">
        <f>IFERROR(J144+MATCH(P235,J235:N235,0)-1,"")</f>
        <v>2013</v>
      </c>
      <c r="R235">
        <f t="shared" si="59"/>
        <v>7040000</v>
      </c>
      <c r="S235">
        <f>IFERROR(J144+MATCH(R235,J235:N235,0)-1,"")</f>
        <v>2013</v>
      </c>
      <c r="T235">
        <f t="shared" si="60"/>
        <v>7040000</v>
      </c>
      <c r="U235" t="str">
        <f t="shared" si="61"/>
        <v/>
      </c>
      <c r="V235" t="str">
        <f t="shared" si="62"/>
        <v/>
      </c>
      <c r="W235" t="str">
        <f t="shared" si="63"/>
        <v/>
      </c>
      <c r="X235" t="str">
        <f t="shared" si="64"/>
        <v/>
      </c>
      <c r="Y235" t="str">
        <f t="shared" si="65"/>
        <v/>
      </c>
      <c r="Z235" t="str">
        <f t="shared" si="66"/>
        <v/>
      </c>
      <c r="AA235">
        <f t="shared" si="67"/>
        <v>0</v>
      </c>
      <c r="AB235" t="str">
        <f>IFERROR(V144+MATCH(AA235,V235:Z235,0)-1,"")</f>
        <v/>
      </c>
      <c r="AC235" t="str">
        <f t="shared" si="68"/>
        <v/>
      </c>
      <c r="AE235" t="str">
        <f>IF(ISNUMBER(MATCH("N/A",J235:N235,0)),"",IFERROR((5 * SUMPRODUCT(J144:N144,J235:N235) - PRODUCT(SUM(J144:N144),SUM(J235:N235))) / ((5 * SUM((J144^2)+(K144^2)+(L144^2)+(M144^2)+(N144^2))) - SUM(J144:N144)^2),""))</f>
        <v/>
      </c>
      <c r="AF235" t="str">
        <f>IFERROR(CORREL(J144:N144,J235:N235),"")</f>
        <v/>
      </c>
      <c r="AZ235">
        <f t="shared" si="69"/>
        <v>0</v>
      </c>
      <c r="BA235" t="str">
        <f>IF(AZ235=1,IF(Q235="","",IF(Q235=N144,"Yes","No")),"")</f>
        <v/>
      </c>
      <c r="BB235" t="str">
        <f t="shared" si="70"/>
        <v/>
      </c>
      <c r="BC235" t="str">
        <f>IF(AZ235=1,IF(S235="","",IF(S235=N144,"Yes","No")),"")</f>
        <v/>
      </c>
      <c r="BD235" t="str">
        <f t="shared" si="71"/>
        <v/>
      </c>
      <c r="BE235" t="str">
        <f t="shared" si="72"/>
        <v/>
      </c>
      <c r="BF235" t="str">
        <f t="shared" si="73"/>
        <v>No</v>
      </c>
      <c r="BG235" t="str">
        <f t="shared" si="74"/>
        <v>No</v>
      </c>
      <c r="BH235" t="str">
        <f t="shared" si="75"/>
        <v/>
      </c>
    </row>
    <row r="236" spans="1:60" x14ac:dyDescent="0.3">
      <c r="A236" s="1">
        <v>8</v>
      </c>
      <c r="B236" t="s">
        <v>583</v>
      </c>
      <c r="C236" t="s">
        <v>264</v>
      </c>
      <c r="D236" t="s">
        <v>2068</v>
      </c>
      <c r="E236" t="s">
        <v>264</v>
      </c>
      <c r="F236" t="s">
        <v>264</v>
      </c>
      <c r="G236" t="s">
        <v>264</v>
      </c>
      <c r="I236" t="str">
        <f t="shared" si="76"/>
        <v>N/A</v>
      </c>
      <c r="J236" t="str">
        <f t="shared" si="77"/>
        <v>N/A</v>
      </c>
      <c r="K236">
        <f t="shared" si="78"/>
        <v>7040000</v>
      </c>
      <c r="L236" t="str">
        <f t="shared" si="79"/>
        <v>N/A</v>
      </c>
      <c r="M236" t="str">
        <f t="shared" si="80"/>
        <v>N/A</v>
      </c>
      <c r="N236" t="str">
        <f t="shared" si="81"/>
        <v>N/A</v>
      </c>
      <c r="P236">
        <f t="shared" si="58"/>
        <v>7040000</v>
      </c>
      <c r="Q236">
        <f>IFERROR(J144+MATCH(P236,J236:N236,0)-1,"")</f>
        <v>2013</v>
      </c>
      <c r="R236">
        <f t="shared" si="59"/>
        <v>7040000</v>
      </c>
      <c r="S236">
        <f>IFERROR(J144+MATCH(R236,J236:N236,0)-1,"")</f>
        <v>2013</v>
      </c>
      <c r="T236">
        <f t="shared" si="60"/>
        <v>7040000</v>
      </c>
      <c r="U236" t="str">
        <f t="shared" si="61"/>
        <v/>
      </c>
      <c r="V236" t="str">
        <f t="shared" si="62"/>
        <v/>
      </c>
      <c r="W236" t="str">
        <f t="shared" si="63"/>
        <v/>
      </c>
      <c r="X236" t="str">
        <f t="shared" si="64"/>
        <v/>
      </c>
      <c r="Y236" t="str">
        <f t="shared" si="65"/>
        <v/>
      </c>
      <c r="Z236" t="str">
        <f t="shared" si="66"/>
        <v/>
      </c>
      <c r="AA236">
        <f t="shared" si="67"/>
        <v>0</v>
      </c>
      <c r="AB236" t="str">
        <f>IFERROR(V144+MATCH(AA236,V236:Z236,0)-1,"")</f>
        <v/>
      </c>
      <c r="AC236" t="str">
        <f t="shared" si="68"/>
        <v/>
      </c>
      <c r="AE236" t="str">
        <f>IF(ISNUMBER(MATCH("N/A",J236:N236,0)),"",IFERROR((5 * SUMPRODUCT(J144:N144,J236:N236) - PRODUCT(SUM(J144:N144),SUM(J236:N236))) / ((5 * SUM((J144^2)+(K144^2)+(L144^2)+(M144^2)+(N144^2))) - SUM(J144:N144)^2),""))</f>
        <v/>
      </c>
      <c r="AF236" t="str">
        <f>IFERROR(CORREL(J144:N144,J236:N236),"")</f>
        <v/>
      </c>
      <c r="AZ236">
        <f t="shared" si="69"/>
        <v>0</v>
      </c>
      <c r="BA236" t="str">
        <f>IF(AZ236=1,IF(Q236="","",IF(Q236=N144,"Yes","No")),"")</f>
        <v/>
      </c>
      <c r="BB236" t="str">
        <f t="shared" si="70"/>
        <v/>
      </c>
      <c r="BC236" t="str">
        <f>IF(AZ236=1,IF(S236="","",IF(S236=N144,"Yes","No")),"")</f>
        <v/>
      </c>
      <c r="BD236" t="str">
        <f t="shared" si="71"/>
        <v/>
      </c>
      <c r="BE236" t="str">
        <f t="shared" si="72"/>
        <v/>
      </c>
      <c r="BF236" t="str">
        <f t="shared" si="73"/>
        <v>No</v>
      </c>
      <c r="BG236" t="str">
        <f t="shared" si="74"/>
        <v>No</v>
      </c>
      <c r="BH236" t="str">
        <f t="shared" si="75"/>
        <v/>
      </c>
    </row>
    <row r="237" spans="1:60" x14ac:dyDescent="0.3">
      <c r="A237" s="1">
        <v>9</v>
      </c>
      <c r="B237" t="s">
        <v>584</v>
      </c>
      <c r="C237" t="s">
        <v>264</v>
      </c>
      <c r="D237" t="s">
        <v>264</v>
      </c>
      <c r="E237" t="s">
        <v>264</v>
      </c>
      <c r="F237" t="s">
        <v>264</v>
      </c>
      <c r="G237" t="s">
        <v>264</v>
      </c>
      <c r="I237" t="str">
        <f t="shared" si="76"/>
        <v>N/A</v>
      </c>
      <c r="J237" t="str">
        <f t="shared" si="77"/>
        <v>N/A</v>
      </c>
      <c r="K237" t="str">
        <f t="shared" si="78"/>
        <v>N/A</v>
      </c>
      <c r="L237" t="str">
        <f t="shared" si="79"/>
        <v>N/A</v>
      </c>
      <c r="M237" t="str">
        <f t="shared" si="80"/>
        <v>N/A</v>
      </c>
      <c r="N237" t="str">
        <f t="shared" si="81"/>
        <v>N/A</v>
      </c>
      <c r="P237">
        <f t="shared" si="58"/>
        <v>0</v>
      </c>
      <c r="Q237" t="str">
        <f>IFERROR(J144+MATCH(P237,J237:N237,0)-1,"")</f>
        <v/>
      </c>
      <c r="R237" t="str">
        <f t="shared" si="59"/>
        <v/>
      </c>
      <c r="S237" t="str">
        <f>IFERROR(J144+MATCH(R237,J237:N237,0)-1,"")</f>
        <v/>
      </c>
      <c r="T237" t="str">
        <f t="shared" si="60"/>
        <v/>
      </c>
      <c r="U237" t="str">
        <f t="shared" si="61"/>
        <v/>
      </c>
      <c r="V237" t="str">
        <f t="shared" si="62"/>
        <v/>
      </c>
      <c r="W237" t="str">
        <f t="shared" si="63"/>
        <v/>
      </c>
      <c r="X237" t="str">
        <f t="shared" si="64"/>
        <v/>
      </c>
      <c r="Y237" t="str">
        <f t="shared" si="65"/>
        <v/>
      </c>
      <c r="Z237" t="str">
        <f t="shared" si="66"/>
        <v/>
      </c>
      <c r="AA237">
        <f t="shared" si="67"/>
        <v>0</v>
      </c>
      <c r="AB237" t="str">
        <f>IFERROR(V144+MATCH(AA237,V237:Z237,0)-1,"")</f>
        <v/>
      </c>
      <c r="AC237" t="str">
        <f t="shared" si="68"/>
        <v/>
      </c>
      <c r="AE237" t="str">
        <f>IF(ISNUMBER(MATCH("N/A",J237:N237,0)),"",IFERROR((5 * SUMPRODUCT(J144:N144,J237:N237) - PRODUCT(SUM(J144:N144),SUM(J237:N237))) / ((5 * SUM((J144^2)+(K144^2)+(L144^2)+(M144^2)+(N144^2))) - SUM(J144:N144)^2),""))</f>
        <v/>
      </c>
      <c r="AF237" t="str">
        <f>IFERROR(CORREL(J144:N144,J237:N237),"")</f>
        <v/>
      </c>
      <c r="AZ237">
        <f t="shared" si="69"/>
        <v>0</v>
      </c>
      <c r="BA237" t="str">
        <f>IF(AZ237=1,IF(Q237="","",IF(Q237=N144,"Yes","No")),"")</f>
        <v/>
      </c>
      <c r="BB237" t="str">
        <f t="shared" si="70"/>
        <v/>
      </c>
      <c r="BC237" t="str">
        <f>IF(AZ237=1,IF(S237="","",IF(S237=N144,"Yes","No")),"")</f>
        <v/>
      </c>
      <c r="BD237" t="str">
        <f t="shared" si="71"/>
        <v/>
      </c>
      <c r="BE237" t="str">
        <f t="shared" si="72"/>
        <v/>
      </c>
      <c r="BF237" t="str">
        <f t="shared" si="73"/>
        <v>No</v>
      </c>
      <c r="BG237" t="str">
        <f t="shared" si="74"/>
        <v>No</v>
      </c>
      <c r="BH237" t="str">
        <f t="shared" si="75"/>
        <v/>
      </c>
    </row>
    <row r="238" spans="1:60" x14ac:dyDescent="0.3">
      <c r="A238" s="1">
        <v>10</v>
      </c>
      <c r="B238" t="s">
        <v>587</v>
      </c>
      <c r="C238" t="s">
        <v>2069</v>
      </c>
      <c r="D238" t="s">
        <v>2070</v>
      </c>
      <c r="E238" t="s">
        <v>304</v>
      </c>
      <c r="F238" t="s">
        <v>2071</v>
      </c>
      <c r="G238" t="s">
        <v>1328</v>
      </c>
      <c r="I238" t="str">
        <f t="shared" si="76"/>
        <v>N/A</v>
      </c>
      <c r="J238">
        <f t="shared" si="77"/>
        <v>963880000</v>
      </c>
      <c r="K238">
        <f t="shared" si="78"/>
        <v>1180000000</v>
      </c>
      <c r="L238">
        <f t="shared" si="79"/>
        <v>1150000000</v>
      </c>
      <c r="M238">
        <f t="shared" si="80"/>
        <v>1120000000</v>
      </c>
      <c r="N238">
        <f t="shared" si="81"/>
        <v>1160000000</v>
      </c>
      <c r="P238">
        <f t="shared" si="58"/>
        <v>1180000000</v>
      </c>
      <c r="Q238">
        <f>IFERROR(J144+MATCH(P238,J238:N238,0)-1,"")</f>
        <v>2013</v>
      </c>
      <c r="R238">
        <f t="shared" si="59"/>
        <v>963880000</v>
      </c>
      <c r="S238">
        <f>IFERROR(J144+MATCH(R238,J238:N238,0)-1,"")</f>
        <v>2012</v>
      </c>
      <c r="T238">
        <f t="shared" si="60"/>
        <v>1114776000</v>
      </c>
      <c r="U238">
        <f t="shared" si="61"/>
        <v>87087604.628902271</v>
      </c>
      <c r="V238">
        <f t="shared" si="62"/>
        <v>-1.7326920477718739</v>
      </c>
      <c r="W238">
        <f t="shared" si="63"/>
        <v>0.74894699742784898</v>
      </c>
      <c r="X238">
        <f t="shared" si="64"/>
        <v>0.4044662859897975</v>
      </c>
      <c r="Y238">
        <f t="shared" si="65"/>
        <v>5.9985574551746031E-2</v>
      </c>
      <c r="Z238">
        <f t="shared" si="66"/>
        <v>0.51929318980248129</v>
      </c>
      <c r="AA238">
        <f t="shared" si="67"/>
        <v>-1.7326920477718739</v>
      </c>
      <c r="AB238">
        <f>IFERROR(V144+MATCH(AA238,V238:Z238,0)-1,"")</f>
        <v>2012</v>
      </c>
      <c r="AC238" t="str">
        <f t="shared" si="68"/>
        <v>Low</v>
      </c>
      <c r="AE238">
        <f>IF(ISNUMBER(MATCH("N/A",J238:N238,0)),"",IFERROR((5 * SUMPRODUCT(J144:N144,J238:N238) - PRODUCT(SUM(J144:N144),SUM(J238:N238))) / ((5 * SUM((J144^2)+(K144^2)+(L144^2)+(M144^2)+(N144^2))) - SUM(J144:N144)^2),""))</f>
        <v>33224000</v>
      </c>
      <c r="AF238">
        <f>IFERROR(CORREL(J144:N144,J238:N238),"")</f>
        <v>0.60320589496709032</v>
      </c>
      <c r="AZ238">
        <f t="shared" si="69"/>
        <v>1</v>
      </c>
      <c r="BA238" t="str">
        <f>IF(AZ238=1,IF(Q238="","",IF(Q238=N144,"Yes","No")),"")</f>
        <v>No</v>
      </c>
      <c r="BB238" t="str">
        <f t="shared" si="70"/>
        <v/>
      </c>
      <c r="BC238" t="str">
        <f>IF(AZ238=1,IF(S238="","",IF(S238=N144,"Yes","No")),"")</f>
        <v>No</v>
      </c>
      <c r="BD238" t="str">
        <f t="shared" si="71"/>
        <v/>
      </c>
      <c r="BE238" t="str">
        <f t="shared" si="72"/>
        <v>Increasing</v>
      </c>
      <c r="BF238" t="str">
        <f t="shared" si="73"/>
        <v>No</v>
      </c>
      <c r="BG238" t="str">
        <f t="shared" si="74"/>
        <v>No</v>
      </c>
      <c r="BH238" t="str">
        <f t="shared" si="75"/>
        <v>No</v>
      </c>
    </row>
    <row r="239" spans="1:60" x14ac:dyDescent="0.3">
      <c r="A239" s="1">
        <v>11</v>
      </c>
      <c r="B239" t="s">
        <v>593</v>
      </c>
      <c r="C239" t="s">
        <v>2072</v>
      </c>
      <c r="D239" t="s">
        <v>2073</v>
      </c>
      <c r="E239" t="s">
        <v>2074</v>
      </c>
      <c r="F239" t="s">
        <v>2075</v>
      </c>
      <c r="G239" t="s">
        <v>2076</v>
      </c>
      <c r="I239" t="str">
        <f t="shared" si="76"/>
        <v>N/A</v>
      </c>
      <c r="J239">
        <f t="shared" si="77"/>
        <v>579910000</v>
      </c>
      <c r="K239">
        <f t="shared" si="78"/>
        <v>649700000</v>
      </c>
      <c r="L239">
        <f t="shared" si="79"/>
        <v>594950000</v>
      </c>
      <c r="M239">
        <f t="shared" si="80"/>
        <v>587990000</v>
      </c>
      <c r="N239">
        <f t="shared" si="81"/>
        <v>633440000</v>
      </c>
      <c r="P239">
        <f t="shared" si="58"/>
        <v>649700000</v>
      </c>
      <c r="Q239">
        <f>IFERROR(J144+MATCH(P239,J239:N239,0)-1,"")</f>
        <v>2013</v>
      </c>
      <c r="R239">
        <f t="shared" si="59"/>
        <v>579910000</v>
      </c>
      <c r="S239">
        <f>IFERROR(J144+MATCH(R239,J239:N239,0)-1,"")</f>
        <v>2012</v>
      </c>
      <c r="T239">
        <f t="shared" si="60"/>
        <v>609198000</v>
      </c>
      <c r="U239">
        <f t="shared" si="61"/>
        <v>30572284.343830116</v>
      </c>
      <c r="V239">
        <f t="shared" si="62"/>
        <v>-0.95799187494835325</v>
      </c>
      <c r="W239">
        <f t="shared" si="63"/>
        <v>1.3247946913124216</v>
      </c>
      <c r="X239">
        <f t="shared" si="64"/>
        <v>-0.46604302903114375</v>
      </c>
      <c r="Y239">
        <f t="shared" si="65"/>
        <v>-0.69370020772687369</v>
      </c>
      <c r="Z239">
        <f t="shared" si="66"/>
        <v>0.79294042039394907</v>
      </c>
      <c r="AA239">
        <f t="shared" si="67"/>
        <v>1.3247946913124216</v>
      </c>
      <c r="AB239">
        <f>IFERROR(V144+MATCH(AA239,V239:Z239,0)-1,"")</f>
        <v>2013</v>
      </c>
      <c r="AC239" t="str">
        <f t="shared" si="68"/>
        <v>High</v>
      </c>
      <c r="AE239">
        <f>IF(ISNUMBER(MATCH("N/A",J239:N239,0)),"",IFERROR((5 * SUMPRODUCT(J144:N144,J239:N239) - PRODUCT(SUM(J144:N144),SUM(J239:N239))) / ((5 * SUM((J144^2)+(K144^2)+(L144^2)+(M144^2)+(N144^2))) - SUM(J144:N144)^2),""))</f>
        <v>4535000</v>
      </c>
      <c r="AF239">
        <f>IFERROR(CORREL(J144:N144,J239:N239),"")</f>
        <v>0.23454134188304096</v>
      </c>
      <c r="AZ239">
        <f t="shared" si="69"/>
        <v>1</v>
      </c>
      <c r="BA239" t="str">
        <f>IF(AZ239=1,IF(Q239="","",IF(Q239=N144,"Yes","No")),"")</f>
        <v>No</v>
      </c>
      <c r="BB239" t="str">
        <f t="shared" si="70"/>
        <v/>
      </c>
      <c r="BC239" t="str">
        <f>IF(AZ239=1,IF(S239="","",IF(S239=N144,"Yes","No")),"")</f>
        <v>No</v>
      </c>
      <c r="BD239" t="str">
        <f t="shared" si="71"/>
        <v/>
      </c>
      <c r="BE239" t="str">
        <f t="shared" si="72"/>
        <v>Increasing</v>
      </c>
      <c r="BF239" t="str">
        <f t="shared" si="73"/>
        <v>No</v>
      </c>
      <c r="BG239" t="str">
        <f t="shared" si="74"/>
        <v>No</v>
      </c>
      <c r="BH239" t="str">
        <f t="shared" si="75"/>
        <v>No</v>
      </c>
    </row>
    <row r="240" spans="1:60" x14ac:dyDescent="0.3">
      <c r="A240" s="1">
        <v>12</v>
      </c>
      <c r="B240" t="s">
        <v>599</v>
      </c>
      <c r="C240" t="s">
        <v>2077</v>
      </c>
      <c r="D240" t="s">
        <v>2078</v>
      </c>
      <c r="E240" t="s">
        <v>2079</v>
      </c>
      <c r="F240" t="s">
        <v>2080</v>
      </c>
      <c r="G240" t="s">
        <v>2081</v>
      </c>
      <c r="I240" t="str">
        <f t="shared" si="76"/>
        <v>N/A</v>
      </c>
      <c r="J240">
        <f t="shared" si="77"/>
        <v>383970000</v>
      </c>
      <c r="K240">
        <f t="shared" si="78"/>
        <v>534289999.99999994</v>
      </c>
      <c r="L240">
        <f t="shared" si="79"/>
        <v>554690000</v>
      </c>
      <c r="M240">
        <f t="shared" si="80"/>
        <v>528320000.00000006</v>
      </c>
      <c r="N240">
        <f t="shared" si="81"/>
        <v>522260000</v>
      </c>
      <c r="P240">
        <f t="shared" si="58"/>
        <v>554690000</v>
      </c>
      <c r="Q240">
        <f>IFERROR(J144+MATCH(P240,J240:N240,0)-1,"")</f>
        <v>2014</v>
      </c>
      <c r="R240">
        <f t="shared" si="59"/>
        <v>383970000</v>
      </c>
      <c r="S240">
        <f>IFERROR(J144+MATCH(R240,J240:N240,0)-1,"")</f>
        <v>2012</v>
      </c>
      <c r="T240">
        <f t="shared" si="60"/>
        <v>504706000</v>
      </c>
      <c r="U240">
        <f t="shared" si="61"/>
        <v>68586731.442750648</v>
      </c>
      <c r="V240">
        <f t="shared" si="62"/>
        <v>-1.7603404836513947</v>
      </c>
      <c r="W240">
        <f t="shared" si="63"/>
        <v>0.43133707318730752</v>
      </c>
      <c r="X240">
        <f t="shared" si="64"/>
        <v>0.72877069585567944</v>
      </c>
      <c r="Y240">
        <f t="shared" si="65"/>
        <v>0.34429399831818297</v>
      </c>
      <c r="Z240">
        <f t="shared" si="66"/>
        <v>0.2559387162902248</v>
      </c>
      <c r="AA240">
        <f t="shared" si="67"/>
        <v>-1.7603404836513947</v>
      </c>
      <c r="AB240">
        <f>IFERROR(V144+MATCH(AA240,V240:Z240,0)-1,"")</f>
        <v>2012</v>
      </c>
      <c r="AC240" t="str">
        <f t="shared" si="68"/>
        <v>Low</v>
      </c>
      <c r="AE240">
        <f>IF(ISNUMBER(MATCH("N/A",J240:N240,0)),"",IFERROR((5 * SUMPRODUCT(J144:N144,J240:N240) - PRODUCT(SUM(J144:N144),SUM(J240:N240))) / ((5 * SUM((J144^2)+(K144^2)+(L144^2)+(M144^2)+(N144^2))) - SUM(J144:N144)^2),""))</f>
        <v>27061000</v>
      </c>
      <c r="AF240">
        <f>IFERROR(CORREL(J144:N144,J240:N240),"")</f>
        <v>0.62384074850720583</v>
      </c>
      <c r="AZ240">
        <f t="shared" si="69"/>
        <v>1</v>
      </c>
      <c r="BA240" t="str">
        <f>IF(AZ240=1,IF(Q240="","",IF(Q240=N144,"Yes","No")),"")</f>
        <v>No</v>
      </c>
      <c r="BB240" t="str">
        <f t="shared" si="70"/>
        <v/>
      </c>
      <c r="BC240" t="str">
        <f>IF(AZ240=1,IF(S240="","",IF(S240=N144,"Yes","No")),"")</f>
        <v>No</v>
      </c>
      <c r="BD240" t="str">
        <f t="shared" si="71"/>
        <v/>
      </c>
      <c r="BE240" t="str">
        <f t="shared" si="72"/>
        <v>Increasing</v>
      </c>
      <c r="BF240" t="str">
        <f t="shared" si="73"/>
        <v>No</v>
      </c>
      <c r="BG240" t="str">
        <f t="shared" si="74"/>
        <v>No</v>
      </c>
      <c r="BH240" t="str">
        <f t="shared" si="75"/>
        <v>No</v>
      </c>
    </row>
    <row r="241" spans="1:60" x14ac:dyDescent="0.3">
      <c r="A241" s="1">
        <v>13</v>
      </c>
      <c r="B241" t="s">
        <v>604</v>
      </c>
      <c r="C241" t="s">
        <v>2082</v>
      </c>
      <c r="D241" t="s">
        <v>2083</v>
      </c>
      <c r="E241" t="s">
        <v>2084</v>
      </c>
      <c r="F241" t="s">
        <v>2085</v>
      </c>
      <c r="G241" t="s">
        <v>2086</v>
      </c>
      <c r="I241" t="str">
        <f t="shared" si="76"/>
        <v>N/A</v>
      </c>
      <c r="J241">
        <f t="shared" si="77"/>
        <v>23120000</v>
      </c>
      <c r="K241">
        <f t="shared" si="78"/>
        <v>50580000</v>
      </c>
      <c r="L241">
        <f t="shared" si="79"/>
        <v>26350000</v>
      </c>
      <c r="M241">
        <f t="shared" si="80"/>
        <v>23970000</v>
      </c>
      <c r="N241">
        <f t="shared" si="81"/>
        <v>13430000</v>
      </c>
      <c r="P241">
        <f t="shared" si="58"/>
        <v>50580000</v>
      </c>
      <c r="Q241">
        <f>IFERROR(J144+MATCH(P241,J241:N241,0)-1,"")</f>
        <v>2013</v>
      </c>
      <c r="R241">
        <f t="shared" si="59"/>
        <v>13430000</v>
      </c>
      <c r="S241">
        <f>IFERROR(J144+MATCH(R241,J241:N241,0)-1,"")</f>
        <v>2016</v>
      </c>
      <c r="T241">
        <f t="shared" si="60"/>
        <v>27490000</v>
      </c>
      <c r="U241">
        <f t="shared" si="61"/>
        <v>13816824.888519069</v>
      </c>
      <c r="V241">
        <f t="shared" si="62"/>
        <v>-0.31628105843848403</v>
      </c>
      <c r="W241">
        <f t="shared" si="63"/>
        <v>1.6711509472184429</v>
      </c>
      <c r="X241">
        <f t="shared" si="64"/>
        <v>-8.250810220134365E-2</v>
      </c>
      <c r="Y241">
        <f t="shared" si="65"/>
        <v>-0.25476185942871021</v>
      </c>
      <c r="Z241">
        <f t="shared" si="66"/>
        <v>-1.017599927149905</v>
      </c>
      <c r="AA241">
        <f t="shared" si="67"/>
        <v>1.6711509472184429</v>
      </c>
      <c r="AB241">
        <f>IFERROR(V144+MATCH(AA241,V241:Z241,0)-1,"")</f>
        <v>2013</v>
      </c>
      <c r="AC241" t="str">
        <f t="shared" si="68"/>
        <v>High</v>
      </c>
      <c r="AE241">
        <f>IF(ISNUMBER(MATCH("N/A",J241:N241,0)),"",IFERROR((5 * SUMPRODUCT(J144:N144,J241:N241) - PRODUCT(SUM(J144:N144),SUM(J241:N241))) / ((5 * SUM((J144^2)+(K144^2)+(L144^2)+(M144^2)+(N144^2))) - SUM(J144:N144)^2),""))</f>
        <v>-4599000</v>
      </c>
      <c r="AF241">
        <f>IFERROR(CORREL(J144:N144,J241:N241),"")</f>
        <v>-0.52629005131269246</v>
      </c>
      <c r="AZ241">
        <f t="shared" si="69"/>
        <v>1</v>
      </c>
      <c r="BA241" t="str">
        <f>IF(AZ241=1,IF(Q241="","",IF(Q241=N144,"Yes","No")),"")</f>
        <v>No</v>
      </c>
      <c r="BB241" t="str">
        <f t="shared" si="70"/>
        <v/>
      </c>
      <c r="BC241" t="str">
        <f>IF(AZ241=1,IF(S241="","",IF(S241=N144,"Yes","No")),"")</f>
        <v>Yes</v>
      </c>
      <c r="BD241">
        <f t="shared" si="71"/>
        <v>13430000</v>
      </c>
      <c r="BE241" t="str">
        <f t="shared" si="72"/>
        <v>Decreasing</v>
      </c>
      <c r="BF241" t="str">
        <f t="shared" si="73"/>
        <v>Yes</v>
      </c>
      <c r="BG241" t="str">
        <f t="shared" si="74"/>
        <v>No</v>
      </c>
      <c r="BH241" t="str">
        <f t="shared" si="75"/>
        <v>No</v>
      </c>
    </row>
    <row r="242" spans="1:60" x14ac:dyDescent="0.3">
      <c r="A242" s="1">
        <v>14</v>
      </c>
      <c r="B242" t="s">
        <v>610</v>
      </c>
      <c r="C242" t="s">
        <v>2082</v>
      </c>
      <c r="D242" t="s">
        <v>2087</v>
      </c>
      <c r="E242" t="s">
        <v>2088</v>
      </c>
      <c r="F242" t="s">
        <v>2089</v>
      </c>
      <c r="G242" t="s">
        <v>2090</v>
      </c>
      <c r="I242" t="str">
        <f t="shared" si="76"/>
        <v>N/A</v>
      </c>
      <c r="J242">
        <f t="shared" si="77"/>
        <v>23120000</v>
      </c>
      <c r="K242">
        <f t="shared" si="78"/>
        <v>11430000</v>
      </c>
      <c r="L242">
        <f t="shared" si="79"/>
        <v>11850000</v>
      </c>
      <c r="M242">
        <f t="shared" si="80"/>
        <v>11020000</v>
      </c>
      <c r="N242">
        <f t="shared" si="81"/>
        <v>10410000</v>
      </c>
      <c r="P242">
        <f t="shared" si="58"/>
        <v>23120000</v>
      </c>
      <c r="Q242">
        <f>IFERROR(J144+MATCH(P242,J242:N242,0)-1,"")</f>
        <v>2012</v>
      </c>
      <c r="R242">
        <f t="shared" si="59"/>
        <v>10410000</v>
      </c>
      <c r="S242">
        <f>IFERROR(J144+MATCH(R242,J242:N242,0)-1,"")</f>
        <v>2016</v>
      </c>
      <c r="T242">
        <f t="shared" si="60"/>
        <v>13566000</v>
      </c>
      <c r="U242">
        <f t="shared" si="61"/>
        <v>5367227.4034178946</v>
      </c>
      <c r="V242">
        <f t="shared" si="62"/>
        <v>1.7800624571852377</v>
      </c>
      <c r="W242">
        <f t="shared" si="63"/>
        <v>-0.39797084033364744</v>
      </c>
      <c r="X242">
        <f t="shared" si="64"/>
        <v>-0.31971814700961565</v>
      </c>
      <c r="Y242">
        <f t="shared" si="65"/>
        <v>-0.4743603742928213</v>
      </c>
      <c r="Z242">
        <f t="shared" si="66"/>
        <v>-0.58801309554915326</v>
      </c>
      <c r="AA242">
        <f t="shared" si="67"/>
        <v>1.7800624571852377</v>
      </c>
      <c r="AB242">
        <f>IFERROR(V144+MATCH(AA242,V242:Z242,0)-1,"")</f>
        <v>2012</v>
      </c>
      <c r="AC242" t="str">
        <f t="shared" si="68"/>
        <v>High</v>
      </c>
      <c r="AE242">
        <f>IF(ISNUMBER(MATCH("N/A",J242:N242,0)),"",IFERROR((5 * SUMPRODUCT(J144:N144,J242:N242) - PRODUCT(SUM(J144:N144),SUM(J242:N242))) / ((5 * SUM((J144^2)+(K144^2)+(L144^2)+(M144^2)+(N144^2))) - SUM(J144:N144)^2),""))</f>
        <v>-2583000</v>
      </c>
      <c r="AF242">
        <f>IFERROR(CORREL(J144:N144,J242:N242),"")</f>
        <v>-0.76092948763577339</v>
      </c>
      <c r="AZ242">
        <f t="shared" si="69"/>
        <v>1</v>
      </c>
      <c r="BA242" t="str">
        <f>IF(AZ242=1,IF(Q242="","",IF(Q242=N144,"Yes","No")),"")</f>
        <v>No</v>
      </c>
      <c r="BB242" t="str">
        <f t="shared" si="70"/>
        <v/>
      </c>
      <c r="BC242" t="str">
        <f>IF(AZ242=1,IF(S242="","",IF(S242=N144,"Yes","No")),"")</f>
        <v>Yes</v>
      </c>
      <c r="BD242">
        <f t="shared" si="71"/>
        <v>10410000</v>
      </c>
      <c r="BE242" t="str">
        <f t="shared" si="72"/>
        <v>Decreasing</v>
      </c>
      <c r="BF242" t="str">
        <f t="shared" si="73"/>
        <v>Yes</v>
      </c>
      <c r="BG242" t="str">
        <f t="shared" si="74"/>
        <v>No</v>
      </c>
      <c r="BH242" t="str">
        <f t="shared" si="75"/>
        <v>No</v>
      </c>
    </row>
    <row r="243" spans="1:60" x14ac:dyDescent="0.3">
      <c r="A243" s="1">
        <v>15</v>
      </c>
      <c r="B243" t="s">
        <v>613</v>
      </c>
      <c r="C243" t="s">
        <v>2091</v>
      </c>
      <c r="D243" t="s">
        <v>2092</v>
      </c>
      <c r="E243" t="s">
        <v>1100</v>
      </c>
      <c r="F243" t="s">
        <v>2093</v>
      </c>
      <c r="G243" t="s">
        <v>2094</v>
      </c>
      <c r="I243" t="str">
        <f t="shared" si="76"/>
        <v>N/A</v>
      </c>
      <c r="J243">
        <f t="shared" si="77"/>
        <v>1870000000</v>
      </c>
      <c r="K243">
        <f t="shared" si="78"/>
        <v>2120000000</v>
      </c>
      <c r="L243">
        <f t="shared" si="79"/>
        <v>2069999999.9999998</v>
      </c>
      <c r="M243">
        <f t="shared" si="80"/>
        <v>2060000000</v>
      </c>
      <c r="N243">
        <f t="shared" si="81"/>
        <v>2140000000.0000002</v>
      </c>
      <c r="P243">
        <f t="shared" si="58"/>
        <v>2140000000.0000002</v>
      </c>
      <c r="Q243">
        <f>IFERROR(J144+MATCH(P243,J243:N243,0)-1,"")</f>
        <v>2016</v>
      </c>
      <c r="R243">
        <f t="shared" si="59"/>
        <v>1870000000</v>
      </c>
      <c r="S243">
        <f>IFERROR(J144+MATCH(R243,J243:N243,0)-1,"")</f>
        <v>2012</v>
      </c>
      <c r="T243">
        <f t="shared" si="60"/>
        <v>2052000000</v>
      </c>
      <c r="U243">
        <f t="shared" si="61"/>
        <v>107098085.88392235</v>
      </c>
      <c r="V243">
        <f t="shared" si="62"/>
        <v>-1.6993767768852532</v>
      </c>
      <c r="W243">
        <f t="shared" si="63"/>
        <v>0.63493198257251215</v>
      </c>
      <c r="X243">
        <f t="shared" si="64"/>
        <v>0.16807023068095689</v>
      </c>
      <c r="Y243">
        <f t="shared" si="65"/>
        <v>7.4697880302648498E-2</v>
      </c>
      <c r="Z243">
        <f t="shared" si="66"/>
        <v>0.82167668332913568</v>
      </c>
      <c r="AA243">
        <f t="shared" si="67"/>
        <v>-1.6993767768852532</v>
      </c>
      <c r="AB243">
        <f>IFERROR(V144+MATCH(AA243,V243:Z243,0)-1,"")</f>
        <v>2012</v>
      </c>
      <c r="AC243" t="str">
        <f t="shared" si="68"/>
        <v>Low</v>
      </c>
      <c r="AE243">
        <f>IF(ISNUMBER(MATCH("N/A",J243:N243,0)),"",IFERROR((5 * SUMPRODUCT(J144:N144,J243:N243) - PRODUCT(SUM(J144:N144),SUM(J243:N243))) / ((5 * SUM((J144^2)+(K144^2)+(L144^2)+(M144^2)+(N144^2))) - SUM(J144:N144)^2),""))</f>
        <v>48000000</v>
      </c>
      <c r="AF243">
        <f>IFERROR(CORREL(J144:N144,J243:N243),"")</f>
        <v>0.70864631442899162</v>
      </c>
      <c r="AZ243">
        <f t="shared" si="69"/>
        <v>1</v>
      </c>
      <c r="BA243" t="str">
        <f>IF(AZ243=1,IF(Q243="","",IF(Q243=N144,"Yes","No")),"")</f>
        <v>Yes</v>
      </c>
      <c r="BB243">
        <f t="shared" si="70"/>
        <v>2140000000.0000002</v>
      </c>
      <c r="BC243" t="str">
        <f>IF(AZ243=1,IF(S243="","",IF(S243=N144,"Yes","No")),"")</f>
        <v>No</v>
      </c>
      <c r="BD243" t="str">
        <f t="shared" si="71"/>
        <v/>
      </c>
      <c r="BE243" t="str">
        <f t="shared" si="72"/>
        <v>Increasing</v>
      </c>
      <c r="BF243" t="str">
        <f t="shared" si="73"/>
        <v>Yes</v>
      </c>
      <c r="BG243" t="str">
        <f t="shared" si="74"/>
        <v>No</v>
      </c>
      <c r="BH243" t="str">
        <f t="shared" si="75"/>
        <v>No</v>
      </c>
    </row>
    <row r="244" spans="1:60" x14ac:dyDescent="0.3">
      <c r="A244" s="1">
        <v>16</v>
      </c>
      <c r="B244" t="s">
        <v>618</v>
      </c>
      <c r="C244" t="s">
        <v>264</v>
      </c>
      <c r="D244" t="s">
        <v>2095</v>
      </c>
      <c r="E244" t="s">
        <v>2096</v>
      </c>
      <c r="F244" t="s">
        <v>2097</v>
      </c>
      <c r="G244" t="s">
        <v>2098</v>
      </c>
      <c r="I244" t="str">
        <f t="shared" si="76"/>
        <v>N/A</v>
      </c>
      <c r="J244" t="str">
        <f t="shared" si="77"/>
        <v>N/A</v>
      </c>
      <c r="K244">
        <f t="shared" si="78"/>
        <v>0.13650000000000001</v>
      </c>
      <c r="L244">
        <f t="shared" si="79"/>
        <v>-2.3400000000000001E-2</v>
      </c>
      <c r="M244">
        <f t="shared" si="80"/>
        <v>-5.7999999999999996E-3</v>
      </c>
      <c r="N244">
        <f t="shared" si="81"/>
        <v>3.6700000000000003E-2</v>
      </c>
      <c r="P244">
        <f t="shared" si="58"/>
        <v>0.13650000000000001</v>
      </c>
      <c r="Q244">
        <f>IFERROR(J144+MATCH(P244,J244:N244,0)-1,"")</f>
        <v>2013</v>
      </c>
      <c r="R244">
        <f t="shared" si="59"/>
        <v>-2.3400000000000001E-2</v>
      </c>
      <c r="S244">
        <f>IFERROR(J144+MATCH(R244,J244:N244,0)-1,"")</f>
        <v>2014</v>
      </c>
      <c r="T244">
        <f t="shared" si="60"/>
        <v>3.6000000000000004E-2</v>
      </c>
      <c r="U244">
        <f t="shared" si="61"/>
        <v>7.1592224903732862E-2</v>
      </c>
      <c r="V244" t="str">
        <f t="shared" si="62"/>
        <v/>
      </c>
      <c r="W244">
        <f t="shared" si="63"/>
        <v>1.4037837228154069</v>
      </c>
      <c r="X244">
        <f t="shared" si="64"/>
        <v>-0.82969903617149432</v>
      </c>
      <c r="Y244">
        <f t="shared" si="65"/>
        <v>-0.58386228471327373</v>
      </c>
      <c r="Z244">
        <f t="shared" si="66"/>
        <v>9.7775980693610327E-3</v>
      </c>
      <c r="AA244">
        <f t="shared" si="67"/>
        <v>1.4037837228154069</v>
      </c>
      <c r="AB244">
        <f>IFERROR(V144+MATCH(AA244,V244:Z244,0)-1,"")</f>
        <v>2013</v>
      </c>
      <c r="AC244" t="str">
        <f t="shared" si="68"/>
        <v>High</v>
      </c>
      <c r="AE244" t="str">
        <f>IF(ISNUMBER(MATCH("N/A",J244:N244,0)),"",IFERROR((5 * SUMPRODUCT(J144:N144,J244:N244) - PRODUCT(SUM(J144:N144),SUM(J244:N244))) / ((5 * SUM((J144^2)+(K144^2)+(L144^2)+(M144^2)+(N144^2))) - SUM(J144:N144)^2),""))</f>
        <v/>
      </c>
      <c r="AF244">
        <f>IFERROR(CORREL(J144:N144,J244:N244),"")</f>
        <v>-0.50815886242247676</v>
      </c>
      <c r="AZ244">
        <f t="shared" si="69"/>
        <v>1</v>
      </c>
      <c r="BA244" t="str">
        <f>IF(AZ244=1,IF(Q244="","",IF(Q244=N144,"Yes","No")),"")</f>
        <v>No</v>
      </c>
      <c r="BB244" t="str">
        <f t="shared" si="70"/>
        <v/>
      </c>
      <c r="BC244" t="str">
        <f>IF(AZ244=1,IF(S244="","",IF(S244=N144,"Yes","No")),"")</f>
        <v>No</v>
      </c>
      <c r="BD244" t="str">
        <f t="shared" si="71"/>
        <v/>
      </c>
      <c r="BE244" t="str">
        <f t="shared" si="72"/>
        <v/>
      </c>
      <c r="BF244" t="str">
        <f t="shared" si="73"/>
        <v>No</v>
      </c>
      <c r="BG244" t="str">
        <f t="shared" si="74"/>
        <v>No</v>
      </c>
      <c r="BH244" t="str">
        <f t="shared" si="75"/>
        <v>No</v>
      </c>
    </row>
    <row r="245" spans="1:60" x14ac:dyDescent="0.3">
      <c r="I245" t="str">
        <f t="shared" si="76"/>
        <v>N/A</v>
      </c>
      <c r="J245" t="str">
        <f t="shared" si="77"/>
        <v>N/A</v>
      </c>
      <c r="K245" t="str">
        <f t="shared" si="78"/>
        <v>N/A</v>
      </c>
      <c r="L245" t="str">
        <f t="shared" si="79"/>
        <v>N/A</v>
      </c>
      <c r="M245" t="str">
        <f t="shared" si="80"/>
        <v>N/A</v>
      </c>
      <c r="N245" t="str">
        <f t="shared" si="81"/>
        <v>N/A</v>
      </c>
      <c r="P245">
        <f t="shared" si="58"/>
        <v>0</v>
      </c>
      <c r="Q245" t="str">
        <f>IFERROR(J144+MATCH(P245,J245:N245,0)-1,"")</f>
        <v/>
      </c>
      <c r="R245" t="str">
        <f t="shared" si="59"/>
        <v/>
      </c>
      <c r="S245" t="str">
        <f>IFERROR(J144+MATCH(R245,J245:N245,0)-1,"")</f>
        <v/>
      </c>
      <c r="T245" t="str">
        <f t="shared" si="60"/>
        <v/>
      </c>
      <c r="U245" t="str">
        <f t="shared" si="61"/>
        <v/>
      </c>
      <c r="V245" t="str">
        <f t="shared" si="62"/>
        <v/>
      </c>
      <c r="W245" t="str">
        <f t="shared" si="63"/>
        <v/>
      </c>
      <c r="X245" t="str">
        <f t="shared" si="64"/>
        <v/>
      </c>
      <c r="Y245" t="str">
        <f t="shared" si="65"/>
        <v/>
      </c>
      <c r="Z245" t="str">
        <f t="shared" si="66"/>
        <v/>
      </c>
      <c r="AA245">
        <f t="shared" si="67"/>
        <v>0</v>
      </c>
      <c r="AB245" t="str">
        <f>IFERROR(V144+MATCH(AA245,V245:Z245,0)-1,"")</f>
        <v/>
      </c>
      <c r="AC245" t="str">
        <f t="shared" si="68"/>
        <v/>
      </c>
      <c r="AE245" t="str">
        <f>IF(ISNUMBER(MATCH("N/A",J245:N245,0)),"",IFERROR((5 * SUMPRODUCT(J144:N144,J245:N245) - PRODUCT(SUM(J144:N144),SUM(J245:N245))) / ((5 * SUM((J144^2)+(K144^2)+(L144^2)+(M144^2)+(N144^2))) - SUM(J144:N144)^2),""))</f>
        <v/>
      </c>
      <c r="AF245" t="str">
        <f>IFERROR(CORREL(J144:N144,J245:N245),"")</f>
        <v/>
      </c>
      <c r="AZ245">
        <f t="shared" si="69"/>
        <v>0</v>
      </c>
      <c r="BA245" t="str">
        <f>IF(AZ245=1,IF(Q245="","",IF(Q245=N144,"Yes","No")),"")</f>
        <v/>
      </c>
      <c r="BB245" t="str">
        <f t="shared" si="70"/>
        <v/>
      </c>
      <c r="BC245" t="str">
        <f>IF(AZ245=1,IF(S245="","",IF(S245=N144,"Yes","No")),"")</f>
        <v/>
      </c>
      <c r="BD245" t="str">
        <f t="shared" si="71"/>
        <v/>
      </c>
      <c r="BE245" t="str">
        <f t="shared" si="72"/>
        <v/>
      </c>
      <c r="BF245" t="str">
        <f t="shared" si="73"/>
        <v>No</v>
      </c>
      <c r="BG245" t="str">
        <f t="shared" si="74"/>
        <v>No</v>
      </c>
      <c r="BH245" t="str">
        <f t="shared" si="75"/>
        <v/>
      </c>
    </row>
    <row r="246" spans="1:60" x14ac:dyDescent="0.3">
      <c r="B246" s="1" t="s">
        <v>316</v>
      </c>
      <c r="C246" s="1" t="s">
        <v>252</v>
      </c>
      <c r="D246" s="1" t="s">
        <v>253</v>
      </c>
      <c r="E246" s="1" t="s">
        <v>254</v>
      </c>
      <c r="F246" s="1" t="s">
        <v>255</v>
      </c>
      <c r="G246" s="1" t="s">
        <v>256</v>
      </c>
      <c r="H246" s="1" t="s">
        <v>257</v>
      </c>
      <c r="P246">
        <f t="shared" si="58"/>
        <v>0</v>
      </c>
      <c r="Q246" t="str">
        <f>IFERROR(J144+MATCH(P246,J246:N246,0)-1,"")</f>
        <v/>
      </c>
      <c r="R246" t="str">
        <f t="shared" si="59"/>
        <v/>
      </c>
      <c r="S246" t="str">
        <f>IFERROR(J144+MATCH(R246,J246:N246,0)-1,"")</f>
        <v/>
      </c>
      <c r="T246" t="str">
        <f t="shared" si="60"/>
        <v/>
      </c>
      <c r="U246" t="str">
        <f t="shared" si="61"/>
        <v/>
      </c>
      <c r="V246" t="str">
        <f t="shared" si="62"/>
        <v/>
      </c>
      <c r="W246" t="str">
        <f t="shared" si="63"/>
        <v/>
      </c>
      <c r="X246" t="str">
        <f t="shared" si="64"/>
        <v/>
      </c>
      <c r="Y246" t="str">
        <f t="shared" si="65"/>
        <v/>
      </c>
      <c r="Z246" t="str">
        <f t="shared" si="66"/>
        <v/>
      </c>
      <c r="AA246">
        <f t="shared" si="67"/>
        <v>0</v>
      </c>
      <c r="AB246" t="str">
        <f>IFERROR(V144+MATCH(AA246,V246:Z246,0)-1,"")</f>
        <v/>
      </c>
      <c r="AC246" t="str">
        <f t="shared" si="68"/>
        <v/>
      </c>
      <c r="AE246">
        <f>IF(ISNUMBER(MATCH("N/A",J246:N246,0)),"",IFERROR((5 * SUMPRODUCT(J144:N144,J246:N246) - PRODUCT(SUM(J144:N144),SUM(J246:N246))) / ((5 * SUM((J144^2)+(K144^2)+(L144^2)+(M144^2)+(N144^2))) - SUM(J144:N144)^2),""))</f>
        <v>0</v>
      </c>
      <c r="AF246" t="str">
        <f>IFERROR(CORREL(J144:N144,J246:N246),"")</f>
        <v/>
      </c>
      <c r="AZ246">
        <f t="shared" si="69"/>
        <v>0</v>
      </c>
      <c r="BA246" t="str">
        <f>IF(AZ246=1,IF(Q246="","",IF(Q246=N144,"Yes","No")),"")</f>
        <v/>
      </c>
      <c r="BB246" t="str">
        <f t="shared" si="70"/>
        <v/>
      </c>
      <c r="BC246" t="str">
        <f>IF(AZ246=1,IF(S246="","",IF(S246=N144,"Yes","No")),"")</f>
        <v/>
      </c>
      <c r="BD246" t="str">
        <f t="shared" si="71"/>
        <v/>
      </c>
      <c r="BE246" t="str">
        <f t="shared" si="72"/>
        <v/>
      </c>
      <c r="BF246" t="str">
        <f t="shared" si="73"/>
        <v>No</v>
      </c>
      <c r="BG246" t="str">
        <f t="shared" si="74"/>
        <v>No</v>
      </c>
      <c r="BH246" t="str">
        <f t="shared" si="75"/>
        <v/>
      </c>
    </row>
    <row r="247" spans="1:60" x14ac:dyDescent="0.3">
      <c r="A247" s="1">
        <v>0</v>
      </c>
      <c r="B247" t="s">
        <v>623</v>
      </c>
      <c r="C247" t="s">
        <v>2099</v>
      </c>
      <c r="D247" t="s">
        <v>2100</v>
      </c>
      <c r="E247" t="s">
        <v>2101</v>
      </c>
      <c r="F247" t="s">
        <v>2102</v>
      </c>
      <c r="G247" t="s">
        <v>2103</v>
      </c>
      <c r="I247" t="str">
        <f t="shared" ref="I247:I270" si="82">IF(AND(K247&gt; J247, L247&gt; K247, M247&gt; L247, N247&gt; M247), "pos_trend", IF(AND(K247&lt; J247, L247&lt; K247, M247&lt; L247, N247&lt; M247), "neg_trend", "N/A"))</f>
        <v>N/A</v>
      </c>
      <c r="J247">
        <f t="shared" ref="J247:J270" si="83">IFERROR(IF(TRIM(C247)="-", "N/A", IF(RIGHT(C247,1)=")",IF(RIGHT(C247,2)="T)",-1000000000000*VALUE(MID(C247,2,LEN(C247)-3)),IF(RIGHT(C247,2)="M)",-1000000*VALUE(MID(C247,2,LEN(C247)-3)),IF(RIGHT(C247,2)="B)",-1000000000*VALUE(MID(C247,2,LEN(C247)-3)),IF(RIGHT(C247,2)="k)",-1000*VALUE(MID(C247,2,LEN(C247)-3)),VALUE(SUBSTITUTE(C247,",","")))))),IF(RIGHT(C247,1)="T",1000000000000*VALUE(LEFT(C247,LEN(C247)-1)),IF(RIGHT(C247,1)="M",1000000*VALUE(LEFT(C247,LEN(C247)-1)),IF(RIGHT(C247,1)="B",1000000000*VALUE(LEFT(C247,LEN(C247)-1)),IF(RIGHT(C247,1)="%",0.01*VALUE(LEFT(C247,LEN(C247)-1)),IF(RIGHT(C247,1)="k",1000*VALUE(LEFT(C247,LEN(C247)-1)),VALUE(SUBSTITUTE(C247,",",""))))))))),"N/A")</f>
        <v>4490000</v>
      </c>
      <c r="K247">
        <f t="shared" ref="K247:K270" si="84">IFERROR(IF(TRIM(D247)="-", "N/A", IF(RIGHT(D247,1)=")",IF(RIGHT(D247,2)="T)",-1000000000000*VALUE(MID(D247,2,LEN(D247)-3)),IF(RIGHT(D247,2)="M)",-1000000*VALUE(MID(D247,2,LEN(D247)-3)),IF(RIGHT(D247,2)="B)",-1000000000*VALUE(MID(D247,2,LEN(D247)-3)),IF(RIGHT(D247,2)="k)",-1000*VALUE(MID(D247,2,LEN(D247)-3)),VALUE(SUBSTITUTE(D247,",","")))))),IF(RIGHT(D247,1)="T",1000000000000*VALUE(LEFT(D247,LEN(D247)-1)),IF(RIGHT(D247,1)="M",1000000*VALUE(LEFT(D247,LEN(D247)-1)),IF(RIGHT(D247,1)="B",1000000000*VALUE(LEFT(D247,LEN(D247)-1)),IF(RIGHT(D247,1)="%",0.01*VALUE(LEFT(D247,LEN(D247)-1)),IF(RIGHT(D247,1)="k",1000*VALUE(LEFT(D247,LEN(D247)-1)),VALUE(SUBSTITUTE(D247,",",""))))))))),"N/A")</f>
        <v>57080000</v>
      </c>
      <c r="L247">
        <f t="shared" ref="L247:L270" si="85">IFERROR(IF(TRIM(E247)="-", "N/A", IF(RIGHT(E247,1)=")",IF(RIGHT(E247,2)="T)",-1000000000000*VALUE(MID(E247,2,LEN(E247)-3)),IF(RIGHT(E247,2)="M)",-1000000*VALUE(MID(E247,2,LEN(E247)-3)),IF(RIGHT(E247,2)="B)",-1000000000*VALUE(MID(E247,2,LEN(E247)-3)),IF(RIGHT(E247,2)="k)",-1000*VALUE(MID(E247,2,LEN(E247)-3)),VALUE(SUBSTITUTE(E247,",","")))))),IF(RIGHT(E247,1)="T",1000000000000*VALUE(LEFT(E247,LEN(E247)-1)),IF(RIGHT(E247,1)="M",1000000*VALUE(LEFT(E247,LEN(E247)-1)),IF(RIGHT(E247,1)="B",1000000000*VALUE(LEFT(E247,LEN(E247)-1)),IF(RIGHT(E247,1)="%",0.01*VALUE(LEFT(E247,LEN(E247)-1)),IF(RIGHT(E247,1)="k",1000*VALUE(LEFT(E247,LEN(E247)-1)),VALUE(SUBSTITUTE(E247,",",""))))))))),"N/A")</f>
        <v>8890000</v>
      </c>
      <c r="M247">
        <f t="shared" ref="M247:M270" si="86">IFERROR(IF(TRIM(F247)="-", "N/A", IF(RIGHT(F247,1)=")",IF(RIGHT(F247,2)="T)",-1000000000000*VALUE(MID(F247,2,LEN(F247)-3)),IF(RIGHT(F247,2)="M)",-1000000*VALUE(MID(F247,2,LEN(F247)-3)),IF(RIGHT(F247,2)="B)",-1000000000*VALUE(MID(F247,2,LEN(F247)-3)),IF(RIGHT(F247,2)="k)",-1000*VALUE(MID(F247,2,LEN(F247)-3)),VALUE(SUBSTITUTE(F247,",","")))))),IF(RIGHT(F247,1)="T",1000000000000*VALUE(LEFT(F247,LEN(F247)-1)),IF(RIGHT(F247,1)="M",1000000*VALUE(LEFT(F247,LEN(F247)-1)),IF(RIGHT(F247,1)="B",1000000000*VALUE(LEFT(F247,LEN(F247)-1)),IF(RIGHT(F247,1)="%",0.01*VALUE(LEFT(F247,LEN(F247)-1)),IF(RIGHT(F247,1)="k",1000*VALUE(LEFT(F247,LEN(F247)-1)),VALUE(SUBSTITUTE(F247,",",""))))))))),"N/A")</f>
        <v>24200000</v>
      </c>
      <c r="N247">
        <f t="shared" ref="N247:N270" si="87">IFERROR(IF(TRIM(G247)="-", "N/A", IF(RIGHT(G247,1)=")",IF(RIGHT(G247,2)="T)",-1000000000000*VALUE(MID(G247,2,LEN(G247)-3)),IF(RIGHT(G247,2)="M)",-1000000*VALUE(MID(G247,2,LEN(G247)-3)),IF(RIGHT(G247,2)="B)",-1000000000*VALUE(MID(G247,2,LEN(G247)-3)),IF(RIGHT(G247,2)="k)",-1000*VALUE(MID(G247,2,LEN(G247)-3)),VALUE(SUBSTITUTE(G247,",","")))))),IF(RIGHT(G247,1)="T",1000000000000*VALUE(LEFT(G247,LEN(G247)-1)),IF(RIGHT(G247,1)="M",1000000*VALUE(LEFT(G247,LEN(G247)-1)),IF(RIGHT(G247,1)="B",1000000000*VALUE(LEFT(G247,LEN(G247)-1)),IF(RIGHT(G247,1)="%",0.01*VALUE(LEFT(G247,LEN(G247)-1)),IF(RIGHT(G247,1)="k",1000*VALUE(LEFT(G247,LEN(G247)-1)),VALUE(SUBSTITUTE(G247,",",""))))))))),"N/A")</f>
        <v>32890000</v>
      </c>
      <c r="P247">
        <f t="shared" si="58"/>
        <v>57080000</v>
      </c>
      <c r="Q247">
        <f>IFERROR(J144+MATCH(P247,J247:N247,0)-1,"")</f>
        <v>2013</v>
      </c>
      <c r="R247">
        <f t="shared" si="59"/>
        <v>4490000</v>
      </c>
      <c r="S247">
        <f>IFERROR(J144+MATCH(R247,J247:N247,0)-1,"")</f>
        <v>2012</v>
      </c>
      <c r="T247">
        <f t="shared" si="60"/>
        <v>25510000</v>
      </c>
      <c r="U247">
        <f t="shared" si="61"/>
        <v>21041091.939345732</v>
      </c>
      <c r="V247">
        <f t="shared" si="62"/>
        <v>-0.99899758342359168</v>
      </c>
      <c r="W247">
        <f t="shared" si="63"/>
        <v>1.5003974171590289</v>
      </c>
      <c r="X247">
        <f t="shared" si="64"/>
        <v>-0.78988296082303011</v>
      </c>
      <c r="Y247">
        <f t="shared" si="65"/>
        <v>-6.2259126274258093E-2</v>
      </c>
      <c r="Z247">
        <f t="shared" si="66"/>
        <v>0.35074225336185094</v>
      </c>
      <c r="AA247">
        <f t="shared" si="67"/>
        <v>1.5003974171590289</v>
      </c>
      <c r="AB247">
        <f>IFERROR(V144+MATCH(AA247,V247:Z247,0)-1,"")</f>
        <v>2013</v>
      </c>
      <c r="AC247" t="str">
        <f t="shared" si="68"/>
        <v>High</v>
      </c>
      <c r="AE247">
        <f>IF(ISNUMBER(MATCH("N/A",J247:N247,0)),"",IFERROR((5 * SUMPRODUCT(J144:N144,J247:N247) - PRODUCT(SUM(J144:N144),SUM(J247:N247))) / ((5 * SUM((J144^2)+(K144^2)+(L144^2)+(M144^2)+(N144^2))) - SUM(J144:N144)^2),""))</f>
        <v>2392000</v>
      </c>
      <c r="AF247">
        <f>IFERROR(CORREL(J144:N144,J247:N247),"")</f>
        <v>0.17974751939984082</v>
      </c>
      <c r="AZ247">
        <f t="shared" si="69"/>
        <v>1</v>
      </c>
      <c r="BA247" t="str">
        <f>IF(AZ247=1,IF(Q247="","",IF(Q247=N144,"Yes","No")),"")</f>
        <v>No</v>
      </c>
      <c r="BB247" t="str">
        <f t="shared" si="70"/>
        <v/>
      </c>
      <c r="BC247" t="str">
        <f>IF(AZ247=1,IF(S247="","",IF(S247=N144,"Yes","No")),"")</f>
        <v>No</v>
      </c>
      <c r="BD247" t="str">
        <f t="shared" si="71"/>
        <v/>
      </c>
      <c r="BE247" t="str">
        <f t="shared" si="72"/>
        <v>Increasing</v>
      </c>
      <c r="BF247" t="str">
        <f t="shared" si="73"/>
        <v>No</v>
      </c>
      <c r="BG247" t="str">
        <f t="shared" si="74"/>
        <v>No</v>
      </c>
      <c r="BH247" t="str">
        <f t="shared" si="75"/>
        <v>No</v>
      </c>
    </row>
    <row r="248" spans="1:60" x14ac:dyDescent="0.3">
      <c r="A248" s="1">
        <v>1</v>
      </c>
      <c r="B248" t="s">
        <v>628</v>
      </c>
      <c r="C248" t="s">
        <v>2104</v>
      </c>
      <c r="D248" t="s">
        <v>2105</v>
      </c>
      <c r="E248" t="s">
        <v>2106</v>
      </c>
      <c r="F248" t="s">
        <v>2107</v>
      </c>
      <c r="G248" t="s">
        <v>2108</v>
      </c>
      <c r="I248" t="str">
        <f t="shared" si="82"/>
        <v>N/A</v>
      </c>
      <c r="J248">
        <f t="shared" si="83"/>
        <v>3800000</v>
      </c>
      <c r="K248">
        <f t="shared" si="84"/>
        <v>1070000</v>
      </c>
      <c r="L248">
        <f t="shared" si="85"/>
        <v>8029999.9999999991</v>
      </c>
      <c r="M248">
        <f t="shared" si="86"/>
        <v>22680000</v>
      </c>
      <c r="N248">
        <f t="shared" si="87"/>
        <v>30830000</v>
      </c>
      <c r="P248">
        <f t="shared" si="58"/>
        <v>30830000</v>
      </c>
      <c r="Q248">
        <f>IFERROR(J144+MATCH(P248,J248:N248,0)-1,"")</f>
        <v>2016</v>
      </c>
      <c r="R248">
        <f t="shared" si="59"/>
        <v>1070000</v>
      </c>
      <c r="S248">
        <f>IFERROR(J144+MATCH(R248,J248:N248,0)-1,"")</f>
        <v>2013</v>
      </c>
      <c r="T248">
        <f t="shared" si="60"/>
        <v>13282000</v>
      </c>
      <c r="U248">
        <f t="shared" si="61"/>
        <v>12873222.984163679</v>
      </c>
      <c r="V248">
        <f t="shared" si="62"/>
        <v>-0.73656768096571634</v>
      </c>
      <c r="W248">
        <f t="shared" si="63"/>
        <v>-0.94863578569429741</v>
      </c>
      <c r="X248">
        <f t="shared" si="64"/>
        <v>-0.40797863957307984</v>
      </c>
      <c r="Y248">
        <f t="shared" si="65"/>
        <v>0.73004250851252928</v>
      </c>
      <c r="Z248">
        <f t="shared" si="66"/>
        <v>1.3631395977205643</v>
      </c>
      <c r="AA248">
        <f t="shared" si="67"/>
        <v>1.3631395977205643</v>
      </c>
      <c r="AB248">
        <f>IFERROR(V144+MATCH(AA248,V248:Z248,0)-1,"")</f>
        <v>2016</v>
      </c>
      <c r="AC248" t="str">
        <f t="shared" si="68"/>
        <v>High</v>
      </c>
      <c r="AE248">
        <f>IF(ISNUMBER(MATCH("N/A",J248:N248,0)),"",IFERROR((5 * SUMPRODUCT(J144:N144,J248:N248) - PRODUCT(SUM(J144:N144),SUM(J248:N248))) / ((5 * SUM((J144^2)+(K144^2)+(L144^2)+(M144^2)+(N144^2))) - SUM(J144:N144)^2),""))</f>
        <v>7567000</v>
      </c>
      <c r="AF248">
        <f>IFERROR(CORREL(J144:N144,J248:N248),"")</f>
        <v>0.92940808544724718</v>
      </c>
      <c r="AZ248">
        <f t="shared" si="69"/>
        <v>1</v>
      </c>
      <c r="BA248" t="str">
        <f>IF(AZ248=1,IF(Q248="","",IF(Q248=N144,"Yes","No")),"")</f>
        <v>Yes</v>
      </c>
      <c r="BB248">
        <f t="shared" si="70"/>
        <v>30830000</v>
      </c>
      <c r="BC248" t="str">
        <f>IF(AZ248=1,IF(S248="","",IF(S248=N144,"Yes","No")),"")</f>
        <v>No</v>
      </c>
      <c r="BD248" t="str">
        <f t="shared" si="71"/>
        <v/>
      </c>
      <c r="BE248" t="str">
        <f t="shared" si="72"/>
        <v>Increasing</v>
      </c>
      <c r="BF248" t="str">
        <f t="shared" si="73"/>
        <v>Yes</v>
      </c>
      <c r="BG248" t="str">
        <f t="shared" si="74"/>
        <v>No</v>
      </c>
      <c r="BH248" t="str">
        <f t="shared" si="75"/>
        <v>Yes</v>
      </c>
    </row>
    <row r="249" spans="1:60" x14ac:dyDescent="0.3">
      <c r="A249" s="1">
        <v>2</v>
      </c>
      <c r="B249" t="s">
        <v>629</v>
      </c>
      <c r="C249" t="s">
        <v>2109</v>
      </c>
      <c r="D249" t="s">
        <v>2110</v>
      </c>
      <c r="E249" t="s">
        <v>2111</v>
      </c>
      <c r="F249" t="s">
        <v>1158</v>
      </c>
      <c r="G249" t="s">
        <v>2112</v>
      </c>
      <c r="I249" t="str">
        <f t="shared" si="82"/>
        <v>N/A</v>
      </c>
      <c r="J249">
        <f t="shared" si="83"/>
        <v>699000</v>
      </c>
      <c r="K249">
        <f t="shared" si="84"/>
        <v>56010000</v>
      </c>
      <c r="L249">
        <f t="shared" si="85"/>
        <v>862000</v>
      </c>
      <c r="M249">
        <f t="shared" si="86"/>
        <v>1520000</v>
      </c>
      <c r="N249">
        <f t="shared" si="87"/>
        <v>2069999.9999999998</v>
      </c>
      <c r="P249">
        <f t="shared" si="58"/>
        <v>56010000</v>
      </c>
      <c r="Q249">
        <f>IFERROR(J144+MATCH(P249,J249:N249,0)-1,"")</f>
        <v>2013</v>
      </c>
      <c r="R249">
        <f t="shared" si="59"/>
        <v>699000</v>
      </c>
      <c r="S249">
        <f>IFERROR(J144+MATCH(R249,J249:N249,0)-1,"")</f>
        <v>2012</v>
      </c>
      <c r="T249">
        <f t="shared" si="60"/>
        <v>12232200</v>
      </c>
      <c r="U249">
        <f t="shared" si="61"/>
        <v>24478630.786872048</v>
      </c>
      <c r="V249">
        <f t="shared" si="62"/>
        <v>-0.47115380351197111</v>
      </c>
      <c r="W249">
        <f t="shared" si="63"/>
        <v>1.7884088526502939</v>
      </c>
      <c r="X249">
        <f t="shared" si="64"/>
        <v>-0.46449493433668143</v>
      </c>
      <c r="Y249">
        <f t="shared" si="65"/>
        <v>-0.43761434588673892</v>
      </c>
      <c r="Z249">
        <f t="shared" si="66"/>
        <v>-0.41514576891490246</v>
      </c>
      <c r="AA249">
        <f t="shared" si="67"/>
        <v>1.7884088526502939</v>
      </c>
      <c r="AB249">
        <f>IFERROR(V144+MATCH(AA249,V249:Z249,0)-1,"")</f>
        <v>2013</v>
      </c>
      <c r="AC249" t="str">
        <f t="shared" si="68"/>
        <v>High</v>
      </c>
      <c r="AE249">
        <f>IF(ISNUMBER(MATCH("N/A",J249:N249,0)),"",IFERROR((5 * SUMPRODUCT(J144:N144,J249:N249) - PRODUCT(SUM(J144:N144),SUM(J249:N249))) / ((5 * SUM((J144^2)+(K144^2)+(L144^2)+(M144^2)+(N144^2))) - SUM(J144:N144)^2),""))</f>
        <v>-5174800</v>
      </c>
      <c r="AF249">
        <f>IFERROR(CORREL(J144:N144,J249:N249),"")</f>
        <v>-0.33425387592788619</v>
      </c>
      <c r="AZ249">
        <f t="shared" si="69"/>
        <v>1</v>
      </c>
      <c r="BA249" t="str">
        <f>IF(AZ249=1,IF(Q249="","",IF(Q249=N144,"Yes","No")),"")</f>
        <v>No</v>
      </c>
      <c r="BB249" t="str">
        <f t="shared" si="70"/>
        <v/>
      </c>
      <c r="BC249" t="str">
        <f>IF(AZ249=1,IF(S249="","",IF(S249=N144,"Yes","No")),"")</f>
        <v>No</v>
      </c>
      <c r="BD249" t="str">
        <f t="shared" si="71"/>
        <v/>
      </c>
      <c r="BE249" t="str">
        <f t="shared" si="72"/>
        <v>Decreasing</v>
      </c>
      <c r="BF249" t="str">
        <f t="shared" si="73"/>
        <v>No</v>
      </c>
      <c r="BG249" t="str">
        <f t="shared" si="74"/>
        <v>No</v>
      </c>
      <c r="BH249" t="str">
        <f t="shared" si="75"/>
        <v>No</v>
      </c>
    </row>
    <row r="250" spans="1:60" x14ac:dyDescent="0.3">
      <c r="A250" s="1">
        <v>3</v>
      </c>
      <c r="B250" t="s">
        <v>630</v>
      </c>
      <c r="C250" t="s">
        <v>2113</v>
      </c>
      <c r="D250" t="s">
        <v>2114</v>
      </c>
      <c r="E250" t="s">
        <v>2115</v>
      </c>
      <c r="F250" t="s">
        <v>2116</v>
      </c>
      <c r="G250" t="s">
        <v>2117</v>
      </c>
      <c r="I250" t="str">
        <f t="shared" si="82"/>
        <v>N/A</v>
      </c>
      <c r="J250">
        <f t="shared" si="83"/>
        <v>99040000</v>
      </c>
      <c r="K250">
        <f t="shared" si="84"/>
        <v>88720000</v>
      </c>
      <c r="L250">
        <f t="shared" si="85"/>
        <v>94800000</v>
      </c>
      <c r="M250">
        <f t="shared" si="86"/>
        <v>97040000</v>
      </c>
      <c r="N250">
        <f t="shared" si="87"/>
        <v>112020000</v>
      </c>
      <c r="P250">
        <f t="shared" si="58"/>
        <v>112020000</v>
      </c>
      <c r="Q250">
        <f>IFERROR(J144+MATCH(P250,J250:N250,0)-1,"")</f>
        <v>2016</v>
      </c>
      <c r="R250">
        <f t="shared" si="59"/>
        <v>88720000</v>
      </c>
      <c r="S250">
        <f>IFERROR(J144+MATCH(R250,J250:N250,0)-1,"")</f>
        <v>2013</v>
      </c>
      <c r="T250">
        <f t="shared" si="60"/>
        <v>98324000</v>
      </c>
      <c r="U250">
        <f t="shared" si="61"/>
        <v>8579002.2729918882</v>
      </c>
      <c r="V250">
        <f t="shared" si="62"/>
        <v>8.3459588564754883E-2</v>
      </c>
      <c r="W250">
        <f t="shared" si="63"/>
        <v>-1.1194774980110418</v>
      </c>
      <c r="X250">
        <f t="shared" si="64"/>
        <v>-0.41077037723770421</v>
      </c>
      <c r="Y250">
        <f t="shared" si="65"/>
        <v>-0.14966775379489564</v>
      </c>
      <c r="Z250">
        <f t="shared" si="66"/>
        <v>1.5964560404788868</v>
      </c>
      <c r="AA250">
        <f t="shared" si="67"/>
        <v>1.5964560404788868</v>
      </c>
      <c r="AB250">
        <f>IFERROR(V144+MATCH(AA250,V250:Z250,0)-1,"")</f>
        <v>2016</v>
      </c>
      <c r="AC250" t="str">
        <f t="shared" si="68"/>
        <v>High</v>
      </c>
      <c r="AE250">
        <f>IF(ISNUMBER(MATCH("N/A",J250:N250,0)),"",IFERROR((5 * SUMPRODUCT(J144:N144,J250:N250) - PRODUCT(SUM(J144:N144),SUM(J250:N250))) / ((5 * SUM((J144^2)+(K144^2)+(L144^2)+(M144^2)+(N144^2))) - SUM(J144:N144)^2),""))</f>
        <v>3428000</v>
      </c>
      <c r="AF250">
        <f>IFERROR(CORREL(J144:N144,J250:N250),"")</f>
        <v>0.63179187241762447</v>
      </c>
      <c r="AZ250">
        <f t="shared" si="69"/>
        <v>1</v>
      </c>
      <c r="BA250" t="str">
        <f>IF(AZ250=1,IF(Q250="","",IF(Q250=N144,"Yes","No")),"")</f>
        <v>Yes</v>
      </c>
      <c r="BB250">
        <f t="shared" si="70"/>
        <v>112020000</v>
      </c>
      <c r="BC250" t="str">
        <f>IF(AZ250=1,IF(S250="","",IF(S250=N144,"Yes","No")),"")</f>
        <v>No</v>
      </c>
      <c r="BD250" t="str">
        <f t="shared" si="71"/>
        <v/>
      </c>
      <c r="BE250" t="str">
        <f t="shared" si="72"/>
        <v>Increasing</v>
      </c>
      <c r="BF250" t="str">
        <f t="shared" si="73"/>
        <v>Yes</v>
      </c>
      <c r="BG250" t="str">
        <f t="shared" si="74"/>
        <v>No</v>
      </c>
      <c r="BH250" t="str">
        <f t="shared" si="75"/>
        <v>No</v>
      </c>
    </row>
    <row r="251" spans="1:60" x14ac:dyDescent="0.3">
      <c r="A251" s="1">
        <v>4</v>
      </c>
      <c r="B251" t="s">
        <v>636</v>
      </c>
      <c r="C251" t="s">
        <v>264</v>
      </c>
      <c r="D251" t="s">
        <v>2118</v>
      </c>
      <c r="E251" t="s">
        <v>2119</v>
      </c>
      <c r="F251" t="s">
        <v>2120</v>
      </c>
      <c r="G251" t="s">
        <v>2121</v>
      </c>
      <c r="I251" t="str">
        <f t="shared" si="82"/>
        <v>N/A</v>
      </c>
      <c r="J251" t="str">
        <f t="shared" si="83"/>
        <v>N/A</v>
      </c>
      <c r="K251">
        <f t="shared" si="84"/>
        <v>-0.1042</v>
      </c>
      <c r="L251">
        <f t="shared" si="85"/>
        <v>6.8600000000000008E-2</v>
      </c>
      <c r="M251">
        <f t="shared" si="86"/>
        <v>2.35E-2</v>
      </c>
      <c r="N251">
        <f t="shared" si="87"/>
        <v>0.1545</v>
      </c>
      <c r="P251">
        <f t="shared" si="58"/>
        <v>0.1545</v>
      </c>
      <c r="Q251">
        <f>IFERROR(J144+MATCH(P251,J251:N251,0)-1,"")</f>
        <v>2016</v>
      </c>
      <c r="R251">
        <f t="shared" si="59"/>
        <v>-0.1042</v>
      </c>
      <c r="S251">
        <f>IFERROR(J144+MATCH(R251,J251:N251,0)-1,"")</f>
        <v>2013</v>
      </c>
      <c r="T251">
        <f t="shared" si="60"/>
        <v>3.56E-2</v>
      </c>
      <c r="U251">
        <f t="shared" si="61"/>
        <v>0.10788367191872301</v>
      </c>
      <c r="V251" t="str">
        <f t="shared" si="62"/>
        <v/>
      </c>
      <c r="W251">
        <f t="shared" si="63"/>
        <v>-1.2958402093073176</v>
      </c>
      <c r="X251">
        <f t="shared" si="64"/>
        <v>0.30588502794807931</v>
      </c>
      <c r="Y251">
        <f t="shared" si="65"/>
        <v>-0.11215784358096238</v>
      </c>
      <c r="Z251">
        <f t="shared" si="66"/>
        <v>1.1021130249402007</v>
      </c>
      <c r="AA251">
        <f t="shared" si="67"/>
        <v>-1.2958402093073176</v>
      </c>
      <c r="AB251">
        <f>IFERROR(V144+MATCH(AA251,V251:Z251,0)-1,"")</f>
        <v>2013</v>
      </c>
      <c r="AC251" t="str">
        <f t="shared" si="68"/>
        <v>Low</v>
      </c>
      <c r="AE251" t="str">
        <f>IF(ISNUMBER(MATCH("N/A",J251:N251,0)),"",IFERROR((5 * SUMPRODUCT(J144:N144,J251:N251) - PRODUCT(SUM(J144:N144),SUM(J251:N251))) / ((5 * SUM((J144^2)+(K144^2)+(L144^2)+(M144^2)+(N144^2))) - SUM(J144:N144)^2),""))</f>
        <v/>
      </c>
      <c r="AF251">
        <f>IFERROR(CORREL(J144:N144,J251:N251),"")</f>
        <v>0.87475419147472799</v>
      </c>
      <c r="AZ251">
        <f t="shared" si="69"/>
        <v>1</v>
      </c>
      <c r="BA251" t="str">
        <f>IF(AZ251=1,IF(Q251="","",IF(Q251=N144,"Yes","No")),"")</f>
        <v>Yes</v>
      </c>
      <c r="BB251">
        <f t="shared" si="70"/>
        <v>0.1545</v>
      </c>
      <c r="BC251" t="str">
        <f>IF(AZ251=1,IF(S251="","",IF(S251=N144,"Yes","No")),"")</f>
        <v>No</v>
      </c>
      <c r="BD251" t="str">
        <f t="shared" si="71"/>
        <v/>
      </c>
      <c r="BE251" t="str">
        <f t="shared" si="72"/>
        <v/>
      </c>
      <c r="BF251" t="str">
        <f t="shared" si="73"/>
        <v>No</v>
      </c>
      <c r="BG251" t="str">
        <f t="shared" si="74"/>
        <v>No</v>
      </c>
      <c r="BH251" t="str">
        <f t="shared" si="75"/>
        <v>Yes</v>
      </c>
    </row>
    <row r="252" spans="1:60" x14ac:dyDescent="0.3">
      <c r="A252" s="1">
        <v>5</v>
      </c>
      <c r="B252" t="s">
        <v>641</v>
      </c>
      <c r="C252" t="s">
        <v>264</v>
      </c>
      <c r="D252" t="s">
        <v>2122</v>
      </c>
      <c r="E252" t="s">
        <v>2123</v>
      </c>
      <c r="F252" t="s">
        <v>2124</v>
      </c>
      <c r="G252" t="s">
        <v>2125</v>
      </c>
      <c r="I252" t="str">
        <f t="shared" si="82"/>
        <v>N/A</v>
      </c>
      <c r="J252" t="str">
        <f t="shared" si="83"/>
        <v>N/A</v>
      </c>
      <c r="K252">
        <f t="shared" si="84"/>
        <v>13590000</v>
      </c>
      <c r="L252">
        <f t="shared" si="85"/>
        <v>21760000</v>
      </c>
      <c r="M252">
        <f t="shared" si="86"/>
        <v>25680000</v>
      </c>
      <c r="N252">
        <f t="shared" si="87"/>
        <v>26480000</v>
      </c>
      <c r="P252">
        <f t="shared" si="58"/>
        <v>26480000</v>
      </c>
      <c r="Q252">
        <f>IFERROR(J144+MATCH(P252,J252:N252,0)-1,"")</f>
        <v>2016</v>
      </c>
      <c r="R252">
        <f t="shared" si="59"/>
        <v>13590000</v>
      </c>
      <c r="S252">
        <f>IFERROR(J144+MATCH(R252,J252:N252,0)-1,"")</f>
        <v>2013</v>
      </c>
      <c r="T252">
        <f t="shared" si="60"/>
        <v>21877500</v>
      </c>
      <c r="U252">
        <f t="shared" si="61"/>
        <v>5897413.9812859222</v>
      </c>
      <c r="V252" t="str">
        <f t="shared" si="62"/>
        <v/>
      </c>
      <c r="W252">
        <f t="shared" si="63"/>
        <v>-1.405276961444196</v>
      </c>
      <c r="X252">
        <f t="shared" si="64"/>
        <v>-1.9923987085332495E-2</v>
      </c>
      <c r="Y252">
        <f t="shared" si="65"/>
        <v>0.64477413525086646</v>
      </c>
      <c r="Z252">
        <f t="shared" si="66"/>
        <v>0.78042681327866215</v>
      </c>
      <c r="AA252">
        <f t="shared" si="67"/>
        <v>-1.405276961444196</v>
      </c>
      <c r="AB252">
        <f>IFERROR(V144+MATCH(AA252,V252:Z252,0)-1,"")</f>
        <v>2013</v>
      </c>
      <c r="AC252" t="str">
        <f t="shared" si="68"/>
        <v>Low</v>
      </c>
      <c r="AE252" t="str">
        <f>IF(ISNUMBER(MATCH("N/A",J252:N252,0)),"",IFERROR((5 * SUMPRODUCT(J144:N144,J252:N252) - PRODUCT(SUM(J144:N144),SUM(J252:N252))) / ((5 * SUM((J144^2)+(K144^2)+(L144^2)+(M144^2)+(N144^2))) - SUM(J144:N144)^2),""))</f>
        <v/>
      </c>
      <c r="AF252">
        <f>IFERROR(CORREL(J144:N144,J252:N252),"")</f>
        <v>0.93233159052654646</v>
      </c>
      <c r="AZ252">
        <f t="shared" si="69"/>
        <v>1</v>
      </c>
      <c r="BA252" t="str">
        <f>IF(AZ252=1,IF(Q252="","",IF(Q252=N144,"Yes","No")),"")</f>
        <v>Yes</v>
      </c>
      <c r="BB252">
        <f t="shared" si="70"/>
        <v>26480000</v>
      </c>
      <c r="BC252" t="str">
        <f>IF(AZ252=1,IF(S252="","",IF(S252=N144,"Yes","No")),"")</f>
        <v>No</v>
      </c>
      <c r="BD252" t="str">
        <f t="shared" si="71"/>
        <v/>
      </c>
      <c r="BE252" t="str">
        <f t="shared" si="72"/>
        <v/>
      </c>
      <c r="BF252" t="str">
        <f t="shared" si="73"/>
        <v>No</v>
      </c>
      <c r="BG252" t="str">
        <f t="shared" si="74"/>
        <v>No</v>
      </c>
      <c r="BH252" t="str">
        <f t="shared" si="75"/>
        <v>Yes</v>
      </c>
    </row>
    <row r="253" spans="1:60" x14ac:dyDescent="0.3">
      <c r="A253" s="1">
        <v>6</v>
      </c>
      <c r="B253" t="s">
        <v>644</v>
      </c>
      <c r="C253" t="s">
        <v>2126</v>
      </c>
      <c r="D253" t="s">
        <v>2127</v>
      </c>
      <c r="E253" t="s">
        <v>2128</v>
      </c>
      <c r="F253" t="s">
        <v>2129</v>
      </c>
      <c r="G253" t="s">
        <v>2130</v>
      </c>
      <c r="I253" t="str">
        <f t="shared" si="82"/>
        <v>N/A</v>
      </c>
      <c r="J253">
        <f t="shared" si="83"/>
        <v>96360000</v>
      </c>
      <c r="K253">
        <f t="shared" si="84"/>
        <v>140920000</v>
      </c>
      <c r="L253">
        <f t="shared" si="85"/>
        <v>139640000</v>
      </c>
      <c r="M253">
        <f t="shared" si="86"/>
        <v>105640000</v>
      </c>
      <c r="N253">
        <f t="shared" si="87"/>
        <v>130490000.00000001</v>
      </c>
      <c r="P253">
        <f t="shared" si="58"/>
        <v>140920000</v>
      </c>
      <c r="Q253">
        <f>IFERROR(J144+MATCH(P253,J253:N253,0)-1,"")</f>
        <v>2013</v>
      </c>
      <c r="R253">
        <f t="shared" si="59"/>
        <v>96360000</v>
      </c>
      <c r="S253">
        <f>IFERROR(J144+MATCH(R253,J253:N253,0)-1,"")</f>
        <v>2012</v>
      </c>
      <c r="T253">
        <f t="shared" si="60"/>
        <v>122610000</v>
      </c>
      <c r="U253">
        <f t="shared" si="61"/>
        <v>20398620.051366221</v>
      </c>
      <c r="V253">
        <f t="shared" si="62"/>
        <v>-1.2868517543784477</v>
      </c>
      <c r="W253">
        <f t="shared" si="63"/>
        <v>0.89760973800645238</v>
      </c>
      <c r="X253">
        <f t="shared" si="64"/>
        <v>0.83486039531676048</v>
      </c>
      <c r="Y253">
        <f t="shared" si="65"/>
        <v>-0.83191901987818118</v>
      </c>
      <c r="Z253">
        <f t="shared" si="66"/>
        <v>0.38630064093341659</v>
      </c>
      <c r="AA253">
        <f t="shared" si="67"/>
        <v>-1.2868517543784477</v>
      </c>
      <c r="AB253">
        <f>IFERROR(V144+MATCH(AA253,V253:Z253,0)-1,"")</f>
        <v>2012</v>
      </c>
      <c r="AC253" t="str">
        <f t="shared" si="68"/>
        <v>Low</v>
      </c>
      <c r="AE253">
        <f>IF(ISNUMBER(MATCH("N/A",J253:N253,0)),"",IFERROR((5 * SUMPRODUCT(J144:N144,J253:N253) - PRODUCT(SUM(J144:N144),SUM(J253:N253))) / ((5 * SUM((J144^2)+(K144^2)+(L144^2)+(M144^2)+(N144^2))) - SUM(J144:N144)^2),""))</f>
        <v>3298000</v>
      </c>
      <c r="AF253">
        <f>IFERROR(CORREL(J144:N144,J253:N253),"")</f>
        <v>0.25563473649132495</v>
      </c>
      <c r="AZ253">
        <f t="shared" si="69"/>
        <v>1</v>
      </c>
      <c r="BA253" t="str">
        <f>IF(AZ253=1,IF(Q253="","",IF(Q253=N144,"Yes","No")),"")</f>
        <v>No</v>
      </c>
      <c r="BB253" t="str">
        <f t="shared" si="70"/>
        <v/>
      </c>
      <c r="BC253" t="str">
        <f>IF(AZ253=1,IF(S253="","",IF(S253=N144,"Yes","No")),"")</f>
        <v>No</v>
      </c>
      <c r="BD253" t="str">
        <f t="shared" si="71"/>
        <v/>
      </c>
      <c r="BE253" t="str">
        <f t="shared" si="72"/>
        <v>Increasing</v>
      </c>
      <c r="BF253" t="str">
        <f t="shared" si="73"/>
        <v>No</v>
      </c>
      <c r="BG253" t="str">
        <f t="shared" si="74"/>
        <v>No</v>
      </c>
      <c r="BH253" t="str">
        <f t="shared" si="75"/>
        <v>No</v>
      </c>
    </row>
    <row r="254" spans="1:60" x14ac:dyDescent="0.3">
      <c r="A254" s="1">
        <v>7</v>
      </c>
      <c r="B254" t="s">
        <v>650</v>
      </c>
      <c r="C254" t="s">
        <v>264</v>
      </c>
      <c r="D254" t="s">
        <v>264</v>
      </c>
      <c r="E254" t="s">
        <v>264</v>
      </c>
      <c r="F254" t="s">
        <v>264</v>
      </c>
      <c r="G254" t="s">
        <v>264</v>
      </c>
      <c r="I254" t="str">
        <f t="shared" si="82"/>
        <v>N/A</v>
      </c>
      <c r="J254" t="str">
        <f t="shared" si="83"/>
        <v>N/A</v>
      </c>
      <c r="K254" t="str">
        <f t="shared" si="84"/>
        <v>N/A</v>
      </c>
      <c r="L254" t="str">
        <f t="shared" si="85"/>
        <v>N/A</v>
      </c>
      <c r="M254" t="str">
        <f t="shared" si="86"/>
        <v>N/A</v>
      </c>
      <c r="N254" t="str">
        <f t="shared" si="87"/>
        <v>N/A</v>
      </c>
      <c r="P254">
        <f t="shared" si="58"/>
        <v>0</v>
      </c>
      <c r="Q254" t="str">
        <f>IFERROR(J144+MATCH(P254,J254:N254,0)-1,"")</f>
        <v/>
      </c>
      <c r="R254" t="str">
        <f t="shared" si="59"/>
        <v/>
      </c>
      <c r="S254" t="str">
        <f>IFERROR(J144+MATCH(R254,J254:N254,0)-1,"")</f>
        <v/>
      </c>
      <c r="T254" t="str">
        <f t="shared" si="60"/>
        <v/>
      </c>
      <c r="U254" t="str">
        <f t="shared" si="61"/>
        <v/>
      </c>
      <c r="V254" t="str">
        <f t="shared" si="62"/>
        <v/>
      </c>
      <c r="W254" t="str">
        <f t="shared" si="63"/>
        <v/>
      </c>
      <c r="X254" t="str">
        <f t="shared" si="64"/>
        <v/>
      </c>
      <c r="Y254" t="str">
        <f t="shared" si="65"/>
        <v/>
      </c>
      <c r="Z254" t="str">
        <f t="shared" si="66"/>
        <v/>
      </c>
      <c r="AA254">
        <f t="shared" si="67"/>
        <v>0</v>
      </c>
      <c r="AB254" t="str">
        <f>IFERROR(V144+MATCH(AA254,V254:Z254,0)-1,"")</f>
        <v/>
      </c>
      <c r="AC254" t="str">
        <f t="shared" si="68"/>
        <v/>
      </c>
      <c r="AE254" t="str">
        <f>IF(ISNUMBER(MATCH("N/A",J254:N254,0)),"",IFERROR((5 * SUMPRODUCT(J144:N144,J254:N254) - PRODUCT(SUM(J144:N144),SUM(J254:N254))) / ((5 * SUM((J144^2)+(K144^2)+(L144^2)+(M144^2)+(N144^2))) - SUM(J144:N144)^2),""))</f>
        <v/>
      </c>
      <c r="AF254" t="str">
        <f>IFERROR(CORREL(J144:N144,J254:N254),"")</f>
        <v/>
      </c>
      <c r="AZ254">
        <f t="shared" si="69"/>
        <v>0</v>
      </c>
      <c r="BA254" t="str">
        <f>IF(AZ254=1,IF(Q254="","",IF(Q254=N144,"Yes","No")),"")</f>
        <v/>
      </c>
      <c r="BB254" t="str">
        <f t="shared" si="70"/>
        <v/>
      </c>
      <c r="BC254" t="str">
        <f>IF(AZ254=1,IF(S254="","",IF(S254=N144,"Yes","No")),"")</f>
        <v/>
      </c>
      <c r="BD254" t="str">
        <f t="shared" si="71"/>
        <v/>
      </c>
      <c r="BE254" t="str">
        <f t="shared" si="72"/>
        <v/>
      </c>
      <c r="BF254" t="str">
        <f t="shared" si="73"/>
        <v>No</v>
      </c>
      <c r="BG254" t="str">
        <f t="shared" si="74"/>
        <v>No</v>
      </c>
      <c r="BH254" t="str">
        <f t="shared" si="75"/>
        <v/>
      </c>
    </row>
    <row r="255" spans="1:60" x14ac:dyDescent="0.3">
      <c r="A255" s="1">
        <v>8</v>
      </c>
      <c r="B255" t="s">
        <v>651</v>
      </c>
      <c r="C255" t="s">
        <v>2131</v>
      </c>
      <c r="D255" t="s">
        <v>2132</v>
      </c>
      <c r="E255" t="s">
        <v>2133</v>
      </c>
      <c r="F255" t="s">
        <v>2134</v>
      </c>
      <c r="G255" t="s">
        <v>2135</v>
      </c>
      <c r="I255" t="str">
        <f t="shared" si="82"/>
        <v>N/A</v>
      </c>
      <c r="J255">
        <f t="shared" si="83"/>
        <v>43190000</v>
      </c>
      <c r="K255">
        <f t="shared" si="84"/>
        <v>45870000</v>
      </c>
      <c r="L255">
        <f t="shared" si="85"/>
        <v>50180000</v>
      </c>
      <c r="M255">
        <f t="shared" si="86"/>
        <v>35630000</v>
      </c>
      <c r="N255">
        <f t="shared" si="87"/>
        <v>45820000</v>
      </c>
      <c r="P255">
        <f t="shared" si="58"/>
        <v>50180000</v>
      </c>
      <c r="Q255">
        <f>IFERROR(J144+MATCH(P255,J255:N255,0)-1,"")</f>
        <v>2014</v>
      </c>
      <c r="R255">
        <f t="shared" si="59"/>
        <v>35630000</v>
      </c>
      <c r="S255">
        <f>IFERROR(J144+MATCH(R255,J255:N255,0)-1,"")</f>
        <v>2015</v>
      </c>
      <c r="T255">
        <f t="shared" si="60"/>
        <v>44138000</v>
      </c>
      <c r="U255">
        <f t="shared" si="61"/>
        <v>5376324.9529767083</v>
      </c>
      <c r="V255">
        <f t="shared" si="62"/>
        <v>-0.17632862750885642</v>
      </c>
      <c r="W255">
        <f t="shared" si="63"/>
        <v>0.32215314646132842</v>
      </c>
      <c r="X255">
        <f t="shared" si="64"/>
        <v>1.1238159993760659</v>
      </c>
      <c r="Y255">
        <f t="shared" si="65"/>
        <v>-1.5824936316934075</v>
      </c>
      <c r="Z255">
        <f t="shared" si="66"/>
        <v>0.31285311336486971</v>
      </c>
      <c r="AA255">
        <f t="shared" si="67"/>
        <v>-1.5824936316934075</v>
      </c>
      <c r="AB255">
        <f>IFERROR(V144+MATCH(AA255,V255:Z255,0)-1,"")</f>
        <v>2015</v>
      </c>
      <c r="AC255" t="str">
        <f t="shared" si="68"/>
        <v>Low</v>
      </c>
      <c r="AE255">
        <f>IF(ISNUMBER(MATCH("N/A",J255:N255,0)),"",IFERROR((5 * SUMPRODUCT(J144:N144,J255:N255) - PRODUCT(SUM(J144:N144),SUM(J255:N255))) / ((5 * SUM((J144^2)+(K144^2)+(L144^2)+(M144^2)+(N144^2))) - SUM(J144:N144)^2),""))</f>
        <v>-498000</v>
      </c>
      <c r="AF255">
        <f>IFERROR(CORREL(J144:N144,J255:N255),"")</f>
        <v>-0.14645824876079394</v>
      </c>
      <c r="AZ255">
        <f t="shared" si="69"/>
        <v>1</v>
      </c>
      <c r="BA255" t="str">
        <f>IF(AZ255=1,IF(Q255="","",IF(Q255=N144,"Yes","No")),"")</f>
        <v>No</v>
      </c>
      <c r="BB255" t="str">
        <f t="shared" si="70"/>
        <v/>
      </c>
      <c r="BC255" t="str">
        <f>IF(AZ255=1,IF(S255="","",IF(S255=N144,"Yes","No")),"")</f>
        <v>No</v>
      </c>
      <c r="BD255" t="str">
        <f t="shared" si="71"/>
        <v/>
      </c>
      <c r="BE255" t="str">
        <f t="shared" si="72"/>
        <v>Decreasing</v>
      </c>
      <c r="BF255" t="str">
        <f t="shared" si="73"/>
        <v>No</v>
      </c>
      <c r="BG255" t="str">
        <f t="shared" si="74"/>
        <v>No</v>
      </c>
      <c r="BH255" t="str">
        <f t="shared" si="75"/>
        <v>No</v>
      </c>
    </row>
    <row r="256" spans="1:60" x14ac:dyDescent="0.3">
      <c r="A256" s="1">
        <v>9</v>
      </c>
      <c r="B256" t="s">
        <v>654</v>
      </c>
      <c r="C256" t="s">
        <v>2136</v>
      </c>
      <c r="D256" t="s">
        <v>2137</v>
      </c>
      <c r="E256" t="s">
        <v>2138</v>
      </c>
      <c r="F256" t="s">
        <v>2139</v>
      </c>
      <c r="G256" t="s">
        <v>2140</v>
      </c>
      <c r="I256" t="str">
        <f t="shared" si="82"/>
        <v>N/A</v>
      </c>
      <c r="J256">
        <f t="shared" si="83"/>
        <v>53170000</v>
      </c>
      <c r="K256">
        <f t="shared" si="84"/>
        <v>95060000</v>
      </c>
      <c r="L256">
        <f t="shared" si="85"/>
        <v>89460000</v>
      </c>
      <c r="M256">
        <f t="shared" si="86"/>
        <v>70010000</v>
      </c>
      <c r="N256">
        <f t="shared" si="87"/>
        <v>84670000</v>
      </c>
      <c r="P256">
        <f t="shared" si="58"/>
        <v>95060000</v>
      </c>
      <c r="Q256">
        <f>IFERROR(J144+MATCH(P256,J256:N256,0)-1,"")</f>
        <v>2013</v>
      </c>
      <c r="R256">
        <f t="shared" si="59"/>
        <v>53170000</v>
      </c>
      <c r="S256">
        <f>IFERROR(J144+MATCH(R256,J256:N256,0)-1,"")</f>
        <v>2012</v>
      </c>
      <c r="T256">
        <f t="shared" si="60"/>
        <v>78474000</v>
      </c>
      <c r="U256">
        <f t="shared" si="61"/>
        <v>16927121.137393683</v>
      </c>
      <c r="V256">
        <f t="shared" si="62"/>
        <v>-1.4948791229538119</v>
      </c>
      <c r="W256">
        <f t="shared" si="63"/>
        <v>0.97984765781346528</v>
      </c>
      <c r="X256">
        <f t="shared" si="64"/>
        <v>0.64901762744113889</v>
      </c>
      <c r="Y256">
        <f t="shared" si="65"/>
        <v>-0.50002596019131618</v>
      </c>
      <c r="Z256">
        <f t="shared" si="66"/>
        <v>0.36603979789052399</v>
      </c>
      <c r="AA256">
        <f t="shared" si="67"/>
        <v>-1.4948791229538119</v>
      </c>
      <c r="AB256">
        <f>IFERROR(V144+MATCH(AA256,V256:Z256,0)-1,"")</f>
        <v>2012</v>
      </c>
      <c r="AC256" t="str">
        <f t="shared" si="68"/>
        <v>Low</v>
      </c>
      <c r="AE256">
        <f>IF(ISNUMBER(MATCH("N/A",J256:N256,0)),"",IFERROR((5 * SUMPRODUCT(J144:N144,J256:N256) - PRODUCT(SUM(J144:N144),SUM(J256:N256))) / ((5 * SUM((J144^2)+(K144^2)+(L144^2)+(M144^2)+(N144^2))) - SUM(J144:N144)^2),""))</f>
        <v>3795000</v>
      </c>
      <c r="AF256">
        <f>IFERROR(CORREL(J144:N144,J256:N256),"")</f>
        <v>0.35448566897261546</v>
      </c>
      <c r="AZ256">
        <f t="shared" si="69"/>
        <v>1</v>
      </c>
      <c r="BA256" t="str">
        <f>IF(AZ256=1,IF(Q256="","",IF(Q256=N144,"Yes","No")),"")</f>
        <v>No</v>
      </c>
      <c r="BB256" t="str">
        <f t="shared" si="70"/>
        <v/>
      </c>
      <c r="BC256" t="str">
        <f>IF(AZ256=1,IF(S256="","",IF(S256=N144,"Yes","No")),"")</f>
        <v>No</v>
      </c>
      <c r="BD256" t="str">
        <f t="shared" si="71"/>
        <v/>
      </c>
      <c r="BE256" t="str">
        <f t="shared" si="72"/>
        <v>Increasing</v>
      </c>
      <c r="BF256" t="str">
        <f t="shared" si="73"/>
        <v>No</v>
      </c>
      <c r="BG256" t="str">
        <f t="shared" si="74"/>
        <v>No</v>
      </c>
      <c r="BH256" t="str">
        <f t="shared" si="75"/>
        <v>No</v>
      </c>
    </row>
    <row r="257" spans="1:60" x14ac:dyDescent="0.3">
      <c r="A257" s="1">
        <v>10</v>
      </c>
      <c r="B257" t="s">
        <v>657</v>
      </c>
      <c r="C257" t="s">
        <v>2141</v>
      </c>
      <c r="D257" t="s">
        <v>2142</v>
      </c>
      <c r="E257" t="s">
        <v>2143</v>
      </c>
      <c r="F257" t="s">
        <v>2144</v>
      </c>
      <c r="G257" t="s">
        <v>2145</v>
      </c>
      <c r="I257" t="str">
        <f t="shared" si="82"/>
        <v>N/A</v>
      </c>
      <c r="J257">
        <f t="shared" si="83"/>
        <v>199900000</v>
      </c>
      <c r="K257">
        <f t="shared" si="84"/>
        <v>300320000</v>
      </c>
      <c r="L257">
        <f t="shared" si="85"/>
        <v>265089999.99999997</v>
      </c>
      <c r="M257">
        <f t="shared" si="86"/>
        <v>252550000</v>
      </c>
      <c r="N257">
        <f t="shared" si="87"/>
        <v>301880000</v>
      </c>
      <c r="P257">
        <f t="shared" si="58"/>
        <v>301880000</v>
      </c>
      <c r="Q257">
        <f>IFERROR(J144+MATCH(P257,J257:N257,0)-1,"")</f>
        <v>2016</v>
      </c>
      <c r="R257">
        <f t="shared" si="59"/>
        <v>199900000</v>
      </c>
      <c r="S257">
        <f>IFERROR(J144+MATCH(R257,J257:N257,0)-1,"")</f>
        <v>2012</v>
      </c>
      <c r="T257">
        <f t="shared" si="60"/>
        <v>263948000</v>
      </c>
      <c r="U257">
        <f t="shared" si="61"/>
        <v>41818428.593145393</v>
      </c>
      <c r="V257">
        <f t="shared" si="62"/>
        <v>-1.5315735706649278</v>
      </c>
      <c r="W257">
        <f t="shared" si="63"/>
        <v>0.86976008481490052</v>
      </c>
      <c r="X257">
        <f t="shared" si="64"/>
        <v>2.7308534500676083E-2</v>
      </c>
      <c r="Y257">
        <f t="shared" si="65"/>
        <v>-0.27255926115474094</v>
      </c>
      <c r="Z257">
        <f t="shared" si="66"/>
        <v>0.90706421250409131</v>
      </c>
      <c r="AA257">
        <f t="shared" si="67"/>
        <v>-1.5315735706649278</v>
      </c>
      <c r="AB257">
        <f>IFERROR(V144+MATCH(AA257,V257:Z257,0)-1,"")</f>
        <v>2012</v>
      </c>
      <c r="AC257" t="str">
        <f t="shared" si="68"/>
        <v>Low</v>
      </c>
      <c r="AE257">
        <f>IF(ISNUMBER(MATCH("N/A",J257:N257,0)),"",IFERROR((5 * SUMPRODUCT(J144:N144,J257:N257) - PRODUCT(SUM(J144:N144),SUM(J257:N257))) / ((5 * SUM((J144^2)+(K144^2)+(L144^2)+(M144^2)+(N144^2))) - SUM(J144:N144)^2),""))</f>
        <v>15619000</v>
      </c>
      <c r="AF257">
        <f>IFERROR(CORREL(J144:N144,J257:N257),"")</f>
        <v>0.5905484308688953</v>
      </c>
      <c r="AZ257">
        <f t="shared" si="69"/>
        <v>1</v>
      </c>
      <c r="BA257" t="str">
        <f>IF(AZ257=1,IF(Q257="","",IF(Q257=N144,"Yes","No")),"")</f>
        <v>Yes</v>
      </c>
      <c r="BB257">
        <f t="shared" si="70"/>
        <v>301880000</v>
      </c>
      <c r="BC257" t="str">
        <f>IF(AZ257=1,IF(S257="","",IF(S257=N144,"Yes","No")),"")</f>
        <v>No</v>
      </c>
      <c r="BD257" t="str">
        <f t="shared" si="71"/>
        <v/>
      </c>
      <c r="BE257" t="str">
        <f t="shared" si="72"/>
        <v>Increasing</v>
      </c>
      <c r="BF257" t="str">
        <f t="shared" si="73"/>
        <v>Yes</v>
      </c>
      <c r="BG257" t="str">
        <f t="shared" si="74"/>
        <v>No</v>
      </c>
      <c r="BH257" t="str">
        <f t="shared" si="75"/>
        <v>No</v>
      </c>
    </row>
    <row r="258" spans="1:60" x14ac:dyDescent="0.3">
      <c r="A258" s="1">
        <v>11</v>
      </c>
      <c r="B258" t="s">
        <v>663</v>
      </c>
      <c r="C258" t="s">
        <v>2146</v>
      </c>
      <c r="D258" t="s">
        <v>2147</v>
      </c>
      <c r="E258" t="s">
        <v>2148</v>
      </c>
      <c r="F258" t="s">
        <v>2149</v>
      </c>
      <c r="G258" t="s">
        <v>2150</v>
      </c>
      <c r="I258" t="str">
        <f t="shared" si="82"/>
        <v>N/A</v>
      </c>
      <c r="J258">
        <f t="shared" si="83"/>
        <v>642120000</v>
      </c>
      <c r="K258">
        <f t="shared" si="84"/>
        <v>490340000</v>
      </c>
      <c r="L258">
        <f t="shared" si="85"/>
        <v>495840000</v>
      </c>
      <c r="M258">
        <f t="shared" si="86"/>
        <v>485710000</v>
      </c>
      <c r="N258">
        <f t="shared" si="87"/>
        <v>468060000</v>
      </c>
      <c r="P258">
        <f t="shared" si="58"/>
        <v>642120000</v>
      </c>
      <c r="Q258">
        <f>IFERROR(J144+MATCH(P258,J258:N258,0)-1,"")</f>
        <v>2012</v>
      </c>
      <c r="R258">
        <f t="shared" si="59"/>
        <v>468060000</v>
      </c>
      <c r="S258">
        <f>IFERROR(J144+MATCH(R258,J258:N258,0)-1,"")</f>
        <v>2016</v>
      </c>
      <c r="T258">
        <f t="shared" si="60"/>
        <v>516414000</v>
      </c>
      <c r="U258">
        <f t="shared" si="61"/>
        <v>71038697.763965234</v>
      </c>
      <c r="V258">
        <f t="shared" si="62"/>
        <v>1.7695425726647407</v>
      </c>
      <c r="W258">
        <f t="shared" si="63"/>
        <v>-0.36703938586591289</v>
      </c>
      <c r="X258">
        <f t="shared" si="64"/>
        <v>-0.28961679545928098</v>
      </c>
      <c r="Y258">
        <f t="shared" si="65"/>
        <v>-0.43221513015367763</v>
      </c>
      <c r="Z258">
        <f t="shared" si="66"/>
        <v>-0.68067126118586918</v>
      </c>
      <c r="AA258">
        <f t="shared" si="67"/>
        <v>1.7695425726647407</v>
      </c>
      <c r="AB258">
        <f>IFERROR(V144+MATCH(AA258,V258:Z258,0)-1,"")</f>
        <v>2012</v>
      </c>
      <c r="AC258" t="str">
        <f t="shared" si="68"/>
        <v>High</v>
      </c>
      <c r="AE258">
        <f>IF(ISNUMBER(MATCH("N/A",J258:N258,0)),"",IFERROR((5 * SUMPRODUCT(J144:N144,J258:N258) - PRODUCT(SUM(J144:N144),SUM(J258:N258))) / ((5 * SUM((J144^2)+(K144^2)+(L144^2)+(M144^2)+(N144^2))) - SUM(J144:N144)^2),""))</f>
        <v>-35275000</v>
      </c>
      <c r="AF258">
        <f>IFERROR(CORREL(J144:N144,J258:N258),"")</f>
        <v>-0.7851308369494322</v>
      </c>
      <c r="AZ258">
        <f t="shared" si="69"/>
        <v>1</v>
      </c>
      <c r="BA258" t="str">
        <f>IF(AZ258=1,IF(Q258="","",IF(Q258=N144,"Yes","No")),"")</f>
        <v>No</v>
      </c>
      <c r="BB258" t="str">
        <f t="shared" si="70"/>
        <v/>
      </c>
      <c r="BC258" t="str">
        <f>IF(AZ258=1,IF(S258="","",IF(S258=N144,"Yes","No")),"")</f>
        <v>Yes</v>
      </c>
      <c r="BD258">
        <f t="shared" si="71"/>
        <v>468060000</v>
      </c>
      <c r="BE258" t="str">
        <f t="shared" si="72"/>
        <v>Decreasing</v>
      </c>
      <c r="BF258" t="str">
        <f t="shared" si="73"/>
        <v>Yes</v>
      </c>
      <c r="BG258" t="str">
        <f t="shared" si="74"/>
        <v>No</v>
      </c>
      <c r="BH258" t="str">
        <f t="shared" si="75"/>
        <v>No</v>
      </c>
    </row>
    <row r="259" spans="1:60" x14ac:dyDescent="0.3">
      <c r="A259" s="1">
        <v>12</v>
      </c>
      <c r="B259" t="s">
        <v>669</v>
      </c>
      <c r="C259" t="s">
        <v>2146</v>
      </c>
      <c r="D259" t="s">
        <v>2151</v>
      </c>
      <c r="E259" t="s">
        <v>2152</v>
      </c>
      <c r="F259" t="s">
        <v>2149</v>
      </c>
      <c r="G259" t="s">
        <v>2150</v>
      </c>
      <c r="I259" t="str">
        <f t="shared" si="82"/>
        <v>N/A</v>
      </c>
      <c r="J259">
        <f t="shared" si="83"/>
        <v>642120000</v>
      </c>
      <c r="K259">
        <f t="shared" si="84"/>
        <v>487220000</v>
      </c>
      <c r="L259">
        <f t="shared" si="85"/>
        <v>492660000</v>
      </c>
      <c r="M259">
        <f t="shared" si="86"/>
        <v>485710000</v>
      </c>
      <c r="N259">
        <f t="shared" si="87"/>
        <v>468060000</v>
      </c>
      <c r="P259">
        <f t="shared" si="58"/>
        <v>642120000</v>
      </c>
      <c r="Q259">
        <f>IFERROR(J144+MATCH(P259,J259:N259,0)-1,"")</f>
        <v>2012</v>
      </c>
      <c r="R259">
        <f t="shared" si="59"/>
        <v>468060000</v>
      </c>
      <c r="S259">
        <f>IFERROR(J144+MATCH(R259,J259:N259,0)-1,"")</f>
        <v>2016</v>
      </c>
      <c r="T259">
        <f t="shared" si="60"/>
        <v>515154000</v>
      </c>
      <c r="U259">
        <f t="shared" si="61"/>
        <v>71574170.480697855</v>
      </c>
      <c r="V259">
        <f t="shared" si="62"/>
        <v>1.7739080892909578</v>
      </c>
      <c r="W259">
        <f t="shared" si="63"/>
        <v>-0.39028045749455453</v>
      </c>
      <c r="X259">
        <f t="shared" si="64"/>
        <v>-0.31427538522526349</v>
      </c>
      <c r="Y259">
        <f t="shared" si="65"/>
        <v>-0.41137745365753792</v>
      </c>
      <c r="Z259">
        <f t="shared" si="66"/>
        <v>-0.65797479291360172</v>
      </c>
      <c r="AA259">
        <f t="shared" si="67"/>
        <v>1.7739080892909578</v>
      </c>
      <c r="AB259">
        <f>IFERROR(V144+MATCH(AA259,V259:Z259,0)-1,"")</f>
        <v>2012</v>
      </c>
      <c r="AC259" t="str">
        <f t="shared" si="68"/>
        <v>High</v>
      </c>
      <c r="AE259">
        <f>IF(ISNUMBER(MATCH("N/A",J259:N259,0)),"",IFERROR((5 * SUMPRODUCT(J144:N144,J259:N259) - PRODUCT(SUM(J144:N144),SUM(J259:N259))) / ((5 * SUM((J144^2)+(K144^2)+(L144^2)+(M144^2)+(N144^2))) - SUM(J144:N144)^2),""))</f>
        <v>-34963000</v>
      </c>
      <c r="AF259">
        <f>IFERROR(CORREL(J144:N144,J259:N259),"")</f>
        <v>-0.77236461903727993</v>
      </c>
      <c r="AZ259">
        <f t="shared" si="69"/>
        <v>1</v>
      </c>
      <c r="BA259" t="str">
        <f>IF(AZ259=1,IF(Q259="","",IF(Q259=N144,"Yes","No")),"")</f>
        <v>No</v>
      </c>
      <c r="BB259" t="str">
        <f t="shared" si="70"/>
        <v/>
      </c>
      <c r="BC259" t="str">
        <f>IF(AZ259=1,IF(S259="","",IF(S259=N144,"Yes","No")),"")</f>
        <v>Yes</v>
      </c>
      <c r="BD259">
        <f t="shared" si="71"/>
        <v>468060000</v>
      </c>
      <c r="BE259" t="str">
        <f t="shared" si="72"/>
        <v>Decreasing</v>
      </c>
      <c r="BF259" t="str">
        <f t="shared" si="73"/>
        <v>Yes</v>
      </c>
      <c r="BG259" t="str">
        <f t="shared" si="74"/>
        <v>No</v>
      </c>
      <c r="BH259" t="str">
        <f t="shared" si="75"/>
        <v>No</v>
      </c>
    </row>
    <row r="260" spans="1:60" x14ac:dyDescent="0.3">
      <c r="A260" s="1">
        <v>13</v>
      </c>
      <c r="B260" t="s">
        <v>673</v>
      </c>
      <c r="C260" t="s">
        <v>2146</v>
      </c>
      <c r="D260" t="s">
        <v>2151</v>
      </c>
      <c r="E260" t="s">
        <v>2152</v>
      </c>
      <c r="F260" t="s">
        <v>2149</v>
      </c>
      <c r="G260" t="s">
        <v>2150</v>
      </c>
      <c r="I260" t="str">
        <f t="shared" si="82"/>
        <v>N/A</v>
      </c>
      <c r="J260">
        <f t="shared" si="83"/>
        <v>642120000</v>
      </c>
      <c r="K260">
        <f t="shared" si="84"/>
        <v>487220000</v>
      </c>
      <c r="L260">
        <f t="shared" si="85"/>
        <v>492660000</v>
      </c>
      <c r="M260">
        <f t="shared" si="86"/>
        <v>485710000</v>
      </c>
      <c r="N260">
        <f t="shared" si="87"/>
        <v>468060000</v>
      </c>
      <c r="P260">
        <f t="shared" si="58"/>
        <v>642120000</v>
      </c>
      <c r="Q260">
        <f>IFERROR(J144+MATCH(P260,J260:N260,0)-1,"")</f>
        <v>2012</v>
      </c>
      <c r="R260">
        <f t="shared" si="59"/>
        <v>468060000</v>
      </c>
      <c r="S260">
        <f>IFERROR(J144+MATCH(R260,J260:N260,0)-1,"")</f>
        <v>2016</v>
      </c>
      <c r="T260">
        <f t="shared" si="60"/>
        <v>515154000</v>
      </c>
      <c r="U260">
        <f t="shared" si="61"/>
        <v>71574170.480697855</v>
      </c>
      <c r="V260">
        <f t="shared" si="62"/>
        <v>1.7739080892909578</v>
      </c>
      <c r="W260">
        <f t="shared" si="63"/>
        <v>-0.39028045749455453</v>
      </c>
      <c r="X260">
        <f t="shared" si="64"/>
        <v>-0.31427538522526349</v>
      </c>
      <c r="Y260">
        <f t="shared" si="65"/>
        <v>-0.41137745365753792</v>
      </c>
      <c r="Z260">
        <f t="shared" si="66"/>
        <v>-0.65797479291360172</v>
      </c>
      <c r="AA260">
        <f t="shared" si="67"/>
        <v>1.7739080892909578</v>
      </c>
      <c r="AB260">
        <f>IFERROR(V144+MATCH(AA260,V260:Z260,0)-1,"")</f>
        <v>2012</v>
      </c>
      <c r="AC260" t="str">
        <f t="shared" si="68"/>
        <v>High</v>
      </c>
      <c r="AE260">
        <f>IF(ISNUMBER(MATCH("N/A",J260:N260,0)),"",IFERROR((5 * SUMPRODUCT(J144:N144,J260:N260) - PRODUCT(SUM(J144:N144),SUM(J260:N260))) / ((5 * SUM((J144^2)+(K144^2)+(L144^2)+(M144^2)+(N144^2))) - SUM(J144:N144)^2),""))</f>
        <v>-34963000</v>
      </c>
      <c r="AF260">
        <f>IFERROR(CORREL(J144:N144,J260:N260),"")</f>
        <v>-0.77236461903727993</v>
      </c>
      <c r="AZ260">
        <f t="shared" si="69"/>
        <v>1</v>
      </c>
      <c r="BA260" t="str">
        <f>IF(AZ260=1,IF(Q260="","",IF(Q260=N144,"Yes","No")),"")</f>
        <v>No</v>
      </c>
      <c r="BB260" t="str">
        <f t="shared" si="70"/>
        <v/>
      </c>
      <c r="BC260" t="str">
        <f>IF(AZ260=1,IF(S260="","",IF(S260=N144,"Yes","No")),"")</f>
        <v>Yes</v>
      </c>
      <c r="BD260">
        <f t="shared" si="71"/>
        <v>468060000</v>
      </c>
      <c r="BE260" t="str">
        <f t="shared" si="72"/>
        <v>Decreasing</v>
      </c>
      <c r="BF260" t="str">
        <f t="shared" si="73"/>
        <v>Yes</v>
      </c>
      <c r="BG260" t="str">
        <f t="shared" si="74"/>
        <v>No</v>
      </c>
      <c r="BH260" t="str">
        <f t="shared" si="75"/>
        <v>No</v>
      </c>
    </row>
    <row r="261" spans="1:60" x14ac:dyDescent="0.3">
      <c r="A261" s="1">
        <v>14</v>
      </c>
      <c r="B261" t="s">
        <v>674</v>
      </c>
      <c r="C261" t="s">
        <v>264</v>
      </c>
      <c r="D261" t="s">
        <v>264</v>
      </c>
      <c r="E261" t="s">
        <v>264</v>
      </c>
      <c r="F261" t="s">
        <v>264</v>
      </c>
      <c r="G261" t="s">
        <v>264</v>
      </c>
      <c r="I261" t="str">
        <f t="shared" si="82"/>
        <v>N/A</v>
      </c>
      <c r="J261" t="str">
        <f t="shared" si="83"/>
        <v>N/A</v>
      </c>
      <c r="K261" t="str">
        <f t="shared" si="84"/>
        <v>N/A</v>
      </c>
      <c r="L261" t="str">
        <f t="shared" si="85"/>
        <v>N/A</v>
      </c>
      <c r="M261" t="str">
        <f t="shared" si="86"/>
        <v>N/A</v>
      </c>
      <c r="N261" t="str">
        <f t="shared" si="87"/>
        <v>N/A</v>
      </c>
      <c r="P261">
        <f t="shared" si="58"/>
        <v>0</v>
      </c>
      <c r="Q261" t="str">
        <f>IFERROR(J144+MATCH(P261,J261:N261,0)-1,"")</f>
        <v/>
      </c>
      <c r="R261" t="str">
        <f t="shared" si="59"/>
        <v/>
      </c>
      <c r="S261" t="str">
        <f>IFERROR(J144+MATCH(R261,J261:N261,0)-1,"")</f>
        <v/>
      </c>
      <c r="T261" t="str">
        <f t="shared" si="60"/>
        <v/>
      </c>
      <c r="U261" t="str">
        <f t="shared" si="61"/>
        <v/>
      </c>
      <c r="V261" t="str">
        <f t="shared" si="62"/>
        <v/>
      </c>
      <c r="W261" t="str">
        <f t="shared" si="63"/>
        <v/>
      </c>
      <c r="X261" t="str">
        <f t="shared" si="64"/>
        <v/>
      </c>
      <c r="Y261" t="str">
        <f t="shared" si="65"/>
        <v/>
      </c>
      <c r="Z261" t="str">
        <f t="shared" si="66"/>
        <v/>
      </c>
      <c r="AA261">
        <f t="shared" si="67"/>
        <v>0</v>
      </c>
      <c r="AB261" t="str">
        <f>IFERROR(V144+MATCH(AA261,V261:Z261,0)-1,"")</f>
        <v/>
      </c>
      <c r="AC261" t="str">
        <f t="shared" si="68"/>
        <v/>
      </c>
      <c r="AE261" t="str">
        <f>IF(ISNUMBER(MATCH("N/A",J261:N261,0)),"",IFERROR((5 * SUMPRODUCT(J144:N144,J261:N261) - PRODUCT(SUM(J144:N144),SUM(J261:N261))) / ((5 * SUM((J144^2)+(K144^2)+(L144^2)+(M144^2)+(N144^2))) - SUM(J144:N144)^2),""))</f>
        <v/>
      </c>
      <c r="AF261" t="str">
        <f>IFERROR(CORREL(J144:N144,J261:N261),"")</f>
        <v/>
      </c>
      <c r="AZ261">
        <f t="shared" si="69"/>
        <v>0</v>
      </c>
      <c r="BA261" t="str">
        <f>IF(AZ261=1,IF(Q261="","",IF(Q261=N144,"Yes","No")),"")</f>
        <v/>
      </c>
      <c r="BB261" t="str">
        <f t="shared" si="70"/>
        <v/>
      </c>
      <c r="BC261" t="str">
        <f>IF(AZ261=1,IF(S261="","",IF(S261=N144,"Yes","No")),"")</f>
        <v/>
      </c>
      <c r="BD261" t="str">
        <f t="shared" si="71"/>
        <v/>
      </c>
      <c r="BE261" t="str">
        <f t="shared" si="72"/>
        <v/>
      </c>
      <c r="BF261" t="str">
        <f t="shared" si="73"/>
        <v>No</v>
      </c>
      <c r="BG261" t="str">
        <f t="shared" si="74"/>
        <v>No</v>
      </c>
      <c r="BH261" t="str">
        <f t="shared" si="75"/>
        <v/>
      </c>
    </row>
    <row r="262" spans="1:60" x14ac:dyDescent="0.3">
      <c r="A262" s="1">
        <v>15</v>
      </c>
      <c r="B262" t="s">
        <v>675</v>
      </c>
      <c r="C262" t="s">
        <v>264</v>
      </c>
      <c r="D262" t="s">
        <v>2153</v>
      </c>
      <c r="E262" t="s">
        <v>1161</v>
      </c>
      <c r="F262" t="s">
        <v>264</v>
      </c>
      <c r="G262" t="s">
        <v>264</v>
      </c>
      <c r="I262" t="str">
        <f t="shared" si="82"/>
        <v>N/A</v>
      </c>
      <c r="J262" t="str">
        <f t="shared" si="83"/>
        <v>N/A</v>
      </c>
      <c r="K262">
        <f t="shared" si="84"/>
        <v>3120000</v>
      </c>
      <c r="L262">
        <f t="shared" si="85"/>
        <v>3190000</v>
      </c>
      <c r="M262" t="str">
        <f t="shared" si="86"/>
        <v>N/A</v>
      </c>
      <c r="N262" t="str">
        <f t="shared" si="87"/>
        <v>N/A</v>
      </c>
      <c r="P262">
        <f t="shared" si="58"/>
        <v>3190000</v>
      </c>
      <c r="Q262">
        <f>IFERROR(J144+MATCH(P262,J262:N262,0)-1,"")</f>
        <v>2014</v>
      </c>
      <c r="R262">
        <f t="shared" si="59"/>
        <v>3120000</v>
      </c>
      <c r="S262">
        <f>IFERROR(J144+MATCH(R262,J262:N262,0)-1,"")</f>
        <v>2013</v>
      </c>
      <c r="T262">
        <f t="shared" si="60"/>
        <v>3155000</v>
      </c>
      <c r="U262">
        <f t="shared" si="61"/>
        <v>49497.474683058324</v>
      </c>
      <c r="V262" t="str">
        <f t="shared" si="62"/>
        <v/>
      </c>
      <c r="W262">
        <f t="shared" si="63"/>
        <v>-0.70710678118654757</v>
      </c>
      <c r="X262">
        <f t="shared" si="64"/>
        <v>0.70710678118654757</v>
      </c>
      <c r="Y262" t="str">
        <f t="shared" si="65"/>
        <v/>
      </c>
      <c r="Z262" t="str">
        <f t="shared" si="66"/>
        <v/>
      </c>
      <c r="AA262">
        <f t="shared" si="67"/>
        <v>-0.70710678118654757</v>
      </c>
      <c r="AB262">
        <f>IFERROR(V144+MATCH(AA262,V262:Z262,0)-1,"")</f>
        <v>2013</v>
      </c>
      <c r="AC262" t="str">
        <f t="shared" si="68"/>
        <v>Low</v>
      </c>
      <c r="AE262" t="str">
        <f>IF(ISNUMBER(MATCH("N/A",J262:N262,0)),"",IFERROR((5 * SUMPRODUCT(J144:N144,J262:N262) - PRODUCT(SUM(J144:N144),SUM(J262:N262))) / ((5 * SUM((J144^2)+(K144^2)+(L144^2)+(M144^2)+(N144^2))) - SUM(J144:N144)^2),""))</f>
        <v/>
      </c>
      <c r="AF262">
        <f>IFERROR(CORREL(J144:N144,J262:N262),"")</f>
        <v>1</v>
      </c>
      <c r="AZ262">
        <f t="shared" si="69"/>
        <v>1</v>
      </c>
      <c r="BA262" t="str">
        <f>IF(AZ262=1,IF(Q262="","",IF(Q262=N144,"Yes","No")),"")</f>
        <v>No</v>
      </c>
      <c r="BB262" t="str">
        <f t="shared" si="70"/>
        <v/>
      </c>
      <c r="BC262" t="str">
        <f>IF(AZ262=1,IF(S262="","",IF(S262=N144,"Yes","No")),"")</f>
        <v>No</v>
      </c>
      <c r="BD262" t="str">
        <f t="shared" si="71"/>
        <v/>
      </c>
      <c r="BE262" t="str">
        <f t="shared" si="72"/>
        <v/>
      </c>
      <c r="BF262" t="str">
        <f t="shared" si="73"/>
        <v>No</v>
      </c>
      <c r="BG262" t="str">
        <f t="shared" si="74"/>
        <v>No</v>
      </c>
      <c r="BH262" t="str">
        <f t="shared" si="75"/>
        <v>Yes</v>
      </c>
    </row>
    <row r="263" spans="1:60" x14ac:dyDescent="0.3">
      <c r="A263" s="1">
        <v>16</v>
      </c>
      <c r="B263" t="s">
        <v>679</v>
      </c>
      <c r="C263" t="s">
        <v>2154</v>
      </c>
      <c r="D263" t="s">
        <v>2155</v>
      </c>
      <c r="E263" t="s">
        <v>2156</v>
      </c>
      <c r="F263" t="s">
        <v>2157</v>
      </c>
      <c r="G263" t="s">
        <v>2158</v>
      </c>
      <c r="I263" t="str">
        <f t="shared" si="82"/>
        <v>N/A</v>
      </c>
      <c r="J263">
        <f t="shared" si="83"/>
        <v>159100000</v>
      </c>
      <c r="K263">
        <f t="shared" si="84"/>
        <v>80880000</v>
      </c>
      <c r="L263">
        <f t="shared" si="85"/>
        <v>115060000</v>
      </c>
      <c r="M263">
        <f t="shared" si="86"/>
        <v>112890000</v>
      </c>
      <c r="N263">
        <f t="shared" si="87"/>
        <v>109350000</v>
      </c>
      <c r="P263">
        <f t="shared" si="58"/>
        <v>159100000</v>
      </c>
      <c r="Q263">
        <f>IFERROR(J144+MATCH(P263,J263:N263,0)-1,"")</f>
        <v>2012</v>
      </c>
      <c r="R263">
        <f t="shared" si="59"/>
        <v>80880000</v>
      </c>
      <c r="S263">
        <f>IFERROR(J144+MATCH(R263,J263:N263,0)-1,"")</f>
        <v>2013</v>
      </c>
      <c r="T263">
        <f t="shared" si="60"/>
        <v>115456000</v>
      </c>
      <c r="U263">
        <f t="shared" si="61"/>
        <v>28037131.272653412</v>
      </c>
      <c r="V263">
        <f t="shared" si="62"/>
        <v>1.5566499858909983</v>
      </c>
      <c r="W263">
        <f t="shared" si="63"/>
        <v>-1.2332217466814948</v>
      </c>
      <c r="X263">
        <f t="shared" si="64"/>
        <v>-1.4124126899753352E-2</v>
      </c>
      <c r="Y263">
        <f t="shared" si="65"/>
        <v>-9.152148895143207E-2</v>
      </c>
      <c r="Z263">
        <f t="shared" si="66"/>
        <v>-0.21778262335831811</v>
      </c>
      <c r="AA263">
        <f t="shared" si="67"/>
        <v>1.5566499858909983</v>
      </c>
      <c r="AB263">
        <f>IFERROR(V144+MATCH(AA263,V263:Z263,0)-1,"")</f>
        <v>2012</v>
      </c>
      <c r="AC263" t="str">
        <f t="shared" si="68"/>
        <v>High</v>
      </c>
      <c r="AE263">
        <f>IF(ISNUMBER(MATCH("N/A",J263:N263,0)),"",IFERROR((5 * SUMPRODUCT(J144:N144,J263:N263) - PRODUCT(SUM(J144:N144),SUM(J263:N263))) / ((5 * SUM((J144^2)+(K144^2)+(L144^2)+(M144^2)+(N144^2))) - SUM(J144:N144)^2),""))</f>
        <v>-6749000</v>
      </c>
      <c r="AF263">
        <f>IFERROR(CORREL(J144:N144,J263:N263),"")</f>
        <v>-0.38060619898892706</v>
      </c>
      <c r="AZ263">
        <f t="shared" si="69"/>
        <v>1</v>
      </c>
      <c r="BA263" t="str">
        <f>IF(AZ263=1,IF(Q263="","",IF(Q263=N144,"Yes","No")),"")</f>
        <v>No</v>
      </c>
      <c r="BB263" t="str">
        <f t="shared" si="70"/>
        <v/>
      </c>
      <c r="BC263" t="str">
        <f>IF(AZ263=1,IF(S263="","",IF(S263=N144,"Yes","No")),"")</f>
        <v>No</v>
      </c>
      <c r="BD263" t="str">
        <f t="shared" si="71"/>
        <v/>
      </c>
      <c r="BE263" t="str">
        <f t="shared" si="72"/>
        <v>Decreasing</v>
      </c>
      <c r="BF263" t="str">
        <f t="shared" si="73"/>
        <v>No</v>
      </c>
      <c r="BG263" t="str">
        <f t="shared" si="74"/>
        <v>No</v>
      </c>
      <c r="BH263" t="str">
        <f t="shared" si="75"/>
        <v>No</v>
      </c>
    </row>
    <row r="264" spans="1:60" x14ac:dyDescent="0.3">
      <c r="A264" s="1">
        <v>17</v>
      </c>
      <c r="B264" t="s">
        <v>680</v>
      </c>
      <c r="C264" t="s">
        <v>2159</v>
      </c>
      <c r="D264" t="s">
        <v>2160</v>
      </c>
      <c r="E264" t="s">
        <v>2161</v>
      </c>
      <c r="F264" t="s">
        <v>2162</v>
      </c>
      <c r="G264" t="s">
        <v>2163</v>
      </c>
      <c r="I264" t="str">
        <f t="shared" si="82"/>
        <v>N/A</v>
      </c>
      <c r="J264">
        <f t="shared" si="83"/>
        <v>18750000</v>
      </c>
      <c r="K264">
        <f t="shared" si="84"/>
        <v>92190000</v>
      </c>
      <c r="L264">
        <f t="shared" si="85"/>
        <v>60090000</v>
      </c>
      <c r="M264">
        <f t="shared" si="86"/>
        <v>61230000</v>
      </c>
      <c r="N264">
        <f t="shared" si="87"/>
        <v>41010000</v>
      </c>
      <c r="P264">
        <f t="shared" si="58"/>
        <v>92190000</v>
      </c>
      <c r="Q264">
        <f>IFERROR(J144+MATCH(P264,J264:N264,0)-1,"")</f>
        <v>2013</v>
      </c>
      <c r="R264">
        <f t="shared" si="59"/>
        <v>18750000</v>
      </c>
      <c r="S264">
        <f>IFERROR(J144+MATCH(R264,J264:N264,0)-1,"")</f>
        <v>2012</v>
      </c>
      <c r="T264">
        <f t="shared" si="60"/>
        <v>54654000</v>
      </c>
      <c r="U264">
        <f t="shared" si="61"/>
        <v>27189157.397756923</v>
      </c>
      <c r="V264">
        <f t="shared" si="62"/>
        <v>-1.3205263949430828</v>
      </c>
      <c r="W264">
        <f t="shared" si="63"/>
        <v>1.3805503219859503</v>
      </c>
      <c r="X264">
        <f t="shared" si="64"/>
        <v>0.19993263934131567</v>
      </c>
      <c r="Y264">
        <f t="shared" si="65"/>
        <v>0.24186111779037747</v>
      </c>
      <c r="Z264">
        <f t="shared" si="66"/>
        <v>-0.50181768417456052</v>
      </c>
      <c r="AA264">
        <f t="shared" si="67"/>
        <v>1.3805503219859503</v>
      </c>
      <c r="AB264">
        <f>IFERROR(V144+MATCH(AA264,V264:Z264,0)-1,"")</f>
        <v>2013</v>
      </c>
      <c r="AC264" t="str">
        <f t="shared" si="68"/>
        <v>High</v>
      </c>
      <c r="AE264">
        <f>IF(ISNUMBER(MATCH("N/A",J264:N264,0)),"",IFERROR((5 * SUMPRODUCT(J144:N144,J264:N264) - PRODUCT(SUM(J144:N144),SUM(J264:N264))) / ((5 * SUM((J144^2)+(K144^2)+(L144^2)+(M144^2)+(N144^2))) - SUM(J144:N144)^2),""))</f>
        <v>1356000</v>
      </c>
      <c r="AF264">
        <f>IFERROR(CORREL(J144:N144,J264:N264),"")</f>
        <v>7.8855855009726819E-2</v>
      </c>
      <c r="AZ264">
        <f t="shared" si="69"/>
        <v>1</v>
      </c>
      <c r="BA264" t="str">
        <f>IF(AZ264=1,IF(Q264="","",IF(Q264=N144,"Yes","No")),"")</f>
        <v>No</v>
      </c>
      <c r="BB264" t="str">
        <f t="shared" si="70"/>
        <v/>
      </c>
      <c r="BC264" t="str">
        <f>IF(AZ264=1,IF(S264="","",IF(S264=N144,"Yes","No")),"")</f>
        <v>No</v>
      </c>
      <c r="BD264" t="str">
        <f t="shared" si="71"/>
        <v/>
      </c>
      <c r="BE264" t="str">
        <f t="shared" si="72"/>
        <v>Increasing</v>
      </c>
      <c r="BF264" t="str">
        <f t="shared" si="73"/>
        <v>No</v>
      </c>
      <c r="BG264" t="str">
        <f t="shared" si="74"/>
        <v>No</v>
      </c>
      <c r="BH264" t="str">
        <f t="shared" si="75"/>
        <v>No</v>
      </c>
    </row>
    <row r="265" spans="1:60" x14ac:dyDescent="0.3">
      <c r="A265" s="1">
        <v>18</v>
      </c>
      <c r="B265" t="s">
        <v>686</v>
      </c>
      <c r="C265" t="s">
        <v>2164</v>
      </c>
      <c r="D265" t="s">
        <v>2165</v>
      </c>
      <c r="E265" t="s">
        <v>2166</v>
      </c>
      <c r="F265" t="s">
        <v>2167</v>
      </c>
      <c r="G265" t="s">
        <v>1982</v>
      </c>
      <c r="I265" t="str">
        <f t="shared" si="82"/>
        <v>N/A</v>
      </c>
      <c r="J265">
        <f t="shared" si="83"/>
        <v>48710000</v>
      </c>
      <c r="K265">
        <f t="shared" si="84"/>
        <v>94510000</v>
      </c>
      <c r="L265">
        <f t="shared" si="85"/>
        <v>70150000</v>
      </c>
      <c r="M265">
        <f t="shared" si="86"/>
        <v>62360000</v>
      </c>
      <c r="N265">
        <f t="shared" si="87"/>
        <v>66450000</v>
      </c>
      <c r="P265">
        <f t="shared" si="58"/>
        <v>94510000</v>
      </c>
      <c r="Q265">
        <f>IFERROR(J144+MATCH(P265,J265:N265,0)-1,"")</f>
        <v>2013</v>
      </c>
      <c r="R265">
        <f t="shared" si="59"/>
        <v>48710000</v>
      </c>
      <c r="S265">
        <f>IFERROR(J144+MATCH(R265,J265:N265,0)-1,"")</f>
        <v>2012</v>
      </c>
      <c r="T265">
        <f t="shared" si="60"/>
        <v>68436000</v>
      </c>
      <c r="U265">
        <f t="shared" si="61"/>
        <v>16679091.102335284</v>
      </c>
      <c r="V265">
        <f t="shared" si="62"/>
        <v>-1.182678353332941</v>
      </c>
      <c r="W265">
        <f t="shared" si="63"/>
        <v>1.563274631694368</v>
      </c>
      <c r="X265">
        <f t="shared" si="64"/>
        <v>0.10276339336979928</v>
      </c>
      <c r="Y265">
        <f t="shared" si="65"/>
        <v>-0.364288435306243</v>
      </c>
      <c r="Z265">
        <f t="shared" si="66"/>
        <v>-0.11907123642498331</v>
      </c>
      <c r="AA265">
        <f t="shared" si="67"/>
        <v>1.563274631694368</v>
      </c>
      <c r="AB265">
        <f>IFERROR(V144+MATCH(AA265,V265:Z265,0)-1,"")</f>
        <v>2013</v>
      </c>
      <c r="AC265" t="str">
        <f t="shared" si="68"/>
        <v>High</v>
      </c>
      <c r="AE265">
        <f>IF(ISNUMBER(MATCH("N/A",J265:N265,0)),"",IFERROR((5 * SUMPRODUCT(J144:N144,J265:N265) - PRODUCT(SUM(J144:N144),SUM(J265:N265))) / ((5 * SUM((J144^2)+(K144^2)+(L144^2)+(M144^2)+(N144^2))) - SUM(J144:N144)^2),""))</f>
        <v>333000</v>
      </c>
      <c r="AF265">
        <f>IFERROR(CORREL(J144:N144,J265:N265),"")</f>
        <v>3.1567621232329368E-2</v>
      </c>
      <c r="AZ265">
        <f t="shared" si="69"/>
        <v>1</v>
      </c>
      <c r="BA265" t="str">
        <f>IF(AZ265=1,IF(Q265="","",IF(Q265=N144,"Yes","No")),"")</f>
        <v>No</v>
      </c>
      <c r="BB265" t="str">
        <f t="shared" si="70"/>
        <v/>
      </c>
      <c r="BC265" t="str">
        <f>IF(AZ265=1,IF(S265="","",IF(S265=N144,"Yes","No")),"")</f>
        <v>No</v>
      </c>
      <c r="BD265" t="str">
        <f t="shared" si="71"/>
        <v/>
      </c>
      <c r="BE265" t="str">
        <f t="shared" si="72"/>
        <v>Increasing</v>
      </c>
      <c r="BF265" t="str">
        <f t="shared" si="73"/>
        <v>No</v>
      </c>
      <c r="BG265" t="str">
        <f t="shared" si="74"/>
        <v>No</v>
      </c>
      <c r="BH265" t="str">
        <f t="shared" si="75"/>
        <v>No</v>
      </c>
    </row>
    <row r="266" spans="1:60" x14ac:dyDescent="0.3">
      <c r="A266" s="1">
        <v>19</v>
      </c>
      <c r="B266" t="s">
        <v>690</v>
      </c>
      <c r="C266" t="s">
        <v>2168</v>
      </c>
      <c r="D266" t="s">
        <v>2169</v>
      </c>
      <c r="E266" t="s">
        <v>2170</v>
      </c>
      <c r="F266" t="s">
        <v>1599</v>
      </c>
      <c r="G266" t="s">
        <v>2171</v>
      </c>
      <c r="I266" t="str">
        <f t="shared" si="82"/>
        <v>N/A</v>
      </c>
      <c r="J266">
        <f t="shared" si="83"/>
        <v>29960000</v>
      </c>
      <c r="K266">
        <f t="shared" si="84"/>
        <v>2310000</v>
      </c>
      <c r="L266">
        <f t="shared" si="85"/>
        <v>10060000</v>
      </c>
      <c r="M266">
        <f t="shared" si="86"/>
        <v>1140000</v>
      </c>
      <c r="N266">
        <f t="shared" si="87"/>
        <v>25430000</v>
      </c>
      <c r="P266">
        <f t="shared" si="58"/>
        <v>29960000</v>
      </c>
      <c r="Q266">
        <f>IFERROR(J144+MATCH(P266,J266:N266,0)-1,"")</f>
        <v>2012</v>
      </c>
      <c r="R266">
        <f t="shared" si="59"/>
        <v>1140000</v>
      </c>
      <c r="S266">
        <f>IFERROR(J144+MATCH(R266,J266:N266,0)-1,"")</f>
        <v>2015</v>
      </c>
      <c r="T266">
        <f t="shared" si="60"/>
        <v>13780000</v>
      </c>
      <c r="U266">
        <f t="shared" si="61"/>
        <v>13254091.821018897</v>
      </c>
      <c r="V266">
        <f t="shared" si="62"/>
        <v>1.220755085938146</v>
      </c>
      <c r="W266">
        <f t="shared" si="63"/>
        <v>-0.86539312952475489</v>
      </c>
      <c r="X266">
        <f t="shared" si="64"/>
        <v>-0.28066804200802858</v>
      </c>
      <c r="Y266">
        <f t="shared" si="65"/>
        <v>-0.95366775564018313</v>
      </c>
      <c r="Z266">
        <f t="shared" si="66"/>
        <v>0.8789738412348207</v>
      </c>
      <c r="AA266">
        <f t="shared" si="67"/>
        <v>1.220755085938146</v>
      </c>
      <c r="AB266">
        <f>IFERROR(V144+MATCH(AA266,V266:Z266,0)-1,"")</f>
        <v>2012</v>
      </c>
      <c r="AC266" t="str">
        <f t="shared" si="68"/>
        <v>High</v>
      </c>
      <c r="AE266">
        <f>IF(ISNUMBER(MATCH("N/A",J266:N266,0)),"",IFERROR((5 * SUMPRODUCT(J144:N144,J266:N266) - PRODUCT(SUM(J144:N144),SUM(J266:N266))) / ((5 * SUM((J144^2)+(K144^2)+(L144^2)+(M144^2)+(N144^2))) - SUM(J144:N144)^2),""))</f>
        <v>-1023000</v>
      </c>
      <c r="AF266">
        <f>IFERROR(CORREL(J144:N144,J266:N266),"")</f>
        <v>-0.12203816338521349</v>
      </c>
      <c r="AZ266">
        <f t="shared" si="69"/>
        <v>1</v>
      </c>
      <c r="BA266" t="str">
        <f>IF(AZ266=1,IF(Q266="","",IF(Q266=N144,"Yes","No")),"")</f>
        <v>No</v>
      </c>
      <c r="BB266" t="str">
        <f t="shared" si="70"/>
        <v/>
      </c>
      <c r="BC266" t="str">
        <f>IF(AZ266=1,IF(S266="","",IF(S266=N144,"Yes","No")),"")</f>
        <v>No</v>
      </c>
      <c r="BD266" t="str">
        <f t="shared" si="71"/>
        <v/>
      </c>
      <c r="BE266" t="str">
        <f t="shared" si="72"/>
        <v>Decreasing</v>
      </c>
      <c r="BF266" t="str">
        <f t="shared" si="73"/>
        <v>No</v>
      </c>
      <c r="BG266" t="str">
        <f t="shared" si="74"/>
        <v>No</v>
      </c>
      <c r="BH266" t="str">
        <f t="shared" si="75"/>
        <v>No</v>
      </c>
    </row>
    <row r="267" spans="1:60" x14ac:dyDescent="0.3">
      <c r="A267" s="1">
        <v>20</v>
      </c>
      <c r="B267" t="s">
        <v>694</v>
      </c>
      <c r="C267" t="s">
        <v>1490</v>
      </c>
      <c r="D267" t="s">
        <v>2172</v>
      </c>
      <c r="E267" t="s">
        <v>2173</v>
      </c>
      <c r="F267" t="s">
        <v>2174</v>
      </c>
      <c r="G267" t="s">
        <v>2175</v>
      </c>
      <c r="I267" t="str">
        <f t="shared" si="82"/>
        <v>N/A</v>
      </c>
      <c r="J267">
        <f t="shared" si="83"/>
        <v>18650000</v>
      </c>
      <c r="K267">
        <f t="shared" si="84"/>
        <v>16210000</v>
      </c>
      <c r="L267">
        <f t="shared" si="85"/>
        <v>15950000</v>
      </c>
      <c r="M267">
        <f t="shared" si="86"/>
        <v>20600000</v>
      </c>
      <c r="N267">
        <f t="shared" si="87"/>
        <v>23440000</v>
      </c>
      <c r="P267">
        <f t="shared" si="58"/>
        <v>23440000</v>
      </c>
      <c r="Q267">
        <f>IFERROR(J144+MATCH(P267,J267:N267,0)-1,"")</f>
        <v>2016</v>
      </c>
      <c r="R267">
        <f t="shared" si="59"/>
        <v>15950000</v>
      </c>
      <c r="S267">
        <f>IFERROR(J144+MATCH(R267,J267:N267,0)-1,"")</f>
        <v>2014</v>
      </c>
      <c r="T267">
        <f t="shared" si="60"/>
        <v>18970000</v>
      </c>
      <c r="U267">
        <f t="shared" si="61"/>
        <v>3141583.9953755811</v>
      </c>
      <c r="V267">
        <f t="shared" si="62"/>
        <v>-0.10185944430295059</v>
      </c>
      <c r="W267">
        <f t="shared" si="63"/>
        <v>-0.87853770711294887</v>
      </c>
      <c r="X267">
        <f t="shared" si="64"/>
        <v>-0.96129850560909624</v>
      </c>
      <c r="Y267">
        <f t="shared" si="65"/>
        <v>0.51884654441815459</v>
      </c>
      <c r="Z267">
        <f t="shared" si="66"/>
        <v>1.4228491126068412</v>
      </c>
      <c r="AA267">
        <f t="shared" si="67"/>
        <v>1.4228491126068412</v>
      </c>
      <c r="AB267">
        <f>IFERROR(V144+MATCH(AA267,V267:Z267,0)-1,"")</f>
        <v>2016</v>
      </c>
      <c r="AC267" t="str">
        <f t="shared" si="68"/>
        <v>High</v>
      </c>
      <c r="AE267">
        <f>IF(ISNUMBER(MATCH("N/A",J267:N267,0)),"",IFERROR((5 * SUMPRODUCT(J144:N144,J267:N267) - PRODUCT(SUM(J144:N144),SUM(J267:N267))) / ((5 * SUM((J144^2)+(K144^2)+(L144^2)+(M144^2)+(N144^2))) - SUM(J144:N144)^2),""))</f>
        <v>1397000</v>
      </c>
      <c r="AF267">
        <f>IFERROR(CORREL(J144:N144,J267:N267),"")</f>
        <v>0.70310103084273612</v>
      </c>
      <c r="AZ267">
        <f t="shared" si="69"/>
        <v>1</v>
      </c>
      <c r="BA267" t="str">
        <f>IF(AZ267=1,IF(Q267="","",IF(Q267=N144,"Yes","No")),"")</f>
        <v>Yes</v>
      </c>
      <c r="BB267">
        <f t="shared" si="70"/>
        <v>23440000</v>
      </c>
      <c r="BC267" t="str">
        <f>IF(AZ267=1,IF(S267="","",IF(S267=N144,"Yes","No")),"")</f>
        <v>No</v>
      </c>
      <c r="BD267" t="str">
        <f t="shared" si="71"/>
        <v/>
      </c>
      <c r="BE267" t="str">
        <f t="shared" si="72"/>
        <v>Increasing</v>
      </c>
      <c r="BF267" t="str">
        <f t="shared" si="73"/>
        <v>Yes</v>
      </c>
      <c r="BG267" t="str">
        <f t="shared" si="74"/>
        <v>No</v>
      </c>
      <c r="BH267" t="str">
        <f t="shared" si="75"/>
        <v>No</v>
      </c>
    </row>
    <row r="268" spans="1:60" x14ac:dyDescent="0.3">
      <c r="A268" s="1">
        <v>21</v>
      </c>
      <c r="B268" t="s">
        <v>697</v>
      </c>
      <c r="C268" t="s">
        <v>1490</v>
      </c>
      <c r="D268" t="s">
        <v>2172</v>
      </c>
      <c r="E268" t="s">
        <v>2173</v>
      </c>
      <c r="F268" t="s">
        <v>2174</v>
      </c>
      <c r="G268" t="s">
        <v>2175</v>
      </c>
      <c r="I268" t="str">
        <f t="shared" si="82"/>
        <v>N/A</v>
      </c>
      <c r="J268">
        <f t="shared" si="83"/>
        <v>18650000</v>
      </c>
      <c r="K268">
        <f t="shared" si="84"/>
        <v>16210000</v>
      </c>
      <c r="L268">
        <f t="shared" si="85"/>
        <v>15950000</v>
      </c>
      <c r="M268">
        <f t="shared" si="86"/>
        <v>20600000</v>
      </c>
      <c r="N268">
        <f t="shared" si="87"/>
        <v>23440000</v>
      </c>
      <c r="P268">
        <f t="shared" si="58"/>
        <v>23440000</v>
      </c>
      <c r="Q268">
        <f>IFERROR(J144+MATCH(P268,J268:N268,0)-1,"")</f>
        <v>2016</v>
      </c>
      <c r="R268">
        <f t="shared" si="59"/>
        <v>15950000</v>
      </c>
      <c r="S268">
        <f>IFERROR(J144+MATCH(R268,J268:N268,0)-1,"")</f>
        <v>2014</v>
      </c>
      <c r="T268">
        <f t="shared" si="60"/>
        <v>18970000</v>
      </c>
      <c r="U268">
        <f t="shared" si="61"/>
        <v>3141583.9953755811</v>
      </c>
      <c r="V268">
        <f t="shared" si="62"/>
        <v>-0.10185944430295059</v>
      </c>
      <c r="W268">
        <f t="shared" si="63"/>
        <v>-0.87853770711294887</v>
      </c>
      <c r="X268">
        <f t="shared" si="64"/>
        <v>-0.96129850560909624</v>
      </c>
      <c r="Y268">
        <f t="shared" si="65"/>
        <v>0.51884654441815459</v>
      </c>
      <c r="Z268">
        <f t="shared" si="66"/>
        <v>1.4228491126068412</v>
      </c>
      <c r="AA268">
        <f t="shared" si="67"/>
        <v>1.4228491126068412</v>
      </c>
      <c r="AB268">
        <f>IFERROR(V144+MATCH(AA268,V268:Z268,0)-1,"")</f>
        <v>2016</v>
      </c>
      <c r="AC268" t="str">
        <f t="shared" si="68"/>
        <v>High</v>
      </c>
      <c r="AE268">
        <f>IF(ISNUMBER(MATCH("N/A",J268:N268,0)),"",IFERROR((5 * SUMPRODUCT(J144:N144,J268:N268) - PRODUCT(SUM(J144:N144),SUM(J268:N268))) / ((5 * SUM((J144^2)+(K144^2)+(L144^2)+(M144^2)+(N144^2))) - SUM(J144:N144)^2),""))</f>
        <v>1397000</v>
      </c>
      <c r="AF268">
        <f>IFERROR(CORREL(J144:N144,J268:N268),"")</f>
        <v>0.70310103084273612</v>
      </c>
      <c r="AZ268">
        <f t="shared" si="69"/>
        <v>1</v>
      </c>
      <c r="BA268" t="str">
        <f>IF(AZ268=1,IF(Q268="","",IF(Q268=N144,"Yes","No")),"")</f>
        <v>Yes</v>
      </c>
      <c r="BB268">
        <f t="shared" si="70"/>
        <v>23440000</v>
      </c>
      <c r="BC268" t="str">
        <f>IF(AZ268=1,IF(S268="","",IF(S268=N144,"Yes","No")),"")</f>
        <v>No</v>
      </c>
      <c r="BD268" t="str">
        <f t="shared" si="71"/>
        <v/>
      </c>
      <c r="BE268" t="str">
        <f t="shared" si="72"/>
        <v>Increasing</v>
      </c>
      <c r="BF268" t="str">
        <f t="shared" si="73"/>
        <v>Yes</v>
      </c>
      <c r="BG268" t="str">
        <f t="shared" si="74"/>
        <v>No</v>
      </c>
      <c r="BH268" t="str">
        <f t="shared" si="75"/>
        <v>No</v>
      </c>
    </row>
    <row r="269" spans="1:60" x14ac:dyDescent="0.3">
      <c r="A269" s="1">
        <v>22</v>
      </c>
      <c r="B269" t="s">
        <v>699</v>
      </c>
      <c r="C269" t="s">
        <v>264</v>
      </c>
      <c r="D269" t="s">
        <v>264</v>
      </c>
      <c r="E269" t="s">
        <v>264</v>
      </c>
      <c r="F269" t="s">
        <v>264</v>
      </c>
      <c r="G269" t="s">
        <v>264</v>
      </c>
      <c r="I269" t="str">
        <f t="shared" si="82"/>
        <v>N/A</v>
      </c>
      <c r="J269" t="str">
        <f t="shared" si="83"/>
        <v>N/A</v>
      </c>
      <c r="K269" t="str">
        <f t="shared" si="84"/>
        <v>N/A</v>
      </c>
      <c r="L269" t="str">
        <f t="shared" si="85"/>
        <v>N/A</v>
      </c>
      <c r="M269" t="str">
        <f t="shared" si="86"/>
        <v>N/A</v>
      </c>
      <c r="N269" t="str">
        <f t="shared" si="87"/>
        <v>N/A</v>
      </c>
      <c r="P269">
        <f t="shared" si="58"/>
        <v>0</v>
      </c>
      <c r="Q269" t="str">
        <f>IFERROR(J144+MATCH(P269,J269:N269,0)-1,"")</f>
        <v/>
      </c>
      <c r="R269" t="str">
        <f t="shared" si="59"/>
        <v/>
      </c>
      <c r="S269" t="str">
        <f>IFERROR(J144+MATCH(R269,J269:N269,0)-1,"")</f>
        <v/>
      </c>
      <c r="T269" t="str">
        <f t="shared" si="60"/>
        <v/>
      </c>
      <c r="U269" t="str">
        <f t="shared" si="61"/>
        <v/>
      </c>
      <c r="V269" t="str">
        <f t="shared" si="62"/>
        <v/>
      </c>
      <c r="W269" t="str">
        <f t="shared" si="63"/>
        <v/>
      </c>
      <c r="X269" t="str">
        <f t="shared" si="64"/>
        <v/>
      </c>
      <c r="Y269" t="str">
        <f t="shared" si="65"/>
        <v/>
      </c>
      <c r="Z269" t="str">
        <f t="shared" si="66"/>
        <v/>
      </c>
      <c r="AA269">
        <f t="shared" si="67"/>
        <v>0</v>
      </c>
      <c r="AB269" t="str">
        <f>IFERROR(V144+MATCH(AA269,V269:Z269,0)-1,"")</f>
        <v/>
      </c>
      <c r="AC269" t="str">
        <f t="shared" si="68"/>
        <v/>
      </c>
      <c r="AE269" t="str">
        <f>IF(ISNUMBER(MATCH("N/A",J269:N269,0)),"",IFERROR((5 * SUMPRODUCT(J144:N144,J269:N269) - PRODUCT(SUM(J144:N144),SUM(J269:N269))) / ((5 * SUM((J144^2)+(K144^2)+(L144^2)+(M144^2)+(N144^2))) - SUM(J144:N144)^2),""))</f>
        <v/>
      </c>
      <c r="AF269" t="str">
        <f>IFERROR(CORREL(J144:N144,J269:N269),"")</f>
        <v/>
      </c>
      <c r="AZ269">
        <f t="shared" si="69"/>
        <v>0</v>
      </c>
      <c r="BA269" t="str">
        <f>IF(AZ269=1,IF(Q269="","",IF(Q269=N144,"Yes","No")),"")</f>
        <v/>
      </c>
      <c r="BB269" t="str">
        <f t="shared" si="70"/>
        <v/>
      </c>
      <c r="BC269" t="str">
        <f>IF(AZ269=1,IF(S269="","",IF(S269=N144,"Yes","No")),"")</f>
        <v/>
      </c>
      <c r="BD269" t="str">
        <f t="shared" si="71"/>
        <v/>
      </c>
      <c r="BE269" t="str">
        <f t="shared" si="72"/>
        <v/>
      </c>
      <c r="BF269" t="str">
        <f t="shared" si="73"/>
        <v>No</v>
      </c>
      <c r="BG269" t="str">
        <f t="shared" si="74"/>
        <v>No</v>
      </c>
      <c r="BH269" t="str">
        <f t="shared" si="75"/>
        <v/>
      </c>
    </row>
    <row r="270" spans="1:60" x14ac:dyDescent="0.3">
      <c r="A270" s="1">
        <v>23</v>
      </c>
      <c r="B270" t="s">
        <v>700</v>
      </c>
      <c r="C270" t="s">
        <v>270</v>
      </c>
      <c r="D270" t="s">
        <v>2176</v>
      </c>
      <c r="E270" t="s">
        <v>2177</v>
      </c>
      <c r="F270" t="s">
        <v>2178</v>
      </c>
      <c r="G270" t="s">
        <v>2179</v>
      </c>
      <c r="I270" t="str">
        <f t="shared" si="82"/>
        <v>N/A</v>
      </c>
      <c r="J270">
        <f t="shared" si="83"/>
        <v>1070000000.0000001</v>
      </c>
      <c r="K270">
        <f t="shared" si="84"/>
        <v>982260000</v>
      </c>
      <c r="L270">
        <f t="shared" si="85"/>
        <v>962090000</v>
      </c>
      <c r="M270">
        <f t="shared" si="86"/>
        <v>934110000</v>
      </c>
      <c r="N270">
        <f t="shared" si="87"/>
        <v>969180000</v>
      </c>
      <c r="P270">
        <f t="shared" si="58"/>
        <v>1070000000.0000001</v>
      </c>
      <c r="Q270">
        <f>IFERROR(J144+MATCH(P270,J270:N270,0)-1,"")</f>
        <v>2012</v>
      </c>
      <c r="R270">
        <f t="shared" si="59"/>
        <v>934110000</v>
      </c>
      <c r="S270">
        <f>IFERROR(J144+MATCH(R270,J270:N270,0)-1,"")</f>
        <v>2015</v>
      </c>
      <c r="T270">
        <f t="shared" si="60"/>
        <v>983528000</v>
      </c>
      <c r="U270">
        <f t="shared" si="61"/>
        <v>51445617.597614713</v>
      </c>
      <c r="V270">
        <f t="shared" si="62"/>
        <v>1.6808428791028724</v>
      </c>
      <c r="W270">
        <f t="shared" si="63"/>
        <v>-2.464738609841844E-2</v>
      </c>
      <c r="X270">
        <f t="shared" si="64"/>
        <v>-0.41671187947783483</v>
      </c>
      <c r="Y270">
        <f t="shared" si="65"/>
        <v>-0.9605871657820525</v>
      </c>
      <c r="Z270">
        <f t="shared" si="66"/>
        <v>-0.27889644774456451</v>
      </c>
      <c r="AA270">
        <f t="shared" si="67"/>
        <v>1.6808428791028724</v>
      </c>
      <c r="AB270">
        <f>IFERROR(V144+MATCH(AA270,V270:Z270,0)-1,"")</f>
        <v>2012</v>
      </c>
      <c r="AC270" t="str">
        <f t="shared" si="68"/>
        <v>High</v>
      </c>
      <c r="AE270">
        <f>IF(ISNUMBER(MATCH("N/A",J270:N270,0)),"",IFERROR((5 * SUMPRODUCT(J144:N144,J270:N270) - PRODUCT(SUM(J144:N144),SUM(J270:N270))) / ((5 * SUM((J144^2)+(K144^2)+(L144^2)+(M144^2)+(N144^2))) - SUM(J144:N144)^2),""))</f>
        <v>-24979000</v>
      </c>
      <c r="AF270">
        <f>IFERROR(CORREL(J144:N144,J270:N270),"")</f>
        <v>-0.76770906213213019</v>
      </c>
      <c r="AZ270">
        <f t="shared" si="69"/>
        <v>1</v>
      </c>
      <c r="BA270" t="str">
        <f>IF(AZ270=1,IF(Q270="","",IF(Q270=N144,"Yes","No")),"")</f>
        <v>No</v>
      </c>
      <c r="BB270" t="str">
        <f t="shared" si="70"/>
        <v/>
      </c>
      <c r="BC270" t="str">
        <f>IF(AZ270=1,IF(S270="","",IF(S270=N144,"Yes","No")),"")</f>
        <v>No</v>
      </c>
      <c r="BD270" t="str">
        <f t="shared" si="71"/>
        <v/>
      </c>
      <c r="BE270" t="str">
        <f t="shared" si="72"/>
        <v>Decreasing</v>
      </c>
      <c r="BF270" t="str">
        <f t="shared" si="73"/>
        <v>No</v>
      </c>
      <c r="BG270" t="str">
        <f t="shared" si="74"/>
        <v>No</v>
      </c>
      <c r="BH270" t="str">
        <f t="shared" si="75"/>
        <v>No</v>
      </c>
    </row>
    <row r="271" spans="1:60" x14ac:dyDescent="0.3">
      <c r="A271" s="1">
        <v>24</v>
      </c>
      <c r="B271" t="s">
        <v>706</v>
      </c>
      <c r="C271" t="s">
        <v>264</v>
      </c>
      <c r="D271" t="s">
        <v>264</v>
      </c>
      <c r="E271" t="s">
        <v>264</v>
      </c>
      <c r="F271" t="s">
        <v>264</v>
      </c>
      <c r="G271" t="s">
        <v>264</v>
      </c>
      <c r="P271">
        <f t="shared" si="58"/>
        <v>0</v>
      </c>
      <c r="Q271" t="str">
        <f>IFERROR(J144+MATCH(P271,J271:N271,0)-1,"")</f>
        <v/>
      </c>
      <c r="R271" t="str">
        <f t="shared" si="59"/>
        <v/>
      </c>
      <c r="S271" t="str">
        <f>IFERROR(J144+MATCH(R271,J271:N271,0)-1,"")</f>
        <v/>
      </c>
      <c r="T271" t="str">
        <f t="shared" si="60"/>
        <v/>
      </c>
      <c r="U271" t="str">
        <f t="shared" si="61"/>
        <v/>
      </c>
      <c r="V271" t="str">
        <f t="shared" si="62"/>
        <v/>
      </c>
      <c r="W271" t="str">
        <f t="shared" si="63"/>
        <v/>
      </c>
      <c r="X271" t="str">
        <f t="shared" si="64"/>
        <v/>
      </c>
      <c r="Y271" t="str">
        <f t="shared" si="65"/>
        <v/>
      </c>
      <c r="Z271" t="str">
        <f t="shared" si="66"/>
        <v/>
      </c>
      <c r="AA271">
        <f t="shared" si="67"/>
        <v>0</v>
      </c>
      <c r="AB271" t="str">
        <f>IFERROR(V144+MATCH(AA271,V271:Z271,0)-1,"")</f>
        <v/>
      </c>
      <c r="AC271" t="str">
        <f t="shared" si="68"/>
        <v/>
      </c>
      <c r="AE271">
        <f>IF(ISNUMBER(MATCH("N/A",J271:N271,0)),"",IFERROR((5 * SUMPRODUCT(J144:N144,J271:N271) - PRODUCT(SUM(J144:N144),SUM(J271:N271))) / ((5 * SUM((J144^2)+(K144^2)+(L144^2)+(M144^2)+(N144^2))) - SUM(J144:N144)^2),""))</f>
        <v>0</v>
      </c>
      <c r="AF271" t="str">
        <f>IFERROR(CORREL(J144:N144,J271:N271),"")</f>
        <v/>
      </c>
      <c r="AZ271">
        <f t="shared" si="69"/>
        <v>0</v>
      </c>
      <c r="BA271" t="str">
        <f>IF(AZ271=1,IF(Q271="","",IF(Q271=N144,"Yes","No")),"")</f>
        <v/>
      </c>
      <c r="BB271" t="str">
        <f t="shared" si="70"/>
        <v/>
      </c>
      <c r="BC271" t="str">
        <f>IF(AZ271=1,IF(S271="","",IF(S271=N144,"Yes","No")),"")</f>
        <v/>
      </c>
      <c r="BD271" t="str">
        <f t="shared" si="71"/>
        <v/>
      </c>
      <c r="BE271" t="str">
        <f t="shared" si="72"/>
        <v/>
      </c>
      <c r="BF271" t="str">
        <f t="shared" si="73"/>
        <v>No</v>
      </c>
      <c r="BG271" t="str">
        <f t="shared" si="74"/>
        <v>No</v>
      </c>
      <c r="BH271" t="str">
        <f t="shared" si="75"/>
        <v/>
      </c>
    </row>
    <row r="272" spans="1:60" x14ac:dyDescent="0.3">
      <c r="A272" s="1">
        <v>25</v>
      </c>
      <c r="B272" t="s">
        <v>707</v>
      </c>
      <c r="C272" t="s">
        <v>2180</v>
      </c>
      <c r="D272" t="s">
        <v>2181</v>
      </c>
      <c r="E272" t="s">
        <v>2182</v>
      </c>
      <c r="F272" t="s">
        <v>2183</v>
      </c>
      <c r="G272" t="s">
        <v>2184</v>
      </c>
      <c r="I272" t="str">
        <f t="shared" ref="I272:I310" si="88">IF(AND(K272&gt; J272, L272&gt; K272, M272&gt; L272, N272&gt; M272), "pos_trend", IF(AND(K272&lt; J272, L272&lt; K272, M272&lt; L272, N272&lt; M272), "neg_trend", "N/A"))</f>
        <v>N/A</v>
      </c>
      <c r="J272">
        <f t="shared" ref="J272:J310" si="89">IFERROR(IF(TRIM(C272)="-", "N/A", IF(RIGHT(C272,1)=")",IF(RIGHT(C272,2)="T)",-1000000000000*VALUE(MID(C272,2,LEN(C272)-3)),IF(RIGHT(C272,2)="M)",-1000000*VALUE(MID(C272,2,LEN(C272)-3)),IF(RIGHT(C272,2)="B)",-1000000000*VALUE(MID(C272,2,LEN(C272)-3)),IF(RIGHT(C272,2)="k)",-1000*VALUE(MID(C272,2,LEN(C272)-3)),VALUE(SUBSTITUTE(C272,",","")))))),IF(RIGHT(C272,1)="T",1000000000000*VALUE(LEFT(C272,LEN(C272)-1)),IF(RIGHT(C272,1)="M",1000000*VALUE(LEFT(C272,LEN(C272)-1)),IF(RIGHT(C272,1)="B",1000000000*VALUE(LEFT(C272,LEN(C272)-1)),IF(RIGHT(C272,1)="%",0.01*VALUE(LEFT(C272,LEN(C272)-1)),IF(RIGHT(C272,1)="k",1000*VALUE(LEFT(C272,LEN(C272)-1)),VALUE(SUBSTITUTE(C272,",",""))))))))),"N/A")</f>
        <v>0.57179999999999997</v>
      </c>
      <c r="K272">
        <f t="shared" ref="K272:K310" si="90">IFERROR(IF(TRIM(D272)="-", "N/A", IF(RIGHT(D272,1)=")",IF(RIGHT(D272,2)="T)",-1000000000000*VALUE(MID(D272,2,LEN(D272)-3)),IF(RIGHT(D272,2)="M)",-1000000*VALUE(MID(D272,2,LEN(D272)-3)),IF(RIGHT(D272,2)="B)",-1000000000*VALUE(MID(D272,2,LEN(D272)-3)),IF(RIGHT(D272,2)="k)",-1000*VALUE(MID(D272,2,LEN(D272)-3)),VALUE(SUBSTITUTE(D272,",","")))))),IF(RIGHT(D272,1)="T",1000000000000*VALUE(LEFT(D272,LEN(D272)-1)),IF(RIGHT(D272,1)="M",1000000*VALUE(LEFT(D272,LEN(D272)-1)),IF(RIGHT(D272,1)="B",1000000000*VALUE(LEFT(D272,LEN(D272)-1)),IF(RIGHT(D272,1)="%",0.01*VALUE(LEFT(D272,LEN(D272)-1)),IF(RIGHT(D272,1)="k",1000*VALUE(LEFT(D272,LEN(D272)-1)),VALUE(SUBSTITUTE(D272,",",""))))))))),"N/A")</f>
        <v>0.46250000000000002</v>
      </c>
      <c r="L272">
        <f t="shared" ref="L272:L310" si="91">IFERROR(IF(TRIM(E272)="-", "N/A", IF(RIGHT(E272,1)=")",IF(RIGHT(E272,2)="T)",-1000000000000*VALUE(MID(E272,2,LEN(E272)-3)),IF(RIGHT(E272,2)="M)",-1000000*VALUE(MID(E272,2,LEN(E272)-3)),IF(RIGHT(E272,2)="B)",-1000000000*VALUE(MID(E272,2,LEN(E272)-3)),IF(RIGHT(E272,2)="k)",-1000*VALUE(MID(E272,2,LEN(E272)-3)),VALUE(SUBSTITUTE(E272,",","")))))),IF(RIGHT(E272,1)="T",1000000000000*VALUE(LEFT(E272,LEN(E272)-1)),IF(RIGHT(E272,1)="M",1000000*VALUE(LEFT(E272,LEN(E272)-1)),IF(RIGHT(E272,1)="B",1000000000*VALUE(LEFT(E272,LEN(E272)-1)),IF(RIGHT(E272,1)="%",0.01*VALUE(LEFT(E272,LEN(E272)-1)),IF(RIGHT(E272,1)="k",1000*VALUE(LEFT(E272,LEN(E272)-1)),VALUE(SUBSTITUTE(E272,",",""))))))))),"N/A")</f>
        <v>0.46390000000000003</v>
      </c>
      <c r="M272">
        <f t="shared" ref="M272:M310" si="92">IFERROR(IF(TRIM(F272)="-", "N/A", IF(RIGHT(F272,1)=")",IF(RIGHT(F272,2)="T)",-1000000000000*VALUE(MID(F272,2,LEN(F272)-3)),IF(RIGHT(F272,2)="M)",-1000000*VALUE(MID(F272,2,LEN(F272)-3)),IF(RIGHT(F272,2)="B)",-1000000000*VALUE(MID(F272,2,LEN(F272)-3)),IF(RIGHT(F272,2)="k)",-1000*VALUE(MID(F272,2,LEN(F272)-3)),VALUE(SUBSTITUTE(F272,",","")))))),IF(RIGHT(F272,1)="T",1000000000000*VALUE(LEFT(F272,LEN(F272)-1)),IF(RIGHT(F272,1)="M",1000000*VALUE(LEFT(F272,LEN(F272)-1)),IF(RIGHT(F272,1)="B",1000000000*VALUE(LEFT(F272,LEN(F272)-1)),IF(RIGHT(F272,1)="%",0.01*VALUE(LEFT(F272,LEN(F272)-1)),IF(RIGHT(F272,1)="k",1000*VALUE(LEFT(F272,LEN(F272)-1)),VALUE(SUBSTITUTE(F272,",",""))))))))),"N/A")</f>
        <v>0.45299999999999996</v>
      </c>
      <c r="N272">
        <f t="shared" ref="N272:N310" si="93">IFERROR(IF(TRIM(G272)="-", "N/A", IF(RIGHT(G272,1)=")",IF(RIGHT(G272,2)="T)",-1000000000000*VALUE(MID(G272,2,LEN(G272)-3)),IF(RIGHT(G272,2)="M)",-1000000*VALUE(MID(G272,2,LEN(G272)-3)),IF(RIGHT(G272,2)="B)",-1000000000*VALUE(MID(G272,2,LEN(G272)-3)),IF(RIGHT(G272,2)="k)",-1000*VALUE(MID(G272,2,LEN(G272)-3)),VALUE(SUBSTITUTE(G272,",","")))))),IF(RIGHT(G272,1)="T",1000000000000*VALUE(LEFT(G272,LEN(G272)-1)),IF(RIGHT(G272,1)="M",1000000*VALUE(LEFT(G272,LEN(G272)-1)),IF(RIGHT(G272,1)="B",1000000000*VALUE(LEFT(G272,LEN(G272)-1)),IF(RIGHT(G272,1)="%",0.01*VALUE(LEFT(G272,LEN(G272)-1)),IF(RIGHT(G272,1)="k",1000*VALUE(LEFT(G272,LEN(G272)-1)),VALUE(SUBSTITUTE(G272,",",""))))))))),"N/A")</f>
        <v>0.45340000000000003</v>
      </c>
      <c r="P272">
        <f t="shared" si="58"/>
        <v>0.57179999999999997</v>
      </c>
      <c r="Q272">
        <f>IFERROR(J144+MATCH(P272,J272:N272,0)-1,"")</f>
        <v>2012</v>
      </c>
      <c r="R272">
        <f t="shared" si="59"/>
        <v>0.45299999999999996</v>
      </c>
      <c r="S272">
        <f>IFERROR(J144+MATCH(R272,J272:N272,0)-1,"")</f>
        <v>2015</v>
      </c>
      <c r="T272">
        <f t="shared" si="60"/>
        <v>0.48092000000000007</v>
      </c>
      <c r="U272">
        <f t="shared" si="61"/>
        <v>5.1051513199904253E-2</v>
      </c>
      <c r="V272">
        <f t="shared" si="62"/>
        <v>1.7801627082852141</v>
      </c>
      <c r="W272">
        <f t="shared" si="63"/>
        <v>-0.36081202780164789</v>
      </c>
      <c r="X272">
        <f t="shared" si="64"/>
        <v>-0.33338874664408491</v>
      </c>
      <c r="Y272">
        <f t="shared" si="65"/>
        <v>-0.54689857851368207</v>
      </c>
      <c r="Z272">
        <f t="shared" si="66"/>
        <v>-0.53906335532580563</v>
      </c>
      <c r="AA272">
        <f t="shared" si="67"/>
        <v>1.7801627082852141</v>
      </c>
      <c r="AB272">
        <f>IFERROR(V144+MATCH(AA272,V272:Z272,0)-1,"")</f>
        <v>2012</v>
      </c>
      <c r="AC272" t="str">
        <f t="shared" si="68"/>
        <v>High</v>
      </c>
      <c r="AE272">
        <f>IF(ISNUMBER(MATCH("N/A",J272:N272,0)),"",IFERROR((5 * SUMPRODUCT(J144:N144,J272:N272) - PRODUCT(SUM(J144:N144),SUM(J272:N272))) / ((5 * SUM((J144^2)+(K144^2)+(L144^2)+(M144^2)+(N144^2))) - SUM(J144:N144)^2),""))</f>
        <v>-2.463000000003376E-2</v>
      </c>
      <c r="AF272">
        <f>IFERROR(CORREL(J144:N144,J272:N272),"")</f>
        <v>-0.76282654409246042</v>
      </c>
      <c r="AZ272">
        <f t="shared" si="69"/>
        <v>1</v>
      </c>
      <c r="BA272" t="str">
        <f>IF(AZ272=1,IF(Q272="","",IF(Q272=N144,"Yes","No")),"")</f>
        <v>No</v>
      </c>
      <c r="BB272" t="str">
        <f t="shared" si="70"/>
        <v/>
      </c>
      <c r="BC272" t="str">
        <f>IF(AZ272=1,IF(S272="","",IF(S272=N144,"Yes","No")),"")</f>
        <v>No</v>
      </c>
      <c r="BD272" t="str">
        <f t="shared" si="71"/>
        <v/>
      </c>
      <c r="BE272" t="str">
        <f t="shared" si="72"/>
        <v>Decreasing</v>
      </c>
      <c r="BF272" t="str">
        <f t="shared" si="73"/>
        <v>No</v>
      </c>
      <c r="BG272" t="str">
        <f t="shared" si="74"/>
        <v>No</v>
      </c>
      <c r="BH272" t="str">
        <f t="shared" si="75"/>
        <v>No</v>
      </c>
    </row>
    <row r="273" spans="1:60" x14ac:dyDescent="0.3">
      <c r="A273" s="1">
        <v>26</v>
      </c>
      <c r="B273" t="s">
        <v>713</v>
      </c>
      <c r="C273" t="s">
        <v>264</v>
      </c>
      <c r="D273" t="s">
        <v>264</v>
      </c>
      <c r="E273" t="s">
        <v>264</v>
      </c>
      <c r="F273" t="s">
        <v>264</v>
      </c>
      <c r="G273" t="s">
        <v>264</v>
      </c>
      <c r="I273" t="str">
        <f t="shared" si="88"/>
        <v>N/A</v>
      </c>
      <c r="J273" t="str">
        <f t="shared" si="89"/>
        <v>N/A</v>
      </c>
      <c r="K273" t="str">
        <f t="shared" si="90"/>
        <v>N/A</v>
      </c>
      <c r="L273" t="str">
        <f t="shared" si="91"/>
        <v>N/A</v>
      </c>
      <c r="M273" t="str">
        <f t="shared" si="92"/>
        <v>N/A</v>
      </c>
      <c r="N273" t="str">
        <f t="shared" si="93"/>
        <v>N/A</v>
      </c>
      <c r="P273">
        <f t="shared" ref="P273:P336" si="94">MAX(J273:N273)</f>
        <v>0</v>
      </c>
      <c r="Q273" t="str">
        <f>IFERROR(J144+MATCH(P273,J273:N273,0)-1,"")</f>
        <v/>
      </c>
      <c r="R273" t="str">
        <f t="shared" ref="R273:R336" si="95">IF(Q273="","",MIN(J273:N273))</f>
        <v/>
      </c>
      <c r="S273" t="str">
        <f>IFERROR(J144+MATCH(R273,J273:N273,0)-1,"")</f>
        <v/>
      </c>
      <c r="T273" t="str">
        <f t="shared" ref="T273:T336" si="96">IFERROR(AVERAGE(J273:N273),"")</f>
        <v/>
      </c>
      <c r="U273" t="str">
        <f t="shared" ref="U273:U336" si="97">IFERROR(STDEV(J273:N273),"")</f>
        <v/>
      </c>
      <c r="V273" t="str">
        <f t="shared" ref="V273:V336" si="98">IFERROR(IF(C273="-","",IF(ISBLANK(B273),"",IF(OR(ISNUMBER(FIND("Growth",B273)),ISNUMBER(FIND("Margin",B273))),"",(J273-T273)/U273))),"")</f>
        <v/>
      </c>
      <c r="W273" t="str">
        <f t="shared" ref="W273:W336" si="99">IFERROR(IF(OR(D273="-",ISBLANK(D273)),"",(K273-T273)/U273),"")</f>
        <v/>
      </c>
      <c r="X273" t="str">
        <f t="shared" ref="X273:X336" si="100">IFERROR(IF(OR(E273="-",ISBLANK(E273)),"",(L273-T273)/U273),"")</f>
        <v/>
      </c>
      <c r="Y273" t="str">
        <f t="shared" ref="Y273:Y336" si="101">IFERROR(IF(OR(F273="-",ISBLANK(F273)),"",(M273-T273)/U273),"")</f>
        <v/>
      </c>
      <c r="Z273" t="str">
        <f t="shared" ref="Z273:Z336" si="102">IFERROR(IF(OR(G273="-",ISBLANK(G273)),"",(N273-T273)/U273),"")</f>
        <v/>
      </c>
      <c r="AA273">
        <f t="shared" ref="AA273:AA336" si="103">IF(MAX(MAX(V273:Z273),ABS(MIN(V273:Z273)))=ABS(MIN(V273:Z273)),MIN(V273:Z273),MAX(V273:Z273))</f>
        <v>0</v>
      </c>
      <c r="AB273" t="str">
        <f>IFERROR(V144+MATCH(AA273,V273:Z273,0)-1,"")</f>
        <v/>
      </c>
      <c r="AC273" t="str">
        <f t="shared" ref="AC273:AC336" si="104">IF(AB273&lt;&gt;"",IF(S273=AB273,"Low",IF(AB273=Q273,"High","")),"")</f>
        <v/>
      </c>
      <c r="AE273" t="str">
        <f>IF(ISNUMBER(MATCH("N/A",J273:N273,0)),"",IFERROR((5 * SUMPRODUCT(J144:N144,J273:N273) - PRODUCT(SUM(J144:N144),SUM(J273:N273))) / ((5 * SUM((J144^2)+(K144^2)+(L144^2)+(M144^2)+(N144^2))) - SUM(J144:N144)^2),""))</f>
        <v/>
      </c>
      <c r="AF273" t="str">
        <f>IFERROR(CORREL(J144:N144,J273:N273),"")</f>
        <v/>
      </c>
      <c r="AZ273">
        <f t="shared" ref="AZ273:AZ336" si="105">IF(Q273=S273,0,1)</f>
        <v>0</v>
      </c>
      <c r="BA273" t="str">
        <f>IF(AZ273=1,IF(Q273="","",IF(Q273=N144,"Yes","No")),"")</f>
        <v/>
      </c>
      <c r="BB273" t="str">
        <f t="shared" ref="BB273:BB336" si="106">IF(BA273="Yes",P273,"")</f>
        <v/>
      </c>
      <c r="BC273" t="str">
        <f>IF(AZ273=1,IF(S273="","",IF(S273=N144,"Yes","No")),"")</f>
        <v/>
      </c>
      <c r="BD273" t="str">
        <f t="shared" ref="BD273:BD336" si="107">IF(BC273="Yes",R273,"")</f>
        <v/>
      </c>
      <c r="BE273" t="str">
        <f t="shared" ref="BE273:BE336" si="108">IFERROR(IF(SIGN(AE273)=1,"Increasing",IF(SIGN(AE273)=-1,"Decreasing","")),"")</f>
        <v/>
      </c>
      <c r="BF273" t="str">
        <f t="shared" ref="BF273:BF336" si="109">IF(OR(AND(BE273="Increasing",BA273="Yes"),AND(BE273="Decreasing",BC273="Yes")),"Yes","No")</f>
        <v>No</v>
      </c>
      <c r="BG273" t="str">
        <f t="shared" ref="BG273:BG336" si="110">IF(I273="pos_trend","Yes","No")</f>
        <v>No</v>
      </c>
      <c r="BH273" t="str">
        <f t="shared" ref="BH273:BH336" si="111">IF(AF273&lt;&gt;"",IF(ABS(AF273)&gt;0.8,"Yes","No"),"")</f>
        <v/>
      </c>
    </row>
    <row r="274" spans="1:60" x14ac:dyDescent="0.3">
      <c r="A274" s="1">
        <v>27</v>
      </c>
      <c r="B274" t="s">
        <v>714</v>
      </c>
      <c r="C274" t="s">
        <v>264</v>
      </c>
      <c r="D274" t="s">
        <v>264</v>
      </c>
      <c r="E274" t="s">
        <v>264</v>
      </c>
      <c r="F274" t="s">
        <v>264</v>
      </c>
      <c r="G274" t="s">
        <v>264</v>
      </c>
      <c r="I274" t="str">
        <f t="shared" si="88"/>
        <v>N/A</v>
      </c>
      <c r="J274" t="str">
        <f t="shared" si="89"/>
        <v>N/A</v>
      </c>
      <c r="K274" t="str">
        <f t="shared" si="90"/>
        <v>N/A</v>
      </c>
      <c r="L274" t="str">
        <f t="shared" si="91"/>
        <v>N/A</v>
      </c>
      <c r="M274" t="str">
        <f t="shared" si="92"/>
        <v>N/A</v>
      </c>
      <c r="N274" t="str">
        <f t="shared" si="93"/>
        <v>N/A</v>
      </c>
      <c r="P274">
        <f t="shared" si="94"/>
        <v>0</v>
      </c>
      <c r="Q274" t="str">
        <f>IFERROR(J144+MATCH(P274,J274:N274,0)-1,"")</f>
        <v/>
      </c>
      <c r="R274" t="str">
        <f t="shared" si="95"/>
        <v/>
      </c>
      <c r="S274" t="str">
        <f>IFERROR(J144+MATCH(R274,J274:N274,0)-1,"")</f>
        <v/>
      </c>
      <c r="T274" t="str">
        <f t="shared" si="96"/>
        <v/>
      </c>
      <c r="U274" t="str">
        <f t="shared" si="97"/>
        <v/>
      </c>
      <c r="V274" t="str">
        <f t="shared" si="98"/>
        <v/>
      </c>
      <c r="W274" t="str">
        <f t="shared" si="99"/>
        <v/>
      </c>
      <c r="X274" t="str">
        <f t="shared" si="100"/>
        <v/>
      </c>
      <c r="Y274" t="str">
        <f t="shared" si="101"/>
        <v/>
      </c>
      <c r="Z274" t="str">
        <f t="shared" si="102"/>
        <v/>
      </c>
      <c r="AA274">
        <f t="shared" si="103"/>
        <v>0</v>
      </c>
      <c r="AB274" t="str">
        <f>IFERROR(V144+MATCH(AA274,V274:Z274,0)-1,"")</f>
        <v/>
      </c>
      <c r="AC274" t="str">
        <f t="shared" si="104"/>
        <v/>
      </c>
      <c r="AE274" t="str">
        <f>IF(ISNUMBER(MATCH("N/A",J274:N274,0)),"",IFERROR((5 * SUMPRODUCT(J144:N144,J274:N274) - PRODUCT(SUM(J144:N144),SUM(J274:N274))) / ((5 * SUM((J144^2)+(K144^2)+(L144^2)+(M144^2)+(N144^2))) - SUM(J144:N144)^2),""))</f>
        <v/>
      </c>
      <c r="AF274" t="str">
        <f>IFERROR(CORREL(J144:N144,J274:N274),"")</f>
        <v/>
      </c>
      <c r="AZ274">
        <f t="shared" si="105"/>
        <v>0</v>
      </c>
      <c r="BA274" t="str">
        <f>IF(AZ274=1,IF(Q274="","",IF(Q274=N144,"Yes","No")),"")</f>
        <v/>
      </c>
      <c r="BB274" t="str">
        <f t="shared" si="106"/>
        <v/>
      </c>
      <c r="BC274" t="str">
        <f>IF(AZ274=1,IF(S274="","",IF(S274=N144,"Yes","No")),"")</f>
        <v/>
      </c>
      <c r="BD274" t="str">
        <f t="shared" si="107"/>
        <v/>
      </c>
      <c r="BE274" t="str">
        <f t="shared" si="108"/>
        <v/>
      </c>
      <c r="BF274" t="str">
        <f t="shared" si="109"/>
        <v>No</v>
      </c>
      <c r="BG274" t="str">
        <f t="shared" si="110"/>
        <v>No</v>
      </c>
      <c r="BH274" t="str">
        <f t="shared" si="111"/>
        <v/>
      </c>
    </row>
    <row r="275" spans="1:60" x14ac:dyDescent="0.3">
      <c r="A275" s="1">
        <v>28</v>
      </c>
      <c r="B275" t="s">
        <v>715</v>
      </c>
      <c r="C275" t="s">
        <v>264</v>
      </c>
      <c r="D275" t="s">
        <v>264</v>
      </c>
      <c r="E275" t="s">
        <v>264</v>
      </c>
      <c r="F275" t="s">
        <v>264</v>
      </c>
      <c r="G275" t="s">
        <v>264</v>
      </c>
      <c r="I275" t="str">
        <f t="shared" si="88"/>
        <v>N/A</v>
      </c>
      <c r="J275" t="str">
        <f t="shared" si="89"/>
        <v>N/A</v>
      </c>
      <c r="K275" t="str">
        <f t="shared" si="90"/>
        <v>N/A</v>
      </c>
      <c r="L275" t="str">
        <f t="shared" si="91"/>
        <v>N/A</v>
      </c>
      <c r="M275" t="str">
        <f t="shared" si="92"/>
        <v>N/A</v>
      </c>
      <c r="N275" t="str">
        <f t="shared" si="93"/>
        <v>N/A</v>
      </c>
      <c r="P275">
        <f t="shared" si="94"/>
        <v>0</v>
      </c>
      <c r="Q275" t="str">
        <f>IFERROR(J144+MATCH(P275,J275:N275,0)-1,"")</f>
        <v/>
      </c>
      <c r="R275" t="str">
        <f t="shared" si="95"/>
        <v/>
      </c>
      <c r="S275" t="str">
        <f>IFERROR(J144+MATCH(R275,J275:N275,0)-1,"")</f>
        <v/>
      </c>
      <c r="T275" t="str">
        <f t="shared" si="96"/>
        <v/>
      </c>
      <c r="U275" t="str">
        <f t="shared" si="97"/>
        <v/>
      </c>
      <c r="V275" t="str">
        <f t="shared" si="98"/>
        <v/>
      </c>
      <c r="W275" t="str">
        <f t="shared" si="99"/>
        <v/>
      </c>
      <c r="X275" t="str">
        <f t="shared" si="100"/>
        <v/>
      </c>
      <c r="Y275" t="str">
        <f t="shared" si="101"/>
        <v/>
      </c>
      <c r="Z275" t="str">
        <f t="shared" si="102"/>
        <v/>
      </c>
      <c r="AA275">
        <f t="shared" si="103"/>
        <v>0</v>
      </c>
      <c r="AB275" t="str">
        <f>IFERROR(V144+MATCH(AA275,V275:Z275,0)-1,"")</f>
        <v/>
      </c>
      <c r="AC275" t="str">
        <f t="shared" si="104"/>
        <v/>
      </c>
      <c r="AE275" t="str">
        <f>IF(ISNUMBER(MATCH("N/A",J275:N275,0)),"",IFERROR((5 * SUMPRODUCT(J144:N144,J275:N275) - PRODUCT(SUM(J144:N144),SUM(J275:N275))) / ((5 * SUM((J144^2)+(K144^2)+(L144^2)+(M144^2)+(N144^2))) - SUM(J144:N144)^2),""))</f>
        <v/>
      </c>
      <c r="AF275" t="str">
        <f>IFERROR(CORREL(J144:N144,J275:N275),"")</f>
        <v/>
      </c>
      <c r="AZ275">
        <f t="shared" si="105"/>
        <v>0</v>
      </c>
      <c r="BA275" t="str">
        <f>IF(AZ275=1,IF(Q275="","",IF(Q275=N144,"Yes","No")),"")</f>
        <v/>
      </c>
      <c r="BB275" t="str">
        <f t="shared" si="106"/>
        <v/>
      </c>
      <c r="BC275" t="str">
        <f>IF(AZ275=1,IF(S275="","",IF(S275=N144,"Yes","No")),"")</f>
        <v/>
      </c>
      <c r="BD275" t="str">
        <f t="shared" si="107"/>
        <v/>
      </c>
      <c r="BE275" t="str">
        <f t="shared" si="108"/>
        <v/>
      </c>
      <c r="BF275" t="str">
        <f t="shared" si="109"/>
        <v>No</v>
      </c>
      <c r="BG275" t="str">
        <f t="shared" si="110"/>
        <v>No</v>
      </c>
      <c r="BH275" t="str">
        <f t="shared" si="111"/>
        <v/>
      </c>
    </row>
    <row r="276" spans="1:60" x14ac:dyDescent="0.3">
      <c r="A276" s="1">
        <v>29</v>
      </c>
      <c r="B276" t="s">
        <v>716</v>
      </c>
      <c r="C276" t="s">
        <v>2185</v>
      </c>
      <c r="D276" t="s">
        <v>320</v>
      </c>
      <c r="E276" t="s">
        <v>2186</v>
      </c>
      <c r="F276" t="s">
        <v>705</v>
      </c>
      <c r="G276" t="s">
        <v>2187</v>
      </c>
      <c r="I276" t="str">
        <f t="shared" si="88"/>
        <v>N/A</v>
      </c>
      <c r="J276">
        <f t="shared" si="89"/>
        <v>800120000</v>
      </c>
      <c r="K276">
        <f t="shared" si="90"/>
        <v>1140000000</v>
      </c>
      <c r="L276">
        <f t="shared" si="91"/>
        <v>1110000000</v>
      </c>
      <c r="M276">
        <f t="shared" si="92"/>
        <v>1130000000</v>
      </c>
      <c r="N276">
        <f t="shared" si="93"/>
        <v>1170000000</v>
      </c>
      <c r="P276">
        <f t="shared" si="94"/>
        <v>1170000000</v>
      </c>
      <c r="Q276">
        <f>IFERROR(J144+MATCH(P276,J276:N276,0)-1,"")</f>
        <v>2016</v>
      </c>
      <c r="R276">
        <f t="shared" si="95"/>
        <v>800120000</v>
      </c>
      <c r="S276">
        <f>IFERROR(J144+MATCH(R276,J276:N276,0)-1,"")</f>
        <v>2012</v>
      </c>
      <c r="T276">
        <f t="shared" si="96"/>
        <v>1070024000</v>
      </c>
      <c r="U276">
        <f t="shared" si="97"/>
        <v>152426385.11753798</v>
      </c>
      <c r="V276">
        <f t="shared" si="98"/>
        <v>-1.7707170565770061</v>
      </c>
      <c r="W276">
        <f t="shared" si="99"/>
        <v>0.45908062404052025</v>
      </c>
      <c r="X276">
        <f t="shared" si="100"/>
        <v>0.26226430528529548</v>
      </c>
      <c r="Y276">
        <f t="shared" si="101"/>
        <v>0.39347518445544533</v>
      </c>
      <c r="Z276">
        <f t="shared" si="102"/>
        <v>0.65589694279574495</v>
      </c>
      <c r="AA276">
        <f t="shared" si="103"/>
        <v>-1.7707170565770061</v>
      </c>
      <c r="AB276">
        <f>IFERROR(V144+MATCH(AA276,V276:Z276,0)-1,"")</f>
        <v>2012</v>
      </c>
      <c r="AC276" t="str">
        <f t="shared" si="104"/>
        <v>Low</v>
      </c>
      <c r="AE276">
        <f>IF(ISNUMBER(MATCH("N/A",J276:N276,0)),"",IFERROR((5 * SUMPRODUCT(J144:N144,J276:N276) - PRODUCT(SUM(J144:N144),SUM(J276:N276))) / ((5 * SUM((J144^2)+(K144^2)+(L144^2)+(M144^2)+(N144^2))) - SUM(J144:N144)^2),""))</f>
        <v>72976000</v>
      </c>
      <c r="AF276">
        <f>IFERROR(CORREL(J144:N144,J276:N276),"")</f>
        <v>0.7569895932075591</v>
      </c>
      <c r="AZ276">
        <f t="shared" si="105"/>
        <v>1</v>
      </c>
      <c r="BA276" t="str">
        <f>IF(AZ276=1,IF(Q276="","",IF(Q276=N144,"Yes","No")),"")</f>
        <v>Yes</v>
      </c>
      <c r="BB276">
        <f t="shared" si="106"/>
        <v>1170000000</v>
      </c>
      <c r="BC276" t="str">
        <f>IF(AZ276=1,IF(S276="","",IF(S276=N144,"Yes","No")),"")</f>
        <v>No</v>
      </c>
      <c r="BD276" t="str">
        <f t="shared" si="107"/>
        <v/>
      </c>
      <c r="BE276" t="str">
        <f t="shared" si="108"/>
        <v>Increasing</v>
      </c>
      <c r="BF276" t="str">
        <f t="shared" si="109"/>
        <v>Yes</v>
      </c>
      <c r="BG276" t="str">
        <f t="shared" si="110"/>
        <v>No</v>
      </c>
      <c r="BH276" t="str">
        <f t="shared" si="111"/>
        <v>No</v>
      </c>
    </row>
    <row r="277" spans="1:60" x14ac:dyDescent="0.3">
      <c r="A277" s="1">
        <v>30</v>
      </c>
      <c r="B277" t="s">
        <v>718</v>
      </c>
      <c r="C277" t="s">
        <v>2188</v>
      </c>
      <c r="D277" t="s">
        <v>2189</v>
      </c>
      <c r="E277" t="s">
        <v>2190</v>
      </c>
      <c r="F277" t="s">
        <v>2191</v>
      </c>
      <c r="G277" t="s">
        <v>2192</v>
      </c>
      <c r="I277" t="str">
        <f t="shared" si="88"/>
        <v>pos_trend</v>
      </c>
      <c r="J277">
        <f t="shared" si="89"/>
        <v>592000</v>
      </c>
      <c r="K277">
        <f t="shared" si="90"/>
        <v>603000</v>
      </c>
      <c r="L277">
        <f t="shared" si="91"/>
        <v>612000</v>
      </c>
      <c r="M277">
        <f t="shared" si="92"/>
        <v>621000</v>
      </c>
      <c r="N277">
        <f t="shared" si="93"/>
        <v>627000</v>
      </c>
      <c r="P277">
        <f t="shared" si="94"/>
        <v>627000</v>
      </c>
      <c r="Q277">
        <f>IFERROR(J144+MATCH(P277,J277:N277,0)-1,"")</f>
        <v>2016</v>
      </c>
      <c r="R277">
        <f t="shared" si="95"/>
        <v>592000</v>
      </c>
      <c r="S277">
        <f>IFERROR(J144+MATCH(R277,J277:N277,0)-1,"")</f>
        <v>2012</v>
      </c>
      <c r="T277">
        <f t="shared" si="96"/>
        <v>611000</v>
      </c>
      <c r="U277">
        <f t="shared" si="97"/>
        <v>13982.131454109563</v>
      </c>
      <c r="V277">
        <f t="shared" si="98"/>
        <v>-1.358877225719088</v>
      </c>
      <c r="W277">
        <f t="shared" si="99"/>
        <v>-0.57215883188172123</v>
      </c>
      <c r="X277">
        <f t="shared" si="100"/>
        <v>7.1519853985215154E-2</v>
      </c>
      <c r="Y277">
        <f t="shared" si="101"/>
        <v>0.71519853985215154</v>
      </c>
      <c r="Z277">
        <f t="shared" si="102"/>
        <v>1.1443176637634425</v>
      </c>
      <c r="AA277">
        <f t="shared" si="103"/>
        <v>-1.358877225719088</v>
      </c>
      <c r="AB277">
        <f>IFERROR(V144+MATCH(AA277,V277:Z277,0)-1,"")</f>
        <v>2012</v>
      </c>
      <c r="AC277" t="str">
        <f t="shared" si="104"/>
        <v>Low</v>
      </c>
      <c r="AE277">
        <f>IF(ISNUMBER(MATCH("N/A",J277:N277,0)),"",IFERROR((5 * SUMPRODUCT(J144:N144,J277:N277) - PRODUCT(SUM(J144:N144),SUM(J277:N277))) / ((5 * SUM((J144^2)+(K144^2)+(L144^2)+(M144^2)+(N144^2))) - SUM(J144:N144)^2),""))</f>
        <v>8800</v>
      </c>
      <c r="AF277">
        <f>IFERROR(CORREL(J144:N144,J277:N277),"")</f>
        <v>0.9951288006701815</v>
      </c>
      <c r="AZ277">
        <f t="shared" si="105"/>
        <v>1</v>
      </c>
      <c r="BA277" t="str">
        <f>IF(AZ277=1,IF(Q277="","",IF(Q277=N144,"Yes","No")),"")</f>
        <v>Yes</v>
      </c>
      <c r="BB277">
        <f t="shared" si="106"/>
        <v>627000</v>
      </c>
      <c r="BC277" t="str">
        <f>IF(AZ277=1,IF(S277="","",IF(S277=N144,"Yes","No")),"")</f>
        <v>No</v>
      </c>
      <c r="BD277" t="str">
        <f t="shared" si="107"/>
        <v/>
      </c>
      <c r="BE277" t="str">
        <f t="shared" si="108"/>
        <v>Increasing</v>
      </c>
      <c r="BF277" t="str">
        <f t="shared" si="109"/>
        <v>Yes</v>
      </c>
      <c r="BG277" t="str">
        <f t="shared" si="110"/>
        <v>Yes</v>
      </c>
      <c r="BH277" t="str">
        <f t="shared" si="111"/>
        <v>Yes</v>
      </c>
    </row>
    <row r="278" spans="1:60" x14ac:dyDescent="0.3">
      <c r="A278" s="1">
        <v>31</v>
      </c>
      <c r="B278" t="s">
        <v>720</v>
      </c>
      <c r="C278" t="s">
        <v>2193</v>
      </c>
      <c r="D278" t="s">
        <v>2194</v>
      </c>
      <c r="E278" t="s">
        <v>2195</v>
      </c>
      <c r="F278" t="s">
        <v>270</v>
      </c>
      <c r="G278" t="s">
        <v>2070</v>
      </c>
      <c r="I278" t="str">
        <f t="shared" si="88"/>
        <v>pos_trend</v>
      </c>
      <c r="J278">
        <f t="shared" si="89"/>
        <v>633450000</v>
      </c>
      <c r="K278">
        <f t="shared" si="90"/>
        <v>881170000</v>
      </c>
      <c r="L278">
        <f t="shared" si="91"/>
        <v>974510000</v>
      </c>
      <c r="M278">
        <f t="shared" si="92"/>
        <v>1070000000.0000001</v>
      </c>
      <c r="N278">
        <f t="shared" si="93"/>
        <v>1180000000</v>
      </c>
      <c r="P278">
        <f t="shared" si="94"/>
        <v>1180000000</v>
      </c>
      <c r="Q278">
        <f>IFERROR(J144+MATCH(P278,J278:N278,0)-1,"")</f>
        <v>2016</v>
      </c>
      <c r="R278">
        <f t="shared" si="95"/>
        <v>633450000</v>
      </c>
      <c r="S278">
        <f>IFERROR(J144+MATCH(R278,J278:N278,0)-1,"")</f>
        <v>2012</v>
      </c>
      <c r="T278">
        <f t="shared" si="96"/>
        <v>947826000</v>
      </c>
      <c r="U278">
        <f t="shared" si="97"/>
        <v>207857270.81341207</v>
      </c>
      <c r="V278">
        <f t="shared" si="98"/>
        <v>-1.512460924603436</v>
      </c>
      <c r="W278">
        <f t="shared" si="99"/>
        <v>-0.32068158953090131</v>
      </c>
      <c r="X278">
        <f t="shared" si="100"/>
        <v>0.12837655327416242</v>
      </c>
      <c r="Y278">
        <f t="shared" si="101"/>
        <v>0.58777833232339738</v>
      </c>
      <c r="Z278">
        <f t="shared" si="102"/>
        <v>1.1169876285367781</v>
      </c>
      <c r="AA278">
        <f t="shared" si="103"/>
        <v>-1.512460924603436</v>
      </c>
      <c r="AB278">
        <f>IFERROR(V144+MATCH(AA278,V278:Z278,0)-1,"")</f>
        <v>2012</v>
      </c>
      <c r="AC278" t="str">
        <f t="shared" si="104"/>
        <v>Low</v>
      </c>
      <c r="AE278">
        <f>IF(ISNUMBER(MATCH("N/A",J278:N278,0)),"",IFERROR((5 * SUMPRODUCT(J144:N144,J278:N278) - PRODUCT(SUM(J144:N144),SUM(J278:N278))) / ((5 * SUM((J144^2)+(K144^2)+(L144^2)+(M144^2)+(N144^2))) - SUM(J144:N144)^2),""))</f>
        <v>128193000</v>
      </c>
      <c r="AF278">
        <f>IFERROR(CORREL(J144:N144,J278:N278),"")</f>
        <v>0.97514476761764579</v>
      </c>
      <c r="AZ278">
        <f t="shared" si="105"/>
        <v>1</v>
      </c>
      <c r="BA278" t="str">
        <f>IF(AZ278=1,IF(Q278="","",IF(Q278=N144,"Yes","No")),"")</f>
        <v>Yes</v>
      </c>
      <c r="BB278">
        <f t="shared" si="106"/>
        <v>1180000000</v>
      </c>
      <c r="BC278" t="str">
        <f>IF(AZ278=1,IF(S278="","",IF(S278=N144,"Yes","No")),"")</f>
        <v>No</v>
      </c>
      <c r="BD278" t="str">
        <f t="shared" si="107"/>
        <v/>
      </c>
      <c r="BE278" t="str">
        <f t="shared" si="108"/>
        <v>Increasing</v>
      </c>
      <c r="BF278" t="str">
        <f t="shared" si="109"/>
        <v>Yes</v>
      </c>
      <c r="BG278" t="str">
        <f t="shared" si="110"/>
        <v>Yes</v>
      </c>
      <c r="BH278" t="str">
        <f t="shared" si="111"/>
        <v>Yes</v>
      </c>
    </row>
    <row r="279" spans="1:60" x14ac:dyDescent="0.3">
      <c r="A279" s="1">
        <v>32</v>
      </c>
      <c r="B279" t="s">
        <v>724</v>
      </c>
      <c r="C279" t="s">
        <v>264</v>
      </c>
      <c r="D279" t="s">
        <v>264</v>
      </c>
      <c r="E279" t="s">
        <v>264</v>
      </c>
      <c r="F279" t="s">
        <v>264</v>
      </c>
      <c r="G279" t="s">
        <v>264</v>
      </c>
      <c r="I279" t="str">
        <f t="shared" si="88"/>
        <v>N/A</v>
      </c>
      <c r="J279" t="str">
        <f t="shared" si="89"/>
        <v>N/A</v>
      </c>
      <c r="K279" t="str">
        <f t="shared" si="90"/>
        <v>N/A</v>
      </c>
      <c r="L279" t="str">
        <f t="shared" si="91"/>
        <v>N/A</v>
      </c>
      <c r="M279" t="str">
        <f t="shared" si="92"/>
        <v>N/A</v>
      </c>
      <c r="N279" t="str">
        <f t="shared" si="93"/>
        <v>N/A</v>
      </c>
      <c r="P279">
        <f t="shared" si="94"/>
        <v>0</v>
      </c>
      <c r="Q279" t="str">
        <f>IFERROR(J144+MATCH(P279,J279:N279,0)-1,"")</f>
        <v/>
      </c>
      <c r="R279" t="str">
        <f t="shared" si="95"/>
        <v/>
      </c>
      <c r="S279" t="str">
        <f>IFERROR(J144+MATCH(R279,J279:N279,0)-1,"")</f>
        <v/>
      </c>
      <c r="T279" t="str">
        <f t="shared" si="96"/>
        <v/>
      </c>
      <c r="U279" t="str">
        <f t="shared" si="97"/>
        <v/>
      </c>
      <c r="V279" t="str">
        <f t="shared" si="98"/>
        <v/>
      </c>
      <c r="W279" t="str">
        <f t="shared" si="99"/>
        <v/>
      </c>
      <c r="X279" t="str">
        <f t="shared" si="100"/>
        <v/>
      </c>
      <c r="Y279" t="str">
        <f t="shared" si="101"/>
        <v/>
      </c>
      <c r="Z279" t="str">
        <f t="shared" si="102"/>
        <v/>
      </c>
      <c r="AA279">
        <f t="shared" si="103"/>
        <v>0</v>
      </c>
      <c r="AB279" t="str">
        <f>IFERROR(V144+MATCH(AA279,V279:Z279,0)-1,"")</f>
        <v/>
      </c>
      <c r="AC279" t="str">
        <f t="shared" si="104"/>
        <v/>
      </c>
      <c r="AE279" t="str">
        <f>IF(ISNUMBER(MATCH("N/A",J279:N279,0)),"",IFERROR((5 * SUMPRODUCT(J144:N144,J279:N279) - PRODUCT(SUM(J144:N144),SUM(J279:N279))) / ((5 * SUM((J144^2)+(K144^2)+(L144^2)+(M144^2)+(N144^2))) - SUM(J144:N144)^2),""))</f>
        <v/>
      </c>
      <c r="AF279" t="str">
        <f>IFERROR(CORREL(J144:N144,J279:N279),"")</f>
        <v/>
      </c>
      <c r="AZ279">
        <f t="shared" si="105"/>
        <v>0</v>
      </c>
      <c r="BA279" t="str">
        <f>IF(AZ279=1,IF(Q279="","",IF(Q279=N144,"Yes","No")),"")</f>
        <v/>
      </c>
      <c r="BB279" t="str">
        <f t="shared" si="106"/>
        <v/>
      </c>
      <c r="BC279" t="str">
        <f>IF(AZ279=1,IF(S279="","",IF(S279=N144,"Yes","No")),"")</f>
        <v/>
      </c>
      <c r="BD279" t="str">
        <f t="shared" si="107"/>
        <v/>
      </c>
      <c r="BE279" t="str">
        <f t="shared" si="108"/>
        <v/>
      </c>
      <c r="BF279" t="str">
        <f t="shared" si="109"/>
        <v>No</v>
      </c>
      <c r="BG279" t="str">
        <f t="shared" si="110"/>
        <v>No</v>
      </c>
      <c r="BH279" t="str">
        <f t="shared" si="111"/>
        <v/>
      </c>
    </row>
    <row r="280" spans="1:60" x14ac:dyDescent="0.3">
      <c r="A280" s="1">
        <v>33</v>
      </c>
      <c r="B280" t="s">
        <v>725</v>
      </c>
      <c r="C280" t="s">
        <v>264</v>
      </c>
      <c r="D280" t="s">
        <v>2196</v>
      </c>
      <c r="E280" t="s">
        <v>2197</v>
      </c>
      <c r="F280" t="s">
        <v>2198</v>
      </c>
      <c r="G280" t="s">
        <v>2199</v>
      </c>
      <c r="I280" t="str">
        <f t="shared" si="88"/>
        <v>neg_trend</v>
      </c>
      <c r="J280" t="str">
        <f t="shared" si="89"/>
        <v>N/A</v>
      </c>
      <c r="K280">
        <f t="shared" si="90"/>
        <v>99740000</v>
      </c>
      <c r="L280">
        <f t="shared" si="91"/>
        <v>16570000</v>
      </c>
      <c r="M280">
        <f t="shared" si="92"/>
        <v>-37660000</v>
      </c>
      <c r="N280">
        <f t="shared" si="93"/>
        <v>-86030000</v>
      </c>
      <c r="P280">
        <f t="shared" si="94"/>
        <v>99740000</v>
      </c>
      <c r="Q280">
        <f>IFERROR(J144+MATCH(P280,J280:N280,0)-1,"")</f>
        <v>2013</v>
      </c>
      <c r="R280">
        <f t="shared" si="95"/>
        <v>-86030000</v>
      </c>
      <c r="S280">
        <f>IFERROR(J144+MATCH(R280,J280:N280,0)-1,"")</f>
        <v>2016</v>
      </c>
      <c r="T280">
        <f t="shared" si="96"/>
        <v>-1845000</v>
      </c>
      <c r="U280">
        <f t="shared" si="97"/>
        <v>79641808.325359702</v>
      </c>
      <c r="V280" t="str">
        <f t="shared" si="98"/>
        <v/>
      </c>
      <c r="W280">
        <f t="shared" si="99"/>
        <v>1.2755235238380833</v>
      </c>
      <c r="X280">
        <f t="shared" si="100"/>
        <v>0.23122277591650639</v>
      </c>
      <c r="Y280">
        <f t="shared" si="101"/>
        <v>-0.4497009893809219</v>
      </c>
      <c r="Z280">
        <f t="shared" si="102"/>
        <v>-1.0570453103736677</v>
      </c>
      <c r="AA280">
        <f t="shared" si="103"/>
        <v>1.2755235238380833</v>
      </c>
      <c r="AB280">
        <f>IFERROR(V144+MATCH(AA280,V280:Z280,0)-1,"")</f>
        <v>2013</v>
      </c>
      <c r="AC280" t="str">
        <f t="shared" si="104"/>
        <v>High</v>
      </c>
      <c r="AE280" t="str">
        <f>IF(ISNUMBER(MATCH("N/A",J280:N280,0)),"",IFERROR((5 * SUMPRODUCT(J144:N144,J280:N280) - PRODUCT(SUM(J144:N144),SUM(J280:N280))) / ((5 * SUM((J144^2)+(K144^2)+(L144^2)+(M144^2)+(N144^2))) - SUM(J144:N144)^2),""))</f>
        <v/>
      </c>
      <c r="AF280">
        <f>IFERROR(CORREL(J144:N144,J280:N280),"")</f>
        <v>-0.99130690497958218</v>
      </c>
      <c r="AZ280">
        <f t="shared" si="105"/>
        <v>1</v>
      </c>
      <c r="BA280" t="str">
        <f>IF(AZ280=1,IF(Q280="","",IF(Q280=N144,"Yes","No")),"")</f>
        <v>No</v>
      </c>
      <c r="BB280" t="str">
        <f t="shared" si="106"/>
        <v/>
      </c>
      <c r="BC280" t="str">
        <f>IF(AZ280=1,IF(S280="","",IF(S280=N144,"Yes","No")),"")</f>
        <v>Yes</v>
      </c>
      <c r="BD280">
        <f t="shared" si="107"/>
        <v>-86030000</v>
      </c>
      <c r="BE280" t="str">
        <f t="shared" si="108"/>
        <v/>
      </c>
      <c r="BF280" t="str">
        <f t="shared" si="109"/>
        <v>No</v>
      </c>
      <c r="BG280" t="str">
        <f t="shared" si="110"/>
        <v>No</v>
      </c>
      <c r="BH280" t="str">
        <f t="shared" si="111"/>
        <v>Yes</v>
      </c>
    </row>
    <row r="281" spans="1:60" x14ac:dyDescent="0.3">
      <c r="A281" s="1">
        <v>34</v>
      </c>
      <c r="B281" t="s">
        <v>731</v>
      </c>
      <c r="C281" t="s">
        <v>264</v>
      </c>
      <c r="D281" t="s">
        <v>264</v>
      </c>
      <c r="E281" t="s">
        <v>264</v>
      </c>
      <c r="F281" t="s">
        <v>264</v>
      </c>
      <c r="G281" t="s">
        <v>264</v>
      </c>
      <c r="I281" t="str">
        <f t="shared" si="88"/>
        <v>N/A</v>
      </c>
      <c r="J281" t="str">
        <f t="shared" si="89"/>
        <v>N/A</v>
      </c>
      <c r="K281" t="str">
        <f t="shared" si="90"/>
        <v>N/A</v>
      </c>
      <c r="L281" t="str">
        <f t="shared" si="91"/>
        <v>N/A</v>
      </c>
      <c r="M281" t="str">
        <f t="shared" si="92"/>
        <v>N/A</v>
      </c>
      <c r="N281" t="str">
        <f t="shared" si="93"/>
        <v>N/A</v>
      </c>
      <c r="P281">
        <f t="shared" si="94"/>
        <v>0</v>
      </c>
      <c r="Q281" t="str">
        <f>IFERROR(J144+MATCH(P281,J281:N281,0)-1,"")</f>
        <v/>
      </c>
      <c r="R281" t="str">
        <f t="shared" si="95"/>
        <v/>
      </c>
      <c r="S281" t="str">
        <f>IFERROR(J144+MATCH(R281,J281:N281,0)-1,"")</f>
        <v/>
      </c>
      <c r="T281" t="str">
        <f t="shared" si="96"/>
        <v/>
      </c>
      <c r="U281" t="str">
        <f t="shared" si="97"/>
        <v/>
      </c>
      <c r="V281" t="str">
        <f t="shared" si="98"/>
        <v/>
      </c>
      <c r="W281" t="str">
        <f t="shared" si="99"/>
        <v/>
      </c>
      <c r="X281" t="str">
        <f t="shared" si="100"/>
        <v/>
      </c>
      <c r="Y281" t="str">
        <f t="shared" si="101"/>
        <v/>
      </c>
      <c r="Z281" t="str">
        <f t="shared" si="102"/>
        <v/>
      </c>
      <c r="AA281">
        <f t="shared" si="103"/>
        <v>0</v>
      </c>
      <c r="AB281" t="str">
        <f>IFERROR(V144+MATCH(AA281,V281:Z281,0)-1,"")</f>
        <v/>
      </c>
      <c r="AC281" t="str">
        <f t="shared" si="104"/>
        <v/>
      </c>
      <c r="AE281" t="str">
        <f>IF(ISNUMBER(MATCH("N/A",J281:N281,0)),"",IFERROR((5 * SUMPRODUCT(J144:N144,J281:N281) - PRODUCT(SUM(J144:N144),SUM(J281:N281))) / ((5 * SUM((J144^2)+(K144^2)+(L144^2)+(M144^2)+(N144^2))) - SUM(J144:N144)^2),""))</f>
        <v/>
      </c>
      <c r="AF281" t="str">
        <f>IFERROR(CORREL(J144:N144,J281:N281),"")</f>
        <v/>
      </c>
      <c r="AZ281">
        <f t="shared" si="105"/>
        <v>0</v>
      </c>
      <c r="BA281" t="str">
        <f>IF(AZ281=1,IF(Q281="","",IF(Q281=N144,"Yes","No")),"")</f>
        <v/>
      </c>
      <c r="BB281" t="str">
        <f t="shared" si="106"/>
        <v/>
      </c>
      <c r="BC281" t="str">
        <f>IF(AZ281=1,IF(S281="","",IF(S281=N144,"Yes","No")),"")</f>
        <v/>
      </c>
      <c r="BD281" t="str">
        <f t="shared" si="107"/>
        <v/>
      </c>
      <c r="BE281" t="str">
        <f t="shared" si="108"/>
        <v/>
      </c>
      <c r="BF281" t="str">
        <f t="shared" si="109"/>
        <v>No</v>
      </c>
      <c r="BG281" t="str">
        <f t="shared" si="110"/>
        <v>No</v>
      </c>
      <c r="BH281" t="str">
        <f t="shared" si="111"/>
        <v/>
      </c>
    </row>
    <row r="282" spans="1:60" x14ac:dyDescent="0.3">
      <c r="A282" s="1">
        <v>35</v>
      </c>
      <c r="B282" t="s">
        <v>732</v>
      </c>
      <c r="C282" t="s">
        <v>264</v>
      </c>
      <c r="D282" t="s">
        <v>264</v>
      </c>
      <c r="E282" t="s">
        <v>264</v>
      </c>
      <c r="F282" t="s">
        <v>264</v>
      </c>
      <c r="G282" t="s">
        <v>264</v>
      </c>
      <c r="I282" t="str">
        <f t="shared" si="88"/>
        <v>N/A</v>
      </c>
      <c r="J282" t="str">
        <f t="shared" si="89"/>
        <v>N/A</v>
      </c>
      <c r="K282" t="str">
        <f t="shared" si="90"/>
        <v>N/A</v>
      </c>
      <c r="L282" t="str">
        <f t="shared" si="91"/>
        <v>N/A</v>
      </c>
      <c r="M282" t="str">
        <f t="shared" si="92"/>
        <v>N/A</v>
      </c>
      <c r="N282" t="str">
        <f t="shared" si="93"/>
        <v>N/A</v>
      </c>
      <c r="P282">
        <f t="shared" si="94"/>
        <v>0</v>
      </c>
      <c r="Q282" t="str">
        <f>IFERROR(J144+MATCH(P282,J282:N282,0)-1,"")</f>
        <v/>
      </c>
      <c r="R282" t="str">
        <f t="shared" si="95"/>
        <v/>
      </c>
      <c r="S282" t="str">
        <f>IFERROR(J144+MATCH(R282,J282:N282,0)-1,"")</f>
        <v/>
      </c>
      <c r="T282" t="str">
        <f t="shared" si="96"/>
        <v/>
      </c>
      <c r="U282" t="str">
        <f t="shared" si="97"/>
        <v/>
      </c>
      <c r="V282" t="str">
        <f t="shared" si="98"/>
        <v/>
      </c>
      <c r="W282" t="str">
        <f t="shared" si="99"/>
        <v/>
      </c>
      <c r="X282" t="str">
        <f t="shared" si="100"/>
        <v/>
      </c>
      <c r="Y282" t="str">
        <f t="shared" si="101"/>
        <v/>
      </c>
      <c r="Z282" t="str">
        <f t="shared" si="102"/>
        <v/>
      </c>
      <c r="AA282">
        <f t="shared" si="103"/>
        <v>0</v>
      </c>
      <c r="AB282" t="str">
        <f>IFERROR(V144+MATCH(AA282,V282:Z282,0)-1,"")</f>
        <v/>
      </c>
      <c r="AC282" t="str">
        <f t="shared" si="104"/>
        <v/>
      </c>
      <c r="AE282" t="str">
        <f>IF(ISNUMBER(MATCH("N/A",J282:N282,0)),"",IFERROR((5 * SUMPRODUCT(J144:N144,J282:N282) - PRODUCT(SUM(J144:N144),SUM(J282:N282))) / ((5 * SUM((J144^2)+(K144^2)+(L144^2)+(M144^2)+(N144^2))) - SUM(J144:N144)^2),""))</f>
        <v/>
      </c>
      <c r="AF282" t="str">
        <f>IFERROR(CORREL(J144:N144,J282:N282),"")</f>
        <v/>
      </c>
      <c r="AZ282">
        <f t="shared" si="105"/>
        <v>0</v>
      </c>
      <c r="BA282" t="str">
        <f>IF(AZ282=1,IF(Q282="","",IF(Q282=N144,"Yes","No")),"")</f>
        <v/>
      </c>
      <c r="BB282" t="str">
        <f t="shared" si="106"/>
        <v/>
      </c>
      <c r="BC282" t="str">
        <f>IF(AZ282=1,IF(S282="","",IF(S282=N144,"Yes","No")),"")</f>
        <v/>
      </c>
      <c r="BD282" t="str">
        <f t="shared" si="107"/>
        <v/>
      </c>
      <c r="BE282" t="str">
        <f t="shared" si="108"/>
        <v/>
      </c>
      <c r="BF282" t="str">
        <f t="shared" si="109"/>
        <v>No</v>
      </c>
      <c r="BG282" t="str">
        <f t="shared" si="110"/>
        <v>No</v>
      </c>
      <c r="BH282" t="str">
        <f t="shared" si="111"/>
        <v/>
      </c>
    </row>
    <row r="283" spans="1:60" x14ac:dyDescent="0.3">
      <c r="A283" s="1">
        <v>36</v>
      </c>
      <c r="B283" t="s">
        <v>733</v>
      </c>
      <c r="C283" t="s">
        <v>2200</v>
      </c>
      <c r="D283" t="s">
        <v>2201</v>
      </c>
      <c r="E283" t="s">
        <v>2202</v>
      </c>
      <c r="F283" t="s">
        <v>2203</v>
      </c>
      <c r="G283" t="s">
        <v>2204</v>
      </c>
      <c r="I283" t="str">
        <f t="shared" si="88"/>
        <v>neg_trend</v>
      </c>
      <c r="J283">
        <f t="shared" si="89"/>
        <v>-99760000</v>
      </c>
      <c r="K283">
        <f t="shared" si="90"/>
        <v>-156650000</v>
      </c>
      <c r="L283">
        <f t="shared" si="91"/>
        <v>-169410000</v>
      </c>
      <c r="M283">
        <f t="shared" si="92"/>
        <v>-226420000</v>
      </c>
      <c r="N283">
        <f t="shared" si="93"/>
        <v>-251830000</v>
      </c>
      <c r="P283">
        <f t="shared" si="94"/>
        <v>-99760000</v>
      </c>
      <c r="Q283">
        <f>IFERROR(J144+MATCH(P283,J283:N283,0)-1,"")</f>
        <v>2012</v>
      </c>
      <c r="R283">
        <f t="shared" si="95"/>
        <v>-251830000</v>
      </c>
      <c r="S283">
        <f>IFERROR(J144+MATCH(R283,J283:N283,0)-1,"")</f>
        <v>2016</v>
      </c>
      <c r="T283">
        <f t="shared" si="96"/>
        <v>-180814000</v>
      </c>
      <c r="U283">
        <f t="shared" si="97"/>
        <v>60014332.704779781</v>
      </c>
      <c r="V283">
        <f t="shared" si="98"/>
        <v>1.3505773762197399</v>
      </c>
      <c r="W283">
        <f t="shared" si="99"/>
        <v>0.40263715200944794</v>
      </c>
      <c r="X283">
        <f t="shared" si="100"/>
        <v>0.19002127468613411</v>
      </c>
      <c r="Y283">
        <f t="shared" si="101"/>
        <v>-0.75991847188143036</v>
      </c>
      <c r="Z283">
        <f t="shared" si="102"/>
        <v>-1.1833173310338916</v>
      </c>
      <c r="AA283">
        <f t="shared" si="103"/>
        <v>1.3505773762197399</v>
      </c>
      <c r="AB283">
        <f>IFERROR(V144+MATCH(AA283,V283:Z283,0)-1,"")</f>
        <v>2012</v>
      </c>
      <c r="AC283" t="str">
        <f t="shared" si="104"/>
        <v>High</v>
      </c>
      <c r="AE283">
        <f>IF(ISNUMBER(MATCH("N/A",J283:N283,0)),"",IFERROR((5 * SUMPRODUCT(J144:N144,J283:N283) - PRODUCT(SUM(J144:N144),SUM(J283:N283))) / ((5 * SUM((J144^2)+(K144^2)+(L144^2)+(M144^2)+(N144^2))) - SUM(J144:N144)^2),""))</f>
        <v>-37391000</v>
      </c>
      <c r="AF283">
        <f>IFERROR(CORREL(J144:N144,J283:N283),"")</f>
        <v>-0.98510404650336714</v>
      </c>
      <c r="AZ283">
        <f t="shared" si="105"/>
        <v>1</v>
      </c>
      <c r="BA283" t="str">
        <f>IF(AZ283=1,IF(Q283="","",IF(Q283=N144,"Yes","No")),"")</f>
        <v>No</v>
      </c>
      <c r="BB283" t="str">
        <f t="shared" si="106"/>
        <v/>
      </c>
      <c r="BC283" t="str">
        <f>IF(AZ283=1,IF(S283="","",IF(S283=N144,"Yes","No")),"")</f>
        <v>Yes</v>
      </c>
      <c r="BD283">
        <f t="shared" si="107"/>
        <v>-251830000</v>
      </c>
      <c r="BE283" t="str">
        <f t="shared" si="108"/>
        <v>Decreasing</v>
      </c>
      <c r="BF283" t="str">
        <f t="shared" si="109"/>
        <v>Yes</v>
      </c>
      <c r="BG283" t="str">
        <f t="shared" si="110"/>
        <v>No</v>
      </c>
      <c r="BH283" t="str">
        <f t="shared" si="111"/>
        <v>Yes</v>
      </c>
    </row>
    <row r="284" spans="1:60" x14ac:dyDescent="0.3">
      <c r="A284" s="1">
        <v>37</v>
      </c>
      <c r="B284" t="s">
        <v>739</v>
      </c>
      <c r="C284" t="s">
        <v>2205</v>
      </c>
      <c r="D284" t="s">
        <v>1529</v>
      </c>
      <c r="E284" t="s">
        <v>2206</v>
      </c>
      <c r="F284" t="s">
        <v>2207</v>
      </c>
      <c r="G284" t="s">
        <v>2208</v>
      </c>
      <c r="I284" t="str">
        <f t="shared" si="88"/>
        <v>N/A</v>
      </c>
      <c r="J284">
        <f t="shared" si="89"/>
        <v>0.42820000000000003</v>
      </c>
      <c r="K284">
        <f t="shared" si="90"/>
        <v>0.53749999999999998</v>
      </c>
      <c r="L284">
        <f t="shared" si="91"/>
        <v>0.53610000000000002</v>
      </c>
      <c r="M284">
        <f t="shared" si="92"/>
        <v>0.54700000000000004</v>
      </c>
      <c r="N284">
        <f t="shared" si="93"/>
        <v>0.54659999999999997</v>
      </c>
      <c r="P284">
        <f t="shared" si="94"/>
        <v>0.54700000000000004</v>
      </c>
      <c r="Q284">
        <f>IFERROR(J144+MATCH(P284,J284:N284,0)-1,"")</f>
        <v>2015</v>
      </c>
      <c r="R284">
        <f t="shared" si="95"/>
        <v>0.42820000000000003</v>
      </c>
      <c r="S284">
        <f>IFERROR(J144+MATCH(R284,J284:N284,0)-1,"")</f>
        <v>2012</v>
      </c>
      <c r="T284">
        <f t="shared" si="96"/>
        <v>0.51907999999999999</v>
      </c>
      <c r="U284">
        <f t="shared" si="97"/>
        <v>5.105151319990426E-2</v>
      </c>
      <c r="V284">
        <f t="shared" si="98"/>
        <v>-1.7801627082852147</v>
      </c>
      <c r="W284">
        <f t="shared" si="99"/>
        <v>0.36081202780164673</v>
      </c>
      <c r="X284">
        <f t="shared" si="100"/>
        <v>0.33338874664408485</v>
      </c>
      <c r="Y284">
        <f t="shared" si="101"/>
        <v>0.54689857851368084</v>
      </c>
      <c r="Z284">
        <f t="shared" si="102"/>
        <v>0.53906335532580452</v>
      </c>
      <c r="AA284">
        <f t="shared" si="103"/>
        <v>-1.7801627082852147</v>
      </c>
      <c r="AB284">
        <f>IFERROR(V144+MATCH(AA284,V284:Z284,0)-1,"")</f>
        <v>2012</v>
      </c>
      <c r="AC284" t="str">
        <f t="shared" si="104"/>
        <v>Low</v>
      </c>
      <c r="AE284">
        <f>IF(ISNUMBER(MATCH("N/A",J284:N284,0)),"",IFERROR((5 * SUMPRODUCT(J144:N144,J284:N284) - PRODUCT(SUM(J144:N144),SUM(J284:N284))) / ((5 * SUM((J144^2)+(K144^2)+(L144^2)+(M144^2)+(N144^2))) - SUM(J144:N144)^2),""))</f>
        <v>2.4630000000106522E-2</v>
      </c>
      <c r="AF284">
        <f>IFERROR(CORREL(J144:N144,J284:N284),"")</f>
        <v>0.76282654409246031</v>
      </c>
      <c r="AZ284">
        <f t="shared" si="105"/>
        <v>1</v>
      </c>
      <c r="BA284" t="str">
        <f>IF(AZ284=1,IF(Q284="","",IF(Q284=N144,"Yes","No")),"")</f>
        <v>No</v>
      </c>
      <c r="BB284" t="str">
        <f t="shared" si="106"/>
        <v/>
      </c>
      <c r="BC284" t="str">
        <f>IF(AZ284=1,IF(S284="","",IF(S284=N144,"Yes","No")),"")</f>
        <v>No</v>
      </c>
      <c r="BD284" t="str">
        <f t="shared" si="107"/>
        <v/>
      </c>
      <c r="BE284" t="str">
        <f t="shared" si="108"/>
        <v>Increasing</v>
      </c>
      <c r="BF284" t="str">
        <f t="shared" si="109"/>
        <v>No</v>
      </c>
      <c r="BG284" t="str">
        <f t="shared" si="110"/>
        <v>No</v>
      </c>
      <c r="BH284" t="str">
        <f t="shared" si="111"/>
        <v>No</v>
      </c>
    </row>
    <row r="285" spans="1:60" x14ac:dyDescent="0.3">
      <c r="A285" s="1">
        <v>38</v>
      </c>
      <c r="B285" t="s">
        <v>745</v>
      </c>
      <c r="C285" t="s">
        <v>2185</v>
      </c>
      <c r="D285" t="s">
        <v>320</v>
      </c>
      <c r="E285" t="s">
        <v>2186</v>
      </c>
      <c r="F285" t="s">
        <v>705</v>
      </c>
      <c r="G285" t="s">
        <v>2187</v>
      </c>
      <c r="I285" t="str">
        <f t="shared" si="88"/>
        <v>N/A</v>
      </c>
      <c r="J285">
        <f t="shared" si="89"/>
        <v>800120000</v>
      </c>
      <c r="K285">
        <f t="shared" si="90"/>
        <v>1140000000</v>
      </c>
      <c r="L285">
        <f t="shared" si="91"/>
        <v>1110000000</v>
      </c>
      <c r="M285">
        <f t="shared" si="92"/>
        <v>1130000000</v>
      </c>
      <c r="N285">
        <f t="shared" si="93"/>
        <v>1170000000</v>
      </c>
      <c r="P285">
        <f t="shared" si="94"/>
        <v>1170000000</v>
      </c>
      <c r="Q285">
        <f>IFERROR(J144+MATCH(P285,J285:N285,0)-1,"")</f>
        <v>2016</v>
      </c>
      <c r="R285">
        <f t="shared" si="95"/>
        <v>800120000</v>
      </c>
      <c r="S285">
        <f>IFERROR(J144+MATCH(R285,J285:N285,0)-1,"")</f>
        <v>2012</v>
      </c>
      <c r="T285">
        <f t="shared" si="96"/>
        <v>1070024000</v>
      </c>
      <c r="U285">
        <f t="shared" si="97"/>
        <v>152426385.11753798</v>
      </c>
      <c r="V285">
        <f t="shared" si="98"/>
        <v>-1.7707170565770061</v>
      </c>
      <c r="W285">
        <f t="shared" si="99"/>
        <v>0.45908062404052025</v>
      </c>
      <c r="X285">
        <f t="shared" si="100"/>
        <v>0.26226430528529548</v>
      </c>
      <c r="Y285">
        <f t="shared" si="101"/>
        <v>0.39347518445544533</v>
      </c>
      <c r="Z285">
        <f t="shared" si="102"/>
        <v>0.65589694279574495</v>
      </c>
      <c r="AA285">
        <f t="shared" si="103"/>
        <v>-1.7707170565770061</v>
      </c>
      <c r="AB285">
        <f>IFERROR(V144+MATCH(AA285,V285:Z285,0)-1,"")</f>
        <v>2012</v>
      </c>
      <c r="AC285" t="str">
        <f t="shared" si="104"/>
        <v>Low</v>
      </c>
      <c r="AE285">
        <f>IF(ISNUMBER(MATCH("N/A",J285:N285,0)),"",IFERROR((5 * SUMPRODUCT(J144:N144,J285:N285) - PRODUCT(SUM(J144:N144),SUM(J285:N285))) / ((5 * SUM((J144^2)+(K144^2)+(L144^2)+(M144^2)+(N144^2))) - SUM(J144:N144)^2),""))</f>
        <v>72976000</v>
      </c>
      <c r="AF285">
        <f>IFERROR(CORREL(J144:N144,J285:N285),"")</f>
        <v>0.7569895932075591</v>
      </c>
      <c r="AZ285">
        <f t="shared" si="105"/>
        <v>1</v>
      </c>
      <c r="BA285" t="str">
        <f>IF(AZ285=1,IF(Q285="","",IF(Q285=N144,"Yes","No")),"")</f>
        <v>Yes</v>
      </c>
      <c r="BB285">
        <f t="shared" si="106"/>
        <v>1170000000</v>
      </c>
      <c r="BC285" t="str">
        <f>IF(AZ285=1,IF(S285="","",IF(S285=N144,"Yes","No")),"")</f>
        <v>No</v>
      </c>
      <c r="BD285" t="str">
        <f t="shared" si="107"/>
        <v/>
      </c>
      <c r="BE285" t="str">
        <f t="shared" si="108"/>
        <v>Increasing</v>
      </c>
      <c r="BF285" t="str">
        <f t="shared" si="109"/>
        <v>Yes</v>
      </c>
      <c r="BG285" t="str">
        <f t="shared" si="110"/>
        <v>No</v>
      </c>
      <c r="BH285" t="str">
        <f t="shared" si="111"/>
        <v>No</v>
      </c>
    </row>
    <row r="286" spans="1:60" x14ac:dyDescent="0.3">
      <c r="A286" s="1">
        <v>39</v>
      </c>
      <c r="B286" t="s">
        <v>746</v>
      </c>
      <c r="C286" t="s">
        <v>2205</v>
      </c>
      <c r="D286" t="s">
        <v>1529</v>
      </c>
      <c r="E286" t="s">
        <v>2206</v>
      </c>
      <c r="F286" t="s">
        <v>2207</v>
      </c>
      <c r="G286" t="s">
        <v>2208</v>
      </c>
      <c r="I286" t="str">
        <f t="shared" si="88"/>
        <v>N/A</v>
      </c>
      <c r="J286">
        <f t="shared" si="89"/>
        <v>0.42820000000000003</v>
      </c>
      <c r="K286">
        <f t="shared" si="90"/>
        <v>0.53749999999999998</v>
      </c>
      <c r="L286">
        <f t="shared" si="91"/>
        <v>0.53610000000000002</v>
      </c>
      <c r="M286">
        <f t="shared" si="92"/>
        <v>0.54700000000000004</v>
      </c>
      <c r="N286">
        <f t="shared" si="93"/>
        <v>0.54659999999999997</v>
      </c>
      <c r="P286">
        <f t="shared" si="94"/>
        <v>0.54700000000000004</v>
      </c>
      <c r="Q286">
        <f>IFERROR(J144+MATCH(P286,J286:N286,0)-1,"")</f>
        <v>2015</v>
      </c>
      <c r="R286">
        <f t="shared" si="95"/>
        <v>0.42820000000000003</v>
      </c>
      <c r="S286">
        <f>IFERROR(J144+MATCH(R286,J286:N286,0)-1,"")</f>
        <v>2012</v>
      </c>
      <c r="T286">
        <f t="shared" si="96"/>
        <v>0.51907999999999999</v>
      </c>
      <c r="U286">
        <f t="shared" si="97"/>
        <v>5.105151319990426E-2</v>
      </c>
      <c r="V286">
        <f t="shared" si="98"/>
        <v>-1.7801627082852147</v>
      </c>
      <c r="W286">
        <f t="shared" si="99"/>
        <v>0.36081202780164673</v>
      </c>
      <c r="X286">
        <f t="shared" si="100"/>
        <v>0.33338874664408485</v>
      </c>
      <c r="Y286">
        <f t="shared" si="101"/>
        <v>0.54689857851368084</v>
      </c>
      <c r="Z286">
        <f t="shared" si="102"/>
        <v>0.53906335532580452</v>
      </c>
      <c r="AA286">
        <f t="shared" si="103"/>
        <v>-1.7801627082852147</v>
      </c>
      <c r="AB286">
        <f>IFERROR(V144+MATCH(AA286,V286:Z286,0)-1,"")</f>
        <v>2012</v>
      </c>
      <c r="AC286" t="str">
        <f t="shared" si="104"/>
        <v>Low</v>
      </c>
      <c r="AE286">
        <f>IF(ISNUMBER(MATCH("N/A",J286:N286,0)),"",IFERROR((5 * SUMPRODUCT(J144:N144,J286:N286) - PRODUCT(SUM(J144:N144),SUM(J286:N286))) / ((5 * SUM((J144^2)+(K144^2)+(L144^2)+(M144^2)+(N144^2))) - SUM(J144:N144)^2),""))</f>
        <v>2.4630000000106522E-2</v>
      </c>
      <c r="AF286">
        <f>IFERROR(CORREL(J144:N144,J286:N286),"")</f>
        <v>0.76282654409246031</v>
      </c>
      <c r="AZ286">
        <f t="shared" si="105"/>
        <v>1</v>
      </c>
      <c r="BA286" t="str">
        <f>IF(AZ286=1,IF(Q286="","",IF(Q286=N144,"Yes","No")),"")</f>
        <v>No</v>
      </c>
      <c r="BB286" t="str">
        <f t="shared" si="106"/>
        <v/>
      </c>
      <c r="BC286" t="str">
        <f>IF(AZ286=1,IF(S286="","",IF(S286=N144,"Yes","No")),"")</f>
        <v>No</v>
      </c>
      <c r="BD286" t="str">
        <f t="shared" si="107"/>
        <v/>
      </c>
      <c r="BE286" t="str">
        <f t="shared" si="108"/>
        <v>Increasing</v>
      </c>
      <c r="BF286" t="str">
        <f t="shared" si="109"/>
        <v>No</v>
      </c>
      <c r="BG286" t="str">
        <f t="shared" si="110"/>
        <v>No</v>
      </c>
      <c r="BH286" t="str">
        <f t="shared" si="111"/>
        <v>No</v>
      </c>
    </row>
    <row r="287" spans="1:60" x14ac:dyDescent="0.3">
      <c r="A287" s="1">
        <v>40</v>
      </c>
      <c r="B287" t="s">
        <v>747</v>
      </c>
      <c r="C287" t="s">
        <v>264</v>
      </c>
      <c r="D287" t="s">
        <v>264</v>
      </c>
      <c r="E287" t="s">
        <v>264</v>
      </c>
      <c r="F287" t="s">
        <v>264</v>
      </c>
      <c r="G287" t="s">
        <v>264</v>
      </c>
      <c r="I287" t="str">
        <f t="shared" si="88"/>
        <v>N/A</v>
      </c>
      <c r="J287" t="str">
        <f t="shared" si="89"/>
        <v>N/A</v>
      </c>
      <c r="K287" t="str">
        <f t="shared" si="90"/>
        <v>N/A</v>
      </c>
      <c r="L287" t="str">
        <f t="shared" si="91"/>
        <v>N/A</v>
      </c>
      <c r="M287" t="str">
        <f t="shared" si="92"/>
        <v>N/A</v>
      </c>
      <c r="N287" t="str">
        <f t="shared" si="93"/>
        <v>N/A</v>
      </c>
      <c r="P287">
        <f t="shared" si="94"/>
        <v>0</v>
      </c>
      <c r="Q287" t="str">
        <f>IFERROR(J144+MATCH(P287,J287:N287,0)-1,"")</f>
        <v/>
      </c>
      <c r="R287" t="str">
        <f t="shared" si="95"/>
        <v/>
      </c>
      <c r="S287" t="str">
        <f>IFERROR(J144+MATCH(R287,J287:N287,0)-1,"")</f>
        <v/>
      </c>
      <c r="T287" t="str">
        <f t="shared" si="96"/>
        <v/>
      </c>
      <c r="U287" t="str">
        <f t="shared" si="97"/>
        <v/>
      </c>
      <c r="V287" t="str">
        <f t="shared" si="98"/>
        <v/>
      </c>
      <c r="W287" t="str">
        <f t="shared" si="99"/>
        <v/>
      </c>
      <c r="X287" t="str">
        <f t="shared" si="100"/>
        <v/>
      </c>
      <c r="Y287" t="str">
        <f t="shared" si="101"/>
        <v/>
      </c>
      <c r="Z287" t="str">
        <f t="shared" si="102"/>
        <v/>
      </c>
      <c r="AA287">
        <f t="shared" si="103"/>
        <v>0</v>
      </c>
      <c r="AB287" t="str">
        <f>IFERROR(V144+MATCH(AA287,V287:Z287,0)-1,"")</f>
        <v/>
      </c>
      <c r="AC287" t="str">
        <f t="shared" si="104"/>
        <v/>
      </c>
      <c r="AE287" t="str">
        <f>IF(ISNUMBER(MATCH("N/A",J287:N287,0)),"",IFERROR((5 * SUMPRODUCT(J144:N144,J287:N287) - PRODUCT(SUM(J144:N144),SUM(J287:N287))) / ((5 * SUM((J144^2)+(K144^2)+(L144^2)+(M144^2)+(N144^2))) - SUM(J144:N144)^2),""))</f>
        <v/>
      </c>
      <c r="AF287" t="str">
        <f>IFERROR(CORREL(J144:N144,J287:N287),"")</f>
        <v/>
      </c>
      <c r="AZ287">
        <f t="shared" si="105"/>
        <v>0</v>
      </c>
      <c r="BA287" t="str">
        <f>IF(AZ287=1,IF(Q287="","",IF(Q287=N144,"Yes","No")),"")</f>
        <v/>
      </c>
      <c r="BB287" t="str">
        <f t="shared" si="106"/>
        <v/>
      </c>
      <c r="BC287" t="str">
        <f>IF(AZ287=1,IF(S287="","",IF(S287=N144,"Yes","No")),"")</f>
        <v/>
      </c>
      <c r="BD287" t="str">
        <f t="shared" si="107"/>
        <v/>
      </c>
      <c r="BE287" t="str">
        <f t="shared" si="108"/>
        <v/>
      </c>
      <c r="BF287" t="str">
        <f t="shared" si="109"/>
        <v>No</v>
      </c>
      <c r="BG287" t="str">
        <f t="shared" si="110"/>
        <v>No</v>
      </c>
      <c r="BH287" t="str">
        <f t="shared" si="111"/>
        <v/>
      </c>
    </row>
    <row r="288" spans="1:60" x14ac:dyDescent="0.3">
      <c r="A288" s="1">
        <v>41</v>
      </c>
      <c r="B288" t="s">
        <v>748</v>
      </c>
      <c r="C288" t="s">
        <v>2185</v>
      </c>
      <c r="D288" t="s">
        <v>320</v>
      </c>
      <c r="E288" t="s">
        <v>2186</v>
      </c>
      <c r="F288" t="s">
        <v>705</v>
      </c>
      <c r="G288" t="s">
        <v>2187</v>
      </c>
      <c r="I288" t="str">
        <f t="shared" si="88"/>
        <v>N/A</v>
      </c>
      <c r="J288">
        <f t="shared" si="89"/>
        <v>800120000</v>
      </c>
      <c r="K288">
        <f t="shared" si="90"/>
        <v>1140000000</v>
      </c>
      <c r="L288">
        <f t="shared" si="91"/>
        <v>1110000000</v>
      </c>
      <c r="M288">
        <f t="shared" si="92"/>
        <v>1130000000</v>
      </c>
      <c r="N288">
        <f t="shared" si="93"/>
        <v>1170000000</v>
      </c>
      <c r="P288">
        <f t="shared" si="94"/>
        <v>1170000000</v>
      </c>
      <c r="Q288">
        <f>IFERROR(J144+MATCH(P288,J288:N288,0)-1,"")</f>
        <v>2016</v>
      </c>
      <c r="R288">
        <f t="shared" si="95"/>
        <v>800120000</v>
      </c>
      <c r="S288">
        <f>IFERROR(J144+MATCH(R288,J288:N288,0)-1,"")</f>
        <v>2012</v>
      </c>
      <c r="T288">
        <f t="shared" si="96"/>
        <v>1070024000</v>
      </c>
      <c r="U288">
        <f t="shared" si="97"/>
        <v>152426385.11753798</v>
      </c>
      <c r="V288">
        <f t="shared" si="98"/>
        <v>-1.7707170565770061</v>
      </c>
      <c r="W288">
        <f t="shared" si="99"/>
        <v>0.45908062404052025</v>
      </c>
      <c r="X288">
        <f t="shared" si="100"/>
        <v>0.26226430528529548</v>
      </c>
      <c r="Y288">
        <f t="shared" si="101"/>
        <v>0.39347518445544533</v>
      </c>
      <c r="Z288">
        <f t="shared" si="102"/>
        <v>0.65589694279574495</v>
      </c>
      <c r="AA288">
        <f t="shared" si="103"/>
        <v>-1.7707170565770061</v>
      </c>
      <c r="AB288">
        <f>IFERROR(V144+MATCH(AA288,V288:Z288,0)-1,"")</f>
        <v>2012</v>
      </c>
      <c r="AC288" t="str">
        <f t="shared" si="104"/>
        <v>Low</v>
      </c>
      <c r="AE288">
        <f>IF(ISNUMBER(MATCH("N/A",J288:N288,0)),"",IFERROR((5 * SUMPRODUCT(J144:N144,J288:N288) - PRODUCT(SUM(J144:N144),SUM(J288:N288))) / ((5 * SUM((J144^2)+(K144^2)+(L144^2)+(M144^2)+(N144^2))) - SUM(J144:N144)^2),""))</f>
        <v>72976000</v>
      </c>
      <c r="AF288">
        <f>IFERROR(CORREL(J144:N144,J288:N288),"")</f>
        <v>0.7569895932075591</v>
      </c>
      <c r="AZ288">
        <f t="shared" si="105"/>
        <v>1</v>
      </c>
      <c r="BA288" t="str">
        <f>IF(AZ288=1,IF(Q288="","",IF(Q288=N144,"Yes","No")),"")</f>
        <v>Yes</v>
      </c>
      <c r="BB288">
        <f t="shared" si="106"/>
        <v>1170000000</v>
      </c>
      <c r="BC288" t="str">
        <f>IF(AZ288=1,IF(S288="","",IF(S288=N144,"Yes","No")),"")</f>
        <v>No</v>
      </c>
      <c r="BD288" t="str">
        <f t="shared" si="107"/>
        <v/>
      </c>
      <c r="BE288" t="str">
        <f t="shared" si="108"/>
        <v>Increasing</v>
      </c>
      <c r="BF288" t="str">
        <f t="shared" si="109"/>
        <v>Yes</v>
      </c>
      <c r="BG288" t="str">
        <f t="shared" si="110"/>
        <v>No</v>
      </c>
      <c r="BH288" t="str">
        <f t="shared" si="111"/>
        <v>No</v>
      </c>
    </row>
    <row r="289" spans="1:60" x14ac:dyDescent="0.3">
      <c r="A289" s="1">
        <v>42</v>
      </c>
      <c r="B289" t="s">
        <v>749</v>
      </c>
      <c r="C289" t="s">
        <v>2091</v>
      </c>
      <c r="D289" t="s">
        <v>2092</v>
      </c>
      <c r="E289" t="s">
        <v>1100</v>
      </c>
      <c r="F289" t="s">
        <v>2093</v>
      </c>
      <c r="G289" t="s">
        <v>2094</v>
      </c>
      <c r="I289" t="str">
        <f t="shared" si="88"/>
        <v>N/A</v>
      </c>
      <c r="J289">
        <f t="shared" si="89"/>
        <v>1870000000</v>
      </c>
      <c r="K289">
        <f t="shared" si="90"/>
        <v>2120000000</v>
      </c>
      <c r="L289">
        <f t="shared" si="91"/>
        <v>2069999999.9999998</v>
      </c>
      <c r="M289">
        <f t="shared" si="92"/>
        <v>2060000000</v>
      </c>
      <c r="N289">
        <f t="shared" si="93"/>
        <v>2140000000.0000002</v>
      </c>
      <c r="P289">
        <f t="shared" si="94"/>
        <v>2140000000.0000002</v>
      </c>
      <c r="Q289">
        <f>IFERROR(J144+MATCH(P289,J289:N289,0)-1,"")</f>
        <v>2016</v>
      </c>
      <c r="R289">
        <f t="shared" si="95"/>
        <v>1870000000</v>
      </c>
      <c r="S289">
        <f>IFERROR(J144+MATCH(R289,J289:N289,0)-1,"")</f>
        <v>2012</v>
      </c>
      <c r="T289">
        <f t="shared" si="96"/>
        <v>2052000000</v>
      </c>
      <c r="U289">
        <f t="shared" si="97"/>
        <v>107098085.88392235</v>
      </c>
      <c r="V289">
        <f t="shared" si="98"/>
        <v>-1.6993767768852532</v>
      </c>
      <c r="W289">
        <f t="shared" si="99"/>
        <v>0.63493198257251215</v>
      </c>
      <c r="X289">
        <f t="shared" si="100"/>
        <v>0.16807023068095689</v>
      </c>
      <c r="Y289">
        <f t="shared" si="101"/>
        <v>7.4697880302648498E-2</v>
      </c>
      <c r="Z289">
        <f t="shared" si="102"/>
        <v>0.82167668332913568</v>
      </c>
      <c r="AA289">
        <f t="shared" si="103"/>
        <v>-1.6993767768852532</v>
      </c>
      <c r="AB289">
        <f>IFERROR(V144+MATCH(AA289,V289:Z289,0)-1,"")</f>
        <v>2012</v>
      </c>
      <c r="AC289" t="str">
        <f t="shared" si="104"/>
        <v>Low</v>
      </c>
      <c r="AE289">
        <f>IF(ISNUMBER(MATCH("N/A",J289:N289,0)),"",IFERROR((5 * SUMPRODUCT(J144:N144,J289:N289) - PRODUCT(SUM(J144:N144),SUM(J289:N289))) / ((5 * SUM((J144^2)+(K144^2)+(L144^2)+(M144^2)+(N144^2))) - SUM(J144:N144)^2),""))</f>
        <v>48000000</v>
      </c>
      <c r="AF289">
        <f>IFERROR(CORREL(J144:N144,J289:N289),"")</f>
        <v>0.70864631442899162</v>
      </c>
      <c r="AZ289">
        <f t="shared" si="105"/>
        <v>1</v>
      </c>
      <c r="BA289" t="str">
        <f>IF(AZ289=1,IF(Q289="","",IF(Q289=N144,"Yes","No")),"")</f>
        <v>Yes</v>
      </c>
      <c r="BB289">
        <f t="shared" si="106"/>
        <v>2140000000.0000002</v>
      </c>
      <c r="BC289" t="str">
        <f>IF(AZ289=1,IF(S289="","",IF(S289=N144,"Yes","No")),"")</f>
        <v>No</v>
      </c>
      <c r="BD289" t="str">
        <f t="shared" si="107"/>
        <v/>
      </c>
      <c r="BE289" t="str">
        <f t="shared" si="108"/>
        <v>Increasing</v>
      </c>
      <c r="BF289" t="str">
        <f t="shared" si="109"/>
        <v>Yes</v>
      </c>
      <c r="BG289" t="str">
        <f t="shared" si="110"/>
        <v>No</v>
      </c>
      <c r="BH289" t="str">
        <f t="shared" si="111"/>
        <v>No</v>
      </c>
    </row>
    <row r="290" spans="1:60" x14ac:dyDescent="0.3">
      <c r="I290" t="str">
        <f t="shared" si="88"/>
        <v>N/A</v>
      </c>
      <c r="J290" t="str">
        <f t="shared" si="89"/>
        <v>N/A</v>
      </c>
      <c r="K290" t="str">
        <f t="shared" si="90"/>
        <v>N/A</v>
      </c>
      <c r="L290" t="str">
        <f t="shared" si="91"/>
        <v>N/A</v>
      </c>
      <c r="M290" t="str">
        <f t="shared" si="92"/>
        <v>N/A</v>
      </c>
      <c r="N290" t="str">
        <f t="shared" si="93"/>
        <v>N/A</v>
      </c>
      <c r="P290">
        <f t="shared" si="94"/>
        <v>0</v>
      </c>
      <c r="Q290" t="str">
        <f>IFERROR(J144+MATCH(P290,J290:N290,0)-1,"")</f>
        <v/>
      </c>
      <c r="R290" t="str">
        <f t="shared" si="95"/>
        <v/>
      </c>
      <c r="S290" t="str">
        <f>IFERROR(J144+MATCH(R290,J290:N290,0)-1,"")</f>
        <v/>
      </c>
      <c r="T290" t="str">
        <f t="shared" si="96"/>
        <v/>
      </c>
      <c r="U290" t="str">
        <f t="shared" si="97"/>
        <v/>
      </c>
      <c r="V290" t="str">
        <f t="shared" si="98"/>
        <v/>
      </c>
      <c r="W290" t="str">
        <f t="shared" si="99"/>
        <v/>
      </c>
      <c r="X290" t="str">
        <f t="shared" si="100"/>
        <v/>
      </c>
      <c r="Y290" t="str">
        <f t="shared" si="101"/>
        <v/>
      </c>
      <c r="Z290" t="str">
        <f t="shared" si="102"/>
        <v/>
      </c>
      <c r="AA290">
        <f t="shared" si="103"/>
        <v>0</v>
      </c>
      <c r="AB290" t="str">
        <f>IFERROR(V144+MATCH(AA290,V290:Z290,0)-1,"")</f>
        <v/>
      </c>
      <c r="AC290" t="str">
        <f t="shared" si="104"/>
        <v/>
      </c>
      <c r="AE290" t="str">
        <f>IF(ISNUMBER(MATCH("N/A",J290:N290,0)),"",IFERROR((5 * SUMPRODUCT(J144:N144,J290:N290) - PRODUCT(SUM(J144:N144),SUM(J290:N290))) / ((5 * SUM((J144^2)+(K144^2)+(L144^2)+(M144^2)+(N144^2))) - SUM(J144:N144)^2),""))</f>
        <v/>
      </c>
      <c r="AF290" t="str">
        <f>IFERROR(CORREL(J144:N144,J290:N290),"")</f>
        <v/>
      </c>
      <c r="AZ290">
        <f t="shared" si="105"/>
        <v>0</v>
      </c>
      <c r="BA290" t="str">
        <f>IF(AZ290=1,IF(Q290="","",IF(Q290=N144,"Yes","No")),"")</f>
        <v/>
      </c>
      <c r="BB290" t="str">
        <f t="shared" si="106"/>
        <v/>
      </c>
      <c r="BC290" t="str">
        <f>IF(AZ290=1,IF(S290="","",IF(S290=N144,"Yes","No")),"")</f>
        <v/>
      </c>
      <c r="BD290" t="str">
        <f t="shared" si="107"/>
        <v/>
      </c>
      <c r="BE290" t="str">
        <f t="shared" si="108"/>
        <v/>
      </c>
      <c r="BF290" t="str">
        <f t="shared" si="109"/>
        <v>No</v>
      </c>
      <c r="BG290" t="str">
        <f t="shared" si="110"/>
        <v>No</v>
      </c>
      <c r="BH290" t="str">
        <f t="shared" si="111"/>
        <v/>
      </c>
    </row>
    <row r="291" spans="1:60" x14ac:dyDescent="0.3">
      <c r="B291" s="1" t="s">
        <v>251</v>
      </c>
      <c r="C291" s="1" t="s">
        <v>252</v>
      </c>
      <c r="D291" s="1" t="s">
        <v>253</v>
      </c>
      <c r="E291" s="1" t="s">
        <v>254</v>
      </c>
      <c r="F291" s="1" t="s">
        <v>255</v>
      </c>
      <c r="G291" s="1" t="s">
        <v>256</v>
      </c>
      <c r="H291" s="1" t="s">
        <v>257</v>
      </c>
      <c r="I291" t="str">
        <f t="shared" si="88"/>
        <v>pos_trend</v>
      </c>
      <c r="J291">
        <f t="shared" si="89"/>
        <v>2012</v>
      </c>
      <c r="K291">
        <f t="shared" si="90"/>
        <v>2013</v>
      </c>
      <c r="L291">
        <f t="shared" si="91"/>
        <v>2014</v>
      </c>
      <c r="M291">
        <f t="shared" si="92"/>
        <v>2015</v>
      </c>
      <c r="N291">
        <f t="shared" si="93"/>
        <v>2016</v>
      </c>
      <c r="P291">
        <f t="shared" si="94"/>
        <v>2016</v>
      </c>
      <c r="Q291">
        <f>IFERROR(J144+MATCH(P291,J291:N291,0)-1,"")</f>
        <v>2016</v>
      </c>
      <c r="R291">
        <f t="shared" si="95"/>
        <v>2012</v>
      </c>
      <c r="S291">
        <f>IFERROR(J144+MATCH(R291,J291:N291,0)-1,"")</f>
        <v>2012</v>
      </c>
      <c r="T291">
        <f t="shared" si="96"/>
        <v>2014</v>
      </c>
      <c r="U291">
        <f t="shared" si="97"/>
        <v>1.5811388300841898</v>
      </c>
      <c r="V291">
        <f t="shared" si="98"/>
        <v>-1.2649110640673518</v>
      </c>
      <c r="W291">
        <f t="shared" si="99"/>
        <v>-0.63245553203367588</v>
      </c>
      <c r="X291">
        <f t="shared" si="100"/>
        <v>0</v>
      </c>
      <c r="Y291">
        <f t="shared" si="101"/>
        <v>0.63245553203367588</v>
      </c>
      <c r="Z291">
        <f t="shared" si="102"/>
        <v>1.2649110640673518</v>
      </c>
      <c r="AA291">
        <f t="shared" si="103"/>
        <v>-1.2649110640673518</v>
      </c>
      <c r="AB291">
        <f>IFERROR(V144+MATCH(AA291,V291:Z291,0)-1,"")</f>
        <v>2012</v>
      </c>
      <c r="AC291" t="str">
        <f t="shared" si="104"/>
        <v>Low</v>
      </c>
      <c r="AE291">
        <f>IF(ISNUMBER(MATCH("N/A",J291:N291,0)),"",IFERROR((5 * SUMPRODUCT(J144:N144,J291:N291) - PRODUCT(SUM(J144:N144),SUM(J291:N291))) / ((5 * SUM((J144^2)+(K144^2)+(L144^2)+(M144^2)+(N144^2))) - SUM(J144:N144)^2),""))</f>
        <v>1</v>
      </c>
      <c r="AF291">
        <f>IFERROR(CORREL(J144:N144,J291:N291),"")</f>
        <v>0.99999999999999978</v>
      </c>
      <c r="AZ291">
        <f t="shared" si="105"/>
        <v>1</v>
      </c>
      <c r="BA291" t="str">
        <f>IF(AZ291=1,IF(Q291="","",IF(Q291=N144,"Yes","No")),"")</f>
        <v>Yes</v>
      </c>
      <c r="BB291">
        <f t="shared" si="106"/>
        <v>2016</v>
      </c>
      <c r="BC291" t="str">
        <f>IF(AZ291=1,IF(S291="","",IF(S291=N144,"Yes","No")),"")</f>
        <v>No</v>
      </c>
      <c r="BD291" t="str">
        <f t="shared" si="107"/>
        <v/>
      </c>
      <c r="BE291" t="str">
        <f t="shared" si="108"/>
        <v>Increasing</v>
      </c>
      <c r="BF291" t="str">
        <f t="shared" si="109"/>
        <v>Yes</v>
      </c>
      <c r="BG291" t="str">
        <f t="shared" si="110"/>
        <v>Yes</v>
      </c>
      <c r="BH291" t="str">
        <f t="shared" si="111"/>
        <v>Yes</v>
      </c>
    </row>
    <row r="292" spans="1:60" x14ac:dyDescent="0.3">
      <c r="A292" s="1">
        <v>0</v>
      </c>
      <c r="B292" t="s">
        <v>750</v>
      </c>
      <c r="C292" t="s">
        <v>1936</v>
      </c>
      <c r="D292" t="s">
        <v>1937</v>
      </c>
      <c r="E292" t="s">
        <v>1938</v>
      </c>
      <c r="F292" t="s">
        <v>1920</v>
      </c>
      <c r="G292" t="s">
        <v>1921</v>
      </c>
      <c r="I292" t="str">
        <f t="shared" si="88"/>
        <v>N/A</v>
      </c>
      <c r="J292">
        <f t="shared" si="89"/>
        <v>95250000</v>
      </c>
      <c r="K292">
        <f t="shared" si="90"/>
        <v>270530000</v>
      </c>
      <c r="L292">
        <f t="shared" si="91"/>
        <v>118370000</v>
      </c>
      <c r="M292">
        <f t="shared" si="92"/>
        <v>121380000</v>
      </c>
      <c r="N292">
        <f t="shared" si="93"/>
        <v>135600000</v>
      </c>
      <c r="P292">
        <f t="shared" si="94"/>
        <v>270530000</v>
      </c>
      <c r="Q292">
        <f>IFERROR(J144+MATCH(P292,J292:N292,0)-1,"")</f>
        <v>2013</v>
      </c>
      <c r="R292">
        <f t="shared" si="95"/>
        <v>95250000</v>
      </c>
      <c r="S292">
        <f>IFERROR(J144+MATCH(R292,J292:N292,0)-1,"")</f>
        <v>2012</v>
      </c>
      <c r="T292">
        <f t="shared" si="96"/>
        <v>148226000</v>
      </c>
      <c r="U292">
        <f t="shared" si="97"/>
        <v>69886031.007634133</v>
      </c>
      <c r="V292">
        <f t="shared" si="98"/>
        <v>-0.75803417701905362</v>
      </c>
      <c r="W292">
        <f t="shared" si="99"/>
        <v>1.7500493050841575</v>
      </c>
      <c r="X292">
        <f t="shared" si="100"/>
        <v>-0.42720983821128178</v>
      </c>
      <c r="Y292">
        <f t="shared" si="101"/>
        <v>-0.38413971451701739</v>
      </c>
      <c r="Z292">
        <f t="shared" si="102"/>
        <v>-0.1806655753368048</v>
      </c>
      <c r="AA292">
        <f t="shared" si="103"/>
        <v>1.7500493050841575</v>
      </c>
      <c r="AB292">
        <f>IFERROR(V144+MATCH(AA292,V292:Z292,0)-1,"")</f>
        <v>2013</v>
      </c>
      <c r="AC292" t="str">
        <f t="shared" si="104"/>
        <v>High</v>
      </c>
      <c r="AE292">
        <f>IF(ISNUMBER(MATCH("N/A",J292:N292,0)),"",IFERROR((5 * SUMPRODUCT(J144:N144,J292:N292) - PRODUCT(SUM(J144:N144),SUM(J292:N292))) / ((5 * SUM((J144^2)+(K144^2)+(L144^2)+(M144^2)+(N144^2))) - SUM(J144:N144)^2),""))</f>
        <v>-6845000</v>
      </c>
      <c r="AF292">
        <f>IFERROR(CORREL(J144:N144,J292:N292),"")</f>
        <v>-0.15486492988482947</v>
      </c>
      <c r="AZ292">
        <f t="shared" si="105"/>
        <v>1</v>
      </c>
      <c r="BA292" t="str">
        <f>IF(AZ292=1,IF(Q292="","",IF(Q292=N144,"Yes","No")),"")</f>
        <v>No</v>
      </c>
      <c r="BB292" t="str">
        <f t="shared" si="106"/>
        <v/>
      </c>
      <c r="BC292" t="str">
        <f>IF(AZ292=1,IF(S292="","",IF(S292=N144,"Yes","No")),"")</f>
        <v>No</v>
      </c>
      <c r="BD292" t="str">
        <f t="shared" si="107"/>
        <v/>
      </c>
      <c r="BE292" t="str">
        <f t="shared" si="108"/>
        <v>Decreasing</v>
      </c>
      <c r="BF292" t="str">
        <f t="shared" si="109"/>
        <v>No</v>
      </c>
      <c r="BG292" t="str">
        <f t="shared" si="110"/>
        <v>No</v>
      </c>
      <c r="BH292" t="str">
        <f t="shared" si="111"/>
        <v>No</v>
      </c>
    </row>
    <row r="293" spans="1:60" x14ac:dyDescent="0.3">
      <c r="A293" s="1">
        <v>1</v>
      </c>
      <c r="B293" t="s">
        <v>409</v>
      </c>
      <c r="C293" t="s">
        <v>264</v>
      </c>
      <c r="D293" t="s">
        <v>2209</v>
      </c>
      <c r="E293" t="s">
        <v>2210</v>
      </c>
      <c r="F293" t="s">
        <v>2211</v>
      </c>
      <c r="G293" t="s">
        <v>1925</v>
      </c>
      <c r="I293" t="str">
        <f t="shared" si="88"/>
        <v>N/A</v>
      </c>
      <c r="J293" t="str">
        <f t="shared" si="89"/>
        <v>N/A</v>
      </c>
      <c r="K293">
        <f t="shared" si="90"/>
        <v>1.8402000000000001</v>
      </c>
      <c r="L293">
        <f t="shared" si="91"/>
        <v>-0.56240000000000001</v>
      </c>
      <c r="M293">
        <f t="shared" si="92"/>
        <v>2.5400000000000002E-2</v>
      </c>
      <c r="N293">
        <f t="shared" si="93"/>
        <v>0.11720000000000001</v>
      </c>
      <c r="P293">
        <f t="shared" si="94"/>
        <v>1.8402000000000001</v>
      </c>
      <c r="Q293">
        <f>IFERROR(J144+MATCH(P293,J293:N293,0)-1,"")</f>
        <v>2013</v>
      </c>
      <c r="R293">
        <f t="shared" si="95"/>
        <v>-0.56240000000000001</v>
      </c>
      <c r="S293">
        <f>IFERROR(J144+MATCH(R293,J293:N293,0)-1,"")</f>
        <v>2014</v>
      </c>
      <c r="T293">
        <f t="shared" si="96"/>
        <v>0.35510000000000003</v>
      </c>
      <c r="U293">
        <f t="shared" si="97"/>
        <v>1.0348311875212626</v>
      </c>
      <c r="V293" t="str">
        <f t="shared" si="98"/>
        <v/>
      </c>
      <c r="W293">
        <f t="shared" si="99"/>
        <v>1.435113299549146</v>
      </c>
      <c r="X293">
        <f t="shared" si="100"/>
        <v>-0.88661804076246808</v>
      </c>
      <c r="Y293">
        <f t="shared" si="101"/>
        <v>-0.31860268996118341</v>
      </c>
      <c r="Z293">
        <f t="shared" si="102"/>
        <v>-0.22989256882549444</v>
      </c>
      <c r="AA293">
        <f t="shared" si="103"/>
        <v>1.435113299549146</v>
      </c>
      <c r="AB293">
        <f>IFERROR(V144+MATCH(AA293,V293:Z293,0)-1,"")</f>
        <v>2013</v>
      </c>
      <c r="AC293" t="str">
        <f t="shared" si="104"/>
        <v>High</v>
      </c>
      <c r="AE293" t="str">
        <f>IF(ISNUMBER(MATCH("N/A",J293:N293,0)),"",IFERROR((5 * SUMPRODUCT(J144:N144,J293:N293) - PRODUCT(SUM(J144:N144),SUM(J293:N293))) / ((5 * SUM((J144^2)+(K144^2)+(L144^2)+(M144^2)+(N144^2))) - SUM(J144:N144)^2),""))</f>
        <v/>
      </c>
      <c r="AF293">
        <f>IFERROR(CORREL(J144:N144,J293:N293),"")</f>
        <v>-0.57152353348714202</v>
      </c>
      <c r="AZ293">
        <f t="shared" si="105"/>
        <v>1</v>
      </c>
      <c r="BA293" t="str">
        <f>IF(AZ293=1,IF(Q293="","",IF(Q293=N144,"Yes","No")),"")</f>
        <v>No</v>
      </c>
      <c r="BB293" t="str">
        <f t="shared" si="106"/>
        <v/>
      </c>
      <c r="BC293" t="str">
        <f>IF(AZ293=1,IF(S293="","",IF(S293=N144,"Yes","No")),"")</f>
        <v>No</v>
      </c>
      <c r="BD293" t="str">
        <f t="shared" si="107"/>
        <v/>
      </c>
      <c r="BE293" t="str">
        <f t="shared" si="108"/>
        <v/>
      </c>
      <c r="BF293" t="str">
        <f t="shared" si="109"/>
        <v>No</v>
      </c>
      <c r="BG293" t="str">
        <f t="shared" si="110"/>
        <v>No</v>
      </c>
      <c r="BH293" t="str">
        <f t="shared" si="111"/>
        <v>No</v>
      </c>
    </row>
    <row r="294" spans="1:60" x14ac:dyDescent="0.3">
      <c r="A294" s="1">
        <v>2</v>
      </c>
      <c r="B294" t="s">
        <v>751</v>
      </c>
      <c r="C294" t="s">
        <v>1805</v>
      </c>
      <c r="D294" t="s">
        <v>1806</v>
      </c>
      <c r="E294" t="s">
        <v>1807</v>
      </c>
      <c r="F294" t="s">
        <v>1808</v>
      </c>
      <c r="G294" t="s">
        <v>1809</v>
      </c>
      <c r="I294" t="str">
        <f t="shared" si="88"/>
        <v>N/A</v>
      </c>
      <c r="J294">
        <f t="shared" si="89"/>
        <v>57360000</v>
      </c>
      <c r="K294">
        <f t="shared" si="90"/>
        <v>65050000</v>
      </c>
      <c r="L294">
        <f t="shared" si="91"/>
        <v>81400000</v>
      </c>
      <c r="M294">
        <f t="shared" si="92"/>
        <v>78240000</v>
      </c>
      <c r="N294">
        <f t="shared" si="93"/>
        <v>80150000</v>
      </c>
      <c r="P294">
        <f t="shared" si="94"/>
        <v>81400000</v>
      </c>
      <c r="Q294">
        <f>IFERROR(J144+MATCH(P294,J294:N294,0)-1,"")</f>
        <v>2014</v>
      </c>
      <c r="R294">
        <f t="shared" si="95"/>
        <v>57360000</v>
      </c>
      <c r="S294">
        <f>IFERROR(J144+MATCH(R294,J294:N294,0)-1,"")</f>
        <v>2012</v>
      </c>
      <c r="T294">
        <f t="shared" si="96"/>
        <v>72440000</v>
      </c>
      <c r="U294">
        <f t="shared" si="97"/>
        <v>10669866.447149185</v>
      </c>
      <c r="V294">
        <f t="shared" si="98"/>
        <v>-1.413326031276533</v>
      </c>
      <c r="W294">
        <f t="shared" si="99"/>
        <v>-0.69260473283379176</v>
      </c>
      <c r="X294">
        <f t="shared" si="100"/>
        <v>0.83974809285396124</v>
      </c>
      <c r="Y294">
        <f t="shared" si="101"/>
        <v>0.5435869351063588</v>
      </c>
      <c r="Z294">
        <f t="shared" si="102"/>
        <v>0.72259573615000461</v>
      </c>
      <c r="AA294">
        <f t="shared" si="103"/>
        <v>-1.413326031276533</v>
      </c>
      <c r="AB294">
        <f>IFERROR(V144+MATCH(AA294,V294:Z294,0)-1,"")</f>
        <v>2012</v>
      </c>
      <c r="AC294" t="str">
        <f t="shared" si="104"/>
        <v>Low</v>
      </c>
      <c r="AE294">
        <f>IF(ISNUMBER(MATCH("N/A",J294:N294,0)),"",IFERROR((5 * SUMPRODUCT(J144:N144,J294:N294) - PRODUCT(SUM(J144:N144),SUM(J294:N294))) / ((5 * SUM((J144^2)+(K144^2)+(L144^2)+(M144^2)+(N144^2))) - SUM(J144:N144)^2),""))</f>
        <v>5877000</v>
      </c>
      <c r="AF294">
        <f>IFERROR(CORREL(J144:N144,J294:N294),"")</f>
        <v>0.87089683366070125</v>
      </c>
      <c r="AZ294">
        <f t="shared" si="105"/>
        <v>1</v>
      </c>
      <c r="BA294" t="str">
        <f>IF(AZ294=1,IF(Q294="","",IF(Q294=N144,"Yes","No")),"")</f>
        <v>No</v>
      </c>
      <c r="BB294" t="str">
        <f t="shared" si="106"/>
        <v/>
      </c>
      <c r="BC294" t="str">
        <f>IF(AZ294=1,IF(S294="","",IF(S294=N144,"Yes","No")),"")</f>
        <v>No</v>
      </c>
      <c r="BD294" t="str">
        <f t="shared" si="107"/>
        <v/>
      </c>
      <c r="BE294" t="str">
        <f t="shared" si="108"/>
        <v>Increasing</v>
      </c>
      <c r="BF294" t="str">
        <f t="shared" si="109"/>
        <v>No</v>
      </c>
      <c r="BG294" t="str">
        <f t="shared" si="110"/>
        <v>No</v>
      </c>
      <c r="BH294" t="str">
        <f t="shared" si="111"/>
        <v>Yes</v>
      </c>
    </row>
    <row r="295" spans="1:60" x14ac:dyDescent="0.3">
      <c r="A295" s="1">
        <v>3</v>
      </c>
      <c r="B295" t="s">
        <v>752</v>
      </c>
      <c r="C295" t="s">
        <v>1810</v>
      </c>
      <c r="D295" t="s">
        <v>1811</v>
      </c>
      <c r="E295" t="s">
        <v>1812</v>
      </c>
      <c r="F295" t="s">
        <v>1813</v>
      </c>
      <c r="G295" t="s">
        <v>2212</v>
      </c>
      <c r="I295" t="str">
        <f t="shared" si="88"/>
        <v>N/A</v>
      </c>
      <c r="J295">
        <f t="shared" si="89"/>
        <v>34220000</v>
      </c>
      <c r="K295">
        <f t="shared" si="90"/>
        <v>37080000</v>
      </c>
      <c r="L295">
        <f t="shared" si="91"/>
        <v>44270000</v>
      </c>
      <c r="M295">
        <f t="shared" si="92"/>
        <v>39740000</v>
      </c>
      <c r="N295">
        <f t="shared" si="93"/>
        <v>43170000</v>
      </c>
      <c r="P295">
        <f t="shared" si="94"/>
        <v>44270000</v>
      </c>
      <c r="Q295">
        <f>IFERROR(J144+MATCH(P295,J295:N295,0)-1,"")</f>
        <v>2014</v>
      </c>
      <c r="R295">
        <f t="shared" si="95"/>
        <v>34220000</v>
      </c>
      <c r="S295">
        <f>IFERROR(J144+MATCH(R295,J295:N295,0)-1,"")</f>
        <v>2012</v>
      </c>
      <c r="T295">
        <f t="shared" si="96"/>
        <v>39696000</v>
      </c>
      <c r="U295">
        <f t="shared" si="97"/>
        <v>4177981.5700885998</v>
      </c>
      <c r="V295">
        <f t="shared" si="98"/>
        <v>-1.3106807457467731</v>
      </c>
      <c r="W295">
        <f t="shared" si="99"/>
        <v>-0.62613966962628897</v>
      </c>
      <c r="X295">
        <f t="shared" si="100"/>
        <v>1.0947870217395435</v>
      </c>
      <c r="Y295">
        <f t="shared" si="101"/>
        <v>1.0531401171084372E-2</v>
      </c>
      <c r="Z295">
        <f t="shared" si="102"/>
        <v>0.83150199246243417</v>
      </c>
      <c r="AA295">
        <f t="shared" si="103"/>
        <v>-1.3106807457467731</v>
      </c>
      <c r="AB295">
        <f>IFERROR(V144+MATCH(AA295,V295:Z295,0)-1,"")</f>
        <v>2012</v>
      </c>
      <c r="AC295" t="str">
        <f t="shared" si="104"/>
        <v>Low</v>
      </c>
      <c r="AE295">
        <f>IF(ISNUMBER(MATCH("N/A",J295:N295,0)),"",IFERROR((5 * SUMPRODUCT(J144:N144,J295:N295) - PRODUCT(SUM(J144:N144),SUM(J295:N295))) / ((5 * SUM((J144^2)+(K144^2)+(L144^2)+(M144^2)+(N144^2))) - SUM(J144:N144)^2),""))</f>
        <v>2056000</v>
      </c>
      <c r="AF295">
        <f>IFERROR(CORREL(J144:N144,J295:N295),"")</f>
        <v>0.778084196906631</v>
      </c>
      <c r="AZ295">
        <f t="shared" si="105"/>
        <v>1</v>
      </c>
      <c r="BA295" t="str">
        <f>IF(AZ295=1,IF(Q295="","",IF(Q295=N144,"Yes","No")),"")</f>
        <v>No</v>
      </c>
      <c r="BB295" t="str">
        <f t="shared" si="106"/>
        <v/>
      </c>
      <c r="BC295" t="str">
        <f>IF(AZ295=1,IF(S295="","",IF(S295=N144,"Yes","No")),"")</f>
        <v>No</v>
      </c>
      <c r="BD295" t="str">
        <f t="shared" si="107"/>
        <v/>
      </c>
      <c r="BE295" t="str">
        <f t="shared" si="108"/>
        <v>Increasing</v>
      </c>
      <c r="BF295" t="str">
        <f t="shared" si="109"/>
        <v>No</v>
      </c>
      <c r="BG295" t="str">
        <f t="shared" si="110"/>
        <v>No</v>
      </c>
      <c r="BH295" t="str">
        <f t="shared" si="111"/>
        <v>No</v>
      </c>
    </row>
    <row r="296" spans="1:60" x14ac:dyDescent="0.3">
      <c r="A296" s="1">
        <v>4</v>
      </c>
      <c r="B296" t="s">
        <v>753</v>
      </c>
      <c r="C296" t="s">
        <v>1815</v>
      </c>
      <c r="D296" t="s">
        <v>1816</v>
      </c>
      <c r="E296" t="s">
        <v>1817</v>
      </c>
      <c r="F296" t="s">
        <v>1818</v>
      </c>
      <c r="G296" t="s">
        <v>2213</v>
      </c>
      <c r="I296" t="str">
        <f t="shared" si="88"/>
        <v>N/A</v>
      </c>
      <c r="J296">
        <f t="shared" si="89"/>
        <v>23140000</v>
      </c>
      <c r="K296">
        <f t="shared" si="90"/>
        <v>27970000</v>
      </c>
      <c r="L296">
        <f t="shared" si="91"/>
        <v>37130000</v>
      </c>
      <c r="M296">
        <f t="shared" si="92"/>
        <v>38500000</v>
      </c>
      <c r="N296">
        <f t="shared" si="93"/>
        <v>36990000</v>
      </c>
      <c r="P296">
        <f t="shared" si="94"/>
        <v>38500000</v>
      </c>
      <c r="Q296">
        <f>IFERROR(J144+MATCH(P296,J296:N296,0)-1,"")</f>
        <v>2015</v>
      </c>
      <c r="R296">
        <f t="shared" si="95"/>
        <v>23140000</v>
      </c>
      <c r="S296">
        <f>IFERROR(J144+MATCH(R296,J296:N296,0)-1,"")</f>
        <v>2012</v>
      </c>
      <c r="T296">
        <f t="shared" si="96"/>
        <v>32746000</v>
      </c>
      <c r="U296">
        <f t="shared" si="97"/>
        <v>6808540.9597064182</v>
      </c>
      <c r="V296">
        <f t="shared" si="98"/>
        <v>-1.4108749667291725</v>
      </c>
      <c r="W296">
        <f t="shared" si="99"/>
        <v>-0.70147187602524752</v>
      </c>
      <c r="X296">
        <f t="shared" si="100"/>
        <v>0.6438971324318854</v>
      </c>
      <c r="Y296">
        <f t="shared" si="101"/>
        <v>0.84511498631684967</v>
      </c>
      <c r="Z296">
        <f t="shared" si="102"/>
        <v>0.62333472400568468</v>
      </c>
      <c r="AA296">
        <f t="shared" si="103"/>
        <v>-1.4108749667291725</v>
      </c>
      <c r="AB296">
        <f>IFERROR(V144+MATCH(AA296,V296:Z296,0)-1,"")</f>
        <v>2012</v>
      </c>
      <c r="AC296" t="str">
        <f t="shared" si="104"/>
        <v>Low</v>
      </c>
      <c r="AE296">
        <f>IF(ISNUMBER(MATCH("N/A",J296:N296,0)),"",IFERROR((5 * SUMPRODUCT(J144:N144,J296:N296) - PRODUCT(SUM(J144:N144),SUM(J296:N296))) / ((5 * SUM((J144^2)+(K144^2)+(L144^2)+(M144^2)+(N144^2))) - SUM(J144:N144)^2),""))</f>
        <v>3823000</v>
      </c>
      <c r="AF296">
        <f>IFERROR(CORREL(J144:N144,J296:N296),"")</f>
        <v>0.88781044032560263</v>
      </c>
      <c r="AZ296">
        <f t="shared" si="105"/>
        <v>1</v>
      </c>
      <c r="BA296" t="str">
        <f>IF(AZ296=1,IF(Q296="","",IF(Q296=N144,"Yes","No")),"")</f>
        <v>No</v>
      </c>
      <c r="BB296" t="str">
        <f t="shared" si="106"/>
        <v/>
      </c>
      <c r="BC296" t="str">
        <f>IF(AZ296=1,IF(S296="","",IF(S296=N144,"Yes","No")),"")</f>
        <v>No</v>
      </c>
      <c r="BD296" t="str">
        <f t="shared" si="107"/>
        <v/>
      </c>
      <c r="BE296" t="str">
        <f t="shared" si="108"/>
        <v>Increasing</v>
      </c>
      <c r="BF296" t="str">
        <f t="shared" si="109"/>
        <v>No</v>
      </c>
      <c r="BG296" t="str">
        <f t="shared" si="110"/>
        <v>No</v>
      </c>
      <c r="BH296" t="str">
        <f t="shared" si="111"/>
        <v>Yes</v>
      </c>
    </row>
    <row r="297" spans="1:60" x14ac:dyDescent="0.3">
      <c r="A297" s="1">
        <v>5</v>
      </c>
      <c r="B297" t="s">
        <v>754</v>
      </c>
      <c r="C297" t="s">
        <v>2214</v>
      </c>
      <c r="D297" t="s">
        <v>2215</v>
      </c>
      <c r="E297" t="s">
        <v>2216</v>
      </c>
      <c r="F297" t="s">
        <v>2153</v>
      </c>
      <c r="G297" t="s">
        <v>2217</v>
      </c>
      <c r="I297" t="str">
        <f t="shared" si="88"/>
        <v>N/A</v>
      </c>
      <c r="J297">
        <f t="shared" si="89"/>
        <v>9450000</v>
      </c>
      <c r="K297">
        <f t="shared" si="90"/>
        <v>3410000</v>
      </c>
      <c r="L297">
        <f t="shared" si="91"/>
        <v>-9840000</v>
      </c>
      <c r="M297">
        <f t="shared" si="92"/>
        <v>3120000</v>
      </c>
      <c r="N297">
        <f t="shared" si="93"/>
        <v>-2210000</v>
      </c>
      <c r="P297">
        <f t="shared" si="94"/>
        <v>9450000</v>
      </c>
      <c r="Q297">
        <f>IFERROR(J144+MATCH(P297,J297:N297,0)-1,"")</f>
        <v>2012</v>
      </c>
      <c r="R297">
        <f t="shared" si="95"/>
        <v>-9840000</v>
      </c>
      <c r="S297">
        <f>IFERROR(J144+MATCH(R297,J297:N297,0)-1,"")</f>
        <v>2014</v>
      </c>
      <c r="T297">
        <f t="shared" si="96"/>
        <v>786000</v>
      </c>
      <c r="U297">
        <f t="shared" si="97"/>
        <v>7233355.3763104994</v>
      </c>
      <c r="V297">
        <f t="shared" si="98"/>
        <v>1.1977843682856941</v>
      </c>
      <c r="W297">
        <f t="shared" si="99"/>
        <v>0.36276387146602734</v>
      </c>
      <c r="X297">
        <f t="shared" si="100"/>
        <v>-1.46902778132546</v>
      </c>
      <c r="Y297">
        <f t="shared" si="101"/>
        <v>0.32267182774455333</v>
      </c>
      <c r="Z297">
        <f t="shared" si="102"/>
        <v>-0.41419228617081477</v>
      </c>
      <c r="AA297">
        <f t="shared" si="103"/>
        <v>-1.46902778132546</v>
      </c>
      <c r="AB297">
        <f>IFERROR(V144+MATCH(AA297,V297:Z297,0)-1,"")</f>
        <v>2014</v>
      </c>
      <c r="AC297" t="str">
        <f t="shared" si="104"/>
        <v>Low</v>
      </c>
      <c r="AE297">
        <f>IF(ISNUMBER(MATCH("N/A",J297:N297,0)),"",IFERROR((5 * SUMPRODUCT(J144:N144,J297:N297) - PRODUCT(SUM(J144:N144),SUM(J297:N297))) / ((5 * SUM((J144^2)+(K144^2)+(L144^2)+(M144^2)+(N144^2))) - SUM(J144:N144)^2),""))</f>
        <v>-2361000</v>
      </c>
      <c r="AF297">
        <f>IFERROR(CORREL(J144:N144,J297:N297),"")</f>
        <v>-0.51609088502062372</v>
      </c>
      <c r="AZ297">
        <f t="shared" si="105"/>
        <v>1</v>
      </c>
      <c r="BA297" t="str">
        <f>IF(AZ297=1,IF(Q297="","",IF(Q297=N144,"Yes","No")),"")</f>
        <v>No</v>
      </c>
      <c r="BB297" t="str">
        <f t="shared" si="106"/>
        <v/>
      </c>
      <c r="BC297" t="str">
        <f>IF(AZ297=1,IF(S297="","",IF(S297=N144,"Yes","No")),"")</f>
        <v>No</v>
      </c>
      <c r="BD297" t="str">
        <f t="shared" si="107"/>
        <v/>
      </c>
      <c r="BE297" t="str">
        <f t="shared" si="108"/>
        <v>Decreasing</v>
      </c>
      <c r="BF297" t="str">
        <f t="shared" si="109"/>
        <v>No</v>
      </c>
      <c r="BG297" t="str">
        <f t="shared" si="110"/>
        <v>No</v>
      </c>
      <c r="BH297" t="str">
        <f t="shared" si="111"/>
        <v>No</v>
      </c>
    </row>
    <row r="298" spans="1:60" x14ac:dyDescent="0.3">
      <c r="A298" s="1">
        <v>6</v>
      </c>
      <c r="B298" t="s">
        <v>680</v>
      </c>
      <c r="C298" t="s">
        <v>2214</v>
      </c>
      <c r="D298" t="s">
        <v>2215</v>
      </c>
      <c r="E298" t="s">
        <v>2216</v>
      </c>
      <c r="F298" t="s">
        <v>2153</v>
      </c>
      <c r="G298" t="s">
        <v>2217</v>
      </c>
      <c r="I298" t="str">
        <f t="shared" si="88"/>
        <v>N/A</v>
      </c>
      <c r="J298">
        <f t="shared" si="89"/>
        <v>9450000</v>
      </c>
      <c r="K298">
        <f t="shared" si="90"/>
        <v>3410000</v>
      </c>
      <c r="L298">
        <f t="shared" si="91"/>
        <v>-9840000</v>
      </c>
      <c r="M298">
        <f t="shared" si="92"/>
        <v>3120000</v>
      </c>
      <c r="N298">
        <f t="shared" si="93"/>
        <v>-2210000</v>
      </c>
      <c r="P298">
        <f t="shared" si="94"/>
        <v>9450000</v>
      </c>
      <c r="Q298">
        <f>IFERROR(J144+MATCH(P298,J298:N298,0)-1,"")</f>
        <v>2012</v>
      </c>
      <c r="R298">
        <f t="shared" si="95"/>
        <v>-9840000</v>
      </c>
      <c r="S298">
        <f>IFERROR(J144+MATCH(R298,J298:N298,0)-1,"")</f>
        <v>2014</v>
      </c>
      <c r="T298">
        <f t="shared" si="96"/>
        <v>786000</v>
      </c>
      <c r="U298">
        <f t="shared" si="97"/>
        <v>7233355.3763104994</v>
      </c>
      <c r="V298">
        <f t="shared" si="98"/>
        <v>1.1977843682856941</v>
      </c>
      <c r="W298">
        <f t="shared" si="99"/>
        <v>0.36276387146602734</v>
      </c>
      <c r="X298">
        <f t="shared" si="100"/>
        <v>-1.46902778132546</v>
      </c>
      <c r="Y298">
        <f t="shared" si="101"/>
        <v>0.32267182774455333</v>
      </c>
      <c r="Z298">
        <f t="shared" si="102"/>
        <v>-0.41419228617081477</v>
      </c>
      <c r="AA298">
        <f t="shared" si="103"/>
        <v>-1.46902778132546</v>
      </c>
      <c r="AB298">
        <f>IFERROR(V144+MATCH(AA298,V298:Z298,0)-1,"")</f>
        <v>2014</v>
      </c>
      <c r="AC298" t="str">
        <f t="shared" si="104"/>
        <v>Low</v>
      </c>
      <c r="AE298">
        <f>IF(ISNUMBER(MATCH("N/A",J298:N298,0)),"",IFERROR((5 * SUMPRODUCT(J144:N144,J298:N298) - PRODUCT(SUM(J144:N144),SUM(J298:N298))) / ((5 * SUM((J144^2)+(K144^2)+(L144^2)+(M144^2)+(N144^2))) - SUM(J144:N144)^2),""))</f>
        <v>-2361000</v>
      </c>
      <c r="AF298">
        <f>IFERROR(CORREL(J144:N144,J298:N298),"")</f>
        <v>-0.51609088502062372</v>
      </c>
      <c r="AZ298">
        <f t="shared" si="105"/>
        <v>1</v>
      </c>
      <c r="BA298" t="str">
        <f>IF(AZ298=1,IF(Q298="","",IF(Q298=N144,"Yes","No")),"")</f>
        <v>No</v>
      </c>
      <c r="BB298" t="str">
        <f t="shared" si="106"/>
        <v/>
      </c>
      <c r="BC298" t="str">
        <f>IF(AZ298=1,IF(S298="","",IF(S298=N144,"Yes","No")),"")</f>
        <v>No</v>
      </c>
      <c r="BD298" t="str">
        <f t="shared" si="107"/>
        <v/>
      </c>
      <c r="BE298" t="str">
        <f t="shared" si="108"/>
        <v>Decreasing</v>
      </c>
      <c r="BF298" t="str">
        <f t="shared" si="109"/>
        <v>No</v>
      </c>
      <c r="BG298" t="str">
        <f t="shared" si="110"/>
        <v>No</v>
      </c>
      <c r="BH298" t="str">
        <f t="shared" si="111"/>
        <v>No</v>
      </c>
    </row>
    <row r="299" spans="1:60" x14ac:dyDescent="0.3">
      <c r="A299" s="1">
        <v>7</v>
      </c>
      <c r="B299" t="s">
        <v>756</v>
      </c>
      <c r="C299" t="s">
        <v>264</v>
      </c>
      <c r="D299" t="s">
        <v>264</v>
      </c>
      <c r="E299" t="s">
        <v>264</v>
      </c>
      <c r="F299" t="s">
        <v>264</v>
      </c>
      <c r="G299" t="s">
        <v>264</v>
      </c>
      <c r="I299" t="str">
        <f t="shared" si="88"/>
        <v>N/A</v>
      </c>
      <c r="J299" t="str">
        <f t="shared" si="89"/>
        <v>N/A</v>
      </c>
      <c r="K299" t="str">
        <f t="shared" si="90"/>
        <v>N/A</v>
      </c>
      <c r="L299" t="str">
        <f t="shared" si="91"/>
        <v>N/A</v>
      </c>
      <c r="M299" t="str">
        <f t="shared" si="92"/>
        <v>N/A</v>
      </c>
      <c r="N299" t="str">
        <f t="shared" si="93"/>
        <v>N/A</v>
      </c>
      <c r="P299">
        <f t="shared" si="94"/>
        <v>0</v>
      </c>
      <c r="Q299" t="str">
        <f>IFERROR(J144+MATCH(P299,J299:N299,0)-1,"")</f>
        <v/>
      </c>
      <c r="R299" t="str">
        <f t="shared" si="95"/>
        <v/>
      </c>
      <c r="S299" t="str">
        <f>IFERROR(J144+MATCH(R299,J299:N299,0)-1,"")</f>
        <v/>
      </c>
      <c r="T299" t="str">
        <f t="shared" si="96"/>
        <v/>
      </c>
      <c r="U299" t="str">
        <f t="shared" si="97"/>
        <v/>
      </c>
      <c r="V299" t="str">
        <f t="shared" si="98"/>
        <v/>
      </c>
      <c r="W299" t="str">
        <f t="shared" si="99"/>
        <v/>
      </c>
      <c r="X299" t="str">
        <f t="shared" si="100"/>
        <v/>
      </c>
      <c r="Y299" t="str">
        <f t="shared" si="101"/>
        <v/>
      </c>
      <c r="Z299" t="str">
        <f t="shared" si="102"/>
        <v/>
      </c>
      <c r="AA299">
        <f t="shared" si="103"/>
        <v>0</v>
      </c>
      <c r="AB299" t="str">
        <f>IFERROR(V144+MATCH(AA299,V299:Z299,0)-1,"")</f>
        <v/>
      </c>
      <c r="AC299" t="str">
        <f t="shared" si="104"/>
        <v/>
      </c>
      <c r="AE299" t="str">
        <f>IF(ISNUMBER(MATCH("N/A",J299:N299,0)),"",IFERROR((5 * SUMPRODUCT(J144:N144,J299:N299) - PRODUCT(SUM(J144:N144),SUM(J299:N299))) / ((5 * SUM((J144^2)+(K144^2)+(L144^2)+(M144^2)+(N144^2))) - SUM(J144:N144)^2),""))</f>
        <v/>
      </c>
      <c r="AF299" t="str">
        <f>IFERROR(CORREL(J144:N144,J299:N299),"")</f>
        <v/>
      </c>
      <c r="AZ299">
        <f t="shared" si="105"/>
        <v>0</v>
      </c>
      <c r="BA299" t="str">
        <f>IF(AZ299=1,IF(Q299="","",IF(Q299=N144,"Yes","No")),"")</f>
        <v/>
      </c>
      <c r="BB299" t="str">
        <f t="shared" si="106"/>
        <v/>
      </c>
      <c r="BC299" t="str">
        <f>IF(AZ299=1,IF(S299="","",IF(S299=N144,"Yes","No")),"")</f>
        <v/>
      </c>
      <c r="BD299" t="str">
        <f t="shared" si="107"/>
        <v/>
      </c>
      <c r="BE299" t="str">
        <f t="shared" si="108"/>
        <v/>
      </c>
      <c r="BF299" t="str">
        <f t="shared" si="109"/>
        <v>No</v>
      </c>
      <c r="BG299" t="str">
        <f t="shared" si="110"/>
        <v>No</v>
      </c>
      <c r="BH299" t="str">
        <f t="shared" si="111"/>
        <v/>
      </c>
    </row>
    <row r="300" spans="1:60" x14ac:dyDescent="0.3">
      <c r="A300" s="1">
        <v>8</v>
      </c>
      <c r="B300" t="s">
        <v>757</v>
      </c>
      <c r="C300" t="s">
        <v>2218</v>
      </c>
      <c r="D300" t="s">
        <v>2219</v>
      </c>
      <c r="E300" t="s">
        <v>2220</v>
      </c>
      <c r="F300" t="s">
        <v>2221</v>
      </c>
      <c r="G300" t="s">
        <v>2222</v>
      </c>
      <c r="I300" t="str">
        <f t="shared" si="88"/>
        <v>N/A</v>
      </c>
      <c r="J300">
        <f t="shared" si="89"/>
        <v>10500000</v>
      </c>
      <c r="K300">
        <f t="shared" si="90"/>
        <v>-296170000</v>
      </c>
      <c r="L300">
        <f t="shared" si="91"/>
        <v>5700000</v>
      </c>
      <c r="M300">
        <f t="shared" si="92"/>
        <v>13070000</v>
      </c>
      <c r="N300">
        <f t="shared" si="93"/>
        <v>11140000</v>
      </c>
      <c r="P300">
        <f t="shared" si="94"/>
        <v>13070000</v>
      </c>
      <c r="Q300">
        <f>IFERROR(J144+MATCH(P300,J300:N300,0)-1,"")</f>
        <v>2015</v>
      </c>
      <c r="R300">
        <f t="shared" si="95"/>
        <v>-296170000</v>
      </c>
      <c r="S300">
        <f>IFERROR(J144+MATCH(R300,J300:N300,0)-1,"")</f>
        <v>2013</v>
      </c>
      <c r="T300">
        <f t="shared" si="96"/>
        <v>-51152000</v>
      </c>
      <c r="U300">
        <f t="shared" si="97"/>
        <v>136996074.65179431</v>
      </c>
      <c r="V300">
        <f t="shared" si="98"/>
        <v>0.45002749280738247</v>
      </c>
      <c r="W300">
        <f t="shared" si="99"/>
        <v>-1.7885037992713819</v>
      </c>
      <c r="X300">
        <f t="shared" si="100"/>
        <v>0.41498999255636976</v>
      </c>
      <c r="Y300">
        <f t="shared" si="101"/>
        <v>0.4687871544001122</v>
      </c>
      <c r="Z300">
        <f t="shared" si="102"/>
        <v>0.45469915950751749</v>
      </c>
      <c r="AA300">
        <f t="shared" si="103"/>
        <v>-1.7885037992713819</v>
      </c>
      <c r="AB300">
        <f>IFERROR(V144+MATCH(AA300,V300:Z300,0)-1,"")</f>
        <v>2013</v>
      </c>
      <c r="AC300" t="str">
        <f t="shared" si="104"/>
        <v>Low</v>
      </c>
      <c r="AE300">
        <f>IF(ISNUMBER(MATCH("N/A",J300:N300,0)),"",IFERROR((5 * SUMPRODUCT(J144:N144,J300:N300) - PRODUCT(SUM(J144:N144),SUM(J300:N300))) / ((5 * SUM((J144^2)+(K144^2)+(L144^2)+(M144^2)+(N144^2))) - SUM(J144:N144)^2),""))</f>
        <v>31052000</v>
      </c>
      <c r="AF300">
        <f>IFERROR(CORREL(J144:N144,J300:N300),"")</f>
        <v>0.35838634848893602</v>
      </c>
      <c r="AZ300">
        <f t="shared" si="105"/>
        <v>1</v>
      </c>
      <c r="BA300" t="str">
        <f>IF(AZ300=1,IF(Q300="","",IF(Q300=N144,"Yes","No")),"")</f>
        <v>No</v>
      </c>
      <c r="BB300" t="str">
        <f t="shared" si="106"/>
        <v/>
      </c>
      <c r="BC300" t="str">
        <f>IF(AZ300=1,IF(S300="","",IF(S300=N144,"Yes","No")),"")</f>
        <v>No</v>
      </c>
      <c r="BD300" t="str">
        <f t="shared" si="107"/>
        <v/>
      </c>
      <c r="BE300" t="str">
        <f t="shared" si="108"/>
        <v>Increasing</v>
      </c>
      <c r="BF300" t="str">
        <f t="shared" si="109"/>
        <v>No</v>
      </c>
      <c r="BG300" t="str">
        <f t="shared" si="110"/>
        <v>No</v>
      </c>
      <c r="BH300" t="str">
        <f t="shared" si="111"/>
        <v>No</v>
      </c>
    </row>
    <row r="301" spans="1:60" x14ac:dyDescent="0.3">
      <c r="A301" s="1">
        <v>9</v>
      </c>
      <c r="B301" t="s">
        <v>763</v>
      </c>
      <c r="C301" t="s">
        <v>2223</v>
      </c>
      <c r="D301" t="s">
        <v>2224</v>
      </c>
      <c r="E301" t="s">
        <v>2225</v>
      </c>
      <c r="F301" t="s">
        <v>2226</v>
      </c>
      <c r="G301" t="s">
        <v>2227</v>
      </c>
      <c r="I301" t="str">
        <f t="shared" si="88"/>
        <v>N/A</v>
      </c>
      <c r="J301">
        <f t="shared" si="89"/>
        <v>172560000</v>
      </c>
      <c r="K301">
        <f t="shared" si="90"/>
        <v>42830000</v>
      </c>
      <c r="L301">
        <f t="shared" si="91"/>
        <v>195620000</v>
      </c>
      <c r="M301">
        <f t="shared" si="92"/>
        <v>215820000</v>
      </c>
      <c r="N301">
        <f t="shared" si="93"/>
        <v>224690000</v>
      </c>
      <c r="P301">
        <f t="shared" si="94"/>
        <v>224690000</v>
      </c>
      <c r="Q301">
        <f>IFERROR(J144+MATCH(P301,J301:N301,0)-1,"")</f>
        <v>2016</v>
      </c>
      <c r="R301">
        <f t="shared" si="95"/>
        <v>42830000</v>
      </c>
      <c r="S301">
        <f>IFERROR(J144+MATCH(R301,J301:N301,0)-1,"")</f>
        <v>2013</v>
      </c>
      <c r="T301">
        <f t="shared" si="96"/>
        <v>170304000</v>
      </c>
      <c r="U301">
        <f t="shared" si="97"/>
        <v>74035723.336778447</v>
      </c>
      <c r="V301">
        <f t="shared" si="98"/>
        <v>3.0471776303687376E-2</v>
      </c>
      <c r="W301">
        <f t="shared" si="99"/>
        <v>-1.7217904310887608</v>
      </c>
      <c r="X301">
        <f t="shared" si="100"/>
        <v>0.34194303586176844</v>
      </c>
      <c r="Y301">
        <f t="shared" si="101"/>
        <v>0.61478429531854373</v>
      </c>
      <c r="Z301">
        <f t="shared" si="102"/>
        <v>0.73459132360476143</v>
      </c>
      <c r="AA301">
        <f t="shared" si="103"/>
        <v>-1.7217904310887608</v>
      </c>
      <c r="AB301">
        <f>IFERROR(V144+MATCH(AA301,V301:Z301,0)-1,"")</f>
        <v>2013</v>
      </c>
      <c r="AC301" t="str">
        <f t="shared" si="104"/>
        <v>Low</v>
      </c>
      <c r="AE301">
        <f>IF(ISNUMBER(MATCH("N/A",J301:N301,0)),"",IFERROR((5 * SUMPRODUCT(J144:N144,J301:N301) - PRODUCT(SUM(J144:N144),SUM(J301:N301))) / ((5 * SUM((J144^2)+(K144^2)+(L144^2)+(M144^2)+(N144^2))) - SUM(J144:N144)^2),""))</f>
        <v>27725000</v>
      </c>
      <c r="AF301">
        <f>IFERROR(CORREL(J144:N144,J301:N301),"")</f>
        <v>0.59210705438339895</v>
      </c>
      <c r="AZ301">
        <f t="shared" si="105"/>
        <v>1</v>
      </c>
      <c r="BA301" t="str">
        <f>IF(AZ301=1,IF(Q301="","",IF(Q301=N144,"Yes","No")),"")</f>
        <v>Yes</v>
      </c>
      <c r="BB301">
        <f t="shared" si="106"/>
        <v>224690000</v>
      </c>
      <c r="BC301" t="str">
        <f>IF(AZ301=1,IF(S301="","",IF(S301=N144,"Yes","No")),"")</f>
        <v>No</v>
      </c>
      <c r="BD301" t="str">
        <f t="shared" si="107"/>
        <v/>
      </c>
      <c r="BE301" t="str">
        <f t="shared" si="108"/>
        <v>Increasing</v>
      </c>
      <c r="BF301" t="str">
        <f t="shared" si="109"/>
        <v>Yes</v>
      </c>
      <c r="BG301" t="str">
        <f t="shared" si="110"/>
        <v>No</v>
      </c>
      <c r="BH301" t="str">
        <f t="shared" si="111"/>
        <v>No</v>
      </c>
    </row>
    <row r="302" spans="1:60" x14ac:dyDescent="0.3">
      <c r="A302" s="1">
        <v>10</v>
      </c>
      <c r="B302" t="s">
        <v>767</v>
      </c>
      <c r="C302" t="s">
        <v>264</v>
      </c>
      <c r="D302" t="s">
        <v>264</v>
      </c>
      <c r="E302" t="s">
        <v>264</v>
      </c>
      <c r="F302" t="s">
        <v>264</v>
      </c>
      <c r="G302" t="s">
        <v>264</v>
      </c>
      <c r="I302" t="str">
        <f t="shared" si="88"/>
        <v>N/A</v>
      </c>
      <c r="J302" t="str">
        <f t="shared" si="89"/>
        <v>N/A</v>
      </c>
      <c r="K302" t="str">
        <f t="shared" si="90"/>
        <v>N/A</v>
      </c>
      <c r="L302" t="str">
        <f t="shared" si="91"/>
        <v>N/A</v>
      </c>
      <c r="M302" t="str">
        <f t="shared" si="92"/>
        <v>N/A</v>
      </c>
      <c r="N302" t="str">
        <f t="shared" si="93"/>
        <v>N/A</v>
      </c>
      <c r="P302">
        <f t="shared" si="94"/>
        <v>0</v>
      </c>
      <c r="Q302" t="str">
        <f>IFERROR(J144+MATCH(P302,J302:N302,0)-1,"")</f>
        <v/>
      </c>
      <c r="R302" t="str">
        <f t="shared" si="95"/>
        <v/>
      </c>
      <c r="S302" t="str">
        <f>IFERROR(J144+MATCH(R302,J302:N302,0)-1,"")</f>
        <v/>
      </c>
      <c r="T302" t="str">
        <f t="shared" si="96"/>
        <v/>
      </c>
      <c r="U302" t="str">
        <f t="shared" si="97"/>
        <v/>
      </c>
      <c r="V302" t="str">
        <f t="shared" si="98"/>
        <v/>
      </c>
      <c r="W302" t="str">
        <f t="shared" si="99"/>
        <v/>
      </c>
      <c r="X302" t="str">
        <f t="shared" si="100"/>
        <v/>
      </c>
      <c r="Y302" t="str">
        <f t="shared" si="101"/>
        <v/>
      </c>
      <c r="Z302" t="str">
        <f t="shared" si="102"/>
        <v/>
      </c>
      <c r="AA302">
        <f t="shared" si="103"/>
        <v>0</v>
      </c>
      <c r="AB302" t="str">
        <f>IFERROR(V144+MATCH(AA302,V302:Z302,0)-1,"")</f>
        <v/>
      </c>
      <c r="AC302" t="str">
        <f t="shared" si="104"/>
        <v/>
      </c>
      <c r="AE302" t="str">
        <f>IF(ISNUMBER(MATCH("N/A",J302:N302,0)),"",IFERROR((5 * SUMPRODUCT(J144:N144,J302:N302) - PRODUCT(SUM(J144:N144),SUM(J302:N302))) / ((5 * SUM((J144^2)+(K144^2)+(L144^2)+(M144^2)+(N144^2))) - SUM(J144:N144)^2),""))</f>
        <v/>
      </c>
      <c r="AF302" t="str">
        <f>IFERROR(CORREL(J144:N144,J302:N302),"")</f>
        <v/>
      </c>
      <c r="AZ302">
        <f t="shared" si="105"/>
        <v>0</v>
      </c>
      <c r="BA302" t="str">
        <f>IF(AZ302=1,IF(Q302="","",IF(Q302=N144,"Yes","No")),"")</f>
        <v/>
      </c>
      <c r="BB302" t="str">
        <f t="shared" si="106"/>
        <v/>
      </c>
      <c r="BC302" t="str">
        <f>IF(AZ302=1,IF(S302="","",IF(S302=N144,"Yes","No")),"")</f>
        <v/>
      </c>
      <c r="BD302" t="str">
        <f t="shared" si="107"/>
        <v/>
      </c>
      <c r="BE302" t="str">
        <f t="shared" si="108"/>
        <v/>
      </c>
      <c r="BF302" t="str">
        <f t="shared" si="109"/>
        <v>No</v>
      </c>
      <c r="BG302" t="str">
        <f t="shared" si="110"/>
        <v>No</v>
      </c>
      <c r="BH302" t="str">
        <f t="shared" si="111"/>
        <v/>
      </c>
    </row>
    <row r="303" spans="1:60" x14ac:dyDescent="0.3">
      <c r="A303" s="1">
        <v>11</v>
      </c>
      <c r="B303" t="s">
        <v>768</v>
      </c>
      <c r="C303" t="s">
        <v>2228</v>
      </c>
      <c r="D303" t="s">
        <v>2229</v>
      </c>
      <c r="E303" t="s">
        <v>2230</v>
      </c>
      <c r="F303" t="s">
        <v>2231</v>
      </c>
      <c r="G303" t="s">
        <v>2232</v>
      </c>
      <c r="I303" t="str">
        <f t="shared" si="88"/>
        <v>N/A</v>
      </c>
      <c r="J303">
        <f t="shared" si="89"/>
        <v>-36180000</v>
      </c>
      <c r="K303">
        <f t="shared" si="90"/>
        <v>-32740000.000000004</v>
      </c>
      <c r="L303">
        <f t="shared" si="91"/>
        <v>-8720000</v>
      </c>
      <c r="M303">
        <f t="shared" si="92"/>
        <v>-5920000</v>
      </c>
      <c r="N303">
        <f t="shared" si="93"/>
        <v>-7040000</v>
      </c>
      <c r="P303">
        <f t="shared" si="94"/>
        <v>-5920000</v>
      </c>
      <c r="Q303">
        <f>IFERROR(J144+MATCH(P303,J303:N303,0)-1,"")</f>
        <v>2015</v>
      </c>
      <c r="R303">
        <f t="shared" si="95"/>
        <v>-36180000</v>
      </c>
      <c r="S303">
        <f>IFERROR(J144+MATCH(R303,J303:N303,0)-1,"")</f>
        <v>2012</v>
      </c>
      <c r="T303">
        <f t="shared" si="96"/>
        <v>-18120000</v>
      </c>
      <c r="U303">
        <f t="shared" si="97"/>
        <v>14998953.296813749</v>
      </c>
      <c r="V303">
        <f t="shared" si="98"/>
        <v>-1.2040840212387696</v>
      </c>
      <c r="W303">
        <f t="shared" si="99"/>
        <v>-0.97473468385995665</v>
      </c>
      <c r="X303">
        <f t="shared" si="100"/>
        <v>0.62671039865140832</v>
      </c>
      <c r="Y303">
        <f t="shared" si="101"/>
        <v>0.81339009186672151</v>
      </c>
      <c r="Z303">
        <f t="shared" si="102"/>
        <v>0.73871821458059617</v>
      </c>
      <c r="AA303">
        <f t="shared" si="103"/>
        <v>-1.2040840212387696</v>
      </c>
      <c r="AB303">
        <f>IFERROR(V144+MATCH(AA303,V303:Z303,0)-1,"")</f>
        <v>2012</v>
      </c>
      <c r="AC303" t="str">
        <f t="shared" si="104"/>
        <v>Low</v>
      </c>
      <c r="AE303">
        <f>IF(ISNUMBER(MATCH("N/A",J303:N303,0)),"",IFERROR((5 * SUMPRODUCT(J144:N144,J303:N303) - PRODUCT(SUM(J144:N144),SUM(J303:N303))) / ((5 * SUM((J144^2)+(K144^2)+(L144^2)+(M144^2)+(N144^2))) - SUM(J144:N144)^2),""))</f>
        <v>8510000</v>
      </c>
      <c r="AF303">
        <f>IFERROR(CORREL(J144:N144,J303:N303),"")</f>
        <v>0.89709536243937926</v>
      </c>
      <c r="AZ303">
        <f t="shared" si="105"/>
        <v>1</v>
      </c>
      <c r="BA303" t="str">
        <f>IF(AZ303=1,IF(Q303="","",IF(Q303=N144,"Yes","No")),"")</f>
        <v>No</v>
      </c>
      <c r="BB303" t="str">
        <f t="shared" si="106"/>
        <v/>
      </c>
      <c r="BC303" t="str">
        <f>IF(AZ303=1,IF(S303="","",IF(S303=N144,"Yes","No")),"")</f>
        <v>No</v>
      </c>
      <c r="BD303" t="str">
        <f t="shared" si="107"/>
        <v/>
      </c>
      <c r="BE303" t="str">
        <f t="shared" si="108"/>
        <v>Increasing</v>
      </c>
      <c r="BF303" t="str">
        <f t="shared" si="109"/>
        <v>No</v>
      </c>
      <c r="BG303" t="str">
        <f t="shared" si="110"/>
        <v>No</v>
      </c>
      <c r="BH303" t="str">
        <f t="shared" si="111"/>
        <v>Yes</v>
      </c>
    </row>
    <row r="304" spans="1:60" x14ac:dyDescent="0.3">
      <c r="A304" s="1">
        <v>12</v>
      </c>
      <c r="B304" t="s">
        <v>774</v>
      </c>
      <c r="C304" t="s">
        <v>2233</v>
      </c>
      <c r="D304" t="s">
        <v>2234</v>
      </c>
      <c r="E304" t="s">
        <v>2235</v>
      </c>
      <c r="F304" t="s">
        <v>2236</v>
      </c>
      <c r="G304" t="s">
        <v>2237</v>
      </c>
      <c r="I304" t="str">
        <f t="shared" si="88"/>
        <v>N/A</v>
      </c>
      <c r="J304">
        <f t="shared" si="89"/>
        <v>-4160000</v>
      </c>
      <c r="K304">
        <f t="shared" si="90"/>
        <v>-23760000</v>
      </c>
      <c r="L304">
        <f t="shared" si="91"/>
        <v>-21370000</v>
      </c>
      <c r="M304">
        <f t="shared" si="92"/>
        <v>14030000</v>
      </c>
      <c r="N304">
        <f t="shared" si="93"/>
        <v>-23060000</v>
      </c>
      <c r="P304">
        <f t="shared" si="94"/>
        <v>14030000</v>
      </c>
      <c r="Q304">
        <f>IFERROR(J144+MATCH(P304,J304:N304,0)-1,"")</f>
        <v>2015</v>
      </c>
      <c r="R304">
        <f t="shared" si="95"/>
        <v>-23760000</v>
      </c>
      <c r="S304">
        <f>IFERROR(J144+MATCH(R304,J304:N304,0)-1,"")</f>
        <v>2013</v>
      </c>
      <c r="T304">
        <f t="shared" si="96"/>
        <v>-11664000</v>
      </c>
      <c r="U304">
        <f t="shared" si="97"/>
        <v>16483932.479842303</v>
      </c>
      <c r="V304">
        <f t="shared" si="98"/>
        <v>0.45523117794715623</v>
      </c>
      <c r="W304">
        <f t="shared" si="99"/>
        <v>-0.73380548087004294</v>
      </c>
      <c r="X304">
        <f t="shared" si="100"/>
        <v>-0.58881580665712929</v>
      </c>
      <c r="Y304">
        <f t="shared" si="101"/>
        <v>1.5587299954923017</v>
      </c>
      <c r="Z304">
        <f t="shared" si="102"/>
        <v>-0.69133988591228579</v>
      </c>
      <c r="AA304">
        <f t="shared" si="103"/>
        <v>1.5587299954923017</v>
      </c>
      <c r="AB304">
        <f>IFERROR(V144+MATCH(AA304,V304:Z304,0)-1,"")</f>
        <v>2015</v>
      </c>
      <c r="AC304" t="str">
        <f t="shared" si="104"/>
        <v>High</v>
      </c>
      <c r="AE304">
        <f>IF(ISNUMBER(MATCH("N/A",J304:N304,0)),"",IFERROR((5 * SUMPRODUCT(J144:N144,J304:N304) - PRODUCT(SUM(J144:N144),SUM(J304:N304))) / ((5 * SUM((J144^2)+(K144^2)+(L144^2)+(M144^2)+(N144^2))) - SUM(J144:N144)^2),""))</f>
        <v>-1000</v>
      </c>
      <c r="AF304">
        <f>IFERROR(CORREL(J144:N144,J304:N304),"")</f>
        <v>-9.5920001614767351E-5</v>
      </c>
      <c r="AZ304">
        <f t="shared" si="105"/>
        <v>1</v>
      </c>
      <c r="BA304" t="str">
        <f>IF(AZ304=1,IF(Q304="","",IF(Q304=N144,"Yes","No")),"")</f>
        <v>No</v>
      </c>
      <c r="BB304" t="str">
        <f t="shared" si="106"/>
        <v/>
      </c>
      <c r="BC304" t="str">
        <f>IF(AZ304=1,IF(S304="","",IF(S304=N144,"Yes","No")),"")</f>
        <v>No</v>
      </c>
      <c r="BD304" t="str">
        <f t="shared" si="107"/>
        <v/>
      </c>
      <c r="BE304" t="str">
        <f t="shared" si="108"/>
        <v>Decreasing</v>
      </c>
      <c r="BF304" t="str">
        <f t="shared" si="109"/>
        <v>No</v>
      </c>
      <c r="BG304" t="str">
        <f t="shared" si="110"/>
        <v>No</v>
      </c>
      <c r="BH304" t="str">
        <f t="shared" si="111"/>
        <v>No</v>
      </c>
    </row>
    <row r="305" spans="1:60" x14ac:dyDescent="0.3">
      <c r="A305" s="1">
        <v>13</v>
      </c>
      <c r="B305" t="s">
        <v>630</v>
      </c>
      <c r="C305" t="s">
        <v>2238</v>
      </c>
      <c r="D305" t="s">
        <v>2239</v>
      </c>
      <c r="E305" t="s">
        <v>2240</v>
      </c>
      <c r="F305" t="s">
        <v>2241</v>
      </c>
      <c r="G305" t="s">
        <v>2242</v>
      </c>
      <c r="I305" t="str">
        <f t="shared" si="88"/>
        <v>N/A</v>
      </c>
      <c r="J305">
        <f t="shared" si="89"/>
        <v>-5490000</v>
      </c>
      <c r="K305">
        <f t="shared" si="90"/>
        <v>2380000</v>
      </c>
      <c r="L305">
        <f t="shared" si="91"/>
        <v>8119999.9999999991</v>
      </c>
      <c r="M305">
        <f t="shared" si="92"/>
        <v>-2940000</v>
      </c>
      <c r="N305">
        <f t="shared" si="93"/>
        <v>11780000</v>
      </c>
      <c r="P305">
        <f t="shared" si="94"/>
        <v>11780000</v>
      </c>
      <c r="Q305">
        <f>IFERROR(J144+MATCH(P305,J305:N305,0)-1,"")</f>
        <v>2016</v>
      </c>
      <c r="R305">
        <f t="shared" si="95"/>
        <v>-5490000</v>
      </c>
      <c r="S305">
        <f>IFERROR(J144+MATCH(R305,J305:N305,0)-1,"")</f>
        <v>2012</v>
      </c>
      <c r="T305">
        <f t="shared" si="96"/>
        <v>2770000</v>
      </c>
      <c r="U305">
        <f t="shared" si="97"/>
        <v>7259242.3847120572</v>
      </c>
      <c r="V305">
        <f t="shared" si="98"/>
        <v>-1.1378597878747698</v>
      </c>
      <c r="W305">
        <f t="shared" si="99"/>
        <v>-5.3724614681738531E-2</v>
      </c>
      <c r="X305">
        <f t="shared" si="100"/>
        <v>0.73699150909564382</v>
      </c>
      <c r="Y305">
        <f t="shared" si="101"/>
        <v>-0.78658346110955646</v>
      </c>
      <c r="Z305">
        <f t="shared" si="102"/>
        <v>1.2411763545704209</v>
      </c>
      <c r="AA305">
        <f t="shared" si="103"/>
        <v>1.2411763545704209</v>
      </c>
      <c r="AB305">
        <f>IFERROR(V144+MATCH(AA305,V305:Z305,0)-1,"")</f>
        <v>2016</v>
      </c>
      <c r="AC305" t="str">
        <f t="shared" si="104"/>
        <v>High</v>
      </c>
      <c r="AE305">
        <f>IF(ISNUMBER(MATCH("N/A",J305:N305,0)),"",IFERROR((5 * SUMPRODUCT(J144:N144,J305:N305) - PRODUCT(SUM(J144:N144),SUM(J305:N305))) / ((5 * SUM((J144^2)+(K144^2)+(L144^2)+(M144^2)+(N144^2))) - SUM(J144:N144)^2),""))</f>
        <v>2922000</v>
      </c>
      <c r="AF305">
        <f>IFERROR(CORREL(J144:N144,J305:N305),"")</f>
        <v>0.63644212669298561</v>
      </c>
      <c r="AZ305">
        <f t="shared" si="105"/>
        <v>1</v>
      </c>
      <c r="BA305" t="str">
        <f>IF(AZ305=1,IF(Q305="","",IF(Q305=N144,"Yes","No")),"")</f>
        <v>Yes</v>
      </c>
      <c r="BB305">
        <f t="shared" si="106"/>
        <v>11780000</v>
      </c>
      <c r="BC305" t="str">
        <f>IF(AZ305=1,IF(S305="","",IF(S305=N144,"Yes","No")),"")</f>
        <v>No</v>
      </c>
      <c r="BD305" t="str">
        <f t="shared" si="107"/>
        <v/>
      </c>
      <c r="BE305" t="str">
        <f t="shared" si="108"/>
        <v>Increasing</v>
      </c>
      <c r="BF305" t="str">
        <f t="shared" si="109"/>
        <v>Yes</v>
      </c>
      <c r="BG305" t="str">
        <f t="shared" si="110"/>
        <v>No</v>
      </c>
      <c r="BH305" t="str">
        <f t="shared" si="111"/>
        <v>No</v>
      </c>
    </row>
    <row r="306" spans="1:60" x14ac:dyDescent="0.3">
      <c r="A306" s="1">
        <v>14</v>
      </c>
      <c r="B306" t="s">
        <v>784</v>
      </c>
      <c r="C306" t="s">
        <v>2243</v>
      </c>
      <c r="D306" t="s">
        <v>2244</v>
      </c>
      <c r="E306" t="s">
        <v>2245</v>
      </c>
      <c r="F306" t="s">
        <v>2246</v>
      </c>
      <c r="G306" t="s">
        <v>2247</v>
      </c>
      <c r="I306" t="str">
        <f t="shared" si="88"/>
        <v>N/A</v>
      </c>
      <c r="J306">
        <f t="shared" si="89"/>
        <v>-22270000</v>
      </c>
      <c r="K306">
        <f t="shared" si="90"/>
        <v>-3540000</v>
      </c>
      <c r="L306">
        <f t="shared" si="91"/>
        <v>-9790000</v>
      </c>
      <c r="M306">
        <f t="shared" si="92"/>
        <v>1010000</v>
      </c>
      <c r="N306">
        <f t="shared" si="93"/>
        <v>-13580000</v>
      </c>
      <c r="P306">
        <f t="shared" si="94"/>
        <v>1010000</v>
      </c>
      <c r="Q306">
        <f>IFERROR(J144+MATCH(P306,J306:N306,0)-1,"")</f>
        <v>2015</v>
      </c>
      <c r="R306">
        <f t="shared" si="95"/>
        <v>-22270000</v>
      </c>
      <c r="S306">
        <f>IFERROR(J144+MATCH(R306,J306:N306,0)-1,"")</f>
        <v>2012</v>
      </c>
      <c r="T306">
        <f t="shared" si="96"/>
        <v>-9634000</v>
      </c>
      <c r="U306">
        <f t="shared" si="97"/>
        <v>9023515.3903564662</v>
      </c>
      <c r="V306">
        <f t="shared" si="98"/>
        <v>-1.4003411590015391</v>
      </c>
      <c r="W306">
        <f t="shared" si="99"/>
        <v>0.67534655135765909</v>
      </c>
      <c r="X306">
        <f t="shared" si="100"/>
        <v>-1.7288162456809125E-2</v>
      </c>
      <c r="Y306">
        <f t="shared" si="101"/>
        <v>1.1795846230145919</v>
      </c>
      <c r="Z306">
        <f t="shared" si="102"/>
        <v>-0.43730185291390261</v>
      </c>
      <c r="AA306">
        <f t="shared" si="103"/>
        <v>-1.4003411590015391</v>
      </c>
      <c r="AB306">
        <f>IFERROR(V144+MATCH(AA306,V306:Z306,0)-1,"")</f>
        <v>2012</v>
      </c>
      <c r="AC306" t="str">
        <f t="shared" si="104"/>
        <v>Low</v>
      </c>
      <c r="AE306">
        <f>IF(ISNUMBER(MATCH("N/A",J306:N306,0)),"",IFERROR((5 * SUMPRODUCT(J144:N144,J306:N306) - PRODUCT(SUM(J144:N144),SUM(J306:N306))) / ((5 * SUM((J144^2)+(K144^2)+(L144^2)+(M144^2)+(N144^2))) - SUM(J144:N144)^2),""))</f>
        <v>2193000</v>
      </c>
      <c r="AF306">
        <f>IFERROR(CORREL(J144:N144,J306:N306),"")</f>
        <v>0.38426680782085415</v>
      </c>
      <c r="AZ306">
        <f t="shared" si="105"/>
        <v>1</v>
      </c>
      <c r="BA306" t="str">
        <f>IF(AZ306=1,IF(Q306="","",IF(Q306=N144,"Yes","No")),"")</f>
        <v>No</v>
      </c>
      <c r="BB306" t="str">
        <f t="shared" si="106"/>
        <v/>
      </c>
      <c r="BC306" t="str">
        <f>IF(AZ306=1,IF(S306="","",IF(S306=N144,"Yes","No")),"")</f>
        <v>No</v>
      </c>
      <c r="BD306" t="str">
        <f t="shared" si="107"/>
        <v/>
      </c>
      <c r="BE306" t="str">
        <f t="shared" si="108"/>
        <v>Increasing</v>
      </c>
      <c r="BF306" t="str">
        <f t="shared" si="109"/>
        <v>No</v>
      </c>
      <c r="BG306" t="str">
        <f t="shared" si="110"/>
        <v>No</v>
      </c>
      <c r="BH306" t="str">
        <f t="shared" si="111"/>
        <v>No</v>
      </c>
    </row>
    <row r="307" spans="1:60" x14ac:dyDescent="0.3">
      <c r="A307" s="1">
        <v>15</v>
      </c>
      <c r="B307" t="s">
        <v>790</v>
      </c>
      <c r="C307" t="s">
        <v>329</v>
      </c>
      <c r="D307" t="s">
        <v>2248</v>
      </c>
      <c r="E307" t="s">
        <v>2249</v>
      </c>
      <c r="F307" t="s">
        <v>2250</v>
      </c>
      <c r="G307" t="s">
        <v>2251</v>
      </c>
      <c r="I307" t="str">
        <f t="shared" si="88"/>
        <v>N/A</v>
      </c>
      <c r="J307">
        <f t="shared" si="89"/>
        <v>136380000</v>
      </c>
      <c r="K307">
        <f t="shared" si="90"/>
        <v>10090000</v>
      </c>
      <c r="L307">
        <f t="shared" si="91"/>
        <v>186900000</v>
      </c>
      <c r="M307">
        <f t="shared" si="92"/>
        <v>209900000</v>
      </c>
      <c r="N307">
        <f t="shared" si="93"/>
        <v>217650000</v>
      </c>
      <c r="P307">
        <f t="shared" si="94"/>
        <v>217650000</v>
      </c>
      <c r="Q307">
        <f>IFERROR(J144+MATCH(P307,J307:N307,0)-1,"")</f>
        <v>2016</v>
      </c>
      <c r="R307">
        <f t="shared" si="95"/>
        <v>10090000</v>
      </c>
      <c r="S307">
        <f>IFERROR(J144+MATCH(R307,J307:N307,0)-1,"")</f>
        <v>2013</v>
      </c>
      <c r="T307">
        <f t="shared" si="96"/>
        <v>152184000</v>
      </c>
      <c r="U307">
        <f t="shared" si="97"/>
        <v>85531581.477253184</v>
      </c>
      <c r="V307">
        <f t="shared" si="98"/>
        <v>-0.18477385460483994</v>
      </c>
      <c r="W307">
        <f t="shared" si="99"/>
        <v>-1.6613044859668518</v>
      </c>
      <c r="X307">
        <f t="shared" si="100"/>
        <v>0.40588516429142135</v>
      </c>
      <c r="Y307">
        <f t="shared" si="101"/>
        <v>0.67479168516659971</v>
      </c>
      <c r="Z307">
        <f t="shared" si="102"/>
        <v>0.76540149111367062</v>
      </c>
      <c r="AA307">
        <f t="shared" si="103"/>
        <v>-1.6613044859668518</v>
      </c>
      <c r="AB307">
        <f>IFERROR(V144+MATCH(AA307,V307:Z307,0)-1,"")</f>
        <v>2013</v>
      </c>
      <c r="AC307" t="str">
        <f t="shared" si="104"/>
        <v>Low</v>
      </c>
      <c r="AE307">
        <f>IF(ISNUMBER(MATCH("N/A",J307:N307,0)),"",IFERROR((5 * SUMPRODUCT(J144:N144,J307:N307) - PRODUCT(SUM(J144:N144),SUM(J307:N307))) / ((5 * SUM((J144^2)+(K144^2)+(L144^2)+(M144^2)+(N144^2))) - SUM(J144:N144)^2),""))</f>
        <v>36235000</v>
      </c>
      <c r="AF307">
        <f>IFERROR(CORREL(J144:N144,J307:N307),"")</f>
        <v>0.66984106359985129</v>
      </c>
      <c r="AZ307">
        <f t="shared" si="105"/>
        <v>1</v>
      </c>
      <c r="BA307" t="str">
        <f>IF(AZ307=1,IF(Q307="","",IF(Q307=N144,"Yes","No")),"")</f>
        <v>Yes</v>
      </c>
      <c r="BB307">
        <f t="shared" si="106"/>
        <v>217650000</v>
      </c>
      <c r="BC307" t="str">
        <f>IF(AZ307=1,IF(S307="","",IF(S307=N144,"Yes","No")),"")</f>
        <v>No</v>
      </c>
      <c r="BD307" t="str">
        <f t="shared" si="107"/>
        <v/>
      </c>
      <c r="BE307" t="str">
        <f t="shared" si="108"/>
        <v>Increasing</v>
      </c>
      <c r="BF307" t="str">
        <f t="shared" si="109"/>
        <v>Yes</v>
      </c>
      <c r="BG307" t="str">
        <f t="shared" si="110"/>
        <v>No</v>
      </c>
      <c r="BH307" t="str">
        <f t="shared" si="111"/>
        <v>No</v>
      </c>
    </row>
    <row r="308" spans="1:60" x14ac:dyDescent="0.3">
      <c r="A308" s="1">
        <v>16</v>
      </c>
      <c r="B308" t="s">
        <v>796</v>
      </c>
      <c r="C308" t="s">
        <v>264</v>
      </c>
      <c r="D308" t="s">
        <v>2252</v>
      </c>
      <c r="E308" t="s">
        <v>2253</v>
      </c>
      <c r="F308" t="s">
        <v>2254</v>
      </c>
      <c r="G308" t="s">
        <v>121</v>
      </c>
      <c r="I308" t="str">
        <f t="shared" si="88"/>
        <v>N/A</v>
      </c>
      <c r="J308" t="str">
        <f t="shared" si="89"/>
        <v>N/A</v>
      </c>
      <c r="K308">
        <f t="shared" si="90"/>
        <v>-0.92599999999999993</v>
      </c>
      <c r="L308">
        <f t="shared" si="91"/>
        <v>17.523099999999999</v>
      </c>
      <c r="M308">
        <f t="shared" si="92"/>
        <v>0.12300000000000001</v>
      </c>
      <c r="N308">
        <f t="shared" si="93"/>
        <v>3.6900000000000002E-2</v>
      </c>
      <c r="P308">
        <f t="shared" si="94"/>
        <v>17.523099999999999</v>
      </c>
      <c r="Q308">
        <f>IFERROR(J144+MATCH(P308,J308:N308,0)-1,"")</f>
        <v>2014</v>
      </c>
      <c r="R308">
        <f t="shared" si="95"/>
        <v>-0.92599999999999993</v>
      </c>
      <c r="S308">
        <f>IFERROR(J144+MATCH(R308,J308:N308,0)-1,"")</f>
        <v>2013</v>
      </c>
      <c r="T308">
        <f t="shared" si="96"/>
        <v>4.1892500000000004</v>
      </c>
      <c r="U308">
        <f t="shared" si="97"/>
        <v>8.90194244664238</v>
      </c>
      <c r="V308" t="str">
        <f t="shared" si="98"/>
        <v/>
      </c>
      <c r="W308">
        <f t="shared" si="99"/>
        <v>-0.574621778410774</v>
      </c>
      <c r="X308">
        <f t="shared" si="100"/>
        <v>1.4978584820023453</v>
      </c>
      <c r="Y308">
        <f t="shared" si="101"/>
        <v>-0.45678232861791884</v>
      </c>
      <c r="Z308">
        <f t="shared" si="102"/>
        <v>-0.46645437497365272</v>
      </c>
      <c r="AA308">
        <f t="shared" si="103"/>
        <v>1.4978584820023453</v>
      </c>
      <c r="AB308">
        <f>IFERROR(V144+MATCH(AA308,V308:Z308,0)-1,"")</f>
        <v>2014</v>
      </c>
      <c r="AC308" t="str">
        <f t="shared" si="104"/>
        <v>High</v>
      </c>
      <c r="AE308" t="str">
        <f>IF(ISNUMBER(MATCH("N/A",J308:N308,0)),"",IFERROR((5 * SUMPRODUCT(J144:N144,J308:N308) - PRODUCT(SUM(J144:N144),SUM(J308:N308))) / ((5 * SUM((J144^2)+(K144^2)+(L144^2)+(M144^2)+(N144^2))) - SUM(J144:N144)^2),""))</f>
        <v/>
      </c>
      <c r="AF308">
        <f>IFERROR(CORREL(J144:N144,J308:N308),"")</f>
        <v>-0.21044998836687465</v>
      </c>
      <c r="AZ308">
        <f t="shared" si="105"/>
        <v>1</v>
      </c>
      <c r="BA308" t="str">
        <f>IF(AZ308=1,IF(Q308="","",IF(Q308=N144,"Yes","No")),"")</f>
        <v>No</v>
      </c>
      <c r="BB308" t="str">
        <f t="shared" si="106"/>
        <v/>
      </c>
      <c r="BC308" t="str">
        <f>IF(AZ308=1,IF(S308="","",IF(S308=N144,"Yes","No")),"")</f>
        <v>No</v>
      </c>
      <c r="BD308" t="str">
        <f t="shared" si="107"/>
        <v/>
      </c>
      <c r="BE308" t="str">
        <f t="shared" si="108"/>
        <v/>
      </c>
      <c r="BF308" t="str">
        <f t="shared" si="109"/>
        <v>No</v>
      </c>
      <c r="BG308" t="str">
        <f t="shared" si="110"/>
        <v>No</v>
      </c>
      <c r="BH308" t="str">
        <f t="shared" si="111"/>
        <v>No</v>
      </c>
    </row>
    <row r="309" spans="1:60" x14ac:dyDescent="0.3">
      <c r="A309" s="1">
        <v>17</v>
      </c>
      <c r="B309" t="s">
        <v>801</v>
      </c>
      <c r="C309" t="s">
        <v>2255</v>
      </c>
      <c r="D309" t="s">
        <v>2256</v>
      </c>
      <c r="E309" t="s">
        <v>2257</v>
      </c>
      <c r="F309" t="s">
        <v>2258</v>
      </c>
      <c r="G309" t="s">
        <v>2259</v>
      </c>
      <c r="I309" t="str">
        <f t="shared" si="88"/>
        <v>N/A</v>
      </c>
      <c r="J309">
        <f t="shared" si="89"/>
        <v>0.1109</v>
      </c>
      <c r="K309">
        <f t="shared" si="90"/>
        <v>9.1999999999999998E-3</v>
      </c>
      <c r="L309">
        <f t="shared" si="91"/>
        <v>0.14810000000000001</v>
      </c>
      <c r="M309">
        <f t="shared" si="92"/>
        <v>0.1757</v>
      </c>
      <c r="N309">
        <f t="shared" si="93"/>
        <v>0.17680000000000001</v>
      </c>
      <c r="P309">
        <f t="shared" si="94"/>
        <v>0.17680000000000001</v>
      </c>
      <c r="Q309">
        <f>IFERROR(J144+MATCH(P309,J309:N309,0)-1,"")</f>
        <v>2016</v>
      </c>
      <c r="R309">
        <f t="shared" si="95"/>
        <v>9.1999999999999998E-3</v>
      </c>
      <c r="S309">
        <f>IFERROR(J144+MATCH(R309,J309:N309,0)-1,"")</f>
        <v>2013</v>
      </c>
      <c r="T309">
        <f t="shared" si="96"/>
        <v>0.12414</v>
      </c>
      <c r="U309">
        <f t="shared" si="97"/>
        <v>6.9627745906355468E-2</v>
      </c>
      <c r="V309">
        <f t="shared" si="98"/>
        <v>-0.19015408049841068</v>
      </c>
      <c r="W309">
        <f t="shared" si="99"/>
        <v>-1.6507787018494955</v>
      </c>
      <c r="X309">
        <f t="shared" si="100"/>
        <v>0.3441156925031662</v>
      </c>
      <c r="Y309">
        <f t="shared" si="101"/>
        <v>0.74050939505272295</v>
      </c>
      <c r="Z309">
        <f t="shared" si="102"/>
        <v>0.75630769479201709</v>
      </c>
      <c r="AA309">
        <f t="shared" si="103"/>
        <v>-1.6507787018494955</v>
      </c>
      <c r="AB309">
        <f>IFERROR(V144+MATCH(AA309,V309:Z309,0)-1,"")</f>
        <v>2013</v>
      </c>
      <c r="AC309" t="str">
        <f t="shared" si="104"/>
        <v>Low</v>
      </c>
      <c r="AE309">
        <f>IF(ISNUMBER(MATCH("N/A",J309:N309,0)),"",IFERROR((5 * SUMPRODUCT(J144:N144,J309:N309) - PRODUCT(SUM(J144:N144),SUM(J309:N309))) / ((5 * SUM((J144^2)+(K144^2)+(L144^2)+(M144^2)+(N144^2))) - SUM(J144:N144)^2),""))</f>
        <v>2.9830000000001747E-2</v>
      </c>
      <c r="AF309">
        <f>IFERROR(CORREL(J144:N144,J309:N309),"")</f>
        <v>0.67739333921344469</v>
      </c>
      <c r="AZ309">
        <f t="shared" si="105"/>
        <v>1</v>
      </c>
      <c r="BA309" t="str">
        <f>IF(AZ309=1,IF(Q309="","",IF(Q309=N144,"Yes","No")),"")</f>
        <v>Yes</v>
      </c>
      <c r="BB309">
        <f t="shared" si="106"/>
        <v>0.17680000000000001</v>
      </c>
      <c r="BC309" t="str">
        <f>IF(AZ309=1,IF(S309="","",IF(S309=N144,"Yes","No")),"")</f>
        <v>No</v>
      </c>
      <c r="BD309" t="str">
        <f t="shared" si="107"/>
        <v/>
      </c>
      <c r="BE309" t="str">
        <f t="shared" si="108"/>
        <v>Increasing</v>
      </c>
      <c r="BF309" t="str">
        <f t="shared" si="109"/>
        <v>Yes</v>
      </c>
      <c r="BG309" t="str">
        <f t="shared" si="110"/>
        <v>No</v>
      </c>
      <c r="BH309" t="str">
        <f t="shared" si="111"/>
        <v>No</v>
      </c>
    </row>
    <row r="310" spans="1:60" x14ac:dyDescent="0.3">
      <c r="I310" t="str">
        <f t="shared" si="88"/>
        <v>N/A</v>
      </c>
      <c r="J310" t="str">
        <f t="shared" si="89"/>
        <v>N/A</v>
      </c>
      <c r="K310" t="str">
        <f t="shared" si="90"/>
        <v>N/A</v>
      </c>
      <c r="L310" t="str">
        <f t="shared" si="91"/>
        <v>N/A</v>
      </c>
      <c r="M310" t="str">
        <f t="shared" si="92"/>
        <v>N/A</v>
      </c>
      <c r="N310" t="str">
        <f t="shared" si="93"/>
        <v>N/A</v>
      </c>
      <c r="P310">
        <f t="shared" si="94"/>
        <v>0</v>
      </c>
      <c r="Q310" t="str">
        <f>IFERROR(J144+MATCH(P310,J310:N310,0)-1,"")</f>
        <v/>
      </c>
      <c r="R310" t="str">
        <f t="shared" si="95"/>
        <v/>
      </c>
      <c r="S310" t="str">
        <f>IFERROR(J144+MATCH(R310,J310:N310,0)-1,"")</f>
        <v/>
      </c>
      <c r="T310" t="str">
        <f t="shared" si="96"/>
        <v/>
      </c>
      <c r="U310" t="str">
        <f t="shared" si="97"/>
        <v/>
      </c>
      <c r="V310" t="str">
        <f t="shared" si="98"/>
        <v/>
      </c>
      <c r="W310" t="str">
        <f t="shared" si="99"/>
        <v/>
      </c>
      <c r="X310" t="str">
        <f t="shared" si="100"/>
        <v/>
      </c>
      <c r="Y310" t="str">
        <f t="shared" si="101"/>
        <v/>
      </c>
      <c r="Z310" t="str">
        <f t="shared" si="102"/>
        <v/>
      </c>
      <c r="AA310">
        <f t="shared" si="103"/>
        <v>0</v>
      </c>
      <c r="AB310" t="str">
        <f>IFERROR(V144+MATCH(AA310,V310:Z310,0)-1,"")</f>
        <v/>
      </c>
      <c r="AC310" t="str">
        <f t="shared" si="104"/>
        <v/>
      </c>
      <c r="AE310" t="str">
        <f>IF(ISNUMBER(MATCH("N/A",J310:N310,0)),"",IFERROR((5 * SUMPRODUCT(J144:N144,J310:N310) - PRODUCT(SUM(J144:N144),SUM(J310:N310))) / ((5 * SUM((J144^2)+(K144^2)+(L144^2)+(M144^2)+(N144^2))) - SUM(J144:N144)^2),""))</f>
        <v/>
      </c>
      <c r="AF310" t="str">
        <f>IFERROR(CORREL(J144:N144,J310:N310),"")</f>
        <v/>
      </c>
      <c r="AZ310">
        <f t="shared" si="105"/>
        <v>0</v>
      </c>
      <c r="BA310" t="str">
        <f>IF(AZ310=1,IF(Q310="","",IF(Q310=N144,"Yes","No")),"")</f>
        <v/>
      </c>
      <c r="BB310" t="str">
        <f t="shared" si="106"/>
        <v/>
      </c>
      <c r="BC310" t="str">
        <f>IF(AZ310=1,IF(S310="","",IF(S310=N144,"Yes","No")),"")</f>
        <v/>
      </c>
      <c r="BD310" t="str">
        <f t="shared" si="107"/>
        <v/>
      </c>
      <c r="BE310" t="str">
        <f t="shared" si="108"/>
        <v/>
      </c>
      <c r="BF310" t="str">
        <f t="shared" si="109"/>
        <v>No</v>
      </c>
      <c r="BG310" t="str">
        <f t="shared" si="110"/>
        <v>No</v>
      </c>
      <c r="BH310" t="str">
        <f t="shared" si="111"/>
        <v/>
      </c>
    </row>
    <row r="311" spans="1:60" x14ac:dyDescent="0.3">
      <c r="B311" s="1" t="s">
        <v>316</v>
      </c>
      <c r="C311" s="1" t="s">
        <v>252</v>
      </c>
      <c r="D311" s="1" t="s">
        <v>253</v>
      </c>
      <c r="E311" s="1" t="s">
        <v>254</v>
      </c>
      <c r="F311" s="1" t="s">
        <v>255</v>
      </c>
      <c r="G311" s="1" t="s">
        <v>256</v>
      </c>
      <c r="H311" s="1" t="s">
        <v>257</v>
      </c>
      <c r="P311">
        <f t="shared" si="94"/>
        <v>0</v>
      </c>
      <c r="Q311" t="str">
        <f>IFERROR(J144+MATCH(P311,J311:N311,0)-1,"")</f>
        <v/>
      </c>
      <c r="R311" t="str">
        <f t="shared" si="95"/>
        <v/>
      </c>
      <c r="S311" t="str">
        <f>IFERROR(J144+MATCH(R311,J311:N311,0)-1,"")</f>
        <v/>
      </c>
      <c r="T311" t="str">
        <f t="shared" si="96"/>
        <v/>
      </c>
      <c r="U311" t="str">
        <f t="shared" si="97"/>
        <v/>
      </c>
      <c r="V311" t="str">
        <f t="shared" si="98"/>
        <v/>
      </c>
      <c r="W311" t="str">
        <f t="shared" si="99"/>
        <v/>
      </c>
      <c r="X311" t="str">
        <f t="shared" si="100"/>
        <v/>
      </c>
      <c r="Y311" t="str">
        <f t="shared" si="101"/>
        <v/>
      </c>
      <c r="Z311" t="str">
        <f t="shared" si="102"/>
        <v/>
      </c>
      <c r="AA311">
        <f t="shared" si="103"/>
        <v>0</v>
      </c>
      <c r="AB311" t="str">
        <f>IFERROR(V144+MATCH(AA311,V311:Z311,0)-1,"")</f>
        <v/>
      </c>
      <c r="AC311" t="str">
        <f t="shared" si="104"/>
        <v/>
      </c>
      <c r="AE311">
        <f>IF(ISNUMBER(MATCH("N/A",J311:N311,0)),"",IFERROR((5 * SUMPRODUCT(J144:N144,J311:N311) - PRODUCT(SUM(J144:N144),SUM(J311:N311))) / ((5 * SUM((J144^2)+(K144^2)+(L144^2)+(M144^2)+(N144^2))) - SUM(J144:N144)^2),""))</f>
        <v>0</v>
      </c>
      <c r="AF311" t="str">
        <f>IFERROR(CORREL(J144:N144,J311:N311),"")</f>
        <v/>
      </c>
      <c r="AZ311">
        <f t="shared" si="105"/>
        <v>0</v>
      </c>
      <c r="BA311" t="str">
        <f>IF(AZ311=1,IF(Q311="","",IF(Q311=N144,"Yes","No")),"")</f>
        <v/>
      </c>
      <c r="BB311" t="str">
        <f t="shared" si="106"/>
        <v/>
      </c>
      <c r="BC311" t="str">
        <f>IF(AZ311=1,IF(S311="","",IF(S311=N144,"Yes","No")),"")</f>
        <v/>
      </c>
      <c r="BD311" t="str">
        <f t="shared" si="107"/>
        <v/>
      </c>
      <c r="BE311" t="str">
        <f t="shared" si="108"/>
        <v/>
      </c>
      <c r="BF311" t="str">
        <f t="shared" si="109"/>
        <v>No</v>
      </c>
      <c r="BG311" t="str">
        <f t="shared" si="110"/>
        <v>No</v>
      </c>
      <c r="BH311" t="str">
        <f t="shared" si="111"/>
        <v/>
      </c>
    </row>
    <row r="312" spans="1:60" x14ac:dyDescent="0.3">
      <c r="A312" s="1">
        <v>0</v>
      </c>
      <c r="B312" t="s">
        <v>805</v>
      </c>
      <c r="C312" t="s">
        <v>2260</v>
      </c>
      <c r="D312" t="s">
        <v>2261</v>
      </c>
      <c r="E312" t="s">
        <v>2262</v>
      </c>
      <c r="F312" t="s">
        <v>2263</v>
      </c>
      <c r="G312" t="s">
        <v>2264</v>
      </c>
      <c r="I312" t="str">
        <f t="shared" ref="I312:I327" si="112">IF(AND(K312&gt; J312, L312&gt; K312, M312&gt; L312, N312&gt; M312), "pos_trend", IF(AND(K312&lt; J312, L312&lt; K312, M312&lt; L312, N312&lt; M312), "neg_trend", "N/A"))</f>
        <v>N/A</v>
      </c>
      <c r="J312">
        <f t="shared" ref="J312:J327" si="113">IFERROR(IF(TRIM(C312)="-", "N/A", IF(RIGHT(C312,1)=")",IF(RIGHT(C312,2)="T)",-1000000000000*VALUE(MID(C312,2,LEN(C312)-3)),IF(RIGHT(C312,2)="M)",-1000000*VALUE(MID(C312,2,LEN(C312)-3)),IF(RIGHT(C312,2)="B)",-1000000000*VALUE(MID(C312,2,LEN(C312)-3)),IF(RIGHT(C312,2)="k)",-1000*VALUE(MID(C312,2,LEN(C312)-3)),VALUE(SUBSTITUTE(C312,",","")))))),IF(RIGHT(C312,1)="T",1000000000000*VALUE(LEFT(C312,LEN(C312)-1)),IF(RIGHT(C312,1)="M",1000000*VALUE(LEFT(C312,LEN(C312)-1)),IF(RIGHT(C312,1)="B",1000000000*VALUE(LEFT(C312,LEN(C312)-1)),IF(RIGHT(C312,1)="%",0.01*VALUE(LEFT(C312,LEN(C312)-1)),IF(RIGHT(C312,1)="k",1000*VALUE(LEFT(C312,LEN(C312)-1)),VALUE(SUBSTITUTE(C312,",",""))))))))),"N/A")</f>
        <v>-37790000</v>
      </c>
      <c r="K312">
        <f t="shared" ref="K312:K327" si="114">IFERROR(IF(TRIM(D312)="-", "N/A", IF(RIGHT(D312,1)=")",IF(RIGHT(D312,2)="T)",-1000000000000*VALUE(MID(D312,2,LEN(D312)-3)),IF(RIGHT(D312,2)="M)",-1000000*VALUE(MID(D312,2,LEN(D312)-3)),IF(RIGHT(D312,2)="B)",-1000000000*VALUE(MID(D312,2,LEN(D312)-3)),IF(RIGHT(D312,2)="k)",-1000*VALUE(MID(D312,2,LEN(D312)-3)),VALUE(SUBSTITUTE(D312,",","")))))),IF(RIGHT(D312,1)="T",1000000000000*VALUE(LEFT(D312,LEN(D312)-1)),IF(RIGHT(D312,1)="M",1000000*VALUE(LEFT(D312,LEN(D312)-1)),IF(RIGHT(D312,1)="B",1000000000*VALUE(LEFT(D312,LEN(D312)-1)),IF(RIGHT(D312,1)="%",0.01*VALUE(LEFT(D312,LEN(D312)-1)),IF(RIGHT(D312,1)="k",1000*VALUE(LEFT(D312,LEN(D312)-1)),VALUE(SUBSTITUTE(D312,",",""))))))))),"N/A")</f>
        <v>-73940000</v>
      </c>
      <c r="L312">
        <f t="shared" ref="L312:L327" si="115">IFERROR(IF(TRIM(E312)="-", "N/A", IF(RIGHT(E312,1)=")",IF(RIGHT(E312,2)="T)",-1000000000000*VALUE(MID(E312,2,LEN(E312)-3)),IF(RIGHT(E312,2)="M)",-1000000*VALUE(MID(E312,2,LEN(E312)-3)),IF(RIGHT(E312,2)="B)",-1000000000*VALUE(MID(E312,2,LEN(E312)-3)),IF(RIGHT(E312,2)="k)",-1000*VALUE(MID(E312,2,LEN(E312)-3)),VALUE(SUBSTITUTE(E312,",","")))))),IF(RIGHT(E312,1)="T",1000000000000*VALUE(LEFT(E312,LEN(E312)-1)),IF(RIGHT(E312,1)="M",1000000*VALUE(LEFT(E312,LEN(E312)-1)),IF(RIGHT(E312,1)="B",1000000000*VALUE(LEFT(E312,LEN(E312)-1)),IF(RIGHT(E312,1)="%",0.01*VALUE(LEFT(E312,LEN(E312)-1)),IF(RIGHT(E312,1)="k",1000*VALUE(LEFT(E312,LEN(E312)-1)),VALUE(SUBSTITUTE(E312,",",""))))))))),"N/A")</f>
        <v>-127470000</v>
      </c>
      <c r="M312">
        <f t="shared" ref="M312:M327" si="116">IFERROR(IF(TRIM(F312)="-", "N/A", IF(RIGHT(F312,1)=")",IF(RIGHT(F312,2)="T)",-1000000000000*VALUE(MID(F312,2,LEN(F312)-3)),IF(RIGHT(F312,2)="M)",-1000000*VALUE(MID(F312,2,LEN(F312)-3)),IF(RIGHT(F312,2)="B)",-1000000000*VALUE(MID(F312,2,LEN(F312)-3)),IF(RIGHT(F312,2)="k)",-1000*VALUE(MID(F312,2,LEN(F312)-3)),VALUE(SUBSTITUTE(F312,",","")))))),IF(RIGHT(F312,1)="T",1000000000000*VALUE(LEFT(F312,LEN(F312)-1)),IF(RIGHT(F312,1)="M",1000000*VALUE(LEFT(F312,LEN(F312)-1)),IF(RIGHT(F312,1)="B",1000000000*VALUE(LEFT(F312,LEN(F312)-1)),IF(RIGHT(F312,1)="%",0.01*VALUE(LEFT(F312,LEN(F312)-1)),IF(RIGHT(F312,1)="k",1000*VALUE(LEFT(F312,LEN(F312)-1)),VALUE(SUBSTITUTE(F312,",",""))))))))),"N/A")</f>
        <v>-66980000.000000007</v>
      </c>
      <c r="N312">
        <f t="shared" ref="N312:N327" si="117">IFERROR(IF(TRIM(G312)="-", "N/A", IF(RIGHT(G312,1)=")",IF(RIGHT(G312,2)="T)",-1000000000000*VALUE(MID(G312,2,LEN(G312)-3)),IF(RIGHT(G312,2)="M)",-1000000*VALUE(MID(G312,2,LEN(G312)-3)),IF(RIGHT(G312,2)="B)",-1000000000*VALUE(MID(G312,2,LEN(G312)-3)),IF(RIGHT(G312,2)="k)",-1000*VALUE(MID(G312,2,LEN(G312)-3)),VALUE(SUBSTITUTE(G312,",","")))))),IF(RIGHT(G312,1)="T",1000000000000*VALUE(LEFT(G312,LEN(G312)-1)),IF(RIGHT(G312,1)="M",1000000*VALUE(LEFT(G312,LEN(G312)-1)),IF(RIGHT(G312,1)="B",1000000000*VALUE(LEFT(G312,LEN(G312)-1)),IF(RIGHT(G312,1)="%",0.01*VALUE(LEFT(G312,LEN(G312)-1)),IF(RIGHT(G312,1)="k",1000*VALUE(LEFT(G312,LEN(G312)-1)),VALUE(SUBSTITUTE(G312,",",""))))))))),"N/A")</f>
        <v>-51680000</v>
      </c>
      <c r="P312">
        <f t="shared" si="94"/>
        <v>-37790000</v>
      </c>
      <c r="Q312">
        <f>IFERROR(J144+MATCH(P312,J312:N312,0)-1,"")</f>
        <v>2012</v>
      </c>
      <c r="R312">
        <f t="shared" si="95"/>
        <v>-127470000</v>
      </c>
      <c r="S312">
        <f>IFERROR(J144+MATCH(R312,J312:N312,0)-1,"")</f>
        <v>2014</v>
      </c>
      <c r="T312">
        <f t="shared" si="96"/>
        <v>-71572000</v>
      </c>
      <c r="U312">
        <f t="shared" si="97"/>
        <v>34235199.283778094</v>
      </c>
      <c r="V312">
        <f t="shared" si="98"/>
        <v>0.9867621835637207</v>
      </c>
      <c r="W312">
        <f t="shared" si="99"/>
        <v>-6.9168576480933358E-2</v>
      </c>
      <c r="X312">
        <f t="shared" si="100"/>
        <v>-1.6327639730283838</v>
      </c>
      <c r="Y312">
        <f t="shared" si="101"/>
        <v>0.13413095574343137</v>
      </c>
      <c r="Z312">
        <f t="shared" si="102"/>
        <v>0.58103941020216487</v>
      </c>
      <c r="AA312">
        <f t="shared" si="103"/>
        <v>-1.6327639730283838</v>
      </c>
      <c r="AB312">
        <f>IFERROR(V144+MATCH(AA312,V312:Z312,0)-1,"")</f>
        <v>2014</v>
      </c>
      <c r="AC312" t="str">
        <f t="shared" si="104"/>
        <v>Low</v>
      </c>
      <c r="AE312">
        <f>IF(ISNUMBER(MATCH("N/A",J312:N312,0)),"",IFERROR((5 * SUMPRODUCT(J144:N144,J312:N312) - PRODUCT(SUM(J144:N144),SUM(J312:N312))) / ((5 * SUM((J144^2)+(K144^2)+(L144^2)+(M144^2)+(N144^2))) - SUM(J144:N144)^2),""))</f>
        <v>-2082000</v>
      </c>
      <c r="AF312">
        <f>IFERROR(CORREL(J144:N144,J312:N312),"")</f>
        <v>-9.6156327788491147E-2</v>
      </c>
      <c r="AZ312">
        <f t="shared" si="105"/>
        <v>1</v>
      </c>
      <c r="BA312" t="str">
        <f>IF(AZ312=1,IF(Q312="","",IF(Q312=N144,"Yes","No")),"")</f>
        <v>No</v>
      </c>
      <c r="BB312" t="str">
        <f t="shared" si="106"/>
        <v/>
      </c>
      <c r="BC312" t="str">
        <f>IF(AZ312=1,IF(S312="","",IF(S312=N144,"Yes","No")),"")</f>
        <v>No</v>
      </c>
      <c r="BD312" t="str">
        <f t="shared" si="107"/>
        <v/>
      </c>
      <c r="BE312" t="str">
        <f t="shared" si="108"/>
        <v>Decreasing</v>
      </c>
      <c r="BF312" t="str">
        <f t="shared" si="109"/>
        <v>No</v>
      </c>
      <c r="BG312" t="str">
        <f t="shared" si="110"/>
        <v>No</v>
      </c>
      <c r="BH312" t="str">
        <f t="shared" si="111"/>
        <v>No</v>
      </c>
    </row>
    <row r="313" spans="1:60" x14ac:dyDescent="0.3">
      <c r="A313" s="1">
        <v>1</v>
      </c>
      <c r="B313" t="s">
        <v>811</v>
      </c>
      <c r="C313" t="s">
        <v>2260</v>
      </c>
      <c r="D313" t="s">
        <v>2265</v>
      </c>
      <c r="E313" t="s">
        <v>2266</v>
      </c>
      <c r="F313" t="s">
        <v>2267</v>
      </c>
      <c r="G313" t="s">
        <v>2268</v>
      </c>
      <c r="I313" t="str">
        <f t="shared" si="112"/>
        <v>N/A</v>
      </c>
      <c r="J313">
        <f t="shared" si="113"/>
        <v>-37790000</v>
      </c>
      <c r="K313">
        <f t="shared" si="114"/>
        <v>-57300000</v>
      </c>
      <c r="L313">
        <f t="shared" si="115"/>
        <v>-57370000</v>
      </c>
      <c r="M313">
        <f t="shared" si="116"/>
        <v>-45980000</v>
      </c>
      <c r="N313">
        <f t="shared" si="117"/>
        <v>-47580000</v>
      </c>
      <c r="P313">
        <f t="shared" si="94"/>
        <v>-37790000</v>
      </c>
      <c r="Q313">
        <f>IFERROR(J144+MATCH(P313,J313:N313,0)-1,"")</f>
        <v>2012</v>
      </c>
      <c r="R313">
        <f t="shared" si="95"/>
        <v>-57370000</v>
      </c>
      <c r="S313">
        <f>IFERROR(J144+MATCH(R313,J313:N313,0)-1,"")</f>
        <v>2014</v>
      </c>
      <c r="T313">
        <f t="shared" si="96"/>
        <v>-49204000</v>
      </c>
      <c r="U313">
        <f t="shared" si="97"/>
        <v>8299694.5726936245</v>
      </c>
      <c r="V313">
        <f t="shared" si="98"/>
        <v>1.3752313293012712</v>
      </c>
      <c r="W313">
        <f t="shared" si="99"/>
        <v>-0.97545758209419064</v>
      </c>
      <c r="X313">
        <f t="shared" si="100"/>
        <v>-0.98389162739391811</v>
      </c>
      <c r="Y313">
        <f t="shared" si="101"/>
        <v>0.38844802923316091</v>
      </c>
      <c r="Z313">
        <f t="shared" si="102"/>
        <v>0.19566985095367659</v>
      </c>
      <c r="AA313">
        <f t="shared" si="103"/>
        <v>1.3752313293012712</v>
      </c>
      <c r="AB313">
        <f>IFERROR(V144+MATCH(AA313,V313:Z313,0)-1,"")</f>
        <v>2012</v>
      </c>
      <c r="AC313" t="str">
        <f t="shared" si="104"/>
        <v>High</v>
      </c>
      <c r="AE313">
        <f>IF(ISNUMBER(MATCH("N/A",J313:N313,0)),"",IFERROR((5 * SUMPRODUCT(J144:N144,J313:N313) - PRODUCT(SUM(J144:N144),SUM(J313:N313))) / ((5 * SUM((J144^2)+(K144^2)+(L144^2)+(M144^2)+(N144^2))) - SUM(J144:N144)^2),""))</f>
        <v>-826000</v>
      </c>
      <c r="AF313">
        <f>IFERROR(CORREL(J144:N144,J313:N313),"")</f>
        <v>-0.1573576789134396</v>
      </c>
      <c r="AZ313">
        <f t="shared" si="105"/>
        <v>1</v>
      </c>
      <c r="BA313" t="str">
        <f>IF(AZ313=1,IF(Q313="","",IF(Q313=N144,"Yes","No")),"")</f>
        <v>No</v>
      </c>
      <c r="BB313" t="str">
        <f t="shared" si="106"/>
        <v/>
      </c>
      <c r="BC313" t="str">
        <f>IF(AZ313=1,IF(S313="","",IF(S313=N144,"Yes","No")),"")</f>
        <v>No</v>
      </c>
      <c r="BD313" t="str">
        <f t="shared" si="107"/>
        <v/>
      </c>
      <c r="BE313" t="str">
        <f t="shared" si="108"/>
        <v>Decreasing</v>
      </c>
      <c r="BF313" t="str">
        <f t="shared" si="109"/>
        <v>No</v>
      </c>
      <c r="BG313" t="str">
        <f t="shared" si="110"/>
        <v>No</v>
      </c>
      <c r="BH313" t="str">
        <f t="shared" si="111"/>
        <v>No</v>
      </c>
    </row>
    <row r="314" spans="1:60" x14ac:dyDescent="0.3">
      <c r="A314" s="1">
        <v>2</v>
      </c>
      <c r="B314" t="s">
        <v>812</v>
      </c>
      <c r="C314" t="s">
        <v>264</v>
      </c>
      <c r="D314" t="s">
        <v>2269</v>
      </c>
      <c r="E314" t="s">
        <v>2270</v>
      </c>
      <c r="F314" t="s">
        <v>2271</v>
      </c>
      <c r="G314" t="s">
        <v>1595</v>
      </c>
      <c r="I314" t="str">
        <f t="shared" si="112"/>
        <v>N/A</v>
      </c>
      <c r="J314" t="str">
        <f t="shared" si="113"/>
        <v>N/A</v>
      </c>
      <c r="K314">
        <f t="shared" si="114"/>
        <v>-16640000</v>
      </c>
      <c r="L314">
        <f t="shared" si="115"/>
        <v>-70100000</v>
      </c>
      <c r="M314">
        <f t="shared" si="116"/>
        <v>-21000000</v>
      </c>
      <c r="N314">
        <f t="shared" si="117"/>
        <v>-4099999.9999999995</v>
      </c>
      <c r="P314">
        <f t="shared" si="94"/>
        <v>-4099999.9999999995</v>
      </c>
      <c r="Q314">
        <f>IFERROR(J144+MATCH(P314,J314:N314,0)-1,"")</f>
        <v>2016</v>
      </c>
      <c r="R314">
        <f t="shared" si="95"/>
        <v>-70100000</v>
      </c>
      <c r="S314">
        <f>IFERROR(J144+MATCH(R314,J314:N314,0)-1,"")</f>
        <v>2014</v>
      </c>
      <c r="T314">
        <f t="shared" si="96"/>
        <v>-27960000</v>
      </c>
      <c r="U314">
        <f t="shared" si="97"/>
        <v>28992316.223440997</v>
      </c>
      <c r="V314" t="str">
        <f t="shared" si="98"/>
        <v/>
      </c>
      <c r="W314">
        <f t="shared" si="99"/>
        <v>0.39044827990829872</v>
      </c>
      <c r="X314">
        <f t="shared" si="100"/>
        <v>-1.4534885614254158</v>
      </c>
      <c r="Y314">
        <f t="shared" si="101"/>
        <v>0.24006360672807059</v>
      </c>
      <c r="Z314">
        <f t="shared" si="102"/>
        <v>0.82297667478904657</v>
      </c>
      <c r="AA314">
        <f t="shared" si="103"/>
        <v>-1.4534885614254158</v>
      </c>
      <c r="AB314">
        <f>IFERROR(V144+MATCH(AA314,V314:Z314,0)-1,"")</f>
        <v>2014</v>
      </c>
      <c r="AC314" t="str">
        <f t="shared" si="104"/>
        <v>Low</v>
      </c>
      <c r="AE314" t="str">
        <f>IF(ISNUMBER(MATCH("N/A",J314:N314,0)),"",IFERROR((5 * SUMPRODUCT(J144:N144,J314:N314) - PRODUCT(SUM(J144:N144),SUM(J314:N314))) / ((5 * SUM((J144^2)+(K144^2)+(L144^2)+(M144^2)+(N144^2))) - SUM(J144:N144)^2),""))</f>
        <v/>
      </c>
      <c r="AF314">
        <f>IFERROR(CORREL(J144:N144,J314:N314),"")</f>
        <v>0.38615417178656003</v>
      </c>
      <c r="AZ314">
        <f t="shared" si="105"/>
        <v>1</v>
      </c>
      <c r="BA314" t="str">
        <f>IF(AZ314=1,IF(Q314="","",IF(Q314=N144,"Yes","No")),"")</f>
        <v>Yes</v>
      </c>
      <c r="BB314">
        <f t="shared" si="106"/>
        <v>-4099999.9999999995</v>
      </c>
      <c r="BC314" t="str">
        <f>IF(AZ314=1,IF(S314="","",IF(S314=N144,"Yes","No")),"")</f>
        <v>No</v>
      </c>
      <c r="BD314" t="str">
        <f t="shared" si="107"/>
        <v/>
      </c>
      <c r="BE314" t="str">
        <f t="shared" si="108"/>
        <v/>
      </c>
      <c r="BF314" t="str">
        <f t="shared" si="109"/>
        <v>No</v>
      </c>
      <c r="BG314" t="str">
        <f t="shared" si="110"/>
        <v>No</v>
      </c>
      <c r="BH314" t="str">
        <f t="shared" si="111"/>
        <v>No</v>
      </c>
    </row>
    <row r="315" spans="1:60" x14ac:dyDescent="0.3">
      <c r="A315" s="1">
        <v>3</v>
      </c>
      <c r="B315" t="s">
        <v>813</v>
      </c>
      <c r="C315" t="s">
        <v>264</v>
      </c>
      <c r="D315" t="s">
        <v>2272</v>
      </c>
      <c r="E315" t="s">
        <v>2273</v>
      </c>
      <c r="F315" t="s">
        <v>2274</v>
      </c>
      <c r="G315" t="s">
        <v>2275</v>
      </c>
      <c r="I315" t="str">
        <f t="shared" si="112"/>
        <v>N/A</v>
      </c>
      <c r="J315" t="str">
        <f t="shared" si="113"/>
        <v>N/A</v>
      </c>
      <c r="K315">
        <f t="shared" si="114"/>
        <v>-0.95680000000000009</v>
      </c>
      <c r="L315">
        <f t="shared" si="115"/>
        <v>-0.7238</v>
      </c>
      <c r="M315">
        <f t="shared" si="116"/>
        <v>0.47450000000000003</v>
      </c>
      <c r="N315">
        <f t="shared" si="117"/>
        <v>0.22850000000000001</v>
      </c>
      <c r="P315">
        <f t="shared" si="94"/>
        <v>0.47450000000000003</v>
      </c>
      <c r="Q315">
        <f>IFERROR(J144+MATCH(P315,J315:N315,0)-1,"")</f>
        <v>2015</v>
      </c>
      <c r="R315">
        <f t="shared" si="95"/>
        <v>-0.95680000000000009</v>
      </c>
      <c r="S315">
        <f>IFERROR(J144+MATCH(R315,J315:N315,0)-1,"")</f>
        <v>2013</v>
      </c>
      <c r="T315">
        <f t="shared" si="96"/>
        <v>-0.24440000000000003</v>
      </c>
      <c r="U315">
        <f t="shared" si="97"/>
        <v>0.70185224940866298</v>
      </c>
      <c r="V315" t="str">
        <f t="shared" si="98"/>
        <v/>
      </c>
      <c r="W315">
        <f t="shared" si="99"/>
        <v>-1.015028448794207</v>
      </c>
      <c r="X315">
        <f t="shared" si="100"/>
        <v>-0.6830497450195715</v>
      </c>
      <c r="Y315">
        <f t="shared" si="101"/>
        <v>1.0242896572686067</v>
      </c>
      <c r="Z315">
        <f t="shared" si="102"/>
        <v>0.6737885365451719</v>
      </c>
      <c r="AA315">
        <f t="shared" si="103"/>
        <v>1.0242896572686067</v>
      </c>
      <c r="AB315">
        <f>IFERROR(V144+MATCH(AA315,V315:Z315,0)-1,"")</f>
        <v>2015</v>
      </c>
      <c r="AC315" t="str">
        <f t="shared" si="104"/>
        <v>High</v>
      </c>
      <c r="AE315" t="str">
        <f>IF(ISNUMBER(MATCH("N/A",J315:N315,0)),"",IFERROR((5 * SUMPRODUCT(J144:N144,J315:N315) - PRODUCT(SUM(J144:N144),SUM(J315:N315))) / ((5 * SUM((J144^2)+(K144^2)+(L144^2)+(M144^2)+(N144^2))) - SUM(J144:N144)^2),""))</f>
        <v/>
      </c>
      <c r="AF315">
        <f>IFERROR(CORREL(J144:N144,J315:N315),"")</f>
        <v>0.87449257494735755</v>
      </c>
      <c r="AZ315">
        <f t="shared" si="105"/>
        <v>1</v>
      </c>
      <c r="BA315" t="str">
        <f>IF(AZ315=1,IF(Q315="","",IF(Q315=N144,"Yes","No")),"")</f>
        <v>No</v>
      </c>
      <c r="BB315" t="str">
        <f t="shared" si="106"/>
        <v/>
      </c>
      <c r="BC315" t="str">
        <f>IF(AZ315=1,IF(S315="","",IF(S315=N144,"Yes","No")),"")</f>
        <v>No</v>
      </c>
      <c r="BD315" t="str">
        <f t="shared" si="107"/>
        <v/>
      </c>
      <c r="BE315" t="str">
        <f t="shared" si="108"/>
        <v/>
      </c>
      <c r="BF315" t="str">
        <f t="shared" si="109"/>
        <v>No</v>
      </c>
      <c r="BG315" t="str">
        <f t="shared" si="110"/>
        <v>No</v>
      </c>
      <c r="BH315" t="str">
        <f t="shared" si="111"/>
        <v>Yes</v>
      </c>
    </row>
    <row r="316" spans="1:60" x14ac:dyDescent="0.3">
      <c r="A316" s="1">
        <v>4</v>
      </c>
      <c r="B316" t="s">
        <v>818</v>
      </c>
      <c r="C316" t="s">
        <v>622</v>
      </c>
      <c r="D316" t="s">
        <v>2276</v>
      </c>
      <c r="E316" t="s">
        <v>2277</v>
      </c>
      <c r="F316" t="s">
        <v>2278</v>
      </c>
      <c r="G316" t="s">
        <v>2279</v>
      </c>
      <c r="I316" t="str">
        <f t="shared" si="112"/>
        <v>N/A</v>
      </c>
      <c r="J316">
        <f t="shared" si="113"/>
        <v>-3.0699999999999998E-2</v>
      </c>
      <c r="K316">
        <f t="shared" si="114"/>
        <v>-6.7799999999999999E-2</v>
      </c>
      <c r="L316">
        <f t="shared" si="115"/>
        <v>-0.10099999999999999</v>
      </c>
      <c r="M316">
        <f t="shared" si="116"/>
        <v>-5.6100000000000004E-2</v>
      </c>
      <c r="N316">
        <f t="shared" si="117"/>
        <v>-4.2000000000000003E-2</v>
      </c>
      <c r="P316">
        <f t="shared" si="94"/>
        <v>-3.0699999999999998E-2</v>
      </c>
      <c r="Q316">
        <f>IFERROR(J144+MATCH(P316,J316:N316,0)-1,"")</f>
        <v>2012</v>
      </c>
      <c r="R316">
        <f t="shared" si="95"/>
        <v>-0.10099999999999999</v>
      </c>
      <c r="S316">
        <f>IFERROR(J144+MATCH(R316,J316:N316,0)-1,"")</f>
        <v>2014</v>
      </c>
      <c r="T316">
        <f t="shared" si="96"/>
        <v>-5.9519999999999997E-2</v>
      </c>
      <c r="U316">
        <f t="shared" si="97"/>
        <v>2.710344996490301E-2</v>
      </c>
      <c r="V316">
        <f t="shared" si="98"/>
        <v>1.063333267068207</v>
      </c>
      <c r="W316">
        <f t="shared" si="99"/>
        <v>-0.30549616416810399</v>
      </c>
      <c r="X316">
        <f t="shared" si="100"/>
        <v>-1.5304324746005977</v>
      </c>
      <c r="Y316">
        <f t="shared" si="101"/>
        <v>0.12618319824334698</v>
      </c>
      <c r="Z316">
        <f t="shared" si="102"/>
        <v>0.64641217345714719</v>
      </c>
      <c r="AA316">
        <f t="shared" si="103"/>
        <v>-1.5304324746005977</v>
      </c>
      <c r="AB316">
        <f>IFERROR(V144+MATCH(AA316,V316:Z316,0)-1,"")</f>
        <v>2014</v>
      </c>
      <c r="AC316" t="str">
        <f t="shared" si="104"/>
        <v>Low</v>
      </c>
      <c r="AE316">
        <f>IF(ISNUMBER(MATCH("N/A",J316:N316,0)),"",IFERROR((5 * SUMPRODUCT(J144:N144,J316:N316) - PRODUCT(SUM(J144:N144),SUM(J316:N316))) / ((5 * SUM((J144^2)+(K144^2)+(L144^2)+(M144^2)+(N144^2))) - SUM(J144:N144)^2),""))</f>
        <v>-1.0900000000037835E-3</v>
      </c>
      <c r="AF316">
        <f>IFERROR(CORREL(J144:N144,J316:N316),"")</f>
        <v>-6.3587525832449407E-2</v>
      </c>
      <c r="AZ316">
        <f t="shared" si="105"/>
        <v>1</v>
      </c>
      <c r="BA316" t="str">
        <f>IF(AZ316=1,IF(Q316="","",IF(Q316=N144,"Yes","No")),"")</f>
        <v>No</v>
      </c>
      <c r="BB316" t="str">
        <f t="shared" si="106"/>
        <v/>
      </c>
      <c r="BC316" t="str">
        <f>IF(AZ316=1,IF(S316="","",IF(S316=N144,"Yes","No")),"")</f>
        <v>No</v>
      </c>
      <c r="BD316" t="str">
        <f t="shared" si="107"/>
        <v/>
      </c>
      <c r="BE316" t="str">
        <f t="shared" si="108"/>
        <v>Decreasing</v>
      </c>
      <c r="BF316" t="str">
        <f t="shared" si="109"/>
        <v>No</v>
      </c>
      <c r="BG316" t="str">
        <f t="shared" si="110"/>
        <v>No</v>
      </c>
      <c r="BH316" t="str">
        <f t="shared" si="111"/>
        <v>No</v>
      </c>
    </row>
    <row r="317" spans="1:60" x14ac:dyDescent="0.3">
      <c r="A317" s="1">
        <v>5</v>
      </c>
      <c r="B317" t="s">
        <v>824</v>
      </c>
      <c r="C317" t="s">
        <v>2280</v>
      </c>
      <c r="D317" t="s">
        <v>2281</v>
      </c>
      <c r="E317" t="s">
        <v>2282</v>
      </c>
      <c r="F317" t="s">
        <v>2283</v>
      </c>
      <c r="G317" t="s">
        <v>2284</v>
      </c>
      <c r="I317" t="str">
        <f t="shared" si="112"/>
        <v>N/A</v>
      </c>
      <c r="J317">
        <f t="shared" si="113"/>
        <v>-297000000</v>
      </c>
      <c r="K317">
        <f t="shared" si="114"/>
        <v>-307260000</v>
      </c>
      <c r="L317">
        <f t="shared" si="115"/>
        <v>-1180000</v>
      </c>
      <c r="M317">
        <f t="shared" si="116"/>
        <v>-51950000</v>
      </c>
      <c r="N317">
        <f t="shared" si="117"/>
        <v>-128610000.00000001</v>
      </c>
      <c r="P317">
        <f t="shared" si="94"/>
        <v>-1180000</v>
      </c>
      <c r="Q317">
        <f>IFERROR(J144+MATCH(P317,J317:N317,0)-1,"")</f>
        <v>2014</v>
      </c>
      <c r="R317">
        <f t="shared" si="95"/>
        <v>-307260000</v>
      </c>
      <c r="S317">
        <f>IFERROR(J144+MATCH(R317,J317:N317,0)-1,"")</f>
        <v>2013</v>
      </c>
      <c r="T317">
        <f t="shared" si="96"/>
        <v>-157200000</v>
      </c>
      <c r="U317">
        <f t="shared" si="97"/>
        <v>139910001.96554926</v>
      </c>
      <c r="V317">
        <f t="shared" si="98"/>
        <v>-0.99921376624970426</v>
      </c>
      <c r="W317">
        <f t="shared" si="99"/>
        <v>-1.0725466220560129</v>
      </c>
      <c r="X317">
        <f t="shared" si="100"/>
        <v>1.1151454349805354</v>
      </c>
      <c r="Y317">
        <f t="shared" si="101"/>
        <v>0.75226930542046766</v>
      </c>
      <c r="Z317">
        <f t="shared" si="102"/>
        <v>0.2043456479047141</v>
      </c>
      <c r="AA317">
        <f t="shared" si="103"/>
        <v>1.1151454349805354</v>
      </c>
      <c r="AB317">
        <f>IFERROR(V144+MATCH(AA317,V317:Z317,0)-1,"")</f>
        <v>2014</v>
      </c>
      <c r="AC317" t="str">
        <f t="shared" si="104"/>
        <v>High</v>
      </c>
      <c r="AE317">
        <f>IF(ISNUMBER(MATCH("N/A",J317:N317,0)),"",IFERROR((5 * SUMPRODUCT(J144:N144,J317:N317) - PRODUCT(SUM(J144:N144),SUM(J317:N317))) / ((5 * SUM((J144^2)+(K144^2)+(L144^2)+(M144^2)+(N144^2))) - SUM(J144:N144)^2),""))</f>
        <v>59209000</v>
      </c>
      <c r="AF317">
        <f>IFERROR(CORREL(J144:N144,J317:N317),"")</f>
        <v>0.6691276368755017</v>
      </c>
      <c r="AZ317">
        <f t="shared" si="105"/>
        <v>1</v>
      </c>
      <c r="BA317" t="str">
        <f>IF(AZ317=1,IF(Q317="","",IF(Q317=N144,"Yes","No")),"")</f>
        <v>No</v>
      </c>
      <c r="BB317" t="str">
        <f t="shared" si="106"/>
        <v/>
      </c>
      <c r="BC317" t="str">
        <f>IF(AZ317=1,IF(S317="","",IF(S317=N144,"Yes","No")),"")</f>
        <v>No</v>
      </c>
      <c r="BD317" t="str">
        <f t="shared" si="107"/>
        <v/>
      </c>
      <c r="BE317" t="str">
        <f t="shared" si="108"/>
        <v>Increasing</v>
      </c>
      <c r="BF317" t="str">
        <f t="shared" si="109"/>
        <v>No</v>
      </c>
      <c r="BG317" t="str">
        <f t="shared" si="110"/>
        <v>No</v>
      </c>
      <c r="BH317" t="str">
        <f t="shared" si="111"/>
        <v>No</v>
      </c>
    </row>
    <row r="318" spans="1:60" x14ac:dyDescent="0.3">
      <c r="A318" s="1">
        <v>6</v>
      </c>
      <c r="B318" t="s">
        <v>830</v>
      </c>
      <c r="C318" t="s">
        <v>2285</v>
      </c>
      <c r="D318" t="s">
        <v>2286</v>
      </c>
      <c r="E318" t="s">
        <v>2287</v>
      </c>
      <c r="F318" t="s">
        <v>2288</v>
      </c>
      <c r="G318" t="s">
        <v>2289</v>
      </c>
      <c r="I318" t="str">
        <f t="shared" si="112"/>
        <v>N/A</v>
      </c>
      <c r="J318">
        <f t="shared" si="113"/>
        <v>854000</v>
      </c>
      <c r="K318">
        <f t="shared" si="114"/>
        <v>540710000</v>
      </c>
      <c r="L318">
        <f t="shared" si="115"/>
        <v>849000</v>
      </c>
      <c r="M318">
        <f t="shared" si="116"/>
        <v>3440000</v>
      </c>
      <c r="N318">
        <f t="shared" si="117"/>
        <v>780000</v>
      </c>
      <c r="P318">
        <f t="shared" si="94"/>
        <v>540710000</v>
      </c>
      <c r="Q318">
        <f>IFERROR(J144+MATCH(P318,J318:N318,0)-1,"")</f>
        <v>2013</v>
      </c>
      <c r="R318">
        <f t="shared" si="95"/>
        <v>780000</v>
      </c>
      <c r="S318">
        <f>IFERROR(J144+MATCH(R318,J318:N318,0)-1,"")</f>
        <v>2016</v>
      </c>
      <c r="T318">
        <f t="shared" si="96"/>
        <v>109326600</v>
      </c>
      <c r="U318">
        <f t="shared" si="97"/>
        <v>241153306.46665412</v>
      </c>
      <c r="V318">
        <f t="shared" si="98"/>
        <v>-0.44980764141004731</v>
      </c>
      <c r="W318">
        <f t="shared" si="99"/>
        <v>1.7888346891053317</v>
      </c>
      <c r="X318">
        <f t="shared" si="100"/>
        <v>-0.44982837510876061</v>
      </c>
      <c r="Y318">
        <f t="shared" si="101"/>
        <v>-0.43908417243551934</v>
      </c>
      <c r="Z318">
        <f t="shared" si="102"/>
        <v>-0.4501145001510044</v>
      </c>
      <c r="AA318">
        <f t="shared" si="103"/>
        <v>1.7888346891053317</v>
      </c>
      <c r="AB318">
        <f>IFERROR(V144+MATCH(AA318,V318:Z318,0)-1,"")</f>
        <v>2013</v>
      </c>
      <c r="AC318" t="str">
        <f t="shared" si="104"/>
        <v>High</v>
      </c>
      <c r="AE318">
        <f>IF(ISNUMBER(MATCH("N/A",J318:N318,0)),"",IFERROR((5 * SUMPRODUCT(J144:N144,J318:N318) - PRODUCT(SUM(J144:N144),SUM(J318:N318))) / ((5 * SUM((J144^2)+(K144^2)+(L144^2)+(M144^2)+(N144^2))) - SUM(J144:N144)^2),""))</f>
        <v>-53741800</v>
      </c>
      <c r="AF318">
        <f>IFERROR(CORREL(J144:N144,J318:N318),"")</f>
        <v>-0.35236193948005573</v>
      </c>
      <c r="AZ318">
        <f t="shared" si="105"/>
        <v>1</v>
      </c>
      <c r="BA318" t="str">
        <f>IF(AZ318=1,IF(Q318="","",IF(Q318=N144,"Yes","No")),"")</f>
        <v>No</v>
      </c>
      <c r="BB318" t="str">
        <f t="shared" si="106"/>
        <v/>
      </c>
      <c r="BC318" t="str">
        <f>IF(AZ318=1,IF(S318="","",IF(S318=N144,"Yes","No")),"")</f>
        <v>Yes</v>
      </c>
      <c r="BD318">
        <f t="shared" si="107"/>
        <v>780000</v>
      </c>
      <c r="BE318" t="str">
        <f t="shared" si="108"/>
        <v>Decreasing</v>
      </c>
      <c r="BF318" t="str">
        <f t="shared" si="109"/>
        <v>Yes</v>
      </c>
      <c r="BG318" t="str">
        <f t="shared" si="110"/>
        <v>No</v>
      </c>
      <c r="BH318" t="str">
        <f t="shared" si="111"/>
        <v>No</v>
      </c>
    </row>
    <row r="319" spans="1:60" x14ac:dyDescent="0.3">
      <c r="A319" s="1">
        <v>7</v>
      </c>
      <c r="B319" t="s">
        <v>836</v>
      </c>
      <c r="C319" t="s">
        <v>264</v>
      </c>
      <c r="D319" t="s">
        <v>264</v>
      </c>
      <c r="E319" t="s">
        <v>264</v>
      </c>
      <c r="F319" t="s">
        <v>264</v>
      </c>
      <c r="G319" t="s">
        <v>264</v>
      </c>
      <c r="I319" t="str">
        <f t="shared" si="112"/>
        <v>N/A</v>
      </c>
      <c r="J319" t="str">
        <f t="shared" si="113"/>
        <v>N/A</v>
      </c>
      <c r="K319" t="str">
        <f t="shared" si="114"/>
        <v>N/A</v>
      </c>
      <c r="L319" t="str">
        <f t="shared" si="115"/>
        <v>N/A</v>
      </c>
      <c r="M319" t="str">
        <f t="shared" si="116"/>
        <v>N/A</v>
      </c>
      <c r="N319" t="str">
        <f t="shared" si="117"/>
        <v>N/A</v>
      </c>
      <c r="P319">
        <f t="shared" si="94"/>
        <v>0</v>
      </c>
      <c r="Q319" t="str">
        <f>IFERROR(J144+MATCH(P319,J319:N319,0)-1,"")</f>
        <v/>
      </c>
      <c r="R319" t="str">
        <f t="shared" si="95"/>
        <v/>
      </c>
      <c r="S319" t="str">
        <f>IFERROR(J144+MATCH(R319,J319:N319,0)-1,"")</f>
        <v/>
      </c>
      <c r="T319" t="str">
        <f t="shared" si="96"/>
        <v/>
      </c>
      <c r="U319" t="str">
        <f t="shared" si="97"/>
        <v/>
      </c>
      <c r="V319" t="str">
        <f t="shared" si="98"/>
        <v/>
      </c>
      <c r="W319" t="str">
        <f t="shared" si="99"/>
        <v/>
      </c>
      <c r="X319" t="str">
        <f t="shared" si="100"/>
        <v/>
      </c>
      <c r="Y319" t="str">
        <f t="shared" si="101"/>
        <v/>
      </c>
      <c r="Z319" t="str">
        <f t="shared" si="102"/>
        <v/>
      </c>
      <c r="AA319">
        <f t="shared" si="103"/>
        <v>0</v>
      </c>
      <c r="AB319" t="str">
        <f>IFERROR(V144+MATCH(AA319,V319:Z319,0)-1,"")</f>
        <v/>
      </c>
      <c r="AC319" t="str">
        <f t="shared" si="104"/>
        <v/>
      </c>
      <c r="AE319" t="str">
        <f>IF(ISNUMBER(MATCH("N/A",J319:N319,0)),"",IFERROR((5 * SUMPRODUCT(J144:N144,J319:N319) - PRODUCT(SUM(J144:N144),SUM(J319:N319))) / ((5 * SUM((J144^2)+(K144^2)+(L144^2)+(M144^2)+(N144^2))) - SUM(J144:N144)^2),""))</f>
        <v/>
      </c>
      <c r="AF319" t="str">
        <f>IFERROR(CORREL(J144:N144,J319:N319),"")</f>
        <v/>
      </c>
      <c r="AZ319">
        <f t="shared" si="105"/>
        <v>0</v>
      </c>
      <c r="BA319" t="str">
        <f>IF(AZ319=1,IF(Q319="","",IF(Q319=N144,"Yes","No")),"")</f>
        <v/>
      </c>
      <c r="BB319" t="str">
        <f t="shared" si="106"/>
        <v/>
      </c>
      <c r="BC319" t="str">
        <f>IF(AZ319=1,IF(S319="","",IF(S319=N144,"Yes","No")),"")</f>
        <v/>
      </c>
      <c r="BD319" t="str">
        <f t="shared" si="107"/>
        <v/>
      </c>
      <c r="BE319" t="str">
        <f t="shared" si="108"/>
        <v/>
      </c>
      <c r="BF319" t="str">
        <f t="shared" si="109"/>
        <v>No</v>
      </c>
      <c r="BG319" t="str">
        <f t="shared" si="110"/>
        <v>No</v>
      </c>
      <c r="BH319" t="str">
        <f t="shared" si="111"/>
        <v/>
      </c>
    </row>
    <row r="320" spans="1:60" x14ac:dyDescent="0.3">
      <c r="A320" s="1">
        <v>8</v>
      </c>
      <c r="B320" t="s">
        <v>840</v>
      </c>
      <c r="C320" t="s">
        <v>264</v>
      </c>
      <c r="D320" t="s">
        <v>264</v>
      </c>
      <c r="E320" t="s">
        <v>264</v>
      </c>
      <c r="F320" t="s">
        <v>264</v>
      </c>
      <c r="G320" t="s">
        <v>264</v>
      </c>
      <c r="I320" t="str">
        <f t="shared" si="112"/>
        <v>N/A</v>
      </c>
      <c r="J320" t="str">
        <f t="shared" si="113"/>
        <v>N/A</v>
      </c>
      <c r="K320" t="str">
        <f t="shared" si="114"/>
        <v>N/A</v>
      </c>
      <c r="L320" t="str">
        <f t="shared" si="115"/>
        <v>N/A</v>
      </c>
      <c r="M320" t="str">
        <f t="shared" si="116"/>
        <v>N/A</v>
      </c>
      <c r="N320" t="str">
        <f t="shared" si="117"/>
        <v>N/A</v>
      </c>
      <c r="P320">
        <f t="shared" si="94"/>
        <v>0</v>
      </c>
      <c r="Q320" t="str">
        <f>IFERROR(J144+MATCH(P320,J320:N320,0)-1,"")</f>
        <v/>
      </c>
      <c r="R320" t="str">
        <f t="shared" si="95"/>
        <v/>
      </c>
      <c r="S320" t="str">
        <f>IFERROR(J144+MATCH(R320,J320:N320,0)-1,"")</f>
        <v/>
      </c>
      <c r="T320" t="str">
        <f t="shared" si="96"/>
        <v/>
      </c>
      <c r="U320" t="str">
        <f t="shared" si="97"/>
        <v/>
      </c>
      <c r="V320" t="str">
        <f t="shared" si="98"/>
        <v/>
      </c>
      <c r="W320" t="str">
        <f t="shared" si="99"/>
        <v/>
      </c>
      <c r="X320" t="str">
        <f t="shared" si="100"/>
        <v/>
      </c>
      <c r="Y320" t="str">
        <f t="shared" si="101"/>
        <v/>
      </c>
      <c r="Z320" t="str">
        <f t="shared" si="102"/>
        <v/>
      </c>
      <c r="AA320">
        <f t="shared" si="103"/>
        <v>0</v>
      </c>
      <c r="AB320" t="str">
        <f>IFERROR(V144+MATCH(AA320,V320:Z320,0)-1,"")</f>
        <v/>
      </c>
      <c r="AC320" t="str">
        <f t="shared" si="104"/>
        <v/>
      </c>
      <c r="AE320" t="str">
        <f>IF(ISNUMBER(MATCH("N/A",J320:N320,0)),"",IFERROR((5 * SUMPRODUCT(J144:N144,J320:N320) - PRODUCT(SUM(J144:N144),SUM(J320:N320))) / ((5 * SUM((J144^2)+(K144^2)+(L144^2)+(M144^2)+(N144^2))) - SUM(J144:N144)^2),""))</f>
        <v/>
      </c>
      <c r="AF320" t="str">
        <f>IFERROR(CORREL(J144:N144,J320:N320),"")</f>
        <v/>
      </c>
      <c r="AZ320">
        <f t="shared" si="105"/>
        <v>0</v>
      </c>
      <c r="BA320" t="str">
        <f>IF(AZ320=1,IF(Q320="","",IF(Q320=N144,"Yes","No")),"")</f>
        <v/>
      </c>
      <c r="BB320" t="str">
        <f t="shared" si="106"/>
        <v/>
      </c>
      <c r="BC320" t="str">
        <f>IF(AZ320=1,IF(S320="","",IF(S320=N144,"Yes","No")),"")</f>
        <v/>
      </c>
      <c r="BD320" t="str">
        <f t="shared" si="107"/>
        <v/>
      </c>
      <c r="BE320" t="str">
        <f t="shared" si="108"/>
        <v/>
      </c>
      <c r="BF320" t="str">
        <f t="shared" si="109"/>
        <v>No</v>
      </c>
      <c r="BG320" t="str">
        <f t="shared" si="110"/>
        <v>No</v>
      </c>
      <c r="BH320" t="str">
        <f t="shared" si="111"/>
        <v/>
      </c>
    </row>
    <row r="321" spans="1:60" x14ac:dyDescent="0.3">
      <c r="A321" s="1">
        <v>9</v>
      </c>
      <c r="B321" t="s">
        <v>843</v>
      </c>
      <c r="C321" t="s">
        <v>264</v>
      </c>
      <c r="D321" t="s">
        <v>264</v>
      </c>
      <c r="E321" t="s">
        <v>264</v>
      </c>
      <c r="F321" t="s">
        <v>264</v>
      </c>
      <c r="G321" t="s">
        <v>264</v>
      </c>
      <c r="I321" t="str">
        <f t="shared" si="112"/>
        <v>N/A</v>
      </c>
      <c r="J321" t="str">
        <f t="shared" si="113"/>
        <v>N/A</v>
      </c>
      <c r="K321" t="str">
        <f t="shared" si="114"/>
        <v>N/A</v>
      </c>
      <c r="L321" t="str">
        <f t="shared" si="115"/>
        <v>N/A</v>
      </c>
      <c r="M321" t="str">
        <f t="shared" si="116"/>
        <v>N/A</v>
      </c>
      <c r="N321" t="str">
        <f t="shared" si="117"/>
        <v>N/A</v>
      </c>
      <c r="P321">
        <f t="shared" si="94"/>
        <v>0</v>
      </c>
      <c r="Q321" t="str">
        <f>IFERROR(J144+MATCH(P321,J321:N321,0)-1,"")</f>
        <v/>
      </c>
      <c r="R321" t="str">
        <f t="shared" si="95"/>
        <v/>
      </c>
      <c r="S321" t="str">
        <f>IFERROR(J144+MATCH(R321,J321:N321,0)-1,"")</f>
        <v/>
      </c>
      <c r="T321" t="str">
        <f t="shared" si="96"/>
        <v/>
      </c>
      <c r="U321" t="str">
        <f t="shared" si="97"/>
        <v/>
      </c>
      <c r="V321" t="str">
        <f t="shared" si="98"/>
        <v/>
      </c>
      <c r="W321" t="str">
        <f t="shared" si="99"/>
        <v/>
      </c>
      <c r="X321" t="str">
        <f t="shared" si="100"/>
        <v/>
      </c>
      <c r="Y321" t="str">
        <f t="shared" si="101"/>
        <v/>
      </c>
      <c r="Z321" t="str">
        <f t="shared" si="102"/>
        <v/>
      </c>
      <c r="AA321">
        <f t="shared" si="103"/>
        <v>0</v>
      </c>
      <c r="AB321" t="str">
        <f>IFERROR(V144+MATCH(AA321,V321:Z321,0)-1,"")</f>
        <v/>
      </c>
      <c r="AC321" t="str">
        <f t="shared" si="104"/>
        <v/>
      </c>
      <c r="AE321" t="str">
        <f>IF(ISNUMBER(MATCH("N/A",J321:N321,0)),"",IFERROR((5 * SUMPRODUCT(J144:N144,J321:N321) - PRODUCT(SUM(J144:N144),SUM(J321:N321))) / ((5 * SUM((J144^2)+(K144^2)+(L144^2)+(M144^2)+(N144^2))) - SUM(J144:N144)^2),""))</f>
        <v/>
      </c>
      <c r="AF321" t="str">
        <f>IFERROR(CORREL(J144:N144,J321:N321),"")</f>
        <v/>
      </c>
      <c r="AZ321">
        <f t="shared" si="105"/>
        <v>0</v>
      </c>
      <c r="BA321" t="str">
        <f>IF(AZ321=1,IF(Q321="","",IF(Q321=N144,"Yes","No")),"")</f>
        <v/>
      </c>
      <c r="BB321" t="str">
        <f t="shared" si="106"/>
        <v/>
      </c>
      <c r="BC321" t="str">
        <f>IF(AZ321=1,IF(S321="","",IF(S321=N144,"Yes","No")),"")</f>
        <v/>
      </c>
      <c r="BD321" t="str">
        <f t="shared" si="107"/>
        <v/>
      </c>
      <c r="BE321" t="str">
        <f t="shared" si="108"/>
        <v/>
      </c>
      <c r="BF321" t="str">
        <f t="shared" si="109"/>
        <v>No</v>
      </c>
      <c r="BG321" t="str">
        <f t="shared" si="110"/>
        <v>No</v>
      </c>
      <c r="BH321" t="str">
        <f t="shared" si="111"/>
        <v/>
      </c>
    </row>
    <row r="322" spans="1:60" x14ac:dyDescent="0.3">
      <c r="A322" s="1">
        <v>10</v>
      </c>
      <c r="B322" t="s">
        <v>846</v>
      </c>
      <c r="C322" t="s">
        <v>2290</v>
      </c>
      <c r="D322" t="s">
        <v>2291</v>
      </c>
      <c r="E322" t="s">
        <v>2292</v>
      </c>
      <c r="F322" t="s">
        <v>264</v>
      </c>
      <c r="G322" t="s">
        <v>264</v>
      </c>
      <c r="I322" t="str">
        <f t="shared" si="112"/>
        <v>N/A</v>
      </c>
      <c r="J322">
        <f t="shared" si="113"/>
        <v>-3780000</v>
      </c>
      <c r="K322">
        <f t="shared" si="114"/>
        <v>-2060000</v>
      </c>
      <c r="L322">
        <f t="shared" si="115"/>
        <v>-1340000</v>
      </c>
      <c r="M322" t="str">
        <f t="shared" si="116"/>
        <v>N/A</v>
      </c>
      <c r="N322" t="str">
        <f t="shared" si="117"/>
        <v>N/A</v>
      </c>
      <c r="P322">
        <f t="shared" si="94"/>
        <v>-1340000</v>
      </c>
      <c r="Q322">
        <f>IFERROR(J144+MATCH(P322,J322:N322,0)-1,"")</f>
        <v>2014</v>
      </c>
      <c r="R322">
        <f t="shared" si="95"/>
        <v>-3780000</v>
      </c>
      <c r="S322">
        <f>IFERROR(J144+MATCH(R322,J322:N322,0)-1,"")</f>
        <v>2012</v>
      </c>
      <c r="T322">
        <f t="shared" si="96"/>
        <v>-2393333.3333333335</v>
      </c>
      <c r="U322">
        <f t="shared" si="97"/>
        <v>1253687.8931110937</v>
      </c>
      <c r="V322">
        <f t="shared" si="98"/>
        <v>-1.1060700787542734</v>
      </c>
      <c r="W322">
        <f t="shared" si="99"/>
        <v>0.26588223046977744</v>
      </c>
      <c r="X322">
        <f t="shared" si="100"/>
        <v>0.84018784828449633</v>
      </c>
      <c r="Y322" t="str">
        <f t="shared" si="101"/>
        <v/>
      </c>
      <c r="Z322" t="str">
        <f t="shared" si="102"/>
        <v/>
      </c>
      <c r="AA322">
        <f t="shared" si="103"/>
        <v>-1.1060700787542734</v>
      </c>
      <c r="AB322">
        <f>IFERROR(V144+MATCH(AA322,V322:Z322,0)-1,"")</f>
        <v>2012</v>
      </c>
      <c r="AC322" t="str">
        <f t="shared" si="104"/>
        <v>Low</v>
      </c>
      <c r="AE322" t="str">
        <f>IF(ISNUMBER(MATCH("N/A",J322:N322,0)),"",IFERROR((5 * SUMPRODUCT(J144:N144,J322:N322) - PRODUCT(SUM(J144:N144),SUM(J322:N322))) / ((5 * SUM((J144^2)+(K144^2)+(L144^2)+(M144^2)+(N144^2))) - SUM(J144:N144)^2),""))</f>
        <v/>
      </c>
      <c r="AF322">
        <f>IFERROR(CORREL(J144:N144,J322:N322),"")</f>
        <v>0.97312896351938483</v>
      </c>
      <c r="AZ322">
        <f t="shared" si="105"/>
        <v>1</v>
      </c>
      <c r="BA322" t="str">
        <f>IF(AZ322=1,IF(Q322="","",IF(Q322=N144,"Yes","No")),"")</f>
        <v>No</v>
      </c>
      <c r="BB322" t="str">
        <f t="shared" si="106"/>
        <v/>
      </c>
      <c r="BC322" t="str">
        <f>IF(AZ322=1,IF(S322="","",IF(S322=N144,"Yes","No")),"")</f>
        <v>No</v>
      </c>
      <c r="BD322" t="str">
        <f t="shared" si="107"/>
        <v/>
      </c>
      <c r="BE322" t="str">
        <f t="shared" si="108"/>
        <v/>
      </c>
      <c r="BF322" t="str">
        <f t="shared" si="109"/>
        <v>No</v>
      </c>
      <c r="BG322" t="str">
        <f t="shared" si="110"/>
        <v>No</v>
      </c>
      <c r="BH322" t="str">
        <f t="shared" si="111"/>
        <v>Yes</v>
      </c>
    </row>
    <row r="323" spans="1:60" x14ac:dyDescent="0.3">
      <c r="A323" s="1">
        <v>11</v>
      </c>
      <c r="B323" t="s">
        <v>849</v>
      </c>
      <c r="C323" t="s">
        <v>2293</v>
      </c>
      <c r="D323" t="s">
        <v>264</v>
      </c>
      <c r="E323" t="s">
        <v>2294</v>
      </c>
      <c r="F323" t="s">
        <v>264</v>
      </c>
      <c r="G323" t="s">
        <v>264</v>
      </c>
      <c r="I323" t="str">
        <f t="shared" si="112"/>
        <v>N/A</v>
      </c>
      <c r="J323">
        <f t="shared" si="113"/>
        <v>4900000</v>
      </c>
      <c r="K323" t="str">
        <f t="shared" si="114"/>
        <v>N/A</v>
      </c>
      <c r="L323">
        <f t="shared" si="115"/>
        <v>4890000</v>
      </c>
      <c r="M323" t="str">
        <f t="shared" si="116"/>
        <v>N/A</v>
      </c>
      <c r="N323" t="str">
        <f t="shared" si="117"/>
        <v>N/A</v>
      </c>
      <c r="P323">
        <f t="shared" si="94"/>
        <v>4900000</v>
      </c>
      <c r="Q323">
        <f>IFERROR(J144+MATCH(P323,J323:N323,0)-1,"")</f>
        <v>2012</v>
      </c>
      <c r="R323">
        <f t="shared" si="95"/>
        <v>4890000</v>
      </c>
      <c r="S323">
        <f>IFERROR(J144+MATCH(R323,J323:N323,0)-1,"")</f>
        <v>2014</v>
      </c>
      <c r="T323">
        <f t="shared" si="96"/>
        <v>4895000</v>
      </c>
      <c r="U323">
        <f t="shared" si="97"/>
        <v>7071.0678118654751</v>
      </c>
      <c r="V323">
        <f t="shared" si="98"/>
        <v>0.70710678118654757</v>
      </c>
      <c r="W323" t="str">
        <f t="shared" si="99"/>
        <v/>
      </c>
      <c r="X323">
        <f t="shared" si="100"/>
        <v>-0.70710678118654757</v>
      </c>
      <c r="Y323" t="str">
        <f t="shared" si="101"/>
        <v/>
      </c>
      <c r="Z323" t="str">
        <f t="shared" si="102"/>
        <v/>
      </c>
      <c r="AA323">
        <f t="shared" si="103"/>
        <v>-0.70710678118654757</v>
      </c>
      <c r="AB323">
        <f>IFERROR(V144+MATCH(AA323,V323:Z323,0)-1,"")</f>
        <v>2014</v>
      </c>
      <c r="AC323" t="str">
        <f t="shared" si="104"/>
        <v>Low</v>
      </c>
      <c r="AE323" t="str">
        <f>IF(ISNUMBER(MATCH("N/A",J323:N323,0)),"",IFERROR((5 * SUMPRODUCT(J144:N144,J323:N323) - PRODUCT(SUM(J144:N144),SUM(J323:N323))) / ((5 * SUM((J144^2)+(K144^2)+(L144^2)+(M144^2)+(N144^2))) - SUM(J144:N144)^2),""))</f>
        <v/>
      </c>
      <c r="AF323">
        <f>IFERROR(CORREL(J144:N144,J323:N323),"")</f>
        <v>-1</v>
      </c>
      <c r="AZ323">
        <f t="shared" si="105"/>
        <v>1</v>
      </c>
      <c r="BA323" t="str">
        <f>IF(AZ323=1,IF(Q323="","",IF(Q323=N144,"Yes","No")),"")</f>
        <v>No</v>
      </c>
      <c r="BB323" t="str">
        <f t="shared" si="106"/>
        <v/>
      </c>
      <c r="BC323" t="str">
        <f>IF(AZ323=1,IF(S323="","",IF(S323=N144,"Yes","No")),"")</f>
        <v>No</v>
      </c>
      <c r="BD323" t="str">
        <f t="shared" si="107"/>
        <v/>
      </c>
      <c r="BE323" t="str">
        <f t="shared" si="108"/>
        <v/>
      </c>
      <c r="BF323" t="str">
        <f t="shared" si="109"/>
        <v>No</v>
      </c>
      <c r="BG323" t="str">
        <f t="shared" si="110"/>
        <v>No</v>
      </c>
      <c r="BH323" t="str">
        <f t="shared" si="111"/>
        <v>Yes</v>
      </c>
    </row>
    <row r="324" spans="1:60" x14ac:dyDescent="0.3">
      <c r="A324" s="1">
        <v>12</v>
      </c>
      <c r="B324" t="s">
        <v>852</v>
      </c>
      <c r="C324" t="s">
        <v>2295</v>
      </c>
      <c r="D324" t="s">
        <v>2296</v>
      </c>
      <c r="E324" t="s">
        <v>2297</v>
      </c>
      <c r="F324" t="s">
        <v>2298</v>
      </c>
      <c r="G324" t="s">
        <v>2299</v>
      </c>
      <c r="I324" t="str">
        <f t="shared" si="112"/>
        <v>N/A</v>
      </c>
      <c r="J324">
        <f t="shared" si="113"/>
        <v>-332810000</v>
      </c>
      <c r="K324">
        <f t="shared" si="114"/>
        <v>157440000</v>
      </c>
      <c r="L324">
        <f t="shared" si="115"/>
        <v>-124250000</v>
      </c>
      <c r="M324">
        <f t="shared" si="116"/>
        <v>-115490000</v>
      </c>
      <c r="N324">
        <f t="shared" si="117"/>
        <v>-179510000</v>
      </c>
      <c r="P324">
        <f t="shared" si="94"/>
        <v>157440000</v>
      </c>
      <c r="Q324">
        <f>IFERROR(J144+MATCH(P324,J324:N324,0)-1,"")</f>
        <v>2013</v>
      </c>
      <c r="R324">
        <f t="shared" si="95"/>
        <v>-332810000</v>
      </c>
      <c r="S324">
        <f>IFERROR(J144+MATCH(R324,J324:N324,0)-1,"")</f>
        <v>2012</v>
      </c>
      <c r="T324">
        <f t="shared" si="96"/>
        <v>-118924000</v>
      </c>
      <c r="U324">
        <f t="shared" si="97"/>
        <v>177366219.66992474</v>
      </c>
      <c r="V324">
        <f t="shared" si="98"/>
        <v>-1.2059004268007623</v>
      </c>
      <c r="W324">
        <f t="shared" si="99"/>
        <v>1.5581546503855599</v>
      </c>
      <c r="X324">
        <f t="shared" si="100"/>
        <v>-3.0028265866587155E-2</v>
      </c>
      <c r="Y324">
        <f t="shared" si="101"/>
        <v>1.9361071157690628E-2</v>
      </c>
      <c r="Z324">
        <f t="shared" si="102"/>
        <v>-0.34158702887590109</v>
      </c>
      <c r="AA324">
        <f t="shared" si="103"/>
        <v>1.5581546503855599</v>
      </c>
      <c r="AB324">
        <f>IFERROR(V144+MATCH(AA324,V324:Z324,0)-1,"")</f>
        <v>2013</v>
      </c>
      <c r="AC324" t="str">
        <f t="shared" si="104"/>
        <v>High</v>
      </c>
      <c r="AE324">
        <f>IF(ISNUMBER(MATCH("N/A",J324:N324,0)),"",IFERROR((5 * SUMPRODUCT(J144:N144,J324:N324) - PRODUCT(SUM(J144:N144),SUM(J324:N324))) / ((5 * SUM((J144^2)+(K144^2)+(L144^2)+(M144^2)+(N144^2))) - SUM(J144:N144)^2),""))</f>
        <v>3367000</v>
      </c>
      <c r="AF324">
        <f>IFERROR(CORREL(J144:N144,J324:N324),"")</f>
        <v>3.0015267004059525E-2</v>
      </c>
      <c r="AZ324">
        <f t="shared" si="105"/>
        <v>1</v>
      </c>
      <c r="BA324" t="str">
        <f>IF(AZ324=1,IF(Q324="","",IF(Q324=N144,"Yes","No")),"")</f>
        <v>No</v>
      </c>
      <c r="BB324" t="str">
        <f t="shared" si="106"/>
        <v/>
      </c>
      <c r="BC324" t="str">
        <f>IF(AZ324=1,IF(S324="","",IF(S324=N144,"Yes","No")),"")</f>
        <v>No</v>
      </c>
      <c r="BD324" t="str">
        <f t="shared" si="107"/>
        <v/>
      </c>
      <c r="BE324" t="str">
        <f t="shared" si="108"/>
        <v>Increasing</v>
      </c>
      <c r="BF324" t="str">
        <f t="shared" si="109"/>
        <v>No</v>
      </c>
      <c r="BG324" t="str">
        <f t="shared" si="110"/>
        <v>No</v>
      </c>
      <c r="BH324" t="str">
        <f t="shared" si="111"/>
        <v>No</v>
      </c>
    </row>
    <row r="325" spans="1:60" x14ac:dyDescent="0.3">
      <c r="A325" s="1">
        <v>13</v>
      </c>
      <c r="B325" t="s">
        <v>858</v>
      </c>
      <c r="C325" t="s">
        <v>264</v>
      </c>
      <c r="D325" t="s">
        <v>2300</v>
      </c>
      <c r="E325" t="s">
        <v>2301</v>
      </c>
      <c r="F325" t="s">
        <v>2302</v>
      </c>
      <c r="G325" t="s">
        <v>2303</v>
      </c>
      <c r="I325" t="str">
        <f t="shared" si="112"/>
        <v>N/A</v>
      </c>
      <c r="J325" t="str">
        <f t="shared" si="113"/>
        <v>N/A</v>
      </c>
      <c r="K325">
        <f t="shared" si="114"/>
        <v>1.4731000000000001</v>
      </c>
      <c r="L325">
        <f t="shared" si="115"/>
        <v>-1.7891999999999999</v>
      </c>
      <c r="M325">
        <f t="shared" si="116"/>
        <v>7.0499999999999993E-2</v>
      </c>
      <c r="N325">
        <f t="shared" si="117"/>
        <v>-0.55430000000000001</v>
      </c>
      <c r="P325">
        <f t="shared" si="94"/>
        <v>1.4731000000000001</v>
      </c>
      <c r="Q325">
        <f>IFERROR(J144+MATCH(P325,J325:N325,0)-1,"")</f>
        <v>2013</v>
      </c>
      <c r="R325">
        <f t="shared" si="95"/>
        <v>-1.7891999999999999</v>
      </c>
      <c r="S325">
        <f>IFERROR(J144+MATCH(R325,J325:N325,0)-1,"")</f>
        <v>2014</v>
      </c>
      <c r="T325">
        <f t="shared" si="96"/>
        <v>-0.19997499999999996</v>
      </c>
      <c r="U325">
        <f t="shared" si="97"/>
        <v>1.3568982997385373</v>
      </c>
      <c r="V325" t="str">
        <f t="shared" si="98"/>
        <v/>
      </c>
      <c r="W325">
        <f t="shared" si="99"/>
        <v>1.2330142946766072</v>
      </c>
      <c r="X325">
        <f t="shared" si="100"/>
        <v>-1.1712189486170261</v>
      </c>
      <c r="Y325">
        <f t="shared" si="101"/>
        <v>0.19933328831801042</v>
      </c>
      <c r="Z325">
        <f t="shared" si="102"/>
        <v>-0.26112863437759148</v>
      </c>
      <c r="AA325">
        <f t="shared" si="103"/>
        <v>1.2330142946766072</v>
      </c>
      <c r="AB325">
        <f>IFERROR(V144+MATCH(AA325,V325:Z325,0)-1,"")</f>
        <v>2013</v>
      </c>
      <c r="AC325" t="str">
        <f t="shared" si="104"/>
        <v>High</v>
      </c>
      <c r="AE325" t="str">
        <f>IF(ISNUMBER(MATCH("N/A",J325:N325,0)),"",IFERROR((5 * SUMPRODUCT(J144:N144,J325:N325) - PRODUCT(SUM(J144:N144),SUM(J325:N325))) / ((5 * SUM((J144^2)+(K144^2)+(L144^2)+(M144^2)+(N144^2))) - SUM(J144:N144)^2),""))</f>
        <v/>
      </c>
      <c r="AF325">
        <f>IFERROR(CORREL(J144:N144,J325:N325),"")</f>
        <v>-0.40174153514949096</v>
      </c>
      <c r="AZ325">
        <f t="shared" si="105"/>
        <v>1</v>
      </c>
      <c r="BA325" t="str">
        <f>IF(AZ325=1,IF(Q325="","",IF(Q325=N144,"Yes","No")),"")</f>
        <v>No</v>
      </c>
      <c r="BB325" t="str">
        <f t="shared" si="106"/>
        <v/>
      </c>
      <c r="BC325" t="str">
        <f>IF(AZ325=1,IF(S325="","",IF(S325=N144,"Yes","No")),"")</f>
        <v>No</v>
      </c>
      <c r="BD325" t="str">
        <f t="shared" si="107"/>
        <v/>
      </c>
      <c r="BE325" t="str">
        <f t="shared" si="108"/>
        <v/>
      </c>
      <c r="BF325" t="str">
        <f t="shared" si="109"/>
        <v>No</v>
      </c>
      <c r="BG325" t="str">
        <f t="shared" si="110"/>
        <v>No</v>
      </c>
      <c r="BH325" t="str">
        <f t="shared" si="111"/>
        <v>No</v>
      </c>
    </row>
    <row r="326" spans="1:60" x14ac:dyDescent="0.3">
      <c r="A326" s="1">
        <v>14</v>
      </c>
      <c r="B326" t="s">
        <v>863</v>
      </c>
      <c r="C326" t="s">
        <v>2304</v>
      </c>
      <c r="D326" t="s">
        <v>2305</v>
      </c>
      <c r="E326" t="s">
        <v>2306</v>
      </c>
      <c r="F326" t="s">
        <v>2307</v>
      </c>
      <c r="G326" t="s">
        <v>2308</v>
      </c>
      <c r="I326" t="str">
        <f t="shared" si="112"/>
        <v>N/A</v>
      </c>
      <c r="J326">
        <f t="shared" si="113"/>
        <v>-0.27060000000000001</v>
      </c>
      <c r="K326">
        <f t="shared" si="114"/>
        <v>0.14430000000000001</v>
      </c>
      <c r="L326">
        <f t="shared" si="115"/>
        <v>-9.8400000000000001E-2</v>
      </c>
      <c r="M326">
        <f t="shared" si="116"/>
        <v>-9.6700000000000008E-2</v>
      </c>
      <c r="N326">
        <f t="shared" si="117"/>
        <v>-0.14580000000000001</v>
      </c>
      <c r="P326">
        <f t="shared" si="94"/>
        <v>0.14430000000000001</v>
      </c>
      <c r="Q326">
        <f>IFERROR(J144+MATCH(P326,J326:N326,0)-1,"")</f>
        <v>2013</v>
      </c>
      <c r="R326">
        <f t="shared" si="95"/>
        <v>-0.27060000000000001</v>
      </c>
      <c r="S326">
        <f>IFERROR(J144+MATCH(R326,J326:N326,0)-1,"")</f>
        <v>2012</v>
      </c>
      <c r="T326">
        <f t="shared" si="96"/>
        <v>-9.3440000000000009E-2</v>
      </c>
      <c r="U326">
        <f t="shared" si="97"/>
        <v>0.15056790162581132</v>
      </c>
      <c r="V326">
        <f t="shared" si="98"/>
        <v>-1.1766120008783469</v>
      </c>
      <c r="W326">
        <f t="shared" si="99"/>
        <v>1.5789553911087055</v>
      </c>
      <c r="X326">
        <f t="shared" si="100"/>
        <v>-3.2941948094132943E-2</v>
      </c>
      <c r="Y326">
        <f t="shared" si="101"/>
        <v>-2.1651361045740634E-2</v>
      </c>
      <c r="Z326">
        <f t="shared" si="102"/>
        <v>-0.34775008109048466</v>
      </c>
      <c r="AA326">
        <f t="shared" si="103"/>
        <v>1.5789553911087055</v>
      </c>
      <c r="AB326">
        <f>IFERROR(V144+MATCH(AA326,V326:Z326,0)-1,"")</f>
        <v>2013</v>
      </c>
      <c r="AC326" t="str">
        <f t="shared" si="104"/>
        <v>High</v>
      </c>
      <c r="AE326">
        <f>IF(ISNUMBER(MATCH("N/A",J326:N326,0)),"",IFERROR((5 * SUMPRODUCT(J144:N144,J326:N326) - PRODUCT(SUM(J144:N144),SUM(J326:N326))) / ((5 * SUM((J144^2)+(K144^2)+(L144^2)+(M144^2)+(N144^2))) - SUM(J144:N144)^2),""))</f>
        <v>8.6000000001149599E-4</v>
      </c>
      <c r="AF326">
        <f>IFERROR(CORREL(J144:N144,J326:N326),"")</f>
        <v>9.0310044783096979E-3</v>
      </c>
      <c r="AZ326">
        <f t="shared" si="105"/>
        <v>1</v>
      </c>
      <c r="BA326" t="str">
        <f>IF(AZ326=1,IF(Q326="","",IF(Q326=N144,"Yes","No")),"")</f>
        <v>No</v>
      </c>
      <c r="BB326" t="str">
        <f t="shared" si="106"/>
        <v/>
      </c>
      <c r="BC326" t="str">
        <f>IF(AZ326=1,IF(S326="","",IF(S326=N144,"Yes","No")),"")</f>
        <v>No</v>
      </c>
      <c r="BD326" t="str">
        <f t="shared" si="107"/>
        <v/>
      </c>
      <c r="BE326" t="str">
        <f t="shared" si="108"/>
        <v>Increasing</v>
      </c>
      <c r="BF326" t="str">
        <f t="shared" si="109"/>
        <v>No</v>
      </c>
      <c r="BG326" t="str">
        <f t="shared" si="110"/>
        <v>No</v>
      </c>
      <c r="BH326" t="str">
        <f t="shared" si="111"/>
        <v>No</v>
      </c>
    </row>
    <row r="327" spans="1:60" x14ac:dyDescent="0.3">
      <c r="I327" t="str">
        <f t="shared" si="112"/>
        <v>N/A</v>
      </c>
      <c r="J327" t="str">
        <f t="shared" si="113"/>
        <v>N/A</v>
      </c>
      <c r="K327" t="str">
        <f t="shared" si="114"/>
        <v>N/A</v>
      </c>
      <c r="L327" t="str">
        <f t="shared" si="115"/>
        <v>N/A</v>
      </c>
      <c r="M327" t="str">
        <f t="shared" si="116"/>
        <v>N/A</v>
      </c>
      <c r="N327" t="str">
        <f t="shared" si="117"/>
        <v>N/A</v>
      </c>
      <c r="P327">
        <f t="shared" si="94"/>
        <v>0</v>
      </c>
      <c r="Q327" t="str">
        <f>IFERROR(J144+MATCH(P327,J327:N327,0)-1,"")</f>
        <v/>
      </c>
      <c r="R327" t="str">
        <f t="shared" si="95"/>
        <v/>
      </c>
      <c r="S327" t="str">
        <f>IFERROR(J144+MATCH(R327,J327:N327,0)-1,"")</f>
        <v/>
      </c>
      <c r="T327" t="str">
        <f t="shared" si="96"/>
        <v/>
      </c>
      <c r="U327" t="str">
        <f t="shared" si="97"/>
        <v/>
      </c>
      <c r="V327" t="str">
        <f t="shared" si="98"/>
        <v/>
      </c>
      <c r="W327" t="str">
        <f t="shared" si="99"/>
        <v/>
      </c>
      <c r="X327" t="str">
        <f t="shared" si="100"/>
        <v/>
      </c>
      <c r="Y327" t="str">
        <f t="shared" si="101"/>
        <v/>
      </c>
      <c r="Z327" t="str">
        <f t="shared" si="102"/>
        <v/>
      </c>
      <c r="AA327">
        <f t="shared" si="103"/>
        <v>0</v>
      </c>
      <c r="AB327" t="str">
        <f>IFERROR(V144+MATCH(AA327,V327:Z327,0)-1,"")</f>
        <v/>
      </c>
      <c r="AC327" t="str">
        <f t="shared" si="104"/>
        <v/>
      </c>
      <c r="AE327" t="str">
        <f>IF(ISNUMBER(MATCH("N/A",J327:N327,0)),"",IFERROR((5 * SUMPRODUCT(J144:N144,J327:N327) - PRODUCT(SUM(J144:N144),SUM(J327:N327))) / ((5 * SUM((J144^2)+(K144^2)+(L144^2)+(M144^2)+(N144^2))) - SUM(J144:N144)^2),""))</f>
        <v/>
      </c>
      <c r="AF327" t="str">
        <f>IFERROR(CORREL(J144:N144,J327:N327),"")</f>
        <v/>
      </c>
      <c r="AZ327">
        <f t="shared" si="105"/>
        <v>0</v>
      </c>
      <c r="BA327" t="str">
        <f>IF(AZ327=1,IF(Q327="","",IF(Q327=N144,"Yes","No")),"")</f>
        <v/>
      </c>
      <c r="BB327" t="str">
        <f t="shared" si="106"/>
        <v/>
      </c>
      <c r="BC327" t="str">
        <f>IF(AZ327=1,IF(S327="","",IF(S327=N144,"Yes","No")),"")</f>
        <v/>
      </c>
      <c r="BD327" t="str">
        <f t="shared" si="107"/>
        <v/>
      </c>
      <c r="BE327" t="str">
        <f t="shared" si="108"/>
        <v/>
      </c>
      <c r="BF327" t="str">
        <f t="shared" si="109"/>
        <v>No</v>
      </c>
      <c r="BG327" t="str">
        <f t="shared" si="110"/>
        <v>No</v>
      </c>
      <c r="BH327" t="str">
        <f t="shared" si="111"/>
        <v/>
      </c>
    </row>
    <row r="328" spans="1:60" x14ac:dyDescent="0.3">
      <c r="B328" s="1" t="s">
        <v>316</v>
      </c>
      <c r="C328" s="1" t="s">
        <v>252</v>
      </c>
      <c r="D328" s="1" t="s">
        <v>253</v>
      </c>
      <c r="E328" s="1" t="s">
        <v>254</v>
      </c>
      <c r="F328" s="1" t="s">
        <v>255</v>
      </c>
      <c r="G328" s="1" t="s">
        <v>256</v>
      </c>
      <c r="H328" s="1" t="s">
        <v>257</v>
      </c>
      <c r="P328">
        <f t="shared" si="94"/>
        <v>0</v>
      </c>
      <c r="Q328" t="str">
        <f>IFERROR(J144+MATCH(P328,J328:N328,0)-1,"")</f>
        <v/>
      </c>
      <c r="R328" t="str">
        <f t="shared" si="95"/>
        <v/>
      </c>
      <c r="S328" t="str">
        <f>IFERROR(J144+MATCH(R328,J328:N328,0)-1,"")</f>
        <v/>
      </c>
      <c r="T328" t="str">
        <f t="shared" si="96"/>
        <v/>
      </c>
      <c r="U328" t="str">
        <f t="shared" si="97"/>
        <v/>
      </c>
      <c r="V328" t="str">
        <f t="shared" si="98"/>
        <v/>
      </c>
      <c r="W328" t="str">
        <f t="shared" si="99"/>
        <v/>
      </c>
      <c r="X328" t="str">
        <f t="shared" si="100"/>
        <v/>
      </c>
      <c r="Y328" t="str">
        <f t="shared" si="101"/>
        <v/>
      </c>
      <c r="Z328" t="str">
        <f t="shared" si="102"/>
        <v/>
      </c>
      <c r="AA328">
        <f t="shared" si="103"/>
        <v>0</v>
      </c>
      <c r="AB328" t="str">
        <f>IFERROR(V144+MATCH(AA328,V328:Z328,0)-1,"")</f>
        <v/>
      </c>
      <c r="AC328" t="str">
        <f t="shared" si="104"/>
        <v/>
      </c>
      <c r="AE328">
        <f>IF(ISNUMBER(MATCH("N/A",J328:N328,0)),"",IFERROR((5 * SUMPRODUCT(J144:N144,J328:N328) - PRODUCT(SUM(J144:N144),SUM(J328:N328))) / ((5 * SUM((J144^2)+(K144^2)+(L144^2)+(M144^2)+(N144^2))) - SUM(J144:N144)^2),""))</f>
        <v>0</v>
      </c>
      <c r="AF328" t="str">
        <f>IFERROR(CORREL(J144:N144,J328:N328),"")</f>
        <v/>
      </c>
      <c r="AZ328">
        <f t="shared" si="105"/>
        <v>0</v>
      </c>
      <c r="BA328" t="str">
        <f>IF(AZ328=1,IF(Q328="","",IF(Q328=N144,"Yes","No")),"")</f>
        <v/>
      </c>
      <c r="BB328" t="str">
        <f t="shared" si="106"/>
        <v/>
      </c>
      <c r="BC328" t="str">
        <f>IF(AZ328=1,IF(S328="","",IF(S328=N144,"Yes","No")),"")</f>
        <v/>
      </c>
      <c r="BD328" t="str">
        <f t="shared" si="107"/>
        <v/>
      </c>
      <c r="BE328" t="str">
        <f t="shared" si="108"/>
        <v/>
      </c>
      <c r="BF328" t="str">
        <f t="shared" si="109"/>
        <v>No</v>
      </c>
      <c r="BG328" t="str">
        <f t="shared" si="110"/>
        <v>No</v>
      </c>
      <c r="BH328" t="str">
        <f t="shared" si="111"/>
        <v/>
      </c>
    </row>
    <row r="329" spans="1:60" x14ac:dyDescent="0.3">
      <c r="A329" s="1">
        <v>0</v>
      </c>
      <c r="B329" t="s">
        <v>868</v>
      </c>
      <c r="C329" t="s">
        <v>2309</v>
      </c>
      <c r="D329" t="s">
        <v>2310</v>
      </c>
      <c r="E329" t="s">
        <v>2311</v>
      </c>
      <c r="F329" t="s">
        <v>2312</v>
      </c>
      <c r="G329" t="s">
        <v>2313</v>
      </c>
      <c r="I329" t="str">
        <f t="shared" ref="I329:I360" si="118">IF(AND(K329&gt; J329, L329&gt; K329, M329&gt; L329, N329&gt; M329), "pos_trend", IF(AND(K329&lt; J329, L329&lt; K329, M329&lt; L329, N329&lt; M329), "neg_trend", "N/A"))</f>
        <v>neg_trend</v>
      </c>
      <c r="J329">
        <f t="shared" ref="J329:J360" si="119">IFERROR(IF(TRIM(C329)="-", "N/A", IF(RIGHT(C329,1)=")",IF(RIGHT(C329,2)="T)",-1000000000000*VALUE(MID(C329,2,LEN(C329)-3)),IF(RIGHT(C329,2)="M)",-1000000*VALUE(MID(C329,2,LEN(C329)-3)),IF(RIGHT(C329,2)="B)",-1000000000*VALUE(MID(C329,2,LEN(C329)-3)),IF(RIGHT(C329,2)="k)",-1000*VALUE(MID(C329,2,LEN(C329)-3)),VALUE(SUBSTITUTE(C329,",","")))))),IF(RIGHT(C329,1)="T",1000000000000*VALUE(LEFT(C329,LEN(C329)-1)),IF(RIGHT(C329,1)="M",1000000*VALUE(LEFT(C329,LEN(C329)-1)),IF(RIGHT(C329,1)="B",1000000000*VALUE(LEFT(C329,LEN(C329)-1)),IF(RIGHT(C329,1)="%",0.01*VALUE(LEFT(C329,LEN(C329)-1)),IF(RIGHT(C329,1)="k",1000*VALUE(LEFT(C329,LEN(C329)-1)),VALUE(SUBSTITUTE(C329,",",""))))))))),"N/A")</f>
        <v>-21660000</v>
      </c>
      <c r="K329">
        <f t="shared" ref="K329:K360" si="120">IFERROR(IF(TRIM(D329)="-", "N/A", IF(RIGHT(D329,1)=")",IF(RIGHT(D329,2)="T)",-1000000000000*VALUE(MID(D329,2,LEN(D329)-3)),IF(RIGHT(D329,2)="M)",-1000000*VALUE(MID(D329,2,LEN(D329)-3)),IF(RIGHT(D329,2)="B)",-1000000000*VALUE(MID(D329,2,LEN(D329)-3)),IF(RIGHT(D329,2)="k)",-1000*VALUE(MID(D329,2,LEN(D329)-3)),VALUE(SUBSTITUTE(D329,",","")))))),IF(RIGHT(D329,1)="T",1000000000000*VALUE(LEFT(D329,LEN(D329)-1)),IF(RIGHT(D329,1)="M",1000000*VALUE(LEFT(D329,LEN(D329)-1)),IF(RIGHT(D329,1)="B",1000000000*VALUE(LEFT(D329,LEN(D329)-1)),IF(RIGHT(D329,1)="%",0.01*VALUE(LEFT(D329,LEN(D329)-1)),IF(RIGHT(D329,1)="k",1000*VALUE(LEFT(D329,LEN(D329)-1)),VALUE(SUBSTITUTE(D329,",",""))))))))),"N/A")</f>
        <v>-22420000</v>
      </c>
      <c r="L329">
        <f t="shared" ref="L329:L360" si="121">IFERROR(IF(TRIM(E329)="-", "N/A", IF(RIGHT(E329,1)=")",IF(RIGHT(E329,2)="T)",-1000000000000*VALUE(MID(E329,2,LEN(E329)-3)),IF(RIGHT(E329,2)="M)",-1000000*VALUE(MID(E329,2,LEN(E329)-3)),IF(RIGHT(E329,2)="B)",-1000000000*VALUE(MID(E329,2,LEN(E329)-3)),IF(RIGHT(E329,2)="k)",-1000*VALUE(MID(E329,2,LEN(E329)-3)),VALUE(SUBSTITUTE(E329,",","")))))),IF(RIGHT(E329,1)="T",1000000000000*VALUE(LEFT(E329,LEN(E329)-1)),IF(RIGHT(E329,1)="M",1000000*VALUE(LEFT(E329,LEN(E329)-1)),IF(RIGHT(E329,1)="B",1000000000*VALUE(LEFT(E329,LEN(E329)-1)),IF(RIGHT(E329,1)="%",0.01*VALUE(LEFT(E329,LEN(E329)-1)),IF(RIGHT(E329,1)="k",1000*VALUE(LEFT(E329,LEN(E329)-1)),VALUE(SUBSTITUTE(E329,",",""))))))))),"N/A")</f>
        <v>-24460000</v>
      </c>
      <c r="M329">
        <f t="shared" ref="M329:M360" si="122">IFERROR(IF(TRIM(F329)="-", "N/A", IF(RIGHT(F329,1)=")",IF(RIGHT(F329,2)="T)",-1000000000000*VALUE(MID(F329,2,LEN(F329)-3)),IF(RIGHT(F329,2)="M)",-1000000*VALUE(MID(F329,2,LEN(F329)-3)),IF(RIGHT(F329,2)="B)",-1000000000*VALUE(MID(F329,2,LEN(F329)-3)),IF(RIGHT(F329,2)="k)",-1000*VALUE(MID(F329,2,LEN(F329)-3)),VALUE(SUBSTITUTE(F329,",","")))))),IF(RIGHT(F329,1)="T",1000000000000*VALUE(LEFT(F329,LEN(F329)-1)),IF(RIGHT(F329,1)="M",1000000*VALUE(LEFT(F329,LEN(F329)-1)),IF(RIGHT(F329,1)="B",1000000000*VALUE(LEFT(F329,LEN(F329)-1)),IF(RIGHT(F329,1)="%",0.01*VALUE(LEFT(F329,LEN(F329)-1)),IF(RIGHT(F329,1)="k",1000*VALUE(LEFT(F329,LEN(F329)-1)),VALUE(SUBSTITUTE(F329,",",""))))))))),"N/A")</f>
        <v>-26180000</v>
      </c>
      <c r="N329">
        <f t="shared" ref="N329:N360" si="123">IFERROR(IF(TRIM(G329)="-", "N/A", IF(RIGHT(G329,1)=")",IF(RIGHT(G329,2)="T)",-1000000000000*VALUE(MID(G329,2,LEN(G329)-3)),IF(RIGHT(G329,2)="M)",-1000000*VALUE(MID(G329,2,LEN(G329)-3)),IF(RIGHT(G329,2)="B)",-1000000000*VALUE(MID(G329,2,LEN(G329)-3)),IF(RIGHT(G329,2)="k)",-1000*VALUE(MID(G329,2,LEN(G329)-3)),VALUE(SUBSTITUTE(G329,",","")))))),IF(RIGHT(G329,1)="T",1000000000000*VALUE(LEFT(G329,LEN(G329)-1)),IF(RIGHT(G329,1)="M",1000000*VALUE(LEFT(G329,LEN(G329)-1)),IF(RIGHT(G329,1)="B",1000000000*VALUE(LEFT(G329,LEN(G329)-1)),IF(RIGHT(G329,1)="%",0.01*VALUE(LEFT(G329,LEN(G329)-1)),IF(RIGHT(G329,1)="k",1000*VALUE(LEFT(G329,LEN(G329)-1)),VALUE(SUBSTITUTE(G329,",",""))))))))),"N/A")</f>
        <v>-27440000</v>
      </c>
      <c r="P329">
        <f t="shared" si="94"/>
        <v>-21660000</v>
      </c>
      <c r="Q329">
        <f>IFERROR(J144+MATCH(P329,J329:N329,0)-1,"")</f>
        <v>2012</v>
      </c>
      <c r="R329">
        <f t="shared" si="95"/>
        <v>-27440000</v>
      </c>
      <c r="S329">
        <f>IFERROR(J144+MATCH(R329,J329:N329,0)-1,"")</f>
        <v>2016</v>
      </c>
      <c r="T329">
        <f t="shared" si="96"/>
        <v>-24432000</v>
      </c>
      <c r="U329">
        <f t="shared" si="97"/>
        <v>2441130.8854709123</v>
      </c>
      <c r="V329">
        <f t="shared" si="98"/>
        <v>1.1355392766927614</v>
      </c>
      <c r="W329">
        <f t="shared" si="99"/>
        <v>0.82420816187079216</v>
      </c>
      <c r="X329">
        <f t="shared" si="100"/>
        <v>-1.1470093703967288E-2</v>
      </c>
      <c r="Y329">
        <f t="shared" si="101"/>
        <v>-0.71606156409052923</v>
      </c>
      <c r="Z329">
        <f t="shared" si="102"/>
        <v>-1.232215780769057</v>
      </c>
      <c r="AA329">
        <f t="shared" si="103"/>
        <v>-1.232215780769057</v>
      </c>
      <c r="AB329">
        <f>IFERROR(V144+MATCH(AA329,V329:Z329,0)-1,"")</f>
        <v>2016</v>
      </c>
      <c r="AC329" t="str">
        <f t="shared" si="104"/>
        <v>Low</v>
      </c>
      <c r="AE329">
        <f>IF(ISNUMBER(MATCH("N/A",J329:N329,0)),"",IFERROR((5 * SUMPRODUCT(J144:N144,J329:N329) - PRODUCT(SUM(J144:N144),SUM(J329:N329))) / ((5 * SUM((J144^2)+(K144^2)+(L144^2)+(M144^2)+(N144^2))) - SUM(J144:N144)^2),""))</f>
        <v>-1532000</v>
      </c>
      <c r="AF329">
        <f>IFERROR(CORREL(J144:N144,J329:N329),"")</f>
        <v>-0.99228791954827855</v>
      </c>
      <c r="AZ329">
        <f t="shared" si="105"/>
        <v>1</v>
      </c>
      <c r="BA329" t="str">
        <f>IF(AZ329=1,IF(Q329="","",IF(Q329=N144,"Yes","No")),"")</f>
        <v>No</v>
      </c>
      <c r="BB329" t="str">
        <f t="shared" si="106"/>
        <v/>
      </c>
      <c r="BC329" t="str">
        <f>IF(AZ329=1,IF(S329="","",IF(S329=N144,"Yes","No")),"")</f>
        <v>Yes</v>
      </c>
      <c r="BD329">
        <f t="shared" si="107"/>
        <v>-27440000</v>
      </c>
      <c r="BE329" t="str">
        <f t="shared" si="108"/>
        <v>Decreasing</v>
      </c>
      <c r="BF329" t="str">
        <f t="shared" si="109"/>
        <v>Yes</v>
      </c>
      <c r="BG329" t="str">
        <f t="shared" si="110"/>
        <v>No</v>
      </c>
      <c r="BH329" t="str">
        <f t="shared" si="111"/>
        <v>Yes</v>
      </c>
    </row>
    <row r="330" spans="1:60" x14ac:dyDescent="0.3">
      <c r="A330" s="1">
        <v>1</v>
      </c>
      <c r="B330" t="s">
        <v>874</v>
      </c>
      <c r="C330" t="s">
        <v>2309</v>
      </c>
      <c r="D330" t="s">
        <v>2310</v>
      </c>
      <c r="E330" t="s">
        <v>2311</v>
      </c>
      <c r="F330" t="s">
        <v>2312</v>
      </c>
      <c r="G330" t="s">
        <v>2313</v>
      </c>
      <c r="I330" t="str">
        <f t="shared" si="118"/>
        <v>neg_trend</v>
      </c>
      <c r="J330">
        <f t="shared" si="119"/>
        <v>-21660000</v>
      </c>
      <c r="K330">
        <f t="shared" si="120"/>
        <v>-22420000</v>
      </c>
      <c r="L330">
        <f t="shared" si="121"/>
        <v>-24460000</v>
      </c>
      <c r="M330">
        <f t="shared" si="122"/>
        <v>-26180000</v>
      </c>
      <c r="N330">
        <f t="shared" si="123"/>
        <v>-27440000</v>
      </c>
      <c r="P330">
        <f t="shared" si="94"/>
        <v>-21660000</v>
      </c>
      <c r="Q330">
        <f>IFERROR(J144+MATCH(P330,J330:N330,0)-1,"")</f>
        <v>2012</v>
      </c>
      <c r="R330">
        <f t="shared" si="95"/>
        <v>-27440000</v>
      </c>
      <c r="S330">
        <f>IFERROR(J144+MATCH(R330,J330:N330,0)-1,"")</f>
        <v>2016</v>
      </c>
      <c r="T330">
        <f t="shared" si="96"/>
        <v>-24432000</v>
      </c>
      <c r="U330">
        <f t="shared" si="97"/>
        <v>2441130.8854709123</v>
      </c>
      <c r="V330">
        <f t="shared" si="98"/>
        <v>1.1355392766927614</v>
      </c>
      <c r="W330">
        <f t="shared" si="99"/>
        <v>0.82420816187079216</v>
      </c>
      <c r="X330">
        <f t="shared" si="100"/>
        <v>-1.1470093703967288E-2</v>
      </c>
      <c r="Y330">
        <f t="shared" si="101"/>
        <v>-0.71606156409052923</v>
      </c>
      <c r="Z330">
        <f t="shared" si="102"/>
        <v>-1.232215780769057</v>
      </c>
      <c r="AA330">
        <f t="shared" si="103"/>
        <v>-1.232215780769057</v>
      </c>
      <c r="AB330">
        <f>IFERROR(V144+MATCH(AA330,V330:Z330,0)-1,"")</f>
        <v>2016</v>
      </c>
      <c r="AC330" t="str">
        <f t="shared" si="104"/>
        <v>Low</v>
      </c>
      <c r="AE330">
        <f>IF(ISNUMBER(MATCH("N/A",J330:N330,0)),"",IFERROR((5 * SUMPRODUCT(J144:N144,J330:N330) - PRODUCT(SUM(J144:N144),SUM(J330:N330))) / ((5 * SUM((J144^2)+(K144^2)+(L144^2)+(M144^2)+(N144^2))) - SUM(J144:N144)^2),""))</f>
        <v>-1532000</v>
      </c>
      <c r="AF330">
        <f>IFERROR(CORREL(J144:N144,J330:N330),"")</f>
        <v>-0.99228791954827855</v>
      </c>
      <c r="AZ330">
        <f t="shared" si="105"/>
        <v>1</v>
      </c>
      <c r="BA330" t="str">
        <f>IF(AZ330=1,IF(Q330="","",IF(Q330=N144,"Yes","No")),"")</f>
        <v>No</v>
      </c>
      <c r="BB330" t="str">
        <f t="shared" si="106"/>
        <v/>
      </c>
      <c r="BC330" t="str">
        <f>IF(AZ330=1,IF(S330="","",IF(S330=N144,"Yes","No")),"")</f>
        <v>Yes</v>
      </c>
      <c r="BD330">
        <f t="shared" si="107"/>
        <v>-27440000</v>
      </c>
      <c r="BE330" t="str">
        <f t="shared" si="108"/>
        <v>Decreasing</v>
      </c>
      <c r="BF330" t="str">
        <f t="shared" si="109"/>
        <v>Yes</v>
      </c>
      <c r="BG330" t="str">
        <f t="shared" si="110"/>
        <v>No</v>
      </c>
      <c r="BH330" t="str">
        <f t="shared" si="111"/>
        <v>Yes</v>
      </c>
    </row>
    <row r="331" spans="1:60" x14ac:dyDescent="0.3">
      <c r="A331" s="1">
        <v>2</v>
      </c>
      <c r="B331" t="s">
        <v>421</v>
      </c>
      <c r="C331" t="s">
        <v>264</v>
      </c>
      <c r="D331" t="s">
        <v>264</v>
      </c>
      <c r="E331" t="s">
        <v>264</v>
      </c>
      <c r="F331" t="s">
        <v>264</v>
      </c>
      <c r="G331" t="s">
        <v>264</v>
      </c>
      <c r="I331" t="str">
        <f t="shared" si="118"/>
        <v>N/A</v>
      </c>
      <c r="J331" t="str">
        <f t="shared" si="119"/>
        <v>N/A</v>
      </c>
      <c r="K331" t="str">
        <f t="shared" si="120"/>
        <v>N/A</v>
      </c>
      <c r="L331" t="str">
        <f t="shared" si="121"/>
        <v>N/A</v>
      </c>
      <c r="M331" t="str">
        <f t="shared" si="122"/>
        <v>N/A</v>
      </c>
      <c r="N331" t="str">
        <f t="shared" si="123"/>
        <v>N/A</v>
      </c>
      <c r="P331">
        <f t="shared" si="94"/>
        <v>0</v>
      </c>
      <c r="Q331" t="str">
        <f>IFERROR(J144+MATCH(P331,J331:N331,0)-1,"")</f>
        <v/>
      </c>
      <c r="R331" t="str">
        <f t="shared" si="95"/>
        <v/>
      </c>
      <c r="S331" t="str">
        <f>IFERROR(J144+MATCH(R331,J331:N331,0)-1,"")</f>
        <v/>
      </c>
      <c r="T331" t="str">
        <f t="shared" si="96"/>
        <v/>
      </c>
      <c r="U331" t="str">
        <f t="shared" si="97"/>
        <v/>
      </c>
      <c r="V331" t="str">
        <f t="shared" si="98"/>
        <v/>
      </c>
      <c r="W331" t="str">
        <f t="shared" si="99"/>
        <v/>
      </c>
      <c r="X331" t="str">
        <f t="shared" si="100"/>
        <v/>
      </c>
      <c r="Y331" t="str">
        <f t="shared" si="101"/>
        <v/>
      </c>
      <c r="Z331" t="str">
        <f t="shared" si="102"/>
        <v/>
      </c>
      <c r="AA331">
        <f t="shared" si="103"/>
        <v>0</v>
      </c>
      <c r="AB331" t="str">
        <f>IFERROR(V144+MATCH(AA331,V331:Z331,0)-1,"")</f>
        <v/>
      </c>
      <c r="AC331" t="str">
        <f t="shared" si="104"/>
        <v/>
      </c>
      <c r="AE331" t="str">
        <f>IF(ISNUMBER(MATCH("N/A",J331:N331,0)),"",IFERROR((5 * SUMPRODUCT(J144:N144,J331:N331) - PRODUCT(SUM(J144:N144),SUM(J331:N331))) / ((5 * SUM((J144^2)+(K144^2)+(L144^2)+(M144^2)+(N144^2))) - SUM(J144:N144)^2),""))</f>
        <v/>
      </c>
      <c r="AF331" t="str">
        <f>IFERROR(CORREL(J144:N144,J331:N331),"")</f>
        <v/>
      </c>
      <c r="AZ331">
        <f t="shared" si="105"/>
        <v>0</v>
      </c>
      <c r="BA331" t="str">
        <f>IF(AZ331=1,IF(Q331="","",IF(Q331=N144,"Yes","No")),"")</f>
        <v/>
      </c>
      <c r="BB331" t="str">
        <f t="shared" si="106"/>
        <v/>
      </c>
      <c r="BC331" t="str">
        <f>IF(AZ331=1,IF(S331="","",IF(S331=N144,"Yes","No")),"")</f>
        <v/>
      </c>
      <c r="BD331" t="str">
        <f t="shared" si="107"/>
        <v/>
      </c>
      <c r="BE331" t="str">
        <f t="shared" si="108"/>
        <v/>
      </c>
      <c r="BF331" t="str">
        <f t="shared" si="109"/>
        <v>No</v>
      </c>
      <c r="BG331" t="str">
        <f t="shared" si="110"/>
        <v>No</v>
      </c>
      <c r="BH331" t="str">
        <f t="shared" si="111"/>
        <v/>
      </c>
    </row>
    <row r="332" spans="1:60" x14ac:dyDescent="0.3">
      <c r="A332" s="1">
        <v>3</v>
      </c>
      <c r="B332" t="s">
        <v>875</v>
      </c>
      <c r="C332" t="s">
        <v>2314</v>
      </c>
      <c r="D332" t="s">
        <v>2315</v>
      </c>
      <c r="E332" t="s">
        <v>2316</v>
      </c>
      <c r="F332" t="s">
        <v>2317</v>
      </c>
      <c r="G332" t="s">
        <v>2318</v>
      </c>
      <c r="I332" t="str">
        <f t="shared" si="118"/>
        <v>N/A</v>
      </c>
      <c r="J332">
        <f t="shared" si="119"/>
        <v>-11980000</v>
      </c>
      <c r="K332">
        <f t="shared" si="120"/>
        <v>-55120000</v>
      </c>
      <c r="L332">
        <f t="shared" si="121"/>
        <v>3070000</v>
      </c>
      <c r="M332">
        <f t="shared" si="122"/>
        <v>-40680000</v>
      </c>
      <c r="N332">
        <f t="shared" si="123"/>
        <v>-15910000</v>
      </c>
      <c r="P332">
        <f t="shared" si="94"/>
        <v>3070000</v>
      </c>
      <c r="Q332">
        <f>IFERROR(J144+MATCH(P332,J332:N332,0)-1,"")</f>
        <v>2014</v>
      </c>
      <c r="R332">
        <f t="shared" si="95"/>
        <v>-55120000</v>
      </c>
      <c r="S332">
        <f>IFERROR(J144+MATCH(R332,J332:N332,0)-1,"")</f>
        <v>2013</v>
      </c>
      <c r="T332">
        <f t="shared" si="96"/>
        <v>-24124000</v>
      </c>
      <c r="U332">
        <f t="shared" si="97"/>
        <v>23395049.262611095</v>
      </c>
      <c r="V332">
        <f t="shared" si="98"/>
        <v>0.51908418160110437</v>
      </c>
      <c r="W332">
        <f t="shared" si="99"/>
        <v>-1.3248956927625024</v>
      </c>
      <c r="X332">
        <f t="shared" si="100"/>
        <v>1.1623826774094559</v>
      </c>
      <c r="Y332">
        <f t="shared" si="101"/>
        <v>-0.7076710894752869</v>
      </c>
      <c r="Z332">
        <f t="shared" si="102"/>
        <v>0.35109992322722916</v>
      </c>
      <c r="AA332">
        <f t="shared" si="103"/>
        <v>-1.3248956927625024</v>
      </c>
      <c r="AB332">
        <f>IFERROR(V144+MATCH(AA332,V332:Z332,0)-1,"")</f>
        <v>2013</v>
      </c>
      <c r="AC332" t="str">
        <f t="shared" si="104"/>
        <v>Low</v>
      </c>
      <c r="AE332">
        <f>IF(ISNUMBER(MATCH("N/A",J332:N332,0)),"",IFERROR((5 * SUMPRODUCT(J144:N144,J332:N332) - PRODUCT(SUM(J144:N144),SUM(J332:N332))) / ((5 * SUM((J144^2)+(K144^2)+(L144^2)+(M144^2)+(N144^2))) - SUM(J144:N144)^2),""))</f>
        <v>658000</v>
      </c>
      <c r="AF332">
        <f>IFERROR(CORREL(J144:N144,J332:N332),"")</f>
        <v>4.4470491962506777E-2</v>
      </c>
      <c r="AZ332">
        <f t="shared" si="105"/>
        <v>1</v>
      </c>
      <c r="BA332" t="str">
        <f>IF(AZ332=1,IF(Q332="","",IF(Q332=N144,"Yes","No")),"")</f>
        <v>No</v>
      </c>
      <c r="BB332" t="str">
        <f t="shared" si="106"/>
        <v/>
      </c>
      <c r="BC332" t="str">
        <f>IF(AZ332=1,IF(S332="","",IF(S332=N144,"Yes","No")),"")</f>
        <v>No</v>
      </c>
      <c r="BD332" t="str">
        <f t="shared" si="107"/>
        <v/>
      </c>
      <c r="BE332" t="str">
        <f t="shared" si="108"/>
        <v>Increasing</v>
      </c>
      <c r="BF332" t="str">
        <f t="shared" si="109"/>
        <v>No</v>
      </c>
      <c r="BG332" t="str">
        <f t="shared" si="110"/>
        <v>No</v>
      </c>
      <c r="BH332" t="str">
        <f t="shared" si="111"/>
        <v>No</v>
      </c>
    </row>
    <row r="333" spans="1:60" x14ac:dyDescent="0.3">
      <c r="A333" s="1">
        <v>4</v>
      </c>
      <c r="B333" t="s">
        <v>881</v>
      </c>
      <c r="C333" t="s">
        <v>2319</v>
      </c>
      <c r="D333" t="s">
        <v>2320</v>
      </c>
      <c r="E333" t="s">
        <v>2321</v>
      </c>
      <c r="F333" t="s">
        <v>2322</v>
      </c>
      <c r="G333" t="s">
        <v>2323</v>
      </c>
      <c r="I333" t="str">
        <f t="shared" si="118"/>
        <v>N/A</v>
      </c>
      <c r="J333">
        <f t="shared" si="119"/>
        <v>-19040000</v>
      </c>
      <c r="K333">
        <f t="shared" si="120"/>
        <v>-68610000</v>
      </c>
      <c r="L333">
        <f t="shared" si="121"/>
        <v>-8390000</v>
      </c>
      <c r="M333">
        <f t="shared" si="122"/>
        <v>-52100000</v>
      </c>
      <c r="N333">
        <f t="shared" si="123"/>
        <v>-20520000</v>
      </c>
      <c r="P333">
        <f t="shared" si="94"/>
        <v>-8390000</v>
      </c>
      <c r="Q333">
        <f>IFERROR(J144+MATCH(P333,J333:N333,0)-1,"")</f>
        <v>2014</v>
      </c>
      <c r="R333">
        <f t="shared" si="95"/>
        <v>-68610000</v>
      </c>
      <c r="S333">
        <f>IFERROR(J144+MATCH(R333,J333:N333,0)-1,"")</f>
        <v>2013</v>
      </c>
      <c r="T333">
        <f t="shared" si="96"/>
        <v>-33732000</v>
      </c>
      <c r="U333">
        <f t="shared" si="97"/>
        <v>25428758.719213959</v>
      </c>
      <c r="V333">
        <f t="shared" si="98"/>
        <v>0.57777102540592085</v>
      </c>
      <c r="W333">
        <f t="shared" si="99"/>
        <v>-1.371596639266792</v>
      </c>
      <c r="X333">
        <f t="shared" si="100"/>
        <v>0.99658816538502903</v>
      </c>
      <c r="Y333">
        <f t="shared" si="101"/>
        <v>-0.72233175841655017</v>
      </c>
      <c r="Z333">
        <f t="shared" si="102"/>
        <v>0.51956920689239217</v>
      </c>
      <c r="AA333">
        <f t="shared" si="103"/>
        <v>-1.371596639266792</v>
      </c>
      <c r="AB333">
        <f>IFERROR(V144+MATCH(AA333,V333:Z333,0)-1,"")</f>
        <v>2013</v>
      </c>
      <c r="AC333" t="str">
        <f t="shared" si="104"/>
        <v>Low</v>
      </c>
      <c r="AE333">
        <f>IF(ISNUMBER(MATCH("N/A",J333:N333,0)),"",IFERROR((5 * SUMPRODUCT(J144:N144,J333:N333) - PRODUCT(SUM(J144:N144),SUM(J333:N333))) / ((5 * SUM((J144^2)+(K144^2)+(L144^2)+(M144^2)+(N144^2))) - SUM(J144:N144)^2),""))</f>
        <v>1355000</v>
      </c>
      <c r="AF333">
        <f>IFERROR(CORREL(J144:N144,J333:N333),"")</f>
        <v>8.4252760365579604E-2</v>
      </c>
      <c r="AZ333">
        <f t="shared" si="105"/>
        <v>1</v>
      </c>
      <c r="BA333" t="str">
        <f>IF(AZ333=1,IF(Q333="","",IF(Q333=N144,"Yes","No")),"")</f>
        <v>No</v>
      </c>
      <c r="BB333" t="str">
        <f t="shared" si="106"/>
        <v/>
      </c>
      <c r="BC333" t="str">
        <f>IF(AZ333=1,IF(S333="","",IF(S333=N144,"Yes","No")),"")</f>
        <v>No</v>
      </c>
      <c r="BD333" t="str">
        <f t="shared" si="107"/>
        <v/>
      </c>
      <c r="BE333" t="str">
        <f t="shared" si="108"/>
        <v>Increasing</v>
      </c>
      <c r="BF333" t="str">
        <f t="shared" si="109"/>
        <v>No</v>
      </c>
      <c r="BG333" t="str">
        <f t="shared" si="110"/>
        <v>No</v>
      </c>
      <c r="BH333" t="str">
        <f t="shared" si="111"/>
        <v>No</v>
      </c>
    </row>
    <row r="334" spans="1:60" x14ac:dyDescent="0.3">
      <c r="A334" s="1">
        <v>5</v>
      </c>
      <c r="B334" t="s">
        <v>885</v>
      </c>
      <c r="C334" t="s">
        <v>2324</v>
      </c>
      <c r="D334" t="s">
        <v>2325</v>
      </c>
      <c r="E334" t="s">
        <v>2326</v>
      </c>
      <c r="F334" t="s">
        <v>2087</v>
      </c>
      <c r="G334" t="s">
        <v>2327</v>
      </c>
      <c r="I334" t="str">
        <f t="shared" si="118"/>
        <v>N/A</v>
      </c>
      <c r="J334">
        <f t="shared" si="119"/>
        <v>7060000</v>
      </c>
      <c r="K334">
        <f t="shared" si="120"/>
        <v>13490000</v>
      </c>
      <c r="L334">
        <f t="shared" si="121"/>
        <v>11460000</v>
      </c>
      <c r="M334">
        <f t="shared" si="122"/>
        <v>11430000</v>
      </c>
      <c r="N334">
        <f t="shared" si="123"/>
        <v>4610000</v>
      </c>
      <c r="P334">
        <f t="shared" si="94"/>
        <v>13490000</v>
      </c>
      <c r="Q334">
        <f>IFERROR(J144+MATCH(P334,J334:N334,0)-1,"")</f>
        <v>2013</v>
      </c>
      <c r="R334">
        <f t="shared" si="95"/>
        <v>4610000</v>
      </c>
      <c r="S334">
        <f>IFERROR(J144+MATCH(R334,J334:N334,0)-1,"")</f>
        <v>2016</v>
      </c>
      <c r="T334">
        <f t="shared" si="96"/>
        <v>9610000</v>
      </c>
      <c r="U334">
        <f t="shared" si="97"/>
        <v>3650061.6433150824</v>
      </c>
      <c r="V334">
        <f t="shared" si="98"/>
        <v>-0.69861833831497233</v>
      </c>
      <c r="W334">
        <f t="shared" si="99"/>
        <v>1.062995746141997</v>
      </c>
      <c r="X334">
        <f t="shared" si="100"/>
        <v>0.50684075524811711</v>
      </c>
      <c r="Y334">
        <f t="shared" si="101"/>
        <v>0.49862171597382338</v>
      </c>
      <c r="Z334">
        <f t="shared" si="102"/>
        <v>-1.3698398790489652</v>
      </c>
      <c r="AA334">
        <f t="shared" si="103"/>
        <v>-1.3698398790489652</v>
      </c>
      <c r="AB334">
        <f>IFERROR(V144+MATCH(AA334,V334:Z334,0)-1,"")</f>
        <v>2016</v>
      </c>
      <c r="AC334" t="str">
        <f t="shared" si="104"/>
        <v>Low</v>
      </c>
      <c r="AE334">
        <f>IF(ISNUMBER(MATCH("N/A",J334:N334,0)),"",IFERROR((5 * SUMPRODUCT(J144:N144,J334:N334) - PRODUCT(SUM(J144:N144),SUM(J334:N334))) / ((5 * SUM((J144^2)+(K144^2)+(L144^2)+(M144^2)+(N144^2))) - SUM(J144:N144)^2),""))</f>
        <v>-696000</v>
      </c>
      <c r="AF334">
        <f>IFERROR(CORREL(J144:N144,J334:N334),"")</f>
        <v>-0.30149425770769106</v>
      </c>
      <c r="AZ334">
        <f t="shared" si="105"/>
        <v>1</v>
      </c>
      <c r="BA334" t="str">
        <f>IF(AZ334=1,IF(Q334="","",IF(Q334=N144,"Yes","No")),"")</f>
        <v>No</v>
      </c>
      <c r="BB334" t="str">
        <f t="shared" si="106"/>
        <v/>
      </c>
      <c r="BC334" t="str">
        <f>IF(AZ334=1,IF(S334="","",IF(S334=N144,"Yes","No")),"")</f>
        <v>Yes</v>
      </c>
      <c r="BD334">
        <f t="shared" si="107"/>
        <v>4610000</v>
      </c>
      <c r="BE334" t="str">
        <f t="shared" si="108"/>
        <v>Decreasing</v>
      </c>
      <c r="BF334" t="str">
        <f t="shared" si="109"/>
        <v>Yes</v>
      </c>
      <c r="BG334" t="str">
        <f t="shared" si="110"/>
        <v>No</v>
      </c>
      <c r="BH334" t="str">
        <f t="shared" si="111"/>
        <v>No</v>
      </c>
    </row>
    <row r="335" spans="1:60" x14ac:dyDescent="0.3">
      <c r="A335" s="1">
        <v>6</v>
      </c>
      <c r="B335" t="s">
        <v>889</v>
      </c>
      <c r="C335" t="s">
        <v>2324</v>
      </c>
      <c r="D335" t="s">
        <v>2325</v>
      </c>
      <c r="E335" t="s">
        <v>2326</v>
      </c>
      <c r="F335" t="s">
        <v>2087</v>
      </c>
      <c r="G335" t="s">
        <v>2327</v>
      </c>
      <c r="I335" t="str">
        <f t="shared" si="118"/>
        <v>N/A</v>
      </c>
      <c r="J335">
        <f t="shared" si="119"/>
        <v>7060000</v>
      </c>
      <c r="K335">
        <f t="shared" si="120"/>
        <v>13490000</v>
      </c>
      <c r="L335">
        <f t="shared" si="121"/>
        <v>11460000</v>
      </c>
      <c r="M335">
        <f t="shared" si="122"/>
        <v>11430000</v>
      </c>
      <c r="N335">
        <f t="shared" si="123"/>
        <v>4610000</v>
      </c>
      <c r="P335">
        <f t="shared" si="94"/>
        <v>13490000</v>
      </c>
      <c r="Q335">
        <f>IFERROR(J144+MATCH(P335,J335:N335,0)-1,"")</f>
        <v>2013</v>
      </c>
      <c r="R335">
        <f t="shared" si="95"/>
        <v>4610000</v>
      </c>
      <c r="S335">
        <f>IFERROR(J144+MATCH(R335,J335:N335,0)-1,"")</f>
        <v>2016</v>
      </c>
      <c r="T335">
        <f t="shared" si="96"/>
        <v>9610000</v>
      </c>
      <c r="U335">
        <f t="shared" si="97"/>
        <v>3650061.6433150824</v>
      </c>
      <c r="V335">
        <f t="shared" si="98"/>
        <v>-0.69861833831497233</v>
      </c>
      <c r="W335">
        <f t="shared" si="99"/>
        <v>1.062995746141997</v>
      </c>
      <c r="X335">
        <f t="shared" si="100"/>
        <v>0.50684075524811711</v>
      </c>
      <c r="Y335">
        <f t="shared" si="101"/>
        <v>0.49862171597382338</v>
      </c>
      <c r="Z335">
        <f t="shared" si="102"/>
        <v>-1.3698398790489652</v>
      </c>
      <c r="AA335">
        <f t="shared" si="103"/>
        <v>-1.3698398790489652</v>
      </c>
      <c r="AB335">
        <f>IFERROR(V144+MATCH(AA335,V335:Z335,0)-1,"")</f>
        <v>2016</v>
      </c>
      <c r="AC335" t="str">
        <f t="shared" si="104"/>
        <v>Low</v>
      </c>
      <c r="AE335">
        <f>IF(ISNUMBER(MATCH("N/A",J335:N335,0)),"",IFERROR((5 * SUMPRODUCT(J144:N144,J335:N335) - PRODUCT(SUM(J144:N144),SUM(J335:N335))) / ((5 * SUM((J144^2)+(K144^2)+(L144^2)+(M144^2)+(N144^2))) - SUM(J144:N144)^2),""))</f>
        <v>-696000</v>
      </c>
      <c r="AF335">
        <f>IFERROR(CORREL(J144:N144,J335:N335),"")</f>
        <v>-0.30149425770769106</v>
      </c>
      <c r="AZ335">
        <f t="shared" si="105"/>
        <v>1</v>
      </c>
      <c r="BA335" t="str">
        <f>IF(AZ335=1,IF(Q335="","",IF(Q335=N144,"Yes","No")),"")</f>
        <v>No</v>
      </c>
      <c r="BB335" t="str">
        <f t="shared" si="106"/>
        <v/>
      </c>
      <c r="BC335" t="str">
        <f>IF(AZ335=1,IF(S335="","",IF(S335=N144,"Yes","No")),"")</f>
        <v>Yes</v>
      </c>
      <c r="BD335">
        <f t="shared" si="107"/>
        <v>4610000</v>
      </c>
      <c r="BE335" t="str">
        <f t="shared" si="108"/>
        <v>Decreasing</v>
      </c>
      <c r="BF335" t="str">
        <f t="shared" si="109"/>
        <v>Yes</v>
      </c>
      <c r="BG335" t="str">
        <f t="shared" si="110"/>
        <v>No</v>
      </c>
      <c r="BH335" t="str">
        <f t="shared" si="111"/>
        <v>No</v>
      </c>
    </row>
    <row r="336" spans="1:60" x14ac:dyDescent="0.3">
      <c r="A336" s="1">
        <v>7</v>
      </c>
      <c r="B336" t="s">
        <v>890</v>
      </c>
      <c r="C336" t="s">
        <v>264</v>
      </c>
      <c r="D336" t="s">
        <v>264</v>
      </c>
      <c r="E336" t="s">
        <v>264</v>
      </c>
      <c r="F336" t="s">
        <v>264</v>
      </c>
      <c r="G336" t="s">
        <v>264</v>
      </c>
      <c r="I336" t="str">
        <f t="shared" si="118"/>
        <v>N/A</v>
      </c>
      <c r="J336" t="str">
        <f t="shared" si="119"/>
        <v>N/A</v>
      </c>
      <c r="K336" t="str">
        <f t="shared" si="120"/>
        <v>N/A</v>
      </c>
      <c r="L336" t="str">
        <f t="shared" si="121"/>
        <v>N/A</v>
      </c>
      <c r="M336" t="str">
        <f t="shared" si="122"/>
        <v>N/A</v>
      </c>
      <c r="N336" t="str">
        <f t="shared" si="123"/>
        <v>N/A</v>
      </c>
      <c r="P336">
        <f t="shared" si="94"/>
        <v>0</v>
      </c>
      <c r="Q336" t="str">
        <f>IFERROR(J144+MATCH(P336,J336:N336,0)-1,"")</f>
        <v/>
      </c>
      <c r="R336" t="str">
        <f t="shared" si="95"/>
        <v/>
      </c>
      <c r="S336" t="str">
        <f>IFERROR(J144+MATCH(R336,J336:N336,0)-1,"")</f>
        <v/>
      </c>
      <c r="T336" t="str">
        <f t="shared" si="96"/>
        <v/>
      </c>
      <c r="U336" t="str">
        <f t="shared" si="97"/>
        <v/>
      </c>
      <c r="V336" t="str">
        <f t="shared" si="98"/>
        <v/>
      </c>
      <c r="W336" t="str">
        <f t="shared" si="99"/>
        <v/>
      </c>
      <c r="X336" t="str">
        <f t="shared" si="100"/>
        <v/>
      </c>
      <c r="Y336" t="str">
        <f t="shared" si="101"/>
        <v/>
      </c>
      <c r="Z336" t="str">
        <f t="shared" si="102"/>
        <v/>
      </c>
      <c r="AA336">
        <f t="shared" si="103"/>
        <v>0</v>
      </c>
      <c r="AB336" t="str">
        <f>IFERROR(V144+MATCH(AA336,V336:Z336,0)-1,"")</f>
        <v/>
      </c>
      <c r="AC336" t="str">
        <f t="shared" si="104"/>
        <v/>
      </c>
      <c r="AE336" t="str">
        <f>IF(ISNUMBER(MATCH("N/A",J336:N336,0)),"",IFERROR((5 * SUMPRODUCT(J144:N144,J336:N336) - PRODUCT(SUM(J144:N144),SUM(J336:N336))) / ((5 * SUM((J144^2)+(K144^2)+(L144^2)+(M144^2)+(N144^2))) - SUM(J144:N144)^2),""))</f>
        <v/>
      </c>
      <c r="AF336" t="str">
        <f>IFERROR(CORREL(J144:N144,J336:N336),"")</f>
        <v/>
      </c>
      <c r="AZ336">
        <f t="shared" si="105"/>
        <v>0</v>
      </c>
      <c r="BA336" t="str">
        <f>IF(AZ336=1,IF(Q336="","",IF(Q336=N144,"Yes","No")),"")</f>
        <v/>
      </c>
      <c r="BB336" t="str">
        <f t="shared" si="106"/>
        <v/>
      </c>
      <c r="BC336" t="str">
        <f>IF(AZ336=1,IF(S336="","",IF(S336=N144,"Yes","No")),"")</f>
        <v/>
      </c>
      <c r="BD336" t="str">
        <f t="shared" si="107"/>
        <v/>
      </c>
      <c r="BE336" t="str">
        <f t="shared" si="108"/>
        <v/>
      </c>
      <c r="BF336" t="str">
        <f t="shared" si="109"/>
        <v>No</v>
      </c>
      <c r="BG336" t="str">
        <f t="shared" si="110"/>
        <v>No</v>
      </c>
      <c r="BH336" t="str">
        <f t="shared" si="111"/>
        <v/>
      </c>
    </row>
    <row r="337" spans="1:60" x14ac:dyDescent="0.3">
      <c r="A337" s="1">
        <v>8</v>
      </c>
      <c r="B337" t="s">
        <v>891</v>
      </c>
      <c r="C337" t="s">
        <v>2328</v>
      </c>
      <c r="D337" t="s">
        <v>2329</v>
      </c>
      <c r="E337" t="s">
        <v>2330</v>
      </c>
      <c r="F337" t="s">
        <v>2331</v>
      </c>
      <c r="G337" t="s">
        <v>1509</v>
      </c>
      <c r="I337" t="str">
        <f t="shared" si="118"/>
        <v>N/A</v>
      </c>
      <c r="J337">
        <f t="shared" si="119"/>
        <v>252740000</v>
      </c>
      <c r="K337">
        <f t="shared" si="120"/>
        <v>-107700000</v>
      </c>
      <c r="L337">
        <f t="shared" si="121"/>
        <v>-46900000</v>
      </c>
      <c r="M337">
        <f t="shared" si="122"/>
        <v>2750000</v>
      </c>
      <c r="N337">
        <f t="shared" si="123"/>
        <v>-9850000</v>
      </c>
      <c r="P337">
        <f t="shared" ref="P337:P353" si="124">MAX(J337:N337)</f>
        <v>252740000</v>
      </c>
      <c r="Q337">
        <f>IFERROR(J144+MATCH(P337,J337:N337,0)-1,"")</f>
        <v>2012</v>
      </c>
      <c r="R337">
        <f t="shared" ref="R337:R400" si="125">IF(Q337="","",MIN(J337:N337))</f>
        <v>-107700000</v>
      </c>
      <c r="S337">
        <f>IFERROR(J144+MATCH(R337,J337:N337,0)-1,"")</f>
        <v>2013</v>
      </c>
      <c r="T337">
        <f t="shared" ref="T337:T353" si="126">IFERROR(AVERAGE(J337:N337),"")</f>
        <v>18208000</v>
      </c>
      <c r="U337">
        <f t="shared" ref="U337:U353" si="127">IFERROR(STDEV(J337:N337),"")</f>
        <v>137952289.10750267</v>
      </c>
      <c r="V337">
        <f t="shared" ref="V337:V400" si="128">IFERROR(IF(C337="-","",IF(ISBLANK(B337),"",IF(OR(ISNUMBER(FIND("Growth",B337)),ISNUMBER(FIND("Margin",B337))),"",(J337-T337)/U337))),"")</f>
        <v>1.7000950221075002</v>
      </c>
      <c r="W337">
        <f t="shared" ref="W337:W353" si="129">IFERROR(IF(OR(D337="-",ISBLANK(D337)),"",(K337-T337)/U337),"")</f>
        <v>-0.91269235773161494</v>
      </c>
      <c r="X337">
        <f t="shared" ref="X337:X353" si="130">IFERROR(IF(OR(E337="-",ISBLANK(E337)),"",(L337-T337)/U337),"")</f>
        <v>-0.47196027279593028</v>
      </c>
      <c r="Y337">
        <f t="shared" ref="Y337:Y353" si="131">IFERROR(IF(OR(F337="-",ISBLANK(F337)),"",(M337-T337)/U337),"")</f>
        <v>-0.11205323304170747</v>
      </c>
      <c r="Z337">
        <f t="shared" ref="Z337:Z353" si="132">IFERROR(IF(OR(G337="-",ISBLANK(G337)),"",(N337-T337)/U337),"")</f>
        <v>-0.20338915853824741</v>
      </c>
      <c r="AA337">
        <f t="shared" ref="AA337:AA400" si="133">IF(MAX(MAX(V337:Z337),ABS(MIN(V337:Z337)))=ABS(MIN(V337:Z337)),MIN(V337:Z337),MAX(V337:Z337))</f>
        <v>1.7000950221075002</v>
      </c>
      <c r="AB337">
        <f>IFERROR(V144+MATCH(AA337,V337:Z337,0)-1,"")</f>
        <v>2012</v>
      </c>
      <c r="AC337" t="str">
        <f t="shared" ref="AC337:AC400" si="134">IF(AB337&lt;&gt;"",IF(S337=AB337,"Low",IF(AB337=Q337,"High","")),"")</f>
        <v>High</v>
      </c>
      <c r="AE337">
        <f>IF(ISNUMBER(MATCH("N/A",J337:N337,0)),"",IFERROR((5 * SUMPRODUCT(J144:N144,J337:N337) - PRODUCT(SUM(J144:N144),SUM(J337:N337))) / ((5 * SUM((J144^2)+(K144^2)+(L144^2)+(M144^2)+(N144^2))) - SUM(J144:N144)^2),""))</f>
        <v>-41473000</v>
      </c>
      <c r="AF337">
        <f>IFERROR(CORREL(J144:N144,J337:N337),"")</f>
        <v>-0.4753423892008129</v>
      </c>
      <c r="AZ337">
        <f t="shared" ref="AZ337:AZ352" si="135">IF(Q337=S337,0,1)</f>
        <v>1</v>
      </c>
      <c r="BA337" t="str">
        <f>IF(AZ337=1,IF(Q337="","",IF(Q337=N144,"Yes","No")),"")</f>
        <v>No</v>
      </c>
      <c r="BB337" t="str">
        <f t="shared" ref="BB337:BB400" si="136">IF(BA337="Yes",P337,"")</f>
        <v/>
      </c>
      <c r="BC337" t="str">
        <f>IF(AZ337=1,IF(S337="","",IF(S337=N144,"Yes","No")),"")</f>
        <v>No</v>
      </c>
      <c r="BD337" t="str">
        <f t="shared" ref="BD337:BD400" si="137">IF(BC337="Yes",R337,"")</f>
        <v/>
      </c>
      <c r="BE337" t="str">
        <f t="shared" ref="BE337:BE352" si="138">IFERROR(IF(SIGN(AE337)=1,"Increasing",IF(SIGN(AE337)=-1,"Decreasing","")),"")</f>
        <v>Decreasing</v>
      </c>
      <c r="BF337" t="str">
        <f t="shared" ref="BF337:BF400" si="139">IF(OR(AND(BE337="Increasing",BA337="Yes"),AND(BE337="Decreasing",BC337="Yes")),"Yes","No")</f>
        <v>No</v>
      </c>
      <c r="BG337" t="str">
        <f t="shared" ref="BG337:BG352" si="140">IF(I337="pos_trend","Yes","No")</f>
        <v>No</v>
      </c>
      <c r="BH337" t="str">
        <f t="shared" ref="BH337:BH352" si="141">IF(AF337&lt;&gt;"",IF(ABS(AF337)&gt;0.8,"Yes","No"),"")</f>
        <v>No</v>
      </c>
    </row>
    <row r="338" spans="1:60" x14ac:dyDescent="0.3">
      <c r="A338" s="1">
        <v>9</v>
      </c>
      <c r="B338" t="s">
        <v>897</v>
      </c>
      <c r="C338" t="s">
        <v>264</v>
      </c>
      <c r="D338" t="s">
        <v>264</v>
      </c>
      <c r="E338" t="s">
        <v>264</v>
      </c>
      <c r="F338" t="s">
        <v>264</v>
      </c>
      <c r="G338" t="s">
        <v>264</v>
      </c>
      <c r="I338" t="str">
        <f t="shared" si="118"/>
        <v>N/A</v>
      </c>
      <c r="J338" t="str">
        <f t="shared" si="119"/>
        <v>N/A</v>
      </c>
      <c r="K338" t="str">
        <f t="shared" si="120"/>
        <v>N/A</v>
      </c>
      <c r="L338" t="str">
        <f t="shared" si="121"/>
        <v>N/A</v>
      </c>
      <c r="M338" t="str">
        <f t="shared" si="122"/>
        <v>N/A</v>
      </c>
      <c r="N338" t="str">
        <f t="shared" si="123"/>
        <v>N/A</v>
      </c>
      <c r="P338">
        <f t="shared" si="124"/>
        <v>0</v>
      </c>
      <c r="Q338" t="str">
        <f>IFERROR(J144+MATCH(P338,J338:N338,0)-1,"")</f>
        <v/>
      </c>
      <c r="R338" t="str">
        <f t="shared" si="125"/>
        <v/>
      </c>
      <c r="S338" t="str">
        <f>IFERROR(J144+MATCH(R338,J338:N338,0)-1,"")</f>
        <v/>
      </c>
      <c r="T338" t="str">
        <f t="shared" si="126"/>
        <v/>
      </c>
      <c r="U338" t="str">
        <f t="shared" si="127"/>
        <v/>
      </c>
      <c r="V338" t="str">
        <f t="shared" si="128"/>
        <v/>
      </c>
      <c r="W338" t="str">
        <f t="shared" si="129"/>
        <v/>
      </c>
      <c r="X338" t="str">
        <f t="shared" si="130"/>
        <v/>
      </c>
      <c r="Y338" t="str">
        <f t="shared" si="131"/>
        <v/>
      </c>
      <c r="Z338" t="str">
        <f t="shared" si="132"/>
        <v/>
      </c>
      <c r="AA338">
        <f t="shared" si="133"/>
        <v>0</v>
      </c>
      <c r="AB338" t="str">
        <f>IFERROR(V144+MATCH(AA338,V338:Z338,0)-1,"")</f>
        <v/>
      </c>
      <c r="AC338" t="str">
        <f t="shared" si="134"/>
        <v/>
      </c>
      <c r="AE338" t="str">
        <f>IF(ISNUMBER(MATCH("N/A",J338:N338,0)),"",IFERROR((5 * SUMPRODUCT(J144:N144,J338:N338) - PRODUCT(SUM(J144:N144),SUM(J338:N338))) / ((5 * SUM((J144^2)+(K144^2)+(L144^2)+(M144^2)+(N144^2))) - SUM(J144:N144)^2),""))</f>
        <v/>
      </c>
      <c r="AF338" t="str">
        <f>IFERROR(CORREL(J144:N144,J338:N338),"")</f>
        <v/>
      </c>
      <c r="AZ338">
        <f t="shared" si="135"/>
        <v>0</v>
      </c>
      <c r="BA338" t="str">
        <f>IF(AZ338=1,IF(Q338="","",IF(Q338=N144,"Yes","No")),"")</f>
        <v/>
      </c>
      <c r="BB338" t="str">
        <f t="shared" si="136"/>
        <v/>
      </c>
      <c r="BC338" t="str">
        <f>IF(AZ338=1,IF(S338="","",IF(S338=N144,"Yes","No")),"")</f>
        <v/>
      </c>
      <c r="BD338" t="str">
        <f t="shared" si="137"/>
        <v/>
      </c>
      <c r="BE338" t="str">
        <f t="shared" si="138"/>
        <v/>
      </c>
      <c r="BF338" t="str">
        <f t="shared" si="139"/>
        <v>No</v>
      </c>
      <c r="BG338" t="str">
        <f t="shared" si="140"/>
        <v>No</v>
      </c>
      <c r="BH338" t="str">
        <f t="shared" si="141"/>
        <v/>
      </c>
    </row>
    <row r="339" spans="1:60" x14ac:dyDescent="0.3">
      <c r="A339" s="1">
        <v>10</v>
      </c>
      <c r="B339" t="s">
        <v>898</v>
      </c>
      <c r="C339" t="s">
        <v>2328</v>
      </c>
      <c r="D339" t="s">
        <v>2329</v>
      </c>
      <c r="E339" t="s">
        <v>2330</v>
      </c>
      <c r="F339" t="s">
        <v>2331</v>
      </c>
      <c r="G339" t="s">
        <v>1509</v>
      </c>
      <c r="I339" t="str">
        <f t="shared" si="118"/>
        <v>N/A</v>
      </c>
      <c r="J339">
        <f t="shared" si="119"/>
        <v>252740000</v>
      </c>
      <c r="K339">
        <f t="shared" si="120"/>
        <v>-107700000</v>
      </c>
      <c r="L339">
        <f t="shared" si="121"/>
        <v>-46900000</v>
      </c>
      <c r="M339">
        <f t="shared" si="122"/>
        <v>2750000</v>
      </c>
      <c r="N339">
        <f t="shared" si="123"/>
        <v>-9850000</v>
      </c>
      <c r="P339">
        <f t="shared" si="124"/>
        <v>252740000</v>
      </c>
      <c r="Q339">
        <f>IFERROR(J144+MATCH(P339,J339:N339,0)-1,"")</f>
        <v>2012</v>
      </c>
      <c r="R339">
        <f t="shared" si="125"/>
        <v>-107700000</v>
      </c>
      <c r="S339">
        <f>IFERROR(J144+MATCH(R339,J339:N339,0)-1,"")</f>
        <v>2013</v>
      </c>
      <c r="T339">
        <f t="shared" si="126"/>
        <v>18208000</v>
      </c>
      <c r="U339">
        <f t="shared" si="127"/>
        <v>137952289.10750267</v>
      </c>
      <c r="V339">
        <f t="shared" si="128"/>
        <v>1.7000950221075002</v>
      </c>
      <c r="W339">
        <f t="shared" si="129"/>
        <v>-0.91269235773161494</v>
      </c>
      <c r="X339">
        <f t="shared" si="130"/>
        <v>-0.47196027279593028</v>
      </c>
      <c r="Y339">
        <f t="shared" si="131"/>
        <v>-0.11205323304170747</v>
      </c>
      <c r="Z339">
        <f t="shared" si="132"/>
        <v>-0.20338915853824741</v>
      </c>
      <c r="AA339">
        <f t="shared" si="133"/>
        <v>1.7000950221075002</v>
      </c>
      <c r="AB339">
        <f>IFERROR(V144+MATCH(AA339,V339:Z339,0)-1,"")</f>
        <v>2012</v>
      </c>
      <c r="AC339" t="str">
        <f t="shared" si="134"/>
        <v>High</v>
      </c>
      <c r="AE339">
        <f>IF(ISNUMBER(MATCH("N/A",J339:N339,0)),"",IFERROR((5 * SUMPRODUCT(J144:N144,J339:N339) - PRODUCT(SUM(J144:N144),SUM(J339:N339))) / ((5 * SUM((J144^2)+(K144^2)+(L144^2)+(M144^2)+(N144^2))) - SUM(J144:N144)^2),""))</f>
        <v>-41473000</v>
      </c>
      <c r="AF339">
        <f>IFERROR(CORREL(J144:N144,J339:N339),"")</f>
        <v>-0.4753423892008129</v>
      </c>
      <c r="AZ339">
        <f t="shared" si="135"/>
        <v>1</v>
      </c>
      <c r="BA339" t="str">
        <f>IF(AZ339=1,IF(Q339="","",IF(Q339=N144,"Yes","No")),"")</f>
        <v>No</v>
      </c>
      <c r="BB339" t="str">
        <f t="shared" si="136"/>
        <v/>
      </c>
      <c r="BC339" t="str">
        <f>IF(AZ339=1,IF(S339="","",IF(S339=N144,"Yes","No")),"")</f>
        <v>No</v>
      </c>
      <c r="BD339" t="str">
        <f t="shared" si="137"/>
        <v/>
      </c>
      <c r="BE339" t="str">
        <f t="shared" si="138"/>
        <v>Decreasing</v>
      </c>
      <c r="BF339" t="str">
        <f t="shared" si="139"/>
        <v>No</v>
      </c>
      <c r="BG339" t="str">
        <f t="shared" si="140"/>
        <v>No</v>
      </c>
      <c r="BH339" t="str">
        <f t="shared" si="141"/>
        <v>No</v>
      </c>
    </row>
    <row r="340" spans="1:60" x14ac:dyDescent="0.3">
      <c r="A340" s="1">
        <v>11</v>
      </c>
      <c r="B340" t="s">
        <v>899</v>
      </c>
      <c r="C340" t="s">
        <v>2332</v>
      </c>
      <c r="D340" t="s">
        <v>2333</v>
      </c>
      <c r="E340" t="s">
        <v>2334</v>
      </c>
      <c r="F340" t="s">
        <v>2335</v>
      </c>
      <c r="G340" t="s">
        <v>2336</v>
      </c>
      <c r="I340" t="str">
        <f t="shared" si="118"/>
        <v>N/A</v>
      </c>
      <c r="J340">
        <f t="shared" si="119"/>
        <v>376000000</v>
      </c>
      <c r="K340">
        <f t="shared" si="120"/>
        <v>450250000</v>
      </c>
      <c r="L340">
        <f t="shared" si="121"/>
        <v>300300000</v>
      </c>
      <c r="M340">
        <f t="shared" si="122"/>
        <v>173940000</v>
      </c>
      <c r="N340">
        <f t="shared" si="123"/>
        <v>311650000</v>
      </c>
      <c r="P340">
        <f t="shared" si="124"/>
        <v>450250000</v>
      </c>
      <c r="Q340">
        <f>IFERROR(J144+MATCH(P340,J340:N340,0)-1,"")</f>
        <v>2013</v>
      </c>
      <c r="R340">
        <f t="shared" si="125"/>
        <v>173940000</v>
      </c>
      <c r="S340">
        <f>IFERROR(J144+MATCH(R340,J340:N340,0)-1,"")</f>
        <v>2015</v>
      </c>
      <c r="T340">
        <f t="shared" si="126"/>
        <v>322428000</v>
      </c>
      <c r="U340">
        <f t="shared" si="127"/>
        <v>102302153.78964414</v>
      </c>
      <c r="V340">
        <f t="shared" si="128"/>
        <v>0.5236644392664096</v>
      </c>
      <c r="W340">
        <f t="shared" si="129"/>
        <v>1.2494556103171621</v>
      </c>
      <c r="X340">
        <f t="shared" si="130"/>
        <v>-0.21630043142102426</v>
      </c>
      <c r="Y340">
        <f t="shared" si="131"/>
        <v>-1.4514650425183049</v>
      </c>
      <c r="Z340">
        <f t="shared" si="132"/>
        <v>-0.10535457564424257</v>
      </c>
      <c r="AA340">
        <f t="shared" si="133"/>
        <v>-1.4514650425183049</v>
      </c>
      <c r="AB340">
        <f>IFERROR(V144+MATCH(AA340,V340:Z340,0)-1,"")</f>
        <v>2015</v>
      </c>
      <c r="AC340" t="str">
        <f t="shared" si="134"/>
        <v>Low</v>
      </c>
      <c r="AE340">
        <f>IF(ISNUMBER(MATCH("N/A",J340:N340,0)),"",IFERROR((5 * SUMPRODUCT(J144:N144,J340:N340) - PRODUCT(SUM(J144:N144),SUM(J340:N340))) / ((5 * SUM((J144^2)+(K144^2)+(L144^2)+(M144^2)+(N144^2))) - SUM(J144:N144)^2),""))</f>
        <v>-40501000</v>
      </c>
      <c r="AF340">
        <f>IFERROR(CORREL(J144:N144,J340:N340),"")</f>
        <v>-0.62596632998475721</v>
      </c>
      <c r="AZ340">
        <f t="shared" si="135"/>
        <v>1</v>
      </c>
      <c r="BA340" t="str">
        <f>IF(AZ340=1,IF(Q340="","",IF(Q340=N144,"Yes","No")),"")</f>
        <v>No</v>
      </c>
      <c r="BB340" t="str">
        <f t="shared" si="136"/>
        <v/>
      </c>
      <c r="BC340" t="str">
        <f>IF(AZ340=1,IF(S340="","",IF(S340=N144,"Yes","No")),"")</f>
        <v>No</v>
      </c>
      <c r="BD340" t="str">
        <f t="shared" si="137"/>
        <v/>
      </c>
      <c r="BE340" t="str">
        <f t="shared" si="138"/>
        <v>Decreasing</v>
      </c>
      <c r="BF340" t="str">
        <f t="shared" si="139"/>
        <v>No</v>
      </c>
      <c r="BG340" t="str">
        <f t="shared" si="140"/>
        <v>No</v>
      </c>
      <c r="BH340" t="str">
        <f t="shared" si="141"/>
        <v>No</v>
      </c>
    </row>
    <row r="341" spans="1:60" x14ac:dyDescent="0.3">
      <c r="A341" s="1">
        <v>12</v>
      </c>
      <c r="B341" t="s">
        <v>905</v>
      </c>
      <c r="C341" t="s">
        <v>2337</v>
      </c>
      <c r="D341" t="s">
        <v>2338</v>
      </c>
      <c r="E341" t="s">
        <v>2339</v>
      </c>
      <c r="F341" t="s">
        <v>2340</v>
      </c>
      <c r="G341" t="s">
        <v>2341</v>
      </c>
      <c r="I341" t="str">
        <f t="shared" si="118"/>
        <v>N/A</v>
      </c>
      <c r="J341">
        <f t="shared" si="119"/>
        <v>-123260000</v>
      </c>
      <c r="K341">
        <f t="shared" si="120"/>
        <v>-557950000</v>
      </c>
      <c r="L341">
        <f t="shared" si="121"/>
        <v>-347200000</v>
      </c>
      <c r="M341">
        <f t="shared" si="122"/>
        <v>-171200000</v>
      </c>
      <c r="N341">
        <f t="shared" si="123"/>
        <v>-321510000</v>
      </c>
      <c r="P341">
        <f t="shared" si="124"/>
        <v>-123260000</v>
      </c>
      <c r="Q341">
        <f>IFERROR(J144+MATCH(P341,J341:N341,0)-1,"")</f>
        <v>2012</v>
      </c>
      <c r="R341">
        <f t="shared" si="125"/>
        <v>-557950000</v>
      </c>
      <c r="S341">
        <f>IFERROR(J144+MATCH(R341,J341:N341,0)-1,"")</f>
        <v>2013</v>
      </c>
      <c r="T341">
        <f t="shared" si="126"/>
        <v>-304224000</v>
      </c>
      <c r="U341">
        <f t="shared" si="127"/>
        <v>171001446.86522391</v>
      </c>
      <c r="V341">
        <f t="shared" si="128"/>
        <v>1.0582600516978558</v>
      </c>
      <c r="W341">
        <f t="shared" si="129"/>
        <v>-1.4837652233432626</v>
      </c>
      <c r="X341">
        <f t="shared" si="130"/>
        <v>-0.25131951096221927</v>
      </c>
      <c r="Y341">
        <f t="shared" si="131"/>
        <v>0.77791154658968398</v>
      </c>
      <c r="Z341">
        <f t="shared" si="132"/>
        <v>-0.10108686398205795</v>
      </c>
      <c r="AA341">
        <f t="shared" si="133"/>
        <v>-1.4837652233432626</v>
      </c>
      <c r="AB341">
        <f>IFERROR(V144+MATCH(AA341,V341:Z341,0)-1,"")</f>
        <v>2013</v>
      </c>
      <c r="AC341" t="str">
        <f t="shared" si="134"/>
        <v>Low</v>
      </c>
      <c r="AE341">
        <f>IF(ISNUMBER(MATCH("N/A",J341:N341,0)),"",IFERROR((5 * SUMPRODUCT(J144:N144,J341:N341) - PRODUCT(SUM(J144:N144),SUM(J341:N341))) / ((5 * SUM((J144^2)+(K144^2)+(L144^2)+(M144^2)+(N144^2))) - SUM(J144:N144)^2),""))</f>
        <v>-975000</v>
      </c>
      <c r="AF341">
        <f>IFERROR(CORREL(J144:N144,J341:N341),"")</f>
        <v>-9.0151889799336988E-3</v>
      </c>
      <c r="AZ341">
        <f t="shared" si="135"/>
        <v>1</v>
      </c>
      <c r="BA341" t="str">
        <f>IF(AZ341=1,IF(Q341="","",IF(Q341=N144,"Yes","No")),"")</f>
        <v>No</v>
      </c>
      <c r="BB341" t="str">
        <f t="shared" si="136"/>
        <v/>
      </c>
      <c r="BC341" t="str">
        <f>IF(AZ341=1,IF(S341="","",IF(S341=N144,"Yes","No")),"")</f>
        <v>No</v>
      </c>
      <c r="BD341" t="str">
        <f t="shared" si="137"/>
        <v/>
      </c>
      <c r="BE341" t="str">
        <f t="shared" si="138"/>
        <v>Decreasing</v>
      </c>
      <c r="BF341" t="str">
        <f t="shared" si="139"/>
        <v>No</v>
      </c>
      <c r="BG341" t="str">
        <f t="shared" si="140"/>
        <v>No</v>
      </c>
      <c r="BH341" t="str">
        <f t="shared" si="141"/>
        <v>No</v>
      </c>
    </row>
    <row r="342" spans="1:60" x14ac:dyDescent="0.3">
      <c r="A342" s="1">
        <v>13</v>
      </c>
      <c r="B342" t="s">
        <v>757</v>
      </c>
      <c r="C342" t="s">
        <v>2342</v>
      </c>
      <c r="D342" t="s">
        <v>2343</v>
      </c>
      <c r="E342" t="s">
        <v>2344</v>
      </c>
      <c r="F342" t="s">
        <v>2345</v>
      </c>
      <c r="G342" t="s">
        <v>2346</v>
      </c>
      <c r="I342" t="str">
        <f t="shared" si="118"/>
        <v>N/A</v>
      </c>
      <c r="J342">
        <f t="shared" si="119"/>
        <v>177000</v>
      </c>
      <c r="K342">
        <f t="shared" si="120"/>
        <v>2430000</v>
      </c>
      <c r="L342">
        <f t="shared" si="121"/>
        <v>-15250000</v>
      </c>
      <c r="M342">
        <f t="shared" si="122"/>
        <v>12520000</v>
      </c>
      <c r="N342">
        <f t="shared" si="123"/>
        <v>-114000</v>
      </c>
      <c r="P342">
        <f t="shared" si="124"/>
        <v>12520000</v>
      </c>
      <c r="Q342">
        <f>IFERROR(J144+MATCH(P342,J342:N342,0)-1,"")</f>
        <v>2015</v>
      </c>
      <c r="R342">
        <f t="shared" si="125"/>
        <v>-15250000</v>
      </c>
      <c r="S342">
        <f>IFERROR(J144+MATCH(R342,J342:N342,0)-1,"")</f>
        <v>2014</v>
      </c>
      <c r="T342">
        <f t="shared" si="126"/>
        <v>-47400</v>
      </c>
      <c r="U342">
        <f t="shared" si="127"/>
        <v>9940458.8827679381</v>
      </c>
      <c r="V342">
        <f t="shared" si="128"/>
        <v>2.2574410562575097E-2</v>
      </c>
      <c r="W342">
        <f t="shared" si="129"/>
        <v>0.24922390698629032</v>
      </c>
      <c r="X342">
        <f t="shared" si="130"/>
        <v>-1.529366016125687</v>
      </c>
      <c r="Y342">
        <f t="shared" si="131"/>
        <v>1.2642675904817571</v>
      </c>
      <c r="Z342">
        <f t="shared" si="132"/>
        <v>-6.69989190493539E-3</v>
      </c>
      <c r="AA342">
        <f t="shared" si="133"/>
        <v>-1.529366016125687</v>
      </c>
      <c r="AB342">
        <f>IFERROR(V144+MATCH(AA342,V342:Z342,0)-1,"")</f>
        <v>2014</v>
      </c>
      <c r="AC342" t="str">
        <f t="shared" si="134"/>
        <v>Low</v>
      </c>
      <c r="AE342">
        <f>IF(ISNUMBER(MATCH("N/A",J342:N342,0)),"",IFERROR((5 * SUMPRODUCT(J144:N144,J342:N342) - PRODUCT(SUM(J144:N144),SUM(J342:N342))) / ((5 * SUM((J144^2)+(K144^2)+(L144^2)+(M144^2)+(N144^2))) - SUM(J144:N144)^2),""))</f>
        <v>950800</v>
      </c>
      <c r="AF342">
        <f>IFERROR(CORREL(J144:N144,J342:N342),"")</f>
        <v>0.15123515094963483</v>
      </c>
      <c r="AZ342">
        <f t="shared" si="135"/>
        <v>1</v>
      </c>
      <c r="BA342" t="str">
        <f>IF(AZ342=1,IF(Q342="","",IF(Q342=N144,"Yes","No")),"")</f>
        <v>No</v>
      </c>
      <c r="BB342" t="str">
        <f t="shared" si="136"/>
        <v/>
      </c>
      <c r="BC342" t="str">
        <f>IF(AZ342=1,IF(S342="","",IF(S342=N144,"Yes","No")),"")</f>
        <v>No</v>
      </c>
      <c r="BD342" t="str">
        <f t="shared" si="137"/>
        <v/>
      </c>
      <c r="BE342" t="str">
        <f t="shared" si="138"/>
        <v>Increasing</v>
      </c>
      <c r="BF342" t="str">
        <f t="shared" si="139"/>
        <v>No</v>
      </c>
      <c r="BG342" t="str">
        <f t="shared" si="140"/>
        <v>No</v>
      </c>
      <c r="BH342" t="str">
        <f t="shared" si="141"/>
        <v>No</v>
      </c>
    </row>
    <row r="343" spans="1:60" x14ac:dyDescent="0.3">
      <c r="A343" s="1">
        <v>14</v>
      </c>
      <c r="B343" t="s">
        <v>846</v>
      </c>
      <c r="C343" t="s">
        <v>2347</v>
      </c>
      <c r="D343" t="s">
        <v>2348</v>
      </c>
      <c r="E343" t="s">
        <v>2349</v>
      </c>
      <c r="F343" t="s">
        <v>264</v>
      </c>
      <c r="G343" t="s">
        <v>2350</v>
      </c>
      <c r="I343" t="str">
        <f t="shared" si="118"/>
        <v>N/A</v>
      </c>
      <c r="J343">
        <f t="shared" si="119"/>
        <v>-1260000</v>
      </c>
      <c r="K343">
        <f t="shared" si="120"/>
        <v>-1470000</v>
      </c>
      <c r="L343">
        <f t="shared" si="121"/>
        <v>-20130000</v>
      </c>
      <c r="M343" t="str">
        <f t="shared" si="122"/>
        <v>N/A</v>
      </c>
      <c r="N343">
        <f t="shared" si="123"/>
        <v>-4890000</v>
      </c>
      <c r="P343">
        <f t="shared" si="124"/>
        <v>-1260000</v>
      </c>
      <c r="Q343">
        <f>IFERROR(J144+MATCH(P343,J343:N343,0)-1,"")</f>
        <v>2012</v>
      </c>
      <c r="R343">
        <f t="shared" si="125"/>
        <v>-20130000</v>
      </c>
      <c r="S343">
        <f>IFERROR(J144+MATCH(R343,J343:N343,0)-1,"")</f>
        <v>2014</v>
      </c>
      <c r="T343">
        <f t="shared" si="126"/>
        <v>-6937500</v>
      </c>
      <c r="U343">
        <f t="shared" si="127"/>
        <v>8951012.5125596821</v>
      </c>
      <c r="V343">
        <f t="shared" si="128"/>
        <v>0.63428578521520018</v>
      </c>
      <c r="W343">
        <f t="shared" si="129"/>
        <v>0.61082475220856136</v>
      </c>
      <c r="X343">
        <f t="shared" si="130"/>
        <v>-1.4738556092384902</v>
      </c>
      <c r="Y343" t="str">
        <f t="shared" si="131"/>
        <v/>
      </c>
      <c r="Z343">
        <f t="shared" si="132"/>
        <v>0.22874507181472872</v>
      </c>
      <c r="AA343">
        <f t="shared" si="133"/>
        <v>-1.4738556092384902</v>
      </c>
      <c r="AB343">
        <f>IFERROR(V144+MATCH(AA343,V343:Z343,0)-1,"")</f>
        <v>2014</v>
      </c>
      <c r="AC343" t="str">
        <f t="shared" si="134"/>
        <v>Low</v>
      </c>
      <c r="AE343" t="str">
        <f>IF(ISNUMBER(MATCH("N/A",J343:N343,0)),"",IFERROR((5 * SUMPRODUCT(J144:N144,J343:N343) - PRODUCT(SUM(J144:N144),SUM(J343:N343))) / ((5 * SUM((J144^2)+(K144^2)+(L144^2)+(M144^2)+(N144^2))) - SUM(J144:N144)^2),""))</f>
        <v/>
      </c>
      <c r="AF343">
        <f>IFERROR(CORREL(J144:N144,J343:N343),"")</f>
        <v>-0.27752766876426904</v>
      </c>
      <c r="AZ343">
        <f t="shared" si="135"/>
        <v>1</v>
      </c>
      <c r="BA343" t="str">
        <f>IF(AZ343=1,IF(Q343="","",IF(Q343=N144,"Yes","No")),"")</f>
        <v>No</v>
      </c>
      <c r="BB343" t="str">
        <f t="shared" si="136"/>
        <v/>
      </c>
      <c r="BC343" t="str">
        <f>IF(AZ343=1,IF(S343="","",IF(S343=N144,"Yes","No")),"")</f>
        <v>No</v>
      </c>
      <c r="BD343" t="str">
        <f t="shared" si="137"/>
        <v/>
      </c>
      <c r="BE343" t="str">
        <f t="shared" si="138"/>
        <v/>
      </c>
      <c r="BF343" t="str">
        <f t="shared" si="139"/>
        <v>No</v>
      </c>
      <c r="BG343" t="str">
        <f t="shared" si="140"/>
        <v>No</v>
      </c>
      <c r="BH343" t="str">
        <f t="shared" si="141"/>
        <v>No</v>
      </c>
    </row>
    <row r="344" spans="1:60" x14ac:dyDescent="0.3">
      <c r="A344" s="1">
        <v>15</v>
      </c>
      <c r="B344" t="s">
        <v>849</v>
      </c>
      <c r="C344" t="s">
        <v>2351</v>
      </c>
      <c r="D344" t="s">
        <v>2352</v>
      </c>
      <c r="E344" t="s">
        <v>2294</v>
      </c>
      <c r="F344" t="s">
        <v>2345</v>
      </c>
      <c r="G344" t="s">
        <v>1569</v>
      </c>
      <c r="I344" t="str">
        <f t="shared" si="118"/>
        <v>N/A</v>
      </c>
      <c r="J344">
        <f t="shared" si="119"/>
        <v>1440000</v>
      </c>
      <c r="K344">
        <f t="shared" si="120"/>
        <v>3900000</v>
      </c>
      <c r="L344">
        <f t="shared" si="121"/>
        <v>4890000</v>
      </c>
      <c r="M344">
        <f t="shared" si="122"/>
        <v>12520000</v>
      </c>
      <c r="N344">
        <f t="shared" si="123"/>
        <v>4770000</v>
      </c>
      <c r="P344">
        <f t="shared" si="124"/>
        <v>12520000</v>
      </c>
      <c r="Q344">
        <f>IFERROR(J144+MATCH(P344,J344:N344,0)-1,"")</f>
        <v>2015</v>
      </c>
      <c r="R344">
        <f t="shared" si="125"/>
        <v>1440000</v>
      </c>
      <c r="S344">
        <f>IFERROR(J144+MATCH(R344,J344:N344,0)-1,"")</f>
        <v>2012</v>
      </c>
      <c r="T344">
        <f t="shared" si="126"/>
        <v>5504000</v>
      </c>
      <c r="U344">
        <f t="shared" si="127"/>
        <v>4160195.9088485246</v>
      </c>
      <c r="V344">
        <f t="shared" si="128"/>
        <v>-0.97687707238884569</v>
      </c>
      <c r="W344">
        <f t="shared" si="129"/>
        <v>-0.38555876577551884</v>
      </c>
      <c r="X344">
        <f t="shared" si="130"/>
        <v>-0.14758920335796044</v>
      </c>
      <c r="Y344">
        <f t="shared" si="131"/>
        <v>1.6864590403248381</v>
      </c>
      <c r="Z344">
        <f t="shared" si="132"/>
        <v>-0.17643399880251298</v>
      </c>
      <c r="AA344">
        <f t="shared" si="133"/>
        <v>1.6864590403248381</v>
      </c>
      <c r="AB344">
        <f>IFERROR(V144+MATCH(AA344,V344:Z344,0)-1,"")</f>
        <v>2015</v>
      </c>
      <c r="AC344" t="str">
        <f t="shared" si="134"/>
        <v>High</v>
      </c>
      <c r="AE344">
        <f>IF(ISNUMBER(MATCH("N/A",J344:N344,0)),"",IFERROR((5 * SUMPRODUCT(J144:N144,J344:N344) - PRODUCT(SUM(J144:N144),SUM(J344:N344))) / ((5 * SUM((J144^2)+(K144^2)+(L144^2)+(M144^2)+(N144^2))) - SUM(J144:N144)^2),""))</f>
        <v>1528000</v>
      </c>
      <c r="AF344">
        <f>IFERROR(CORREL(J144:N144,J344:N344),"")</f>
        <v>0.58073710596897021</v>
      </c>
      <c r="AZ344">
        <f t="shared" si="135"/>
        <v>1</v>
      </c>
      <c r="BA344" t="str">
        <f>IF(AZ344=1,IF(Q344="","",IF(Q344=N144,"Yes","No")),"")</f>
        <v>No</v>
      </c>
      <c r="BB344" t="str">
        <f t="shared" si="136"/>
        <v/>
      </c>
      <c r="BC344" t="str">
        <f>IF(AZ344=1,IF(S344="","",IF(S344=N144,"Yes","No")),"")</f>
        <v>No</v>
      </c>
      <c r="BD344" t="str">
        <f t="shared" si="137"/>
        <v/>
      </c>
      <c r="BE344" t="str">
        <f t="shared" si="138"/>
        <v>Increasing</v>
      </c>
      <c r="BF344" t="str">
        <f t="shared" si="139"/>
        <v>No</v>
      </c>
      <c r="BG344" t="str">
        <f t="shared" si="140"/>
        <v>No</v>
      </c>
      <c r="BH344" t="str">
        <f t="shared" si="141"/>
        <v>No</v>
      </c>
    </row>
    <row r="345" spans="1:60" x14ac:dyDescent="0.3">
      <c r="A345" s="1">
        <v>16</v>
      </c>
      <c r="B345" t="s">
        <v>920</v>
      </c>
      <c r="C345" t="s">
        <v>2353</v>
      </c>
      <c r="D345" t="s">
        <v>2354</v>
      </c>
      <c r="E345" t="s">
        <v>2355</v>
      </c>
      <c r="F345" t="s">
        <v>2356</v>
      </c>
      <c r="G345" t="s">
        <v>2357</v>
      </c>
      <c r="I345" t="str">
        <f t="shared" si="118"/>
        <v>N/A</v>
      </c>
      <c r="J345">
        <f t="shared" si="119"/>
        <v>219280000</v>
      </c>
      <c r="K345">
        <f t="shared" si="120"/>
        <v>-182810000</v>
      </c>
      <c r="L345">
        <f t="shared" si="121"/>
        <v>-83540000</v>
      </c>
      <c r="M345">
        <f t="shared" si="122"/>
        <v>-51590000</v>
      </c>
      <c r="N345">
        <f t="shared" si="123"/>
        <v>-53310000</v>
      </c>
      <c r="P345">
        <f t="shared" si="124"/>
        <v>219280000</v>
      </c>
      <c r="Q345">
        <f>IFERROR(J144+MATCH(P345,J345:N345,0)-1,"")</f>
        <v>2012</v>
      </c>
      <c r="R345">
        <f t="shared" si="125"/>
        <v>-182810000</v>
      </c>
      <c r="S345">
        <f>IFERROR(J144+MATCH(R345,J345:N345,0)-1,"")</f>
        <v>2013</v>
      </c>
      <c r="T345">
        <f t="shared" si="126"/>
        <v>-30394000</v>
      </c>
      <c r="U345">
        <f t="shared" si="127"/>
        <v>149471279.9503637</v>
      </c>
      <c r="V345">
        <f t="shared" si="128"/>
        <v>1.6703810931632588</v>
      </c>
      <c r="W345">
        <f t="shared" si="129"/>
        <v>-1.0197009087673177</v>
      </c>
      <c r="X345">
        <f t="shared" si="130"/>
        <v>-0.35555994447661571</v>
      </c>
      <c r="Y345">
        <f t="shared" si="131"/>
        <v>-0.14180650628695193</v>
      </c>
      <c r="Z345">
        <f t="shared" si="132"/>
        <v>-0.15331373363237358</v>
      </c>
      <c r="AA345">
        <f t="shared" si="133"/>
        <v>1.6703810931632588</v>
      </c>
      <c r="AB345">
        <f>IFERROR(V144+MATCH(AA345,V345:Z345,0)-1,"")</f>
        <v>2012</v>
      </c>
      <c r="AC345" t="str">
        <f t="shared" si="134"/>
        <v>High</v>
      </c>
      <c r="AE345">
        <f>IF(ISNUMBER(MATCH("N/A",J345:N345,0)),"",IFERROR((5 * SUMPRODUCT(J144:N144,J345:N345) - PRODUCT(SUM(J144:N144),SUM(J345:N345))) / ((5 * SUM((J144^2)+(K144^2)+(L144^2)+(M144^2)+(N144^2))) - SUM(J144:N144)^2),""))</f>
        <v>-41396000</v>
      </c>
      <c r="AF345">
        <f>IFERROR(CORREL(J144:N144,J345:N345),"")</f>
        <v>-0.43789564812652054</v>
      </c>
      <c r="AZ345">
        <f t="shared" si="135"/>
        <v>1</v>
      </c>
      <c r="BA345" t="str">
        <f>IF(AZ345=1,IF(Q345="","",IF(Q345=N144,"Yes","No")),"")</f>
        <v>No</v>
      </c>
      <c r="BB345" t="str">
        <f t="shared" si="136"/>
        <v/>
      </c>
      <c r="BC345" t="str">
        <f>IF(AZ345=1,IF(S345="","",IF(S345=N144,"Yes","No")),"")</f>
        <v>No</v>
      </c>
      <c r="BD345" t="str">
        <f t="shared" si="137"/>
        <v/>
      </c>
      <c r="BE345" t="str">
        <f t="shared" si="138"/>
        <v>Decreasing</v>
      </c>
      <c r="BF345" t="str">
        <f t="shared" si="139"/>
        <v>No</v>
      </c>
      <c r="BG345" t="str">
        <f t="shared" si="140"/>
        <v>No</v>
      </c>
      <c r="BH345" t="str">
        <f t="shared" si="141"/>
        <v>No</v>
      </c>
    </row>
    <row r="346" spans="1:60" x14ac:dyDescent="0.3">
      <c r="A346" s="1">
        <v>17</v>
      </c>
      <c r="B346" t="s">
        <v>926</v>
      </c>
      <c r="C346" t="s">
        <v>264</v>
      </c>
      <c r="D346" t="s">
        <v>2358</v>
      </c>
      <c r="E346" t="s">
        <v>2359</v>
      </c>
      <c r="F346" t="s">
        <v>2360</v>
      </c>
      <c r="G346" t="s">
        <v>2361</v>
      </c>
      <c r="I346" t="str">
        <f t="shared" si="118"/>
        <v>N/A</v>
      </c>
      <c r="J346" t="str">
        <f t="shared" si="119"/>
        <v>N/A</v>
      </c>
      <c r="K346">
        <f t="shared" si="120"/>
        <v>-1.8337000000000001</v>
      </c>
      <c r="L346">
        <f t="shared" si="121"/>
        <v>0.54300000000000004</v>
      </c>
      <c r="M346">
        <f t="shared" si="122"/>
        <v>0.38250000000000001</v>
      </c>
      <c r="N346">
        <f t="shared" si="123"/>
        <v>-3.3399999999999999E-2</v>
      </c>
      <c r="P346">
        <f t="shared" si="124"/>
        <v>0.54300000000000004</v>
      </c>
      <c r="Q346">
        <f>IFERROR(J144+MATCH(P346,J346:N346,0)-1,"")</f>
        <v>2014</v>
      </c>
      <c r="R346">
        <f t="shared" si="125"/>
        <v>-1.8337000000000001</v>
      </c>
      <c r="S346">
        <f>IFERROR(J144+MATCH(R346,J346:N346,0)-1,"")</f>
        <v>2013</v>
      </c>
      <c r="T346">
        <f t="shared" si="126"/>
        <v>-0.23540000000000003</v>
      </c>
      <c r="U346">
        <f t="shared" si="127"/>
        <v>1.0928668506882866</v>
      </c>
      <c r="V346" t="str">
        <f t="shared" si="128"/>
        <v/>
      </c>
      <c r="W346">
        <f t="shared" si="129"/>
        <v>-1.462483740808308</v>
      </c>
      <c r="X346">
        <f t="shared" si="130"/>
        <v>0.71225511095863547</v>
      </c>
      <c r="Y346">
        <f t="shared" si="131"/>
        <v>0.56539367042823852</v>
      </c>
      <c r="Z346">
        <f t="shared" si="132"/>
        <v>0.18483495942143419</v>
      </c>
      <c r="AA346">
        <f t="shared" si="133"/>
        <v>-1.462483740808308</v>
      </c>
      <c r="AB346">
        <f>IFERROR(V144+MATCH(AA346,V346:Z346,0)-1,"")</f>
        <v>2013</v>
      </c>
      <c r="AC346" t="str">
        <f t="shared" si="134"/>
        <v>Low</v>
      </c>
      <c r="AE346" t="str">
        <f>IF(ISNUMBER(MATCH("N/A",J346:N346,0)),"",IFERROR((5 * SUMPRODUCT(J144:N144,J346:N346) - PRODUCT(SUM(J144:N144),SUM(J346:N346))) / ((5 * SUM((J144^2)+(K144^2)+(L144^2)+(M144^2)+(N144^2))) - SUM(J144:N144)^2),""))</f>
        <v/>
      </c>
      <c r="AF346">
        <f>IFERROR(CORREL(J144:N144,J346:N346),"")</f>
        <v>0.61904405874277524</v>
      </c>
      <c r="AZ346">
        <f t="shared" si="135"/>
        <v>1</v>
      </c>
      <c r="BA346" t="str">
        <f>IF(AZ346=1,IF(Q346="","",IF(Q346=N144,"Yes","No")),"")</f>
        <v>No</v>
      </c>
      <c r="BB346" t="str">
        <f t="shared" si="136"/>
        <v/>
      </c>
      <c r="BC346" t="str">
        <f>IF(AZ346=1,IF(S346="","",IF(S346=N144,"Yes","No")),"")</f>
        <v>No</v>
      </c>
      <c r="BD346" t="str">
        <f t="shared" si="137"/>
        <v/>
      </c>
      <c r="BE346" t="str">
        <f t="shared" si="138"/>
        <v/>
      </c>
      <c r="BF346" t="str">
        <f t="shared" si="139"/>
        <v>No</v>
      </c>
      <c r="BG346" t="str">
        <f t="shared" si="140"/>
        <v>No</v>
      </c>
      <c r="BH346" t="str">
        <f t="shared" si="141"/>
        <v>No</v>
      </c>
    </row>
    <row r="347" spans="1:60" x14ac:dyDescent="0.3">
      <c r="A347" s="1">
        <v>18</v>
      </c>
      <c r="B347" t="s">
        <v>931</v>
      </c>
      <c r="C347" t="s">
        <v>2362</v>
      </c>
      <c r="D347" t="s">
        <v>2363</v>
      </c>
      <c r="E347" t="s">
        <v>2364</v>
      </c>
      <c r="F347" t="s">
        <v>2365</v>
      </c>
      <c r="G347" t="s">
        <v>2366</v>
      </c>
      <c r="I347" t="str">
        <f t="shared" si="118"/>
        <v>N/A</v>
      </c>
      <c r="J347">
        <f t="shared" si="119"/>
        <v>0.17829999999999999</v>
      </c>
      <c r="K347">
        <f t="shared" si="120"/>
        <v>-0.16760000000000003</v>
      </c>
      <c r="L347">
        <f t="shared" si="121"/>
        <v>-6.6200000000000009E-2</v>
      </c>
      <c r="M347">
        <f t="shared" si="122"/>
        <v>-4.3200000000000002E-2</v>
      </c>
      <c r="N347">
        <f t="shared" si="123"/>
        <v>-4.3299999999999998E-2</v>
      </c>
      <c r="P347">
        <f t="shared" si="124"/>
        <v>0.17829999999999999</v>
      </c>
      <c r="Q347">
        <f>IFERROR(J144+MATCH(P347,J347:N347,0)-1,"")</f>
        <v>2012</v>
      </c>
      <c r="R347">
        <f t="shared" si="125"/>
        <v>-0.16760000000000003</v>
      </c>
      <c r="S347">
        <f>IFERROR(J144+MATCH(R347,J347:N347,0)-1,"")</f>
        <v>2013</v>
      </c>
      <c r="T347">
        <f t="shared" si="126"/>
        <v>-2.8400000000000009E-2</v>
      </c>
      <c r="U347">
        <f t="shared" si="127"/>
        <v>0.1264628601606021</v>
      </c>
      <c r="V347">
        <f t="shared" si="128"/>
        <v>1.6344719685882509</v>
      </c>
      <c r="W347">
        <f t="shared" si="129"/>
        <v>-1.1007184229679949</v>
      </c>
      <c r="X347">
        <f t="shared" si="130"/>
        <v>-0.29890198554734343</v>
      </c>
      <c r="Y347">
        <f t="shared" si="131"/>
        <v>-0.11703040703970055</v>
      </c>
      <c r="Z347">
        <f t="shared" si="132"/>
        <v>-0.117821153033212</v>
      </c>
      <c r="AA347">
        <f t="shared" si="133"/>
        <v>1.6344719685882509</v>
      </c>
      <c r="AB347">
        <f>IFERROR(V144+MATCH(AA347,V347:Z347,0)-1,"")</f>
        <v>2012</v>
      </c>
      <c r="AC347" t="str">
        <f t="shared" si="134"/>
        <v>High</v>
      </c>
      <c r="AE347">
        <f>IF(ISNUMBER(MATCH("N/A",J347:N347,0)),"",IFERROR((5 * SUMPRODUCT(J144:N144,J347:N347) - PRODUCT(SUM(J144:N144),SUM(J347:N347))) / ((5 * SUM((J144^2)+(K144^2)+(L144^2)+(M144^2)+(N144^2))) - SUM(J144:N144)^2),""))</f>
        <v>-3.1879999999996474E-2</v>
      </c>
      <c r="AF347">
        <f>IFERROR(CORREL(J144:N144,J347:N347),"")</f>
        <v>-0.39858900738975639</v>
      </c>
      <c r="AZ347">
        <f t="shared" si="135"/>
        <v>1</v>
      </c>
      <c r="BA347" t="str">
        <f>IF(AZ347=1,IF(Q347="","",IF(Q347=N144,"Yes","No")),"")</f>
        <v>No</v>
      </c>
      <c r="BB347" t="str">
        <f t="shared" si="136"/>
        <v/>
      </c>
      <c r="BC347" t="str">
        <f>IF(AZ347=1,IF(S347="","",IF(S347=N144,"Yes","No")),"")</f>
        <v>No</v>
      </c>
      <c r="BD347" t="str">
        <f t="shared" si="137"/>
        <v/>
      </c>
      <c r="BE347" t="str">
        <f t="shared" si="138"/>
        <v>Decreasing</v>
      </c>
      <c r="BF347" t="str">
        <f t="shared" si="139"/>
        <v>No</v>
      </c>
      <c r="BG347" t="str">
        <f t="shared" si="140"/>
        <v>No</v>
      </c>
      <c r="BH347" t="str">
        <f t="shared" si="141"/>
        <v>No</v>
      </c>
    </row>
    <row r="348" spans="1:60" x14ac:dyDescent="0.3">
      <c r="A348" s="1">
        <v>19</v>
      </c>
      <c r="B348" t="s">
        <v>937</v>
      </c>
      <c r="C348" t="s">
        <v>2246</v>
      </c>
      <c r="D348" t="s">
        <v>2367</v>
      </c>
      <c r="E348" t="s">
        <v>2368</v>
      </c>
      <c r="F348" t="s">
        <v>2369</v>
      </c>
      <c r="G348" t="s">
        <v>1211</v>
      </c>
      <c r="I348" t="str">
        <f t="shared" si="118"/>
        <v>N/A</v>
      </c>
      <c r="J348">
        <f t="shared" si="119"/>
        <v>1010000</v>
      </c>
      <c r="K348">
        <f t="shared" si="120"/>
        <v>-227000</v>
      </c>
      <c r="L348">
        <f t="shared" si="121"/>
        <v>-3920000</v>
      </c>
      <c r="M348">
        <f t="shared" si="122"/>
        <v>-4920000</v>
      </c>
      <c r="N348">
        <f t="shared" si="123"/>
        <v>-2300000</v>
      </c>
      <c r="P348">
        <f t="shared" si="124"/>
        <v>1010000</v>
      </c>
      <c r="Q348">
        <f>IFERROR(J144+MATCH(P348,J348:N348,0)-1,"")</f>
        <v>2012</v>
      </c>
      <c r="R348">
        <f t="shared" si="125"/>
        <v>-4920000</v>
      </c>
      <c r="S348">
        <f>IFERROR(J144+MATCH(R348,J348:N348,0)-1,"")</f>
        <v>2015</v>
      </c>
      <c r="T348">
        <f t="shared" si="126"/>
        <v>-2071400</v>
      </c>
      <c r="U348">
        <f t="shared" si="127"/>
        <v>2473910.831052728</v>
      </c>
      <c r="V348">
        <f t="shared" si="128"/>
        <v>1.2455582316557328</v>
      </c>
      <c r="W348">
        <f t="shared" si="129"/>
        <v>0.74554020979614244</v>
      </c>
      <c r="X348">
        <f t="shared" si="130"/>
        <v>-0.74723792660439659</v>
      </c>
      <c r="Y348">
        <f t="shared" si="131"/>
        <v>-1.151456214283936</v>
      </c>
      <c r="Z348">
        <f t="shared" si="132"/>
        <v>-9.2404300563542707E-2</v>
      </c>
      <c r="AA348">
        <f t="shared" si="133"/>
        <v>1.2455582316557328</v>
      </c>
      <c r="AB348">
        <f>IFERROR(V144+MATCH(AA348,V348:Z348,0)-1,"")</f>
        <v>2012</v>
      </c>
      <c r="AC348" t="str">
        <f t="shared" si="134"/>
        <v>High</v>
      </c>
      <c r="AE348">
        <f>IF(ISNUMBER(MATCH("N/A",J348:N348,0)),"",IFERROR((5 * SUMPRODUCT(J144:N144,J348:N348) - PRODUCT(SUM(J144:N144),SUM(J348:N348))) / ((5 * SUM((J144^2)+(K144^2)+(L144^2)+(M144^2)+(N144^2))) - SUM(J144:N144)^2),""))</f>
        <v>-1131300</v>
      </c>
      <c r="AF348">
        <f>IFERROR(CORREL(J144:N144,J348:N348),"")</f>
        <v>-0.72304237324231957</v>
      </c>
      <c r="AZ348">
        <f t="shared" si="135"/>
        <v>1</v>
      </c>
      <c r="BA348" t="str">
        <f>IF(AZ348=1,IF(Q348="","",IF(Q348=N144,"Yes","No")),"")</f>
        <v>No</v>
      </c>
      <c r="BB348" t="str">
        <f t="shared" si="136"/>
        <v/>
      </c>
      <c r="BC348" t="str">
        <f>IF(AZ348=1,IF(S348="","",IF(S348=N144,"Yes","No")),"")</f>
        <v>No</v>
      </c>
      <c r="BD348" t="str">
        <f t="shared" si="137"/>
        <v/>
      </c>
      <c r="BE348" t="str">
        <f t="shared" si="138"/>
        <v>Decreasing</v>
      </c>
      <c r="BF348" t="str">
        <f t="shared" si="139"/>
        <v>No</v>
      </c>
      <c r="BG348" t="str">
        <f t="shared" si="140"/>
        <v>No</v>
      </c>
      <c r="BH348" t="str">
        <f t="shared" si="141"/>
        <v>No</v>
      </c>
    </row>
    <row r="349" spans="1:60" x14ac:dyDescent="0.3">
      <c r="A349" s="1">
        <v>20</v>
      </c>
      <c r="B349" t="s">
        <v>939</v>
      </c>
      <c r="C349" t="s">
        <v>698</v>
      </c>
      <c r="D349" t="s">
        <v>698</v>
      </c>
      <c r="E349" t="s">
        <v>698</v>
      </c>
      <c r="F349" t="s">
        <v>698</v>
      </c>
      <c r="G349" t="s">
        <v>698</v>
      </c>
      <c r="I349" t="str">
        <f t="shared" si="118"/>
        <v>N/A</v>
      </c>
      <c r="J349">
        <f t="shared" si="119"/>
        <v>0</v>
      </c>
      <c r="K349">
        <f t="shared" si="120"/>
        <v>0</v>
      </c>
      <c r="L349">
        <f t="shared" si="121"/>
        <v>0</v>
      </c>
      <c r="M349">
        <f t="shared" si="122"/>
        <v>0</v>
      </c>
      <c r="N349">
        <f t="shared" si="123"/>
        <v>0</v>
      </c>
      <c r="P349">
        <f t="shared" si="124"/>
        <v>0</v>
      </c>
      <c r="Q349">
        <f>IFERROR(J144+MATCH(P349,J349:N349,0)-1,"")</f>
        <v>2012</v>
      </c>
      <c r="R349">
        <f t="shared" si="125"/>
        <v>0</v>
      </c>
      <c r="S349">
        <f>IFERROR(J144+MATCH(R349,J349:N349,0)-1,"")</f>
        <v>2012</v>
      </c>
      <c r="T349">
        <f t="shared" si="126"/>
        <v>0</v>
      </c>
      <c r="U349">
        <f t="shared" si="127"/>
        <v>0</v>
      </c>
      <c r="V349" t="str">
        <f t="shared" si="128"/>
        <v/>
      </c>
      <c r="W349" t="str">
        <f t="shared" si="129"/>
        <v/>
      </c>
      <c r="X349" t="str">
        <f t="shared" si="130"/>
        <v/>
      </c>
      <c r="Y349" t="str">
        <f t="shared" si="131"/>
        <v/>
      </c>
      <c r="Z349" t="str">
        <f t="shared" si="132"/>
        <v/>
      </c>
      <c r="AA349">
        <f t="shared" si="133"/>
        <v>0</v>
      </c>
      <c r="AB349" t="str">
        <f>IFERROR(V144+MATCH(AA349,V349:Z349,0)-1,"")</f>
        <v/>
      </c>
      <c r="AC349" t="str">
        <f t="shared" si="134"/>
        <v/>
      </c>
      <c r="AE349">
        <f>IF(ISNUMBER(MATCH("N/A",J349:N349,0)),"",IFERROR((5 * SUMPRODUCT(J144:N144,J349:N349) - PRODUCT(SUM(J144:N144),SUM(J349:N349))) / ((5 * SUM((J144^2)+(K144^2)+(L144^2)+(M144^2)+(N144^2))) - SUM(J144:N144)^2),""))</f>
        <v>0</v>
      </c>
      <c r="AF349" t="str">
        <f>IFERROR(CORREL(J144:N144,J349:N349),"")</f>
        <v/>
      </c>
      <c r="AZ349">
        <f t="shared" si="135"/>
        <v>0</v>
      </c>
      <c r="BA349" t="str">
        <f>IF(AZ349=1,IF(Q349="","",IF(Q349=N144,"Yes","No")),"")</f>
        <v/>
      </c>
      <c r="BB349" t="str">
        <f t="shared" si="136"/>
        <v/>
      </c>
      <c r="BC349" t="str">
        <f>IF(AZ349=1,IF(S349="","",IF(S349=N144,"Yes","No")),"")</f>
        <v/>
      </c>
      <c r="BD349" t="str">
        <f t="shared" si="137"/>
        <v/>
      </c>
      <c r="BE349" t="str">
        <f t="shared" si="138"/>
        <v/>
      </c>
      <c r="BF349" t="str">
        <f t="shared" si="139"/>
        <v>No</v>
      </c>
      <c r="BG349" t="str">
        <f t="shared" si="140"/>
        <v>No</v>
      </c>
      <c r="BH349" t="str">
        <f t="shared" si="141"/>
        <v/>
      </c>
    </row>
    <row r="350" spans="1:60" x14ac:dyDescent="0.3">
      <c r="A350" s="1">
        <v>21</v>
      </c>
      <c r="B350" t="s">
        <v>940</v>
      </c>
      <c r="C350" t="s">
        <v>2370</v>
      </c>
      <c r="D350" t="s">
        <v>2371</v>
      </c>
      <c r="E350" t="s">
        <v>2372</v>
      </c>
      <c r="F350" t="s">
        <v>2373</v>
      </c>
      <c r="G350" t="s">
        <v>2374</v>
      </c>
      <c r="I350" t="str">
        <f t="shared" si="118"/>
        <v>N/A</v>
      </c>
      <c r="J350">
        <f t="shared" si="119"/>
        <v>23850000</v>
      </c>
      <c r="K350">
        <f t="shared" si="120"/>
        <v>-15500000</v>
      </c>
      <c r="L350">
        <f t="shared" si="121"/>
        <v>-24820000</v>
      </c>
      <c r="M350">
        <f t="shared" si="122"/>
        <v>37890000</v>
      </c>
      <c r="N350">
        <f t="shared" si="123"/>
        <v>-17480000</v>
      </c>
      <c r="P350">
        <f t="shared" si="124"/>
        <v>37890000</v>
      </c>
      <c r="Q350">
        <f>IFERROR(J144+MATCH(P350,J350:N350,0)-1,"")</f>
        <v>2015</v>
      </c>
      <c r="R350">
        <f t="shared" si="125"/>
        <v>-24820000</v>
      </c>
      <c r="S350">
        <f>IFERROR(J144+MATCH(R350,J350:N350,0)-1,"")</f>
        <v>2014</v>
      </c>
      <c r="T350">
        <f t="shared" si="126"/>
        <v>788000</v>
      </c>
      <c r="U350">
        <f t="shared" si="127"/>
        <v>28121178.318128847</v>
      </c>
      <c r="V350">
        <f t="shared" si="128"/>
        <v>0.8200936582067988</v>
      </c>
      <c r="W350">
        <f t="shared" si="129"/>
        <v>-0.57920759278780409</v>
      </c>
      <c r="X350">
        <f t="shared" si="130"/>
        <v>-0.91063040496746617</v>
      </c>
      <c r="Y350">
        <f t="shared" si="131"/>
        <v>1.3193614997306673</v>
      </c>
      <c r="Z350">
        <f t="shared" si="132"/>
        <v>-0.64961716018219584</v>
      </c>
      <c r="AA350">
        <f t="shared" si="133"/>
        <v>1.3193614997306673</v>
      </c>
      <c r="AB350">
        <f>IFERROR(V144+MATCH(AA350,V350:Z350,0)-1,"")</f>
        <v>2015</v>
      </c>
      <c r="AC350" t="str">
        <f t="shared" si="134"/>
        <v>High</v>
      </c>
      <c r="AE350">
        <f>IF(ISNUMBER(MATCH("N/A",J350:N350,0)),"",IFERROR((5 * SUMPRODUCT(J144:N144,J350:N350) - PRODUCT(SUM(J144:N144),SUM(J350:N350))) / ((5 * SUM((J144^2)+(K144^2)+(L144^2)+(M144^2)+(N144^2))) - SUM(J144:N144)^2),""))</f>
        <v>-2927000</v>
      </c>
      <c r="AF350">
        <f>IFERROR(CORREL(J144:N144,J350:N350),"")</f>
        <v>-0.16457323741206462</v>
      </c>
      <c r="AZ350">
        <f t="shared" si="135"/>
        <v>1</v>
      </c>
      <c r="BA350" t="str">
        <f>IF(AZ350=1,IF(Q350="","",IF(Q350=N144,"Yes","No")),"")</f>
        <v>No</v>
      </c>
      <c r="BB350" t="str">
        <f t="shared" si="136"/>
        <v/>
      </c>
      <c r="BC350" t="str">
        <f>IF(AZ350=1,IF(S350="","",IF(S350=N144,"Yes","No")),"")</f>
        <v>No</v>
      </c>
      <c r="BD350" t="str">
        <f t="shared" si="137"/>
        <v/>
      </c>
      <c r="BE350" t="str">
        <f t="shared" si="138"/>
        <v>Decreasing</v>
      </c>
      <c r="BF350" t="str">
        <f t="shared" si="139"/>
        <v>No</v>
      </c>
      <c r="BG350" t="str">
        <f t="shared" si="140"/>
        <v>No</v>
      </c>
      <c r="BH350" t="str">
        <f t="shared" si="141"/>
        <v>No</v>
      </c>
    </row>
    <row r="351" spans="1:60" x14ac:dyDescent="0.3">
      <c r="A351" s="1">
        <v>22</v>
      </c>
      <c r="B351" t="s">
        <v>946</v>
      </c>
      <c r="C351" t="s">
        <v>2375</v>
      </c>
      <c r="D351" t="s">
        <v>2376</v>
      </c>
      <c r="E351" t="s">
        <v>473</v>
      </c>
      <c r="F351" t="s">
        <v>2377</v>
      </c>
      <c r="G351" t="s">
        <v>2378</v>
      </c>
      <c r="I351" t="str">
        <f t="shared" si="118"/>
        <v>N/A</v>
      </c>
      <c r="J351">
        <f t="shared" si="119"/>
        <v>98590000</v>
      </c>
      <c r="K351">
        <f t="shared" si="120"/>
        <v>-47210000</v>
      </c>
      <c r="L351">
        <f t="shared" si="121"/>
        <v>129530000</v>
      </c>
      <c r="M351">
        <f t="shared" si="122"/>
        <v>163910000</v>
      </c>
      <c r="N351">
        <f t="shared" si="123"/>
        <v>170070000</v>
      </c>
      <c r="P351">
        <f t="shared" si="124"/>
        <v>170070000</v>
      </c>
      <c r="Q351">
        <f>IFERROR(J144+MATCH(P351,J351:N351,0)-1,"")</f>
        <v>2016</v>
      </c>
      <c r="R351">
        <f t="shared" si="125"/>
        <v>-47210000</v>
      </c>
      <c r="S351">
        <f>IFERROR(J144+MATCH(R351,J351:N351,0)-1,"")</f>
        <v>2013</v>
      </c>
      <c r="T351">
        <f t="shared" si="126"/>
        <v>102978000</v>
      </c>
      <c r="U351">
        <f t="shared" si="127"/>
        <v>88733792.435576648</v>
      </c>
      <c r="V351">
        <f t="shared" si="128"/>
        <v>-4.9451284336638916E-2</v>
      </c>
      <c r="W351">
        <f t="shared" si="129"/>
        <v>-1.6925682524956986</v>
      </c>
      <c r="X351">
        <f t="shared" si="130"/>
        <v>0.29923211068970751</v>
      </c>
      <c r="Y351">
        <f t="shared" si="131"/>
        <v>0.68668314886054749</v>
      </c>
      <c r="Z351">
        <f t="shared" si="132"/>
        <v>0.75610427728208252</v>
      </c>
      <c r="AA351">
        <f t="shared" si="133"/>
        <v>-1.6925682524956986</v>
      </c>
      <c r="AB351">
        <f>IFERROR(V144+MATCH(AA351,V351:Z351,0)-1,"")</f>
        <v>2013</v>
      </c>
      <c r="AC351" t="str">
        <f t="shared" si="134"/>
        <v>Low</v>
      </c>
      <c r="AE351">
        <f>IF(ISNUMBER(MATCH("N/A",J351:N351,0)),"",IFERROR((5 * SUMPRODUCT(J144:N144,J351:N351) - PRODUCT(SUM(J144:N144),SUM(J351:N351))) / ((5 * SUM((J144^2)+(K144^2)+(L144^2)+(M144^2)+(N144^2))) - SUM(J144:N144)^2),""))</f>
        <v>35408000</v>
      </c>
      <c r="AF351">
        <f>IFERROR(CORREL(J144:N144,J351:N351),"")</f>
        <v>0.63093171337478582</v>
      </c>
      <c r="AZ351">
        <f t="shared" si="135"/>
        <v>1</v>
      </c>
      <c r="BA351" t="str">
        <f>IF(AZ351=1,IF(Q351="","",IF(Q351=N144,"Yes","No")),"")</f>
        <v>Yes</v>
      </c>
      <c r="BB351">
        <f t="shared" si="136"/>
        <v>170070000</v>
      </c>
      <c r="BC351" t="str">
        <f>IF(AZ351=1,IF(S351="","",IF(S351=N144,"Yes","No")),"")</f>
        <v>No</v>
      </c>
      <c r="BD351" t="str">
        <f t="shared" si="137"/>
        <v/>
      </c>
      <c r="BE351" t="str">
        <f t="shared" si="138"/>
        <v>Increasing</v>
      </c>
      <c r="BF351" t="str">
        <f t="shared" si="139"/>
        <v>Yes</v>
      </c>
      <c r="BG351" t="str">
        <f t="shared" si="140"/>
        <v>No</v>
      </c>
      <c r="BH351" t="str">
        <f t="shared" si="141"/>
        <v>No</v>
      </c>
    </row>
    <row r="352" spans="1:60" x14ac:dyDescent="0.3">
      <c r="A352" s="1">
        <v>23</v>
      </c>
      <c r="B352" t="s">
        <v>952</v>
      </c>
      <c r="C352" t="s">
        <v>264</v>
      </c>
      <c r="D352" t="s">
        <v>2379</v>
      </c>
      <c r="E352" t="s">
        <v>2380</v>
      </c>
      <c r="F352" t="s">
        <v>2381</v>
      </c>
      <c r="G352" t="s">
        <v>2382</v>
      </c>
      <c r="I352" t="str">
        <f t="shared" si="118"/>
        <v>N/A</v>
      </c>
      <c r="J352" t="str">
        <f t="shared" si="119"/>
        <v>N/A</v>
      </c>
      <c r="K352">
        <f t="shared" si="120"/>
        <v>-1.4788999999999999</v>
      </c>
      <c r="L352">
        <f t="shared" si="121"/>
        <v>3.7435000000000005</v>
      </c>
      <c r="M352">
        <f t="shared" si="122"/>
        <v>0.26539999999999997</v>
      </c>
      <c r="N352">
        <f t="shared" si="123"/>
        <v>3.7600000000000001E-2</v>
      </c>
      <c r="P352">
        <f t="shared" si="124"/>
        <v>3.7435000000000005</v>
      </c>
      <c r="Q352">
        <f>IFERROR(J144+MATCH(P352,J352:N352,0)-1,"")</f>
        <v>2014</v>
      </c>
      <c r="R352">
        <f t="shared" si="125"/>
        <v>-1.4788999999999999</v>
      </c>
      <c r="S352">
        <f>IFERROR(J144+MATCH(R352,J352:N352,0)-1,"")</f>
        <v>2013</v>
      </c>
      <c r="T352">
        <f t="shared" si="126"/>
        <v>0.64190000000000014</v>
      </c>
      <c r="U352">
        <f t="shared" si="127"/>
        <v>2.2079134901530901</v>
      </c>
      <c r="V352" t="str">
        <f t="shared" si="128"/>
        <v/>
      </c>
      <c r="W352">
        <f t="shared" si="129"/>
        <v>-0.9605448807022553</v>
      </c>
      <c r="X352">
        <f t="shared" si="130"/>
        <v>1.4047651838863238</v>
      </c>
      <c r="Y352">
        <f t="shared" si="131"/>
        <v>-0.17052298546982236</v>
      </c>
      <c r="Z352">
        <f t="shared" si="132"/>
        <v>-0.27369731771424605</v>
      </c>
      <c r="AA352">
        <f t="shared" si="133"/>
        <v>1.4047651838863238</v>
      </c>
      <c r="AB352">
        <f>IFERROR(V144+MATCH(AA352,V352:Z352,0)-1,"")</f>
        <v>2014</v>
      </c>
      <c r="AC352" t="str">
        <f t="shared" si="134"/>
        <v>High</v>
      </c>
      <c r="AE352" t="str">
        <f>IF(ISNUMBER(MATCH("N/A",J352:N352,0)),"",IFERROR((5 * SUMPRODUCT(J144:N144,J352:N352) - PRODUCT(SUM(J144:N144),SUM(J352:N352))) / ((5 * SUM((J144^2)+(K144^2)+(L144^2)+(M144^2)+(N144^2))) - SUM(J144:N144)^2),""))</f>
        <v/>
      </c>
      <c r="AF352">
        <f>IFERROR(CORREL(J144:N144,J352:N352),"")</f>
        <v>6.2646089103773533E-2</v>
      </c>
      <c r="AZ352">
        <f t="shared" si="135"/>
        <v>1</v>
      </c>
      <c r="BA352" t="str">
        <f>IF(AZ352=1,IF(Q352="","",IF(Q352=N144,"Yes","No")),"")</f>
        <v>No</v>
      </c>
      <c r="BB352" t="str">
        <f t="shared" si="136"/>
        <v/>
      </c>
      <c r="BC352" t="str">
        <f>IF(AZ352=1,IF(S352="","",IF(S352=N144,"Yes","No")),"")</f>
        <v>No</v>
      </c>
      <c r="BD352" t="str">
        <f t="shared" si="137"/>
        <v/>
      </c>
      <c r="BE352" t="str">
        <f t="shared" si="138"/>
        <v/>
      </c>
      <c r="BF352" t="str">
        <f t="shared" si="139"/>
        <v>No</v>
      </c>
      <c r="BG352" t="str">
        <f t="shared" si="140"/>
        <v>No</v>
      </c>
      <c r="BH352" t="str">
        <f t="shared" si="141"/>
        <v>No</v>
      </c>
    </row>
    <row r="353" spans="1:29" x14ac:dyDescent="0.3">
      <c r="A353" s="1">
        <v>24</v>
      </c>
      <c r="B353" t="s">
        <v>957</v>
      </c>
      <c r="C353" t="s">
        <v>264</v>
      </c>
      <c r="D353" t="s">
        <v>264</v>
      </c>
      <c r="E353" t="s">
        <v>264</v>
      </c>
      <c r="F353" t="s">
        <v>264</v>
      </c>
      <c r="G353" t="s">
        <v>2383</v>
      </c>
      <c r="I353" t="str">
        <f t="shared" si="118"/>
        <v>N/A</v>
      </c>
      <c r="J353" t="str">
        <f t="shared" si="119"/>
        <v>N/A</v>
      </c>
      <c r="K353" t="str">
        <f t="shared" si="120"/>
        <v>N/A</v>
      </c>
      <c r="L353" t="str">
        <f t="shared" si="121"/>
        <v>N/A</v>
      </c>
      <c r="M353" t="str">
        <f t="shared" si="122"/>
        <v>N/A</v>
      </c>
      <c r="N353">
        <f t="shared" si="123"/>
        <v>5.5099999999999996E-2</v>
      </c>
      <c r="P353">
        <f t="shared" si="124"/>
        <v>5.5099999999999996E-2</v>
      </c>
      <c r="Q353">
        <f>IFERROR(J144+MATCH(P353,J353:N353,0)-1,"")</f>
        <v>2016</v>
      </c>
      <c r="R353">
        <f t="shared" si="125"/>
        <v>5.5099999999999996E-2</v>
      </c>
      <c r="T353">
        <f t="shared" si="126"/>
        <v>5.5099999999999996E-2</v>
      </c>
      <c r="U353" t="str">
        <f t="shared" si="127"/>
        <v/>
      </c>
      <c r="V353" t="str">
        <f t="shared" si="128"/>
        <v/>
      </c>
      <c r="W353" t="str">
        <f t="shared" si="129"/>
        <v/>
      </c>
      <c r="X353" t="str">
        <f t="shared" si="130"/>
        <v/>
      </c>
      <c r="Y353" t="str">
        <f t="shared" si="131"/>
        <v/>
      </c>
      <c r="Z353" t="str">
        <f t="shared" si="132"/>
        <v/>
      </c>
      <c r="AA353">
        <f t="shared" si="133"/>
        <v>0</v>
      </c>
      <c r="AB353" t="str">
        <f>IFERROR(V144+MATCH(AA353,V353:Z353,0)-1,"")</f>
        <v/>
      </c>
      <c r="AC353" t="str">
        <f>IF(S353=AB353,"Low",IF(AB353=Q353,"High",""))</f>
        <v>Low</v>
      </c>
    </row>
    <row r="354" spans="1:29" x14ac:dyDescent="0.3">
      <c r="I354" t="str">
        <f t="shared" si="118"/>
        <v>N/A</v>
      </c>
      <c r="J354" t="str">
        <f t="shared" si="119"/>
        <v>N/A</v>
      </c>
      <c r="K354" t="str">
        <f t="shared" si="120"/>
        <v>N/A</v>
      </c>
      <c r="L354" t="str">
        <f t="shared" si="121"/>
        <v>N/A</v>
      </c>
      <c r="M354" t="str">
        <f t="shared" si="122"/>
        <v>N/A</v>
      </c>
      <c r="N354" t="str">
        <f t="shared" si="123"/>
        <v>N/A</v>
      </c>
      <c r="V354">
        <f>MAX(V145:V353)</f>
        <v>1.7801627082852141</v>
      </c>
      <c r="W354">
        <f>MAX(W145:W353)</f>
        <v>1.7888346891053317</v>
      </c>
      <c r="X354">
        <f>MAX(X145:X353)</f>
        <v>1.6792183356421688</v>
      </c>
      <c r="Y354">
        <f>MAX(Y145:Y353)</f>
        <v>1.6864590403248381</v>
      </c>
      <c r="Z354">
        <f>MAX(Z145:Z353)</f>
        <v>1.5964560404788868</v>
      </c>
    </row>
    <row r="355" spans="1:29" x14ac:dyDescent="0.3">
      <c r="A355" s="1">
        <v>0</v>
      </c>
      <c r="B355" t="s">
        <v>2384</v>
      </c>
      <c r="C355" t="s">
        <v>2384</v>
      </c>
      <c r="I355" t="str">
        <f t="shared" si="118"/>
        <v>N/A</v>
      </c>
      <c r="J355" t="str">
        <f t="shared" si="119"/>
        <v>N/A</v>
      </c>
      <c r="K355" t="str">
        <f t="shared" si="120"/>
        <v>N/A</v>
      </c>
      <c r="L355" t="str">
        <f t="shared" si="121"/>
        <v>N/A</v>
      </c>
      <c r="M355" t="str">
        <f t="shared" si="122"/>
        <v>N/A</v>
      </c>
      <c r="N355" t="str">
        <f t="shared" si="123"/>
        <v>N/A</v>
      </c>
      <c r="V355">
        <f>MIN(V145:V353)</f>
        <v>-1.7801627082852147</v>
      </c>
      <c r="W355">
        <f>MIN(W145:W353)</f>
        <v>-1.7885037992713819</v>
      </c>
      <c r="X355">
        <f>MIN(X145:X353)</f>
        <v>-1.6327639730283838</v>
      </c>
      <c r="Y355">
        <f>MIN(Y145:Y353)</f>
        <v>-1.5824936316934075</v>
      </c>
      <c r="Z355">
        <f>MIN(Z145:Z353)</f>
        <v>-1.4095003837253359</v>
      </c>
    </row>
    <row r="356" spans="1:29" x14ac:dyDescent="0.3">
      <c r="A356" s="1">
        <v>1</v>
      </c>
      <c r="B356" t="s">
        <v>2385</v>
      </c>
      <c r="C356" t="s">
        <v>2386</v>
      </c>
      <c r="I356" t="str">
        <f t="shared" si="118"/>
        <v>N/A</v>
      </c>
      <c r="J356" t="str">
        <f t="shared" si="119"/>
        <v>N/A</v>
      </c>
      <c r="K356" t="str">
        <f t="shared" si="120"/>
        <v>N/A</v>
      </c>
      <c r="L356" t="str">
        <f t="shared" si="121"/>
        <v>N/A</v>
      </c>
      <c r="M356" t="str">
        <f t="shared" si="122"/>
        <v>N/A</v>
      </c>
      <c r="N356" t="str">
        <f t="shared" si="123"/>
        <v>N/A</v>
      </c>
      <c r="V356">
        <f>COUNTIF(V145:V353,"&gt;1.5")</f>
        <v>15</v>
      </c>
      <c r="W356">
        <f>COUNTIF(W145:W353,"&gt;1.5")</f>
        <v>9</v>
      </c>
      <c r="X356">
        <f>COUNTIF(X145:X353,"&gt;1.5")</f>
        <v>2</v>
      </c>
      <c r="Y356">
        <f>COUNTIF(Y145:Y353,"&gt;1.5")</f>
        <v>2</v>
      </c>
      <c r="Z356">
        <f>COUNTIF(Z145:Z353,"&gt;1.5")</f>
        <v>4</v>
      </c>
    </row>
    <row r="357" spans="1:29" x14ac:dyDescent="0.3">
      <c r="A357" s="1">
        <v>2</v>
      </c>
      <c r="B357" t="s">
        <v>2387</v>
      </c>
      <c r="C357" t="s">
        <v>2388</v>
      </c>
      <c r="I357" t="str">
        <f t="shared" si="118"/>
        <v>N/A</v>
      </c>
      <c r="J357" t="str">
        <f t="shared" si="119"/>
        <v>N/A</v>
      </c>
      <c r="K357" t="str">
        <f t="shared" si="120"/>
        <v>N/A</v>
      </c>
      <c r="L357" t="str">
        <f t="shared" si="121"/>
        <v>N/A</v>
      </c>
      <c r="M357" t="str">
        <f t="shared" si="122"/>
        <v>N/A</v>
      </c>
      <c r="N357" t="str">
        <f t="shared" si="123"/>
        <v>N/A</v>
      </c>
      <c r="V357">
        <f>COUNTIF(V145:V353,"&lt;-1.5")</f>
        <v>14</v>
      </c>
      <c r="W357">
        <f>COUNTIF(W145:W353,"&lt;-1.5")</f>
        <v>10</v>
      </c>
      <c r="X357">
        <f>COUNTIF(X145:X353,"&lt;-1.5")</f>
        <v>6</v>
      </c>
      <c r="Y357">
        <f>COUNTIF(Y145:Y353,"&lt;-1.5")</f>
        <v>1</v>
      </c>
      <c r="Z357">
        <f>COUNTIF(Z145:Z353,"&lt;-1.5")</f>
        <v>0</v>
      </c>
    </row>
    <row r="358" spans="1:29" x14ac:dyDescent="0.3">
      <c r="A358" s="1">
        <v>3</v>
      </c>
      <c r="B358" t="s">
        <v>2389</v>
      </c>
      <c r="C358" t="s">
        <v>2390</v>
      </c>
      <c r="I358" t="str">
        <f t="shared" si="118"/>
        <v>N/A</v>
      </c>
      <c r="J358" t="str">
        <f t="shared" si="119"/>
        <v>N/A</v>
      </c>
      <c r="K358" t="str">
        <f t="shared" si="120"/>
        <v>N/A</v>
      </c>
      <c r="L358" t="str">
        <f t="shared" si="121"/>
        <v>N/A</v>
      </c>
      <c r="M358" t="str">
        <f t="shared" si="122"/>
        <v>N/A</v>
      </c>
      <c r="N358" t="str">
        <f t="shared" si="123"/>
        <v>N/A</v>
      </c>
      <c r="V358">
        <f>SUM(V356:V357)</f>
        <v>29</v>
      </c>
      <c r="W358">
        <f>SUM(W356:W357)</f>
        <v>19</v>
      </c>
      <c r="X358">
        <f>SUM(X356:X357)</f>
        <v>8</v>
      </c>
      <c r="Y358">
        <f>SUM(Y356:Y357)</f>
        <v>3</v>
      </c>
      <c r="Z358">
        <f>SUM(Z356:Z357)</f>
        <v>4</v>
      </c>
    </row>
    <row r="359" spans="1:29" x14ac:dyDescent="0.3">
      <c r="A359" s="1">
        <v>4</v>
      </c>
      <c r="B359" t="s">
        <v>2391</v>
      </c>
      <c r="C359" t="s">
        <v>2392</v>
      </c>
      <c r="I359" t="str">
        <f t="shared" si="118"/>
        <v>N/A</v>
      </c>
      <c r="J359" t="str">
        <f t="shared" si="119"/>
        <v>N/A</v>
      </c>
      <c r="K359" t="str">
        <f t="shared" si="120"/>
        <v>N/A</v>
      </c>
      <c r="L359" t="str">
        <f t="shared" si="121"/>
        <v>N/A</v>
      </c>
      <c r="M359" t="str">
        <f t="shared" si="122"/>
        <v>N/A</v>
      </c>
      <c r="N359" t="str">
        <f t="shared" si="123"/>
        <v>N/A</v>
      </c>
    </row>
    <row r="360" spans="1:29" x14ac:dyDescent="0.3">
      <c r="A360" s="1">
        <v>5</v>
      </c>
      <c r="B360" t="s">
        <v>2393</v>
      </c>
      <c r="C360" t="s">
        <v>2393</v>
      </c>
      <c r="I360" t="str">
        <f t="shared" si="118"/>
        <v>N/A</v>
      </c>
      <c r="J360" t="str">
        <f t="shared" si="119"/>
        <v>N/A</v>
      </c>
      <c r="K360" t="str">
        <f t="shared" si="120"/>
        <v>N/A</v>
      </c>
      <c r="L360" t="str">
        <f t="shared" si="121"/>
        <v>N/A</v>
      </c>
      <c r="M360" t="str">
        <f t="shared" si="122"/>
        <v>N/A</v>
      </c>
      <c r="N360" t="str">
        <f t="shared" si="123"/>
        <v>N/A</v>
      </c>
      <c r="V360" t="str">
        <f>"Most Variable Year"</f>
        <v>Most Variable Year</v>
      </c>
      <c r="X360">
        <f>V144+MATCH(MAX(V358:Z358),V358:Z358,0)-1</f>
        <v>2012</v>
      </c>
    </row>
    <row r="361" spans="1:29" x14ac:dyDescent="0.3">
      <c r="I361" t="str">
        <f t="shared" ref="I361:I392" si="142">IF(AND(K361&gt; J361, L361&gt; K361, M361&gt; L361, N361&gt; M361), "pos_trend", IF(AND(K361&lt; J361, L361&lt; K361, M361&lt; L361, N361&lt; M361), "neg_trend", "N/A"))</f>
        <v>N/A</v>
      </c>
      <c r="J361" t="str">
        <f t="shared" ref="J361:J392" si="143">IFERROR(IF(TRIM(C361)="-", "N/A", IF(RIGHT(C361,1)=")",IF(RIGHT(C361,2)="T)",-1000000000000*VALUE(MID(C361,2,LEN(C361)-3)),IF(RIGHT(C361,2)="M)",-1000000*VALUE(MID(C361,2,LEN(C361)-3)),IF(RIGHT(C361,2)="B)",-1000000000*VALUE(MID(C361,2,LEN(C361)-3)),IF(RIGHT(C361,2)="k)",-1000*VALUE(MID(C361,2,LEN(C361)-3)),VALUE(SUBSTITUTE(C361,",","")))))),IF(RIGHT(C361,1)="T",1000000000000*VALUE(LEFT(C361,LEN(C361)-1)),IF(RIGHT(C361,1)="M",1000000*VALUE(LEFT(C361,LEN(C361)-1)),IF(RIGHT(C361,1)="B",1000000000*VALUE(LEFT(C361,LEN(C361)-1)),IF(RIGHT(C361,1)="%",0.01*VALUE(LEFT(C361,LEN(C361)-1)),IF(RIGHT(C361,1)="k",1000*VALUE(LEFT(C361,LEN(C361)-1)),VALUE(SUBSTITUTE(C361,",",""))))))))),"N/A")</f>
        <v>N/A</v>
      </c>
      <c r="K361" t="str">
        <f t="shared" ref="K361:K392" si="144">IFERROR(IF(TRIM(D361)="-", "N/A", IF(RIGHT(D361,1)=")",IF(RIGHT(D361,2)="T)",-1000000000000*VALUE(MID(D361,2,LEN(D361)-3)),IF(RIGHT(D361,2)="M)",-1000000*VALUE(MID(D361,2,LEN(D361)-3)),IF(RIGHT(D361,2)="B)",-1000000000*VALUE(MID(D361,2,LEN(D361)-3)),IF(RIGHT(D361,2)="k)",-1000*VALUE(MID(D361,2,LEN(D361)-3)),VALUE(SUBSTITUTE(D361,",","")))))),IF(RIGHT(D361,1)="T",1000000000000*VALUE(LEFT(D361,LEN(D361)-1)),IF(RIGHT(D361,1)="M",1000000*VALUE(LEFT(D361,LEN(D361)-1)),IF(RIGHT(D361,1)="B",1000000000*VALUE(LEFT(D361,LEN(D361)-1)),IF(RIGHT(D361,1)="%",0.01*VALUE(LEFT(D361,LEN(D361)-1)),IF(RIGHT(D361,1)="k",1000*VALUE(LEFT(D361,LEN(D361)-1)),VALUE(SUBSTITUTE(D361,",",""))))))))),"N/A")</f>
        <v>N/A</v>
      </c>
      <c r="L361" t="str">
        <f t="shared" ref="L361:L392" si="145">IFERROR(IF(TRIM(E361)="-", "N/A", IF(RIGHT(E361,1)=")",IF(RIGHT(E361,2)="T)",-1000000000000*VALUE(MID(E361,2,LEN(E361)-3)),IF(RIGHT(E361,2)="M)",-1000000*VALUE(MID(E361,2,LEN(E361)-3)),IF(RIGHT(E361,2)="B)",-1000000000*VALUE(MID(E361,2,LEN(E361)-3)),IF(RIGHT(E361,2)="k)",-1000*VALUE(MID(E361,2,LEN(E361)-3)),VALUE(SUBSTITUTE(E361,",","")))))),IF(RIGHT(E361,1)="T",1000000000000*VALUE(LEFT(E361,LEN(E361)-1)),IF(RIGHT(E361,1)="M",1000000*VALUE(LEFT(E361,LEN(E361)-1)),IF(RIGHT(E361,1)="B",1000000000*VALUE(LEFT(E361,LEN(E361)-1)),IF(RIGHT(E361,1)="%",0.01*VALUE(LEFT(E361,LEN(E361)-1)),IF(RIGHT(E361,1)="k",1000*VALUE(LEFT(E361,LEN(E361)-1)),VALUE(SUBSTITUTE(E361,",",""))))))))),"N/A")</f>
        <v>N/A</v>
      </c>
      <c r="M361" t="str">
        <f t="shared" ref="M361:M392" si="146">IFERROR(IF(TRIM(F361)="-", "N/A", IF(RIGHT(F361,1)=")",IF(RIGHT(F361,2)="T)",-1000000000000*VALUE(MID(F361,2,LEN(F361)-3)),IF(RIGHT(F361,2)="M)",-1000000*VALUE(MID(F361,2,LEN(F361)-3)),IF(RIGHT(F361,2)="B)",-1000000000*VALUE(MID(F361,2,LEN(F361)-3)),IF(RIGHT(F361,2)="k)",-1000*VALUE(MID(F361,2,LEN(F361)-3)),VALUE(SUBSTITUTE(F361,",","")))))),IF(RIGHT(F361,1)="T",1000000000000*VALUE(LEFT(F361,LEN(F361)-1)),IF(RIGHT(F361,1)="M",1000000*VALUE(LEFT(F361,LEN(F361)-1)),IF(RIGHT(F361,1)="B",1000000000*VALUE(LEFT(F361,LEN(F361)-1)),IF(RIGHT(F361,1)="%",0.01*VALUE(LEFT(F361,LEN(F361)-1)),IF(RIGHT(F361,1)="k",1000*VALUE(LEFT(F361,LEN(F361)-1)),VALUE(SUBSTITUTE(F361,",",""))))))))),"N/A")</f>
        <v>N/A</v>
      </c>
      <c r="N361" t="str">
        <f t="shared" ref="N361:N392" si="147">IFERROR(IF(TRIM(G361)="-", "N/A", IF(RIGHT(G361,1)=")",IF(RIGHT(G361,2)="T)",-1000000000000*VALUE(MID(G361,2,LEN(G361)-3)),IF(RIGHT(G361,2)="M)",-1000000*VALUE(MID(G361,2,LEN(G361)-3)),IF(RIGHT(G361,2)="B)",-1000000000*VALUE(MID(G361,2,LEN(G361)-3)),IF(RIGHT(G361,2)="k)",-1000*VALUE(MID(G361,2,LEN(G361)-3)),VALUE(SUBSTITUTE(G361,",","")))))),IF(RIGHT(G361,1)="T",1000000000000*VALUE(LEFT(G361,LEN(G361)-1)),IF(RIGHT(G361,1)="M",1000000*VALUE(LEFT(G361,LEN(G361)-1)),IF(RIGHT(G361,1)="B",1000000000*VALUE(LEFT(G361,LEN(G361)-1)),IF(RIGHT(G361,1)="%",0.01*VALUE(LEFT(G361,LEN(G361)-1)),IF(RIGHT(G361,1)="k",1000*VALUE(LEFT(G361,LEN(G361)-1)),VALUE(SUBSTITUTE(G361,",",""))))))))),"N/A")</f>
        <v>N/A</v>
      </c>
    </row>
    <row r="362" spans="1:29" x14ac:dyDescent="0.3">
      <c r="I362" t="str">
        <f t="shared" si="142"/>
        <v>N/A</v>
      </c>
      <c r="J362" t="str">
        <f t="shared" si="143"/>
        <v>N/A</v>
      </c>
      <c r="K362" t="str">
        <f t="shared" si="144"/>
        <v>N/A</v>
      </c>
      <c r="L362" t="str">
        <f t="shared" si="145"/>
        <v>N/A</v>
      </c>
      <c r="M362" t="str">
        <f t="shared" si="146"/>
        <v>N/A</v>
      </c>
      <c r="N362" t="str">
        <f t="shared" si="147"/>
        <v>N/A</v>
      </c>
    </row>
    <row r="363" spans="1:29" x14ac:dyDescent="0.3">
      <c r="A363" s="1">
        <v>0</v>
      </c>
      <c r="B363" t="s">
        <v>123</v>
      </c>
      <c r="C363" t="s">
        <v>2394</v>
      </c>
      <c r="I363" t="str">
        <f t="shared" si="142"/>
        <v>N/A</v>
      </c>
      <c r="J363">
        <f t="shared" si="143"/>
        <v>5740000000</v>
      </c>
      <c r="K363" t="str">
        <f t="shared" si="144"/>
        <v>N/A</v>
      </c>
      <c r="L363" t="str">
        <f t="shared" si="145"/>
        <v>N/A</v>
      </c>
      <c r="M363" t="str">
        <f t="shared" si="146"/>
        <v>N/A</v>
      </c>
      <c r="N363" t="str">
        <f t="shared" si="147"/>
        <v>N/A</v>
      </c>
    </row>
    <row r="364" spans="1:29" x14ac:dyDescent="0.3">
      <c r="A364" s="1">
        <v>1</v>
      </c>
      <c r="B364" t="s">
        <v>124</v>
      </c>
      <c r="I364" t="str">
        <f t="shared" si="142"/>
        <v>N/A</v>
      </c>
      <c r="J364" t="str">
        <f t="shared" si="143"/>
        <v>N/A</v>
      </c>
      <c r="K364" t="str">
        <f t="shared" si="144"/>
        <v>N/A</v>
      </c>
      <c r="L364" t="str">
        <f t="shared" si="145"/>
        <v>N/A</v>
      </c>
      <c r="M364" t="str">
        <f t="shared" si="146"/>
        <v>N/A</v>
      </c>
      <c r="N364" t="str">
        <f t="shared" si="147"/>
        <v>N/A</v>
      </c>
    </row>
    <row r="365" spans="1:29" x14ac:dyDescent="0.3">
      <c r="A365" s="1">
        <v>2</v>
      </c>
      <c r="B365" t="s">
        <v>125</v>
      </c>
      <c r="C365" t="s">
        <v>2395</v>
      </c>
      <c r="I365" t="str">
        <f t="shared" si="142"/>
        <v>N/A</v>
      </c>
      <c r="J365">
        <f t="shared" si="143"/>
        <v>41.03</v>
      </c>
      <c r="K365" t="str">
        <f t="shared" si="144"/>
        <v>N/A</v>
      </c>
      <c r="L365" t="str">
        <f t="shared" si="145"/>
        <v>N/A</v>
      </c>
      <c r="M365" t="str">
        <f t="shared" si="146"/>
        <v>N/A</v>
      </c>
      <c r="N365" t="str">
        <f t="shared" si="147"/>
        <v>N/A</v>
      </c>
    </row>
    <row r="366" spans="1:29" x14ac:dyDescent="0.3">
      <c r="A366" s="1">
        <v>3</v>
      </c>
      <c r="B366" t="s">
        <v>126</v>
      </c>
      <c r="C366" t="s">
        <v>2396</v>
      </c>
      <c r="I366" t="str">
        <f t="shared" si="142"/>
        <v>N/A</v>
      </c>
      <c r="J366">
        <f t="shared" si="143"/>
        <v>20.53</v>
      </c>
      <c r="K366" t="str">
        <f t="shared" si="144"/>
        <v>N/A</v>
      </c>
      <c r="L366" t="str">
        <f t="shared" si="145"/>
        <v>N/A</v>
      </c>
      <c r="M366" t="str">
        <f t="shared" si="146"/>
        <v>N/A</v>
      </c>
      <c r="N366" t="str">
        <f t="shared" si="147"/>
        <v>N/A</v>
      </c>
    </row>
    <row r="367" spans="1:29" x14ac:dyDescent="0.3">
      <c r="A367" s="1">
        <v>4</v>
      </c>
      <c r="B367" t="s">
        <v>128</v>
      </c>
      <c r="C367" t="s">
        <v>2397</v>
      </c>
      <c r="I367" t="str">
        <f t="shared" si="142"/>
        <v>N/A</v>
      </c>
      <c r="J367">
        <f t="shared" si="143"/>
        <v>1.19</v>
      </c>
      <c r="K367" t="str">
        <f t="shared" si="144"/>
        <v>N/A</v>
      </c>
      <c r="L367" t="str">
        <f t="shared" si="145"/>
        <v>N/A</v>
      </c>
      <c r="M367" t="str">
        <f t="shared" si="146"/>
        <v>N/A</v>
      </c>
      <c r="N367" t="str">
        <f t="shared" si="147"/>
        <v>N/A</v>
      </c>
    </row>
    <row r="368" spans="1:29" x14ac:dyDescent="0.3">
      <c r="A368" s="1">
        <v>5</v>
      </c>
      <c r="B368" t="s">
        <v>130</v>
      </c>
      <c r="C368" t="s">
        <v>2398</v>
      </c>
      <c r="I368" t="str">
        <f t="shared" si="142"/>
        <v>N/A</v>
      </c>
      <c r="J368">
        <f t="shared" si="143"/>
        <v>0.77</v>
      </c>
      <c r="K368" t="str">
        <f t="shared" si="144"/>
        <v>N/A</v>
      </c>
      <c r="L368" t="str">
        <f t="shared" si="145"/>
        <v>N/A</v>
      </c>
      <c r="M368" t="str">
        <f t="shared" si="146"/>
        <v>N/A</v>
      </c>
      <c r="N368" t="str">
        <f t="shared" si="147"/>
        <v>N/A</v>
      </c>
    </row>
    <row r="369" spans="1:14" x14ac:dyDescent="0.3">
      <c r="A369" s="1">
        <v>6</v>
      </c>
      <c r="B369" t="s">
        <v>132</v>
      </c>
      <c r="C369" t="s">
        <v>2399</v>
      </c>
      <c r="I369" t="str">
        <f t="shared" si="142"/>
        <v>N/A</v>
      </c>
      <c r="J369">
        <f t="shared" si="143"/>
        <v>2.04</v>
      </c>
      <c r="K369" t="str">
        <f t="shared" si="144"/>
        <v>N/A</v>
      </c>
      <c r="L369" t="str">
        <f t="shared" si="145"/>
        <v>N/A</v>
      </c>
      <c r="M369" t="str">
        <f t="shared" si="146"/>
        <v>N/A</v>
      </c>
      <c r="N369" t="str">
        <f t="shared" si="147"/>
        <v>N/A</v>
      </c>
    </row>
    <row r="370" spans="1:14" x14ac:dyDescent="0.3">
      <c r="A370" s="1">
        <v>7</v>
      </c>
      <c r="B370" t="s">
        <v>134</v>
      </c>
      <c r="I370" t="str">
        <f t="shared" si="142"/>
        <v>N/A</v>
      </c>
      <c r="J370" t="str">
        <f t="shared" si="143"/>
        <v>N/A</v>
      </c>
      <c r="K370" t="str">
        <f t="shared" si="144"/>
        <v>N/A</v>
      </c>
      <c r="L370" t="str">
        <f t="shared" si="145"/>
        <v>N/A</v>
      </c>
      <c r="M370" t="str">
        <f t="shared" si="146"/>
        <v>N/A</v>
      </c>
      <c r="N370" t="str">
        <f t="shared" si="147"/>
        <v>N/A</v>
      </c>
    </row>
    <row r="371" spans="1:14" x14ac:dyDescent="0.3">
      <c r="A371" s="1">
        <v>8</v>
      </c>
      <c r="B371" t="s">
        <v>135</v>
      </c>
      <c r="I371" t="str">
        <f t="shared" si="142"/>
        <v>N/A</v>
      </c>
      <c r="J371" t="str">
        <f t="shared" si="143"/>
        <v>N/A</v>
      </c>
      <c r="K371" t="str">
        <f t="shared" si="144"/>
        <v>N/A</v>
      </c>
      <c r="L371" t="str">
        <f t="shared" si="145"/>
        <v>N/A</v>
      </c>
      <c r="M371" t="str">
        <f t="shared" si="146"/>
        <v>N/A</v>
      </c>
      <c r="N371" t="str">
        <f t="shared" si="147"/>
        <v>N/A</v>
      </c>
    </row>
    <row r="372" spans="1:14" x14ac:dyDescent="0.3">
      <c r="I372" t="str">
        <f t="shared" si="142"/>
        <v>N/A</v>
      </c>
      <c r="J372" t="str">
        <f t="shared" si="143"/>
        <v>N/A</v>
      </c>
      <c r="K372" t="str">
        <f t="shared" si="144"/>
        <v>N/A</v>
      </c>
      <c r="L372" t="str">
        <f t="shared" si="145"/>
        <v>N/A</v>
      </c>
      <c r="M372" t="str">
        <f t="shared" si="146"/>
        <v>N/A</v>
      </c>
      <c r="N372" t="str">
        <f t="shared" si="147"/>
        <v>N/A</v>
      </c>
    </row>
    <row r="373" spans="1:14" x14ac:dyDescent="0.3">
      <c r="I373" t="str">
        <f t="shared" si="142"/>
        <v>N/A</v>
      </c>
      <c r="J373" t="str">
        <f t="shared" si="143"/>
        <v>N/A</v>
      </c>
      <c r="K373" t="str">
        <f t="shared" si="144"/>
        <v>N/A</v>
      </c>
      <c r="L373" t="str">
        <f t="shared" si="145"/>
        <v>N/A</v>
      </c>
      <c r="M373" t="str">
        <f t="shared" si="146"/>
        <v>N/A</v>
      </c>
      <c r="N373" t="str">
        <f t="shared" si="147"/>
        <v>N/A</v>
      </c>
    </row>
    <row r="374" spans="1:14" x14ac:dyDescent="0.3">
      <c r="A374" s="1">
        <v>0</v>
      </c>
      <c r="B374" t="s">
        <v>123</v>
      </c>
      <c r="C374" t="s">
        <v>722</v>
      </c>
      <c r="I374" t="str">
        <f t="shared" si="142"/>
        <v>N/A</v>
      </c>
      <c r="J374">
        <f t="shared" si="143"/>
        <v>1270000000</v>
      </c>
      <c r="K374" t="str">
        <f t="shared" si="144"/>
        <v>N/A</v>
      </c>
      <c r="L374" t="str">
        <f t="shared" si="145"/>
        <v>N/A</v>
      </c>
      <c r="M374" t="str">
        <f t="shared" si="146"/>
        <v>N/A</v>
      </c>
      <c r="N374" t="str">
        <f t="shared" si="147"/>
        <v>N/A</v>
      </c>
    </row>
    <row r="375" spans="1:14" x14ac:dyDescent="0.3">
      <c r="A375" s="1">
        <v>1</v>
      </c>
      <c r="B375" t="s">
        <v>124</v>
      </c>
      <c r="I375" t="str">
        <f t="shared" si="142"/>
        <v>N/A</v>
      </c>
      <c r="J375" t="str">
        <f t="shared" si="143"/>
        <v>N/A</v>
      </c>
      <c r="K375" t="str">
        <f t="shared" si="144"/>
        <v>N/A</v>
      </c>
      <c r="L375" t="str">
        <f t="shared" si="145"/>
        <v>N/A</v>
      </c>
      <c r="M375" t="str">
        <f t="shared" si="146"/>
        <v>N/A</v>
      </c>
      <c r="N375" t="str">
        <f t="shared" si="147"/>
        <v>N/A</v>
      </c>
    </row>
    <row r="376" spans="1:14" x14ac:dyDescent="0.3">
      <c r="A376" s="1">
        <v>2</v>
      </c>
      <c r="B376" t="s">
        <v>125</v>
      </c>
      <c r="C376" t="s">
        <v>2400</v>
      </c>
      <c r="I376" t="str">
        <f t="shared" si="142"/>
        <v>N/A</v>
      </c>
      <c r="J376">
        <f t="shared" si="143"/>
        <v>43.12</v>
      </c>
      <c r="K376" t="str">
        <f t="shared" si="144"/>
        <v>N/A</v>
      </c>
      <c r="L376" t="str">
        <f t="shared" si="145"/>
        <v>N/A</v>
      </c>
      <c r="M376" t="str">
        <f t="shared" si="146"/>
        <v>N/A</v>
      </c>
      <c r="N376" t="str">
        <f t="shared" si="147"/>
        <v>N/A</v>
      </c>
    </row>
    <row r="377" spans="1:14" x14ac:dyDescent="0.3">
      <c r="A377" s="1">
        <v>3</v>
      </c>
      <c r="B377" t="s">
        <v>126</v>
      </c>
      <c r="C377" t="s">
        <v>2401</v>
      </c>
      <c r="I377" t="str">
        <f t="shared" si="142"/>
        <v>N/A</v>
      </c>
      <c r="J377">
        <f t="shared" si="143"/>
        <v>18.72</v>
      </c>
      <c r="K377" t="str">
        <f t="shared" si="144"/>
        <v>N/A</v>
      </c>
      <c r="L377" t="str">
        <f t="shared" si="145"/>
        <v>N/A</v>
      </c>
      <c r="M377" t="str">
        <f t="shared" si="146"/>
        <v>N/A</v>
      </c>
      <c r="N377" t="str">
        <f t="shared" si="147"/>
        <v>N/A</v>
      </c>
    </row>
    <row r="378" spans="1:14" x14ac:dyDescent="0.3">
      <c r="A378" s="1">
        <v>4</v>
      </c>
      <c r="B378" t="s">
        <v>128</v>
      </c>
      <c r="C378" t="s">
        <v>129</v>
      </c>
      <c r="I378" t="str">
        <f t="shared" si="142"/>
        <v>N/A</v>
      </c>
      <c r="J378">
        <f t="shared" si="143"/>
        <v>1.38</v>
      </c>
      <c r="K378" t="str">
        <f t="shared" si="144"/>
        <v>N/A</v>
      </c>
      <c r="L378" t="str">
        <f t="shared" si="145"/>
        <v>N/A</v>
      </c>
      <c r="M378" t="str">
        <f t="shared" si="146"/>
        <v>N/A</v>
      </c>
      <c r="N378" t="str">
        <f t="shared" si="147"/>
        <v>N/A</v>
      </c>
    </row>
    <row r="379" spans="1:14" x14ac:dyDescent="0.3">
      <c r="A379" s="1">
        <v>5</v>
      </c>
      <c r="B379" t="s">
        <v>130</v>
      </c>
      <c r="C379" t="s">
        <v>2402</v>
      </c>
      <c r="I379" t="str">
        <f t="shared" si="142"/>
        <v>N/A</v>
      </c>
      <c r="J379">
        <f t="shared" si="143"/>
        <v>1.7</v>
      </c>
      <c r="K379" t="str">
        <f t="shared" si="144"/>
        <v>N/A</v>
      </c>
      <c r="L379" t="str">
        <f t="shared" si="145"/>
        <v>N/A</v>
      </c>
      <c r="M379" t="str">
        <f t="shared" si="146"/>
        <v>N/A</v>
      </c>
      <c r="N379" t="str">
        <f t="shared" si="147"/>
        <v>N/A</v>
      </c>
    </row>
    <row r="380" spans="1:14" x14ac:dyDescent="0.3">
      <c r="A380" s="1">
        <v>6</v>
      </c>
      <c r="B380" t="s">
        <v>132</v>
      </c>
      <c r="C380" t="s">
        <v>2403</v>
      </c>
      <c r="I380" t="str">
        <f t="shared" si="142"/>
        <v>N/A</v>
      </c>
      <c r="J380">
        <f t="shared" si="143"/>
        <v>3.61</v>
      </c>
      <c r="K380" t="str">
        <f t="shared" si="144"/>
        <v>N/A</v>
      </c>
      <c r="L380" t="str">
        <f t="shared" si="145"/>
        <v>N/A</v>
      </c>
      <c r="M380" t="str">
        <f t="shared" si="146"/>
        <v>N/A</v>
      </c>
      <c r="N380" t="str">
        <f t="shared" si="147"/>
        <v>N/A</v>
      </c>
    </row>
    <row r="381" spans="1:14" x14ac:dyDescent="0.3">
      <c r="A381" s="1">
        <v>7</v>
      </c>
      <c r="B381" t="s">
        <v>134</v>
      </c>
      <c r="I381" t="str">
        <f t="shared" si="142"/>
        <v>N/A</v>
      </c>
      <c r="J381" t="str">
        <f t="shared" si="143"/>
        <v>N/A</v>
      </c>
      <c r="K381" t="str">
        <f t="shared" si="144"/>
        <v>N/A</v>
      </c>
      <c r="L381" t="str">
        <f t="shared" si="145"/>
        <v>N/A</v>
      </c>
      <c r="M381" t="str">
        <f t="shared" si="146"/>
        <v>N/A</v>
      </c>
      <c r="N381" t="str">
        <f t="shared" si="147"/>
        <v>N/A</v>
      </c>
    </row>
    <row r="382" spans="1:14" x14ac:dyDescent="0.3">
      <c r="A382" s="1">
        <v>8</v>
      </c>
      <c r="B382" t="s">
        <v>135</v>
      </c>
      <c r="I382" t="str">
        <f t="shared" si="142"/>
        <v>N/A</v>
      </c>
      <c r="J382" t="str">
        <f t="shared" si="143"/>
        <v>N/A</v>
      </c>
      <c r="K382" t="str">
        <f t="shared" si="144"/>
        <v>N/A</v>
      </c>
      <c r="L382" t="str">
        <f t="shared" si="145"/>
        <v>N/A</v>
      </c>
      <c r="M382" t="str">
        <f t="shared" si="146"/>
        <v>N/A</v>
      </c>
      <c r="N382" t="str">
        <f t="shared" si="147"/>
        <v>N/A</v>
      </c>
    </row>
    <row r="383" spans="1:14" x14ac:dyDescent="0.3">
      <c r="I383" t="str">
        <f t="shared" si="142"/>
        <v>N/A</v>
      </c>
      <c r="J383" t="str">
        <f t="shared" si="143"/>
        <v>N/A</v>
      </c>
      <c r="K383" t="str">
        <f t="shared" si="144"/>
        <v>N/A</v>
      </c>
      <c r="L383" t="str">
        <f t="shared" si="145"/>
        <v>N/A</v>
      </c>
      <c r="M383" t="str">
        <f t="shared" si="146"/>
        <v>N/A</v>
      </c>
      <c r="N383" t="str">
        <f t="shared" si="147"/>
        <v>N/A</v>
      </c>
    </row>
    <row r="384" spans="1:14" x14ac:dyDescent="0.3">
      <c r="I384" t="str">
        <f t="shared" si="142"/>
        <v>N/A</v>
      </c>
      <c r="J384" t="str">
        <f t="shared" si="143"/>
        <v>N/A</v>
      </c>
      <c r="K384" t="str">
        <f t="shared" si="144"/>
        <v>N/A</v>
      </c>
      <c r="L384" t="str">
        <f t="shared" si="145"/>
        <v>N/A</v>
      </c>
      <c r="M384" t="str">
        <f t="shared" si="146"/>
        <v>N/A</v>
      </c>
      <c r="N384" t="str">
        <f t="shared" si="147"/>
        <v>N/A</v>
      </c>
    </row>
    <row r="385" spans="1:14" x14ac:dyDescent="0.3">
      <c r="A385" s="1">
        <v>0</v>
      </c>
      <c r="B385" t="s">
        <v>123</v>
      </c>
      <c r="C385" t="s">
        <v>2404</v>
      </c>
      <c r="I385" t="str">
        <f t="shared" si="142"/>
        <v>N/A</v>
      </c>
      <c r="J385">
        <f t="shared" si="143"/>
        <v>8130000000.000001</v>
      </c>
      <c r="K385" t="str">
        <f t="shared" si="144"/>
        <v>N/A</v>
      </c>
      <c r="L385" t="str">
        <f t="shared" si="145"/>
        <v>N/A</v>
      </c>
      <c r="M385" t="str">
        <f t="shared" si="146"/>
        <v>N/A</v>
      </c>
      <c r="N385" t="str">
        <f t="shared" si="147"/>
        <v>N/A</v>
      </c>
    </row>
    <row r="386" spans="1:14" x14ac:dyDescent="0.3">
      <c r="A386" s="1">
        <v>1</v>
      </c>
      <c r="B386" t="s">
        <v>124</v>
      </c>
      <c r="I386" t="str">
        <f t="shared" si="142"/>
        <v>N/A</v>
      </c>
      <c r="J386" t="str">
        <f t="shared" si="143"/>
        <v>N/A</v>
      </c>
      <c r="K386" t="str">
        <f t="shared" si="144"/>
        <v>N/A</v>
      </c>
      <c r="L386" t="str">
        <f t="shared" si="145"/>
        <v>N/A</v>
      </c>
      <c r="M386" t="str">
        <f t="shared" si="146"/>
        <v>N/A</v>
      </c>
      <c r="N386" t="str">
        <f t="shared" si="147"/>
        <v>N/A</v>
      </c>
    </row>
    <row r="387" spans="1:14" x14ac:dyDescent="0.3">
      <c r="A387" s="1">
        <v>2</v>
      </c>
      <c r="B387" t="s">
        <v>125</v>
      </c>
      <c r="C387" t="s">
        <v>2405</v>
      </c>
      <c r="I387" t="str">
        <f t="shared" si="142"/>
        <v>N/A</v>
      </c>
      <c r="J387">
        <f t="shared" si="143"/>
        <v>24.11</v>
      </c>
      <c r="K387" t="str">
        <f t="shared" si="144"/>
        <v>N/A</v>
      </c>
      <c r="L387" t="str">
        <f t="shared" si="145"/>
        <v>N/A</v>
      </c>
      <c r="M387" t="str">
        <f t="shared" si="146"/>
        <v>N/A</v>
      </c>
      <c r="N387" t="str">
        <f t="shared" si="147"/>
        <v>N/A</v>
      </c>
    </row>
    <row r="388" spans="1:14" x14ac:dyDescent="0.3">
      <c r="A388" s="1">
        <v>3</v>
      </c>
      <c r="B388" t="s">
        <v>126</v>
      </c>
      <c r="C388" t="s">
        <v>2406</v>
      </c>
      <c r="I388" t="str">
        <f t="shared" si="142"/>
        <v>N/A</v>
      </c>
      <c r="J388">
        <f t="shared" si="143"/>
        <v>17.32</v>
      </c>
      <c r="K388" t="str">
        <f t="shared" si="144"/>
        <v>N/A</v>
      </c>
      <c r="L388" t="str">
        <f t="shared" si="145"/>
        <v>N/A</v>
      </c>
      <c r="M388" t="str">
        <f t="shared" si="146"/>
        <v>N/A</v>
      </c>
      <c r="N388" t="str">
        <f t="shared" si="147"/>
        <v>N/A</v>
      </c>
    </row>
    <row r="389" spans="1:14" x14ac:dyDescent="0.3">
      <c r="A389" s="1">
        <v>4</v>
      </c>
      <c r="B389" t="s">
        <v>128</v>
      </c>
      <c r="C389" t="s">
        <v>2407</v>
      </c>
      <c r="I389" t="str">
        <f t="shared" si="142"/>
        <v>N/A</v>
      </c>
      <c r="J389">
        <f t="shared" si="143"/>
        <v>1.6</v>
      </c>
      <c r="K389" t="str">
        <f t="shared" si="144"/>
        <v>N/A</v>
      </c>
      <c r="L389" t="str">
        <f t="shared" si="145"/>
        <v>N/A</v>
      </c>
      <c r="M389" t="str">
        <f t="shared" si="146"/>
        <v>N/A</v>
      </c>
      <c r="N389" t="str">
        <f t="shared" si="147"/>
        <v>N/A</v>
      </c>
    </row>
    <row r="390" spans="1:14" x14ac:dyDescent="0.3">
      <c r="A390" s="1">
        <v>5</v>
      </c>
      <c r="B390" t="s">
        <v>130</v>
      </c>
      <c r="C390" t="s">
        <v>2408</v>
      </c>
      <c r="I390" t="str">
        <f t="shared" si="142"/>
        <v>N/A</v>
      </c>
      <c r="J390">
        <f t="shared" si="143"/>
        <v>1.32</v>
      </c>
      <c r="K390" t="str">
        <f t="shared" si="144"/>
        <v>N/A</v>
      </c>
      <c r="L390" t="str">
        <f t="shared" si="145"/>
        <v>N/A</v>
      </c>
      <c r="M390" t="str">
        <f t="shared" si="146"/>
        <v>N/A</v>
      </c>
      <c r="N390" t="str">
        <f t="shared" si="147"/>
        <v>N/A</v>
      </c>
    </row>
    <row r="391" spans="1:14" x14ac:dyDescent="0.3">
      <c r="A391" s="1">
        <v>6</v>
      </c>
      <c r="B391" t="s">
        <v>132</v>
      </c>
      <c r="C391" t="s">
        <v>2409</v>
      </c>
      <c r="I391" t="str">
        <f t="shared" si="142"/>
        <v>N/A</v>
      </c>
      <c r="J391">
        <f t="shared" si="143"/>
        <v>8.0299999999999994</v>
      </c>
      <c r="K391" t="str">
        <f t="shared" si="144"/>
        <v>N/A</v>
      </c>
      <c r="L391" t="str">
        <f t="shared" si="145"/>
        <v>N/A</v>
      </c>
      <c r="M391" t="str">
        <f t="shared" si="146"/>
        <v>N/A</v>
      </c>
      <c r="N391" t="str">
        <f t="shared" si="147"/>
        <v>N/A</v>
      </c>
    </row>
    <row r="392" spans="1:14" x14ac:dyDescent="0.3">
      <c r="A392" s="1">
        <v>7</v>
      </c>
      <c r="B392" t="s">
        <v>134</v>
      </c>
      <c r="I392" t="str">
        <f t="shared" si="142"/>
        <v>N/A</v>
      </c>
      <c r="J392" t="str">
        <f t="shared" si="143"/>
        <v>N/A</v>
      </c>
      <c r="K392" t="str">
        <f t="shared" si="144"/>
        <v>N/A</v>
      </c>
      <c r="L392" t="str">
        <f t="shared" si="145"/>
        <v>N/A</v>
      </c>
      <c r="M392" t="str">
        <f t="shared" si="146"/>
        <v>N/A</v>
      </c>
      <c r="N392" t="str">
        <f t="shared" si="147"/>
        <v>N/A</v>
      </c>
    </row>
    <row r="393" spans="1:14" x14ac:dyDescent="0.3">
      <c r="A393" s="1">
        <v>8</v>
      </c>
      <c r="B393" t="s">
        <v>135</v>
      </c>
      <c r="I393" t="str">
        <f t="shared" ref="I393:I424" si="148">IF(AND(K393&gt; J393, L393&gt; K393, M393&gt; L393, N393&gt; M393), "pos_trend", IF(AND(K393&lt; J393, L393&lt; K393, M393&lt; L393, N393&lt; M393), "neg_trend", "N/A"))</f>
        <v>N/A</v>
      </c>
      <c r="J393" t="str">
        <f t="shared" ref="J393:J399" si="149">IFERROR(IF(TRIM(C393)="-", "N/A", IF(RIGHT(C393,1)=")",IF(RIGHT(C393,2)="T)",-1000000000000*VALUE(MID(C393,2,LEN(C393)-3)),IF(RIGHT(C393,2)="M)",-1000000*VALUE(MID(C393,2,LEN(C393)-3)),IF(RIGHT(C393,2)="B)",-1000000000*VALUE(MID(C393,2,LEN(C393)-3)),IF(RIGHT(C393,2)="k)",-1000*VALUE(MID(C393,2,LEN(C393)-3)),VALUE(SUBSTITUTE(C393,",","")))))),IF(RIGHT(C393,1)="T",1000000000000*VALUE(LEFT(C393,LEN(C393)-1)),IF(RIGHT(C393,1)="M",1000000*VALUE(LEFT(C393,LEN(C393)-1)),IF(RIGHT(C393,1)="B",1000000000*VALUE(LEFT(C393,LEN(C393)-1)),IF(RIGHT(C393,1)="%",0.01*VALUE(LEFT(C393,LEN(C393)-1)),IF(RIGHT(C393,1)="k",1000*VALUE(LEFT(C393,LEN(C393)-1)),VALUE(SUBSTITUTE(C393,",",""))))))))),"N/A")</f>
        <v>N/A</v>
      </c>
      <c r="K393" t="str">
        <f t="shared" ref="K393:K399" si="150">IFERROR(IF(TRIM(D393)="-", "N/A", IF(RIGHT(D393,1)=")",IF(RIGHT(D393,2)="T)",-1000000000000*VALUE(MID(D393,2,LEN(D393)-3)),IF(RIGHT(D393,2)="M)",-1000000*VALUE(MID(D393,2,LEN(D393)-3)),IF(RIGHT(D393,2)="B)",-1000000000*VALUE(MID(D393,2,LEN(D393)-3)),IF(RIGHT(D393,2)="k)",-1000*VALUE(MID(D393,2,LEN(D393)-3)),VALUE(SUBSTITUTE(D393,",","")))))),IF(RIGHT(D393,1)="T",1000000000000*VALUE(LEFT(D393,LEN(D393)-1)),IF(RIGHT(D393,1)="M",1000000*VALUE(LEFT(D393,LEN(D393)-1)),IF(RIGHT(D393,1)="B",1000000000*VALUE(LEFT(D393,LEN(D393)-1)),IF(RIGHT(D393,1)="%",0.01*VALUE(LEFT(D393,LEN(D393)-1)),IF(RIGHT(D393,1)="k",1000*VALUE(LEFT(D393,LEN(D393)-1)),VALUE(SUBSTITUTE(D393,",",""))))))))),"N/A")</f>
        <v>N/A</v>
      </c>
      <c r="L393" t="str">
        <f t="shared" ref="L393:L399" si="151">IFERROR(IF(TRIM(E393)="-", "N/A", IF(RIGHT(E393,1)=")",IF(RIGHT(E393,2)="T)",-1000000000000*VALUE(MID(E393,2,LEN(E393)-3)),IF(RIGHT(E393,2)="M)",-1000000*VALUE(MID(E393,2,LEN(E393)-3)),IF(RIGHT(E393,2)="B)",-1000000000*VALUE(MID(E393,2,LEN(E393)-3)),IF(RIGHT(E393,2)="k)",-1000*VALUE(MID(E393,2,LEN(E393)-3)),VALUE(SUBSTITUTE(E393,",","")))))),IF(RIGHT(E393,1)="T",1000000000000*VALUE(LEFT(E393,LEN(E393)-1)),IF(RIGHT(E393,1)="M",1000000*VALUE(LEFT(E393,LEN(E393)-1)),IF(RIGHT(E393,1)="B",1000000000*VALUE(LEFT(E393,LEN(E393)-1)),IF(RIGHT(E393,1)="%",0.01*VALUE(LEFT(E393,LEN(E393)-1)),IF(RIGHT(E393,1)="k",1000*VALUE(LEFT(E393,LEN(E393)-1)),VALUE(SUBSTITUTE(E393,",",""))))))))),"N/A")</f>
        <v>N/A</v>
      </c>
      <c r="M393" t="str">
        <f t="shared" ref="M393:M399" si="152">IFERROR(IF(TRIM(F393)="-", "N/A", IF(RIGHT(F393,1)=")",IF(RIGHT(F393,2)="T)",-1000000000000*VALUE(MID(F393,2,LEN(F393)-3)),IF(RIGHT(F393,2)="M)",-1000000*VALUE(MID(F393,2,LEN(F393)-3)),IF(RIGHT(F393,2)="B)",-1000000000*VALUE(MID(F393,2,LEN(F393)-3)),IF(RIGHT(F393,2)="k)",-1000*VALUE(MID(F393,2,LEN(F393)-3)),VALUE(SUBSTITUTE(F393,",","")))))),IF(RIGHT(F393,1)="T",1000000000000*VALUE(LEFT(F393,LEN(F393)-1)),IF(RIGHT(F393,1)="M",1000000*VALUE(LEFT(F393,LEN(F393)-1)),IF(RIGHT(F393,1)="B",1000000000*VALUE(LEFT(F393,LEN(F393)-1)),IF(RIGHT(F393,1)="%",0.01*VALUE(LEFT(F393,LEN(F393)-1)),IF(RIGHT(F393,1)="k",1000*VALUE(LEFT(F393,LEN(F393)-1)),VALUE(SUBSTITUTE(F393,",",""))))))))),"N/A")</f>
        <v>N/A</v>
      </c>
      <c r="N393" t="str">
        <f t="shared" ref="N393:N399" si="153">IFERROR(IF(TRIM(G393)="-", "N/A", IF(RIGHT(G393,1)=")",IF(RIGHT(G393,2)="T)",-1000000000000*VALUE(MID(G393,2,LEN(G393)-3)),IF(RIGHT(G393,2)="M)",-1000000*VALUE(MID(G393,2,LEN(G393)-3)),IF(RIGHT(G393,2)="B)",-1000000000*VALUE(MID(G393,2,LEN(G393)-3)),IF(RIGHT(G393,2)="k)",-1000*VALUE(MID(G393,2,LEN(G393)-3)),VALUE(SUBSTITUTE(G393,",","")))))),IF(RIGHT(G393,1)="T",1000000000000*VALUE(LEFT(G393,LEN(G393)-1)),IF(RIGHT(G393,1)="M",1000000*VALUE(LEFT(G393,LEN(G393)-1)),IF(RIGHT(G393,1)="B",1000000000*VALUE(LEFT(G393,LEN(G393)-1)),IF(RIGHT(G393,1)="%",0.01*VALUE(LEFT(G393,LEN(G393)-1)),IF(RIGHT(G393,1)="k",1000*VALUE(LEFT(G393,LEN(G393)-1)),VALUE(SUBSTITUTE(G393,",",""))))))))),"N/A")</f>
        <v>N/A</v>
      </c>
    </row>
    <row r="394" spans="1:14" x14ac:dyDescent="0.3">
      <c r="I394" t="str">
        <f t="shared" si="148"/>
        <v>N/A</v>
      </c>
      <c r="J394" t="str">
        <f t="shared" si="149"/>
        <v>N/A</v>
      </c>
      <c r="K394" t="str">
        <f t="shared" si="150"/>
        <v>N/A</v>
      </c>
      <c r="L394" t="str">
        <f t="shared" si="151"/>
        <v>N/A</v>
      </c>
      <c r="M394" t="str">
        <f t="shared" si="152"/>
        <v>N/A</v>
      </c>
      <c r="N394" t="str">
        <f t="shared" si="153"/>
        <v>N/A</v>
      </c>
    </row>
    <row r="395" spans="1:14" x14ac:dyDescent="0.3">
      <c r="I395" t="str">
        <f t="shared" si="148"/>
        <v>N/A</v>
      </c>
      <c r="J395" t="str">
        <f t="shared" si="149"/>
        <v>N/A</v>
      </c>
      <c r="K395" t="str">
        <f t="shared" si="150"/>
        <v>N/A</v>
      </c>
      <c r="L395" t="str">
        <f t="shared" si="151"/>
        <v>N/A</v>
      </c>
      <c r="M395" t="str">
        <f t="shared" si="152"/>
        <v>N/A</v>
      </c>
      <c r="N395" t="str">
        <f t="shared" si="153"/>
        <v>N/A</v>
      </c>
    </row>
    <row r="396" spans="1:14" x14ac:dyDescent="0.3">
      <c r="A396" s="1">
        <v>0</v>
      </c>
      <c r="B396" t="s">
        <v>123</v>
      </c>
      <c r="C396" t="s">
        <v>1108</v>
      </c>
      <c r="I396" t="str">
        <f t="shared" si="148"/>
        <v>N/A</v>
      </c>
      <c r="J396">
        <f t="shared" si="149"/>
        <v>2080000000</v>
      </c>
      <c r="K396" t="str">
        <f t="shared" si="150"/>
        <v>N/A</v>
      </c>
      <c r="L396" t="str">
        <f t="shared" si="151"/>
        <v>N/A</v>
      </c>
      <c r="M396" t="str">
        <f t="shared" si="152"/>
        <v>N/A</v>
      </c>
      <c r="N396" t="str">
        <f t="shared" si="153"/>
        <v>N/A</v>
      </c>
    </row>
    <row r="397" spans="1:14" x14ac:dyDescent="0.3">
      <c r="A397" s="1">
        <v>1</v>
      </c>
      <c r="B397" t="s">
        <v>124</v>
      </c>
      <c r="I397" t="str">
        <f t="shared" si="148"/>
        <v>N/A</v>
      </c>
      <c r="J397" t="str">
        <f t="shared" si="149"/>
        <v>N/A</v>
      </c>
      <c r="K397" t="str">
        <f t="shared" si="150"/>
        <v>N/A</v>
      </c>
      <c r="L397" t="str">
        <f t="shared" si="151"/>
        <v>N/A</v>
      </c>
      <c r="M397" t="str">
        <f t="shared" si="152"/>
        <v>N/A</v>
      </c>
      <c r="N397" t="str">
        <f t="shared" si="153"/>
        <v>N/A</v>
      </c>
    </row>
    <row r="398" spans="1:14" x14ac:dyDescent="0.3">
      <c r="A398" s="1">
        <v>2</v>
      </c>
      <c r="B398" t="s">
        <v>125</v>
      </c>
      <c r="C398" t="s">
        <v>2410</v>
      </c>
      <c r="I398" t="str">
        <f t="shared" si="148"/>
        <v>N/A</v>
      </c>
      <c r="J398">
        <f t="shared" si="149"/>
        <v>-3.94</v>
      </c>
      <c r="K398" t="str">
        <f t="shared" si="150"/>
        <v>N/A</v>
      </c>
      <c r="L398" t="str">
        <f t="shared" si="151"/>
        <v>N/A</v>
      </c>
      <c r="M398" t="str">
        <f t="shared" si="152"/>
        <v>N/A</v>
      </c>
      <c r="N398" t="str">
        <f t="shared" si="153"/>
        <v>N/A</v>
      </c>
    </row>
    <row r="399" spans="1:14" x14ac:dyDescent="0.3">
      <c r="A399" s="1">
        <v>3</v>
      </c>
      <c r="B399" t="s">
        <v>126</v>
      </c>
      <c r="I399" t="str">
        <f t="shared" si="148"/>
        <v>N/A</v>
      </c>
      <c r="J399" t="str">
        <f t="shared" si="149"/>
        <v>N/A</v>
      </c>
      <c r="K399" t="str">
        <f t="shared" si="150"/>
        <v>N/A</v>
      </c>
      <c r="L399" t="str">
        <f t="shared" si="151"/>
        <v>N/A</v>
      </c>
      <c r="M399" t="str">
        <f t="shared" si="152"/>
        <v>N/A</v>
      </c>
      <c r="N399" t="str">
        <f t="shared" si="153"/>
        <v>N/A</v>
      </c>
    </row>
    <row r="400" spans="1:14" x14ac:dyDescent="0.3">
      <c r="A400" s="1">
        <v>4</v>
      </c>
      <c r="B400" t="s">
        <v>128</v>
      </c>
    </row>
    <row r="401" spans="1:3" x14ac:dyDescent="0.3">
      <c r="A401" s="1">
        <v>5</v>
      </c>
      <c r="B401" t="s">
        <v>130</v>
      </c>
      <c r="C401" t="s">
        <v>1719</v>
      </c>
    </row>
    <row r="402" spans="1:3" x14ac:dyDescent="0.3">
      <c r="A402" s="1">
        <v>6</v>
      </c>
      <c r="B402" t="s">
        <v>132</v>
      </c>
      <c r="C402" t="s">
        <v>990</v>
      </c>
    </row>
    <row r="403" spans="1:3" x14ac:dyDescent="0.3">
      <c r="A403" s="1">
        <v>7</v>
      </c>
      <c r="B403" t="s">
        <v>134</v>
      </c>
    </row>
    <row r="404" spans="1:3" x14ac:dyDescent="0.3">
      <c r="A404" s="1">
        <v>8</v>
      </c>
      <c r="B404" t="s">
        <v>135</v>
      </c>
    </row>
    <row r="448" spans="52:52" x14ac:dyDescent="0.3">
      <c r="AZ448" t="str">
        <f>"Compile Facts"</f>
        <v>Compile Facts</v>
      </c>
    </row>
    <row r="450" spans="2:53" x14ac:dyDescent="0.3">
      <c r="B450" t="str">
        <f>"ROIC Super Tree"</f>
        <v>ROIC Super Tree</v>
      </c>
      <c r="AZ450" t="str">
        <f t="shared" ref="AZ450:BA453" si="154">I519</f>
        <v>Max SD</v>
      </c>
      <c r="BA450">
        <f t="shared" ca="1" si="154"/>
        <v>0.111646258682236</v>
      </c>
    </row>
    <row r="451" spans="2:53" x14ac:dyDescent="0.3">
      <c r="AZ451" t="str">
        <f t="shared" si="154"/>
        <v>Max SD Item</v>
      </c>
      <c r="BA451" t="str">
        <f t="shared" ca="1" si="154"/>
        <v>Invested Capital / Sales</v>
      </c>
    </row>
    <row r="452" spans="2:53" x14ac:dyDescent="0.3">
      <c r="AK452" t="str">
        <f>"Change in Gross Margin / Sales"</f>
        <v>Change in Gross Margin / Sales</v>
      </c>
      <c r="AZ452" t="str">
        <f t="shared" si="154"/>
        <v>Min SD</v>
      </c>
      <c r="BA452">
        <f t="shared" ca="1" si="154"/>
        <v>8.0461448029609563E-3</v>
      </c>
    </row>
    <row r="453" spans="2:53" x14ac:dyDescent="0.3">
      <c r="X453" t="str">
        <f>"Gross Margin"</f>
        <v>Gross Margin</v>
      </c>
      <c r="AK453" t="str">
        <f>K476</f>
        <v>12-13</v>
      </c>
      <c r="AL453" t="str">
        <f>L476</f>
        <v>13-14</v>
      </c>
      <c r="AM453" t="str">
        <f>M476</f>
        <v>14-15</v>
      </c>
      <c r="AN453" t="str">
        <f>N476</f>
        <v>15-16</v>
      </c>
      <c r="AZ453" t="str">
        <f t="shared" si="154"/>
        <v>Min SD Item</v>
      </c>
      <c r="BA453" t="str">
        <f t="shared" ca="1" si="154"/>
        <v>Depreciation / Sales</v>
      </c>
    </row>
    <row r="454" spans="2:53" x14ac:dyDescent="0.3">
      <c r="X454" t="str">
        <f>D476</f>
        <v>2012</v>
      </c>
      <c r="Y454" t="str">
        <f>E476</f>
        <v>2013</v>
      </c>
      <c r="Z454" t="str">
        <f>F476</f>
        <v>2014</v>
      </c>
      <c r="AA454" t="str">
        <f>G476</f>
        <v>2015</v>
      </c>
      <c r="AB454" t="str">
        <f>H476</f>
        <v>2016</v>
      </c>
      <c r="AK454">
        <f ca="1">Y455-X455</f>
        <v>-1.6109122100395279E-2</v>
      </c>
      <c r="AL454">
        <f ca="1">Z455-Y455</f>
        <v>2.4212683850298511E-2</v>
      </c>
      <c r="AM454">
        <f ca="1">AA455-Z455</f>
        <v>2.0275443510737734E-3</v>
      </c>
      <c r="AN454">
        <f ca="1">AB455-AA455</f>
        <v>8.3648288583725861E-3</v>
      </c>
    </row>
    <row r="455" spans="2:53" x14ac:dyDescent="0.3">
      <c r="X455">
        <f ca="1">IFERROR((INDIRECT("J" &amp; MATCH("Gross Income",B145:B403,0) +144))/(INDIRECT("J" &amp; MATCH("Sales/Revenue",B145:B403,0) +144)), IFERROR((1 - (INDIRECT("J" &amp; MATCH("Cost of Goods Sold*",B145:B403,0) +144))/(INDIRECT("J" &amp; MATCH("Sales/Revenue",B145:B403,0) +144))),(INDIRECT("J" &amp; MATCH("Operating Income",B145:B403,0) +144))/(INDIRECT("J" &amp; MATCH("Sales/Revenue",B145:B403,0) +144))))</f>
        <v>0.33965040650406503</v>
      </c>
      <c r="Y455">
        <f ca="1">IFERROR((INDIRECT("K" &amp; MATCH("Gross Income",B145:B403,0) +144))/(INDIRECT("K" &amp; MATCH("Sales/Revenue",B145:B403,0) +144)), IFERROR((1 - (INDIRECT("K" &amp; MATCH("Cost of Goods Sold*",B145:B403,0) +144))/(INDIRECT("K" &amp; MATCH("Sales/Revenue",B145:B403,0) +144))),(INDIRECT("K" &amp; MATCH("Operating Income",B145:B403,0) +144))/(INDIRECT("K" &amp; MATCH("Sales/Revenue",B145:B403,0) +144))))</f>
        <v>0.32354128440366975</v>
      </c>
      <c r="Z455">
        <f ca="1">IFERROR((INDIRECT("L" &amp; MATCH("Gross Income",B145:B403,0) +144))/(INDIRECT("L" &amp; MATCH("Sales/Revenue",B145:B403,0) +144)), IFERROR((1 - (INDIRECT("L" &amp; MATCH("Cost of Goods Sold*",B145:B403,0) +144))/(INDIRECT("L" &amp; MATCH("Sales/Revenue",B145:B403,0) +144))),(INDIRECT("L" &amp; MATCH("Operating Income",B145:B403,0) +144))/(INDIRECT("L" &amp; MATCH("Sales/Revenue",B145:B403,0) +144))))</f>
        <v>0.34775396825396826</v>
      </c>
      <c r="AA455">
        <f ca="1">IFERROR((INDIRECT("M" &amp; MATCH("Gross Income",B145:B403,0) +144))/(INDIRECT("M" &amp; MATCH("Sales/Revenue",B145:B403,0) +144)), IFERROR((1 - (INDIRECT("M" &amp; MATCH("Cost of Goods Sold*",B145:B403,0) +144))/(INDIRECT("M" &amp; MATCH("Sales/Revenue",B145:B403,0) +144))),(INDIRECT("M" &amp; MATCH("Operating Income",B145:B403,0) +144))/(INDIRECT("M" &amp; MATCH("Sales/Revenue",B145:B403,0) +144))))</f>
        <v>0.34978151260504203</v>
      </c>
      <c r="AB455">
        <f ca="1">IFERROR((INDIRECT("N" &amp; MATCH("Gross Income",B145:B403,0) +144))/(INDIRECT("N" &amp; MATCH("Sales/Revenue",B145:B403,0) +144)), IFERROR((1 - (INDIRECT("N" &amp; MATCH("Cost of Goods Sold*",B145:B403,0) +144))/(INDIRECT("N" &amp; MATCH("Sales/Revenue",B145:B403,0) +144))),(INDIRECT("N" &amp; MATCH("Operating Income",B145:B403,0) +144))/(INDIRECT("N" &amp; MATCH("Sales/Revenue",B145:B403,0) +144))))</f>
        <v>0.35814634146341462</v>
      </c>
      <c r="AK455" t="str">
        <f>"Max " &amp; AK452</f>
        <v>Max Change in Gross Margin / Sales</v>
      </c>
      <c r="AL455">
        <f ca="1">MAX(AK454:AN454)</f>
        <v>2.4212683850298511E-2</v>
      </c>
      <c r="AZ455" t="str">
        <f>"Item"</f>
        <v>Item</v>
      </c>
      <c r="BA455" t="str">
        <f>"Key Driver"</f>
        <v>Key Driver</v>
      </c>
    </row>
    <row r="456" spans="2:53" x14ac:dyDescent="0.3">
      <c r="X456" t="str">
        <f>"Max " &amp; X453</f>
        <v>Max Gross Margin</v>
      </c>
      <c r="Y456">
        <f ca="1">MAX(X455:AB455)</f>
        <v>0.35814634146341462</v>
      </c>
      <c r="AK456" t="str">
        <f>AK455 &amp; " Year"</f>
        <v>Max Change in Gross Margin / Sales Year</v>
      </c>
      <c r="AL456" t="str">
        <f ca="1">IF(MATCH(AL455,AK454:AN454,0)=1,AK453,IF(MATCH(AL455,AK454:AN454,0)=2,AL453,IF(MATCH(AL455,AK454:AN454,0)=3,AM453,AN453)))</f>
        <v>13-14</v>
      </c>
      <c r="AZ456" t="str">
        <f>C528</f>
        <v>Operating Margin</v>
      </c>
      <c r="BA456" t="str">
        <f ca="1">L528</f>
        <v>Gross Margin</v>
      </c>
    </row>
    <row r="457" spans="2:53" x14ac:dyDescent="0.3">
      <c r="X457" t="str">
        <f>X456 &amp; " Year"</f>
        <v>Max Gross Margin Year</v>
      </c>
      <c r="Y457">
        <f ca="1">VALUE(X454)+MATCH(Y456,X455:AB455,0)-1</f>
        <v>2016</v>
      </c>
      <c r="AK457" t="str">
        <f>"Min " &amp; AK452</f>
        <v>Min Change in Gross Margin / Sales</v>
      </c>
      <c r="AL457">
        <f ca="1">MIN(AK454:AN454)</f>
        <v>-1.6109122100395279E-2</v>
      </c>
      <c r="AZ457" t="str">
        <f>C529</f>
        <v>Invested Capital / Sales</v>
      </c>
      <c r="BA457" t="str">
        <f ca="1">L529</f>
        <v>Intangibles / Sales</v>
      </c>
    </row>
    <row r="458" spans="2:53" x14ac:dyDescent="0.3">
      <c r="X458" t="str">
        <f>"Min " &amp; X453</f>
        <v>Min Gross Margin</v>
      </c>
      <c r="Y458">
        <f ca="1">MIN(X455:AB455)</f>
        <v>0.32354128440366975</v>
      </c>
      <c r="AK458" t="str">
        <f>AK457 &amp; " Year"</f>
        <v>Min Change in Gross Margin / Sales Year</v>
      </c>
      <c r="AL458" t="str">
        <f ca="1">IF(MATCH(AL457,AK454:AN454,0)=1,AK453,IF(MATCH(AL457,AK454:AN454,0)=2,AL453,IF(MATCH(AL457,AK454:AN454,0)=3,AM453,AN453)))</f>
        <v>12-13</v>
      </c>
    </row>
    <row r="459" spans="2:53" x14ac:dyDescent="0.3">
      <c r="X459" t="str">
        <f>X458 &amp; " Year"</f>
        <v>Min Gross Margin Year</v>
      </c>
      <c r="Y459">
        <f ca="1">VALUE(X454)+MATCH(Y458,X455:AB455,0)-1</f>
        <v>2013</v>
      </c>
      <c r="AZ459" t="e">
        <f ca="1">C540</f>
        <v>#NAME?</v>
      </c>
    </row>
    <row r="460" spans="2:53" x14ac:dyDescent="0.3">
      <c r="Q460" t="str">
        <f>"Operating Margin"</f>
        <v>Operating Margin</v>
      </c>
    </row>
    <row r="461" spans="2:53" x14ac:dyDescent="0.3">
      <c r="Q461" t="str">
        <f>D476</f>
        <v>2012</v>
      </c>
      <c r="R461" t="str">
        <f>E476</f>
        <v>2013</v>
      </c>
      <c r="S461" t="str">
        <f>F476</f>
        <v>2014</v>
      </c>
      <c r="T461" t="str">
        <f>G476</f>
        <v>2015</v>
      </c>
      <c r="U461" t="str">
        <f>H476</f>
        <v>2016</v>
      </c>
      <c r="X461" t="str">
        <f>"SGA / Sales"</f>
        <v>SGA / Sales</v>
      </c>
      <c r="AE461" t="str">
        <f>"Change in Operating Margin"</f>
        <v>Change in Operating Margin</v>
      </c>
      <c r="AK461" t="str">
        <f>"Change in SGA / Sales"</f>
        <v>Change in SGA / Sales</v>
      </c>
    </row>
    <row r="462" spans="2:53" x14ac:dyDescent="0.3">
      <c r="Q462">
        <f ca="1">X455-X463-X471</f>
        <v>6.6325203252032519E-2</v>
      </c>
      <c r="R462">
        <f ca="1">Y455-Y463-Y471</f>
        <v>5.6018348623853229E-2</v>
      </c>
      <c r="S462">
        <f ca="1">Z455-Z463-Z471</f>
        <v>9.007142857142858E-2</v>
      </c>
      <c r="T462">
        <f ca="1">AA455-AA463-AA471</f>
        <v>8.614285714285716E-2</v>
      </c>
      <c r="U462">
        <f ca="1">AB455-AB463-AB471</f>
        <v>9.5357723577235765E-2</v>
      </c>
      <c r="X462" t="str">
        <f>D476</f>
        <v>2012</v>
      </c>
      <c r="Y462" t="str">
        <f>E476</f>
        <v>2013</v>
      </c>
      <c r="Z462" t="str">
        <f>F476</f>
        <v>2014</v>
      </c>
      <c r="AA462" t="str">
        <f>G476</f>
        <v>2015</v>
      </c>
      <c r="AB462" t="str">
        <f>H476</f>
        <v>2016</v>
      </c>
      <c r="AE462" t="str">
        <f>K476</f>
        <v>12-13</v>
      </c>
      <c r="AF462" t="str">
        <f>L476</f>
        <v>13-14</v>
      </c>
      <c r="AG462" t="str">
        <f>M476</f>
        <v>14-15</v>
      </c>
      <c r="AH462" t="str">
        <f>N476</f>
        <v>15-16</v>
      </c>
      <c r="AK462" t="str">
        <f>K476</f>
        <v>12-13</v>
      </c>
      <c r="AL462" t="str">
        <f>L476</f>
        <v>13-14</v>
      </c>
      <c r="AM462" t="str">
        <f>M476</f>
        <v>14-15</v>
      </c>
      <c r="AN462" t="str">
        <f>N476</f>
        <v>15-16</v>
      </c>
    </row>
    <row r="463" spans="2:53" x14ac:dyDescent="0.3">
      <c r="Q463" t="str">
        <f>"Max " &amp; Q460</f>
        <v>Max Operating Margin</v>
      </c>
      <c r="R463">
        <f ca="1">MAX(Q462:U462)</f>
        <v>9.5357723577235765E-2</v>
      </c>
      <c r="S463" t="str">
        <f>"GM Effect on Max"</f>
        <v>GM Effect on Max</v>
      </c>
      <c r="T463" t="str">
        <f ca="1">IF(R464=Y457,"Max OM in same year as Max GM","Inconclusive Effect")</f>
        <v>Max OM in same year as Max GM</v>
      </c>
      <c r="U463" t="str">
        <f>"Correlation with GM"</f>
        <v>Correlation with GM</v>
      </c>
      <c r="V463">
        <f ca="1">CORREL(Q462:U462,X455:AB455)</f>
        <v>0.95419452302214847</v>
      </c>
      <c r="X463">
        <f ca="1">(INDIRECT("J" &amp; MATCH("SG&amp;A Expense",B145:B403,0) +144))/(INDIRECT("J" &amp; MATCH("Sales/Revenue",B145:B403,0) +144))</f>
        <v>0.22669105691056909</v>
      </c>
      <c r="Y463">
        <f ca="1">(INDIRECT("K" &amp; MATCH("SG&amp;A Expense",B145:B403,0) +144))/(INDIRECT("K" &amp; MATCH("Sales/Revenue",B145:B403,0) +144))</f>
        <v>0.20784403669724771</v>
      </c>
      <c r="Z463">
        <f ca="1">(INDIRECT("L" &amp; MATCH("SG&amp;A Expense",B145:B403,0) +144))/(INDIRECT("L" &amp; MATCH("Sales/Revenue",B145:B403,0) +144))</f>
        <v>0.19307936507936507</v>
      </c>
      <c r="AA463">
        <f ca="1">(INDIRECT("M" &amp; MATCH("SG&amp;A Expense",B145:B403,0) +144))/(INDIRECT("M" &amp; MATCH("Sales/Revenue",B145:B403,0) +144))</f>
        <v>0.19789075630252101</v>
      </c>
      <c r="AB463">
        <f ca="1">(INDIRECT("N" &amp; MATCH("SG&amp;A Expense",B145:B403,0) +144))/(INDIRECT("N" &amp; MATCH("Sales/Revenue",B145:B403,0) +144))</f>
        <v>0.1976260162601626</v>
      </c>
      <c r="AE463">
        <f ca="1">R462-Q462</f>
        <v>-1.0306854628179291E-2</v>
      </c>
      <c r="AF463">
        <f ca="1">S462-R462</f>
        <v>3.4053079947575352E-2</v>
      </c>
      <c r="AG463">
        <f ca="1">T462-S462</f>
        <v>-3.9285714285714202E-3</v>
      </c>
      <c r="AH463">
        <f ca="1">U462-T462</f>
        <v>9.2148664343786046E-3</v>
      </c>
      <c r="AK463">
        <f ca="1">Y463-X463</f>
        <v>-1.884702021332138E-2</v>
      </c>
      <c r="AL463">
        <f ca="1">Z463-Y463</f>
        <v>-1.4764671617882641E-2</v>
      </c>
      <c r="AM463">
        <f ca="1">AA463-Z463</f>
        <v>4.8113912231559364E-3</v>
      </c>
      <c r="AN463">
        <f ca="1">AB463-AA463</f>
        <v>-2.6474004235840787E-4</v>
      </c>
    </row>
    <row r="464" spans="2:53" x14ac:dyDescent="0.3">
      <c r="Q464" t="str">
        <f>Q463 &amp; " Year"</f>
        <v>Max Operating Margin Year</v>
      </c>
      <c r="R464">
        <f ca="1">VALUE(Q461)+MATCH(R463,Q462:U462,0)-1</f>
        <v>2016</v>
      </c>
      <c r="S464" t="str">
        <f>"SGA Effect on Max"</f>
        <v>SGA Effect on Max</v>
      </c>
      <c r="T464" t="str">
        <f ca="1">IF(R464=Y467,"Max OM in same year as Min SGA","Inconclusive Effect")</f>
        <v>Inconclusive Effect</v>
      </c>
      <c r="U464" t="str">
        <f>"Correlation with SGA"</f>
        <v>Correlation with SGA</v>
      </c>
      <c r="V464">
        <f ca="1">CORREL(Q462:U462,X463:AB463)</f>
        <v>-0.71171316680773289</v>
      </c>
      <c r="X464" t="str">
        <f>"Max " &amp; X461</f>
        <v>Max SGA / Sales</v>
      </c>
      <c r="Y464">
        <f ca="1">MAX(X463:AB463)</f>
        <v>0.22669105691056909</v>
      </c>
      <c r="AE464" t="str">
        <f>"Max " &amp; AE461</f>
        <v>Max Change in Operating Margin</v>
      </c>
      <c r="AF464">
        <f ca="1">MAX(AE463:AH463)</f>
        <v>3.4053079947575352E-2</v>
      </c>
      <c r="AK464" t="str">
        <f>"Max " &amp; AK461</f>
        <v>Max Change in SGA / Sales</v>
      </c>
      <c r="AL464">
        <f ca="1">MAX(AK463:AN463)</f>
        <v>4.8113912231559364E-3</v>
      </c>
    </row>
    <row r="465" spans="4:40" x14ac:dyDescent="0.3">
      <c r="J465" t="str">
        <f>"EOY Pretax ROIC"</f>
        <v>EOY Pretax ROIC</v>
      </c>
      <c r="Q465" t="str">
        <f>"Min " &amp; Q460</f>
        <v>Min Operating Margin</v>
      </c>
      <c r="R465">
        <f ca="1">MIN(Q462:U462)</f>
        <v>5.6018348623853229E-2</v>
      </c>
      <c r="S465" t="str">
        <f>"Dep Effect on Max"</f>
        <v>Dep Effect on Max</v>
      </c>
      <c r="T465" t="str">
        <f ca="1">IF(R464=Y475,"Max OM in same year as Min Depr","Inconclusive Effect")</f>
        <v>Inconclusive Effect</v>
      </c>
      <c r="U465" t="str">
        <f>"Correlation with Dep"</f>
        <v>Correlation with Dep</v>
      </c>
      <c r="V465">
        <f ca="1">CORREL(Q462:U462,X471:AB471)</f>
        <v>0.65383830167632173</v>
      </c>
      <c r="X465" t="str">
        <f>X464 &amp; " Year"</f>
        <v>Max SGA / Sales Year</v>
      </c>
      <c r="Y465">
        <f ca="1">VALUE(X462)+MATCH(Y464,X463:AB463,0)-1</f>
        <v>2012</v>
      </c>
      <c r="AE465" t="str">
        <f>AE464 &amp; " Year"</f>
        <v>Max Change in Operating Margin Year</v>
      </c>
      <c r="AF465" t="str">
        <f ca="1">IF(MATCH(AF464,AE463:AH463,0)=1,AE462,IF(MATCH(AF464,AE463:AH463,0)=2,AF462,IF(MATCH(AF464,AE463:AH463,0)=3,AG462,AH462)))</f>
        <v>13-14</v>
      </c>
      <c r="AK465" t="str">
        <f>AK464 &amp; " Year"</f>
        <v>Max Change in SGA / Sales Year</v>
      </c>
      <c r="AL465" t="str">
        <f ca="1">IF(MATCH(AL464,AK463:AN463,0)=1,AK462,IF(MATCH(AL464,AK463:AN463,0)=2,AL462,IF(MATCH(AL464,AK463:AN463,0)=3,AM462,AN462)))</f>
        <v>14-15</v>
      </c>
    </row>
    <row r="466" spans="4:40" x14ac:dyDescent="0.3">
      <c r="J466" t="str">
        <f>D476</f>
        <v>2012</v>
      </c>
      <c r="K466" t="str">
        <f>E476</f>
        <v>2013</v>
      </c>
      <c r="L466" t="str">
        <f>F476</f>
        <v>2014</v>
      </c>
      <c r="M466" t="str">
        <f>G476</f>
        <v>2015</v>
      </c>
      <c r="N466" t="str">
        <f>H476</f>
        <v>2016</v>
      </c>
      <c r="Q466" t="str">
        <f>Q465 &amp; " Year"</f>
        <v>Min Operating Margin Year</v>
      </c>
      <c r="R466">
        <f ca="1">VALUE(Q461)+MATCH(R465,Q462:U462,0)-1</f>
        <v>2013</v>
      </c>
      <c r="S466" t="str">
        <f>"GM Effect on Min"</f>
        <v>GM Effect on Min</v>
      </c>
      <c r="T466" t="str">
        <f ca="1">IF(R466=Y459,"Min OM in same year as Min GM","Inconclusive Effect")</f>
        <v>Min OM in same year as Min GM</v>
      </c>
      <c r="X466" t="str">
        <f>"Min " &amp; X461</f>
        <v>Min SGA / Sales</v>
      </c>
      <c r="Y466">
        <f ca="1">MIN(X463:AB463)</f>
        <v>0.19307936507936507</v>
      </c>
      <c r="AE466" t="str">
        <f>"Min " &amp; AE461</f>
        <v>Min Change in Operating Margin</v>
      </c>
      <c r="AF466">
        <f ca="1">MIN(AE463:AH463)</f>
        <v>-1.0306854628179291E-2</v>
      </c>
      <c r="AK466" t="str">
        <f>"Min " &amp; AK461</f>
        <v>Min Change in SGA / Sales</v>
      </c>
      <c r="AL466">
        <f ca="1">MIN(AK463:AN463)</f>
        <v>-1.884702021332138E-2</v>
      </c>
    </row>
    <row r="467" spans="4:40" x14ac:dyDescent="0.3">
      <c r="J467">
        <f ca="1">Q462*(1/Q490)</f>
        <v>5.0494546985058363E-2</v>
      </c>
      <c r="K467">
        <f ca="1">R462*(1/R490)</f>
        <v>3.470422407129542E-2</v>
      </c>
      <c r="L467">
        <f ca="1">S462*(1/S490)</f>
        <v>6.4019179241291788E-2</v>
      </c>
      <c r="M467">
        <f ca="1">T462*(1/T490)</f>
        <v>5.7335421444152372E-2</v>
      </c>
      <c r="N467">
        <f ca="1">U462*(1/U490)</f>
        <v>6.5121314752095941E-2</v>
      </c>
      <c r="S467" t="str">
        <f>"SGA Effect on Min"</f>
        <v>SGA Effect on Min</v>
      </c>
      <c r="T467" t="str">
        <f ca="1">IF(R466=Y465,"Min OM in same year as Max SGA","Inconclusive Effect")</f>
        <v>Inconclusive Effect</v>
      </c>
      <c r="X467" t="str">
        <f>X466 &amp; " Year"</f>
        <v>Min SGA / Sales Year</v>
      </c>
      <c r="Y467">
        <f ca="1">VALUE(X462)+MATCH(Y466,X463:AB463,0)-1</f>
        <v>2014</v>
      </c>
      <c r="AE467" t="str">
        <f>AE466 &amp; " Year"</f>
        <v>Min Change in Operating Margin Year</v>
      </c>
      <c r="AF467" t="str">
        <f ca="1">IF(MATCH(AF466,AE463:AH463,0)=1,AE462,IF(MATCH(AF466,AE463:AH463,0)=2,AF462,IF(MATCH(AF466,AE463:AH463,0)=3,AG462,AH462)))</f>
        <v>12-13</v>
      </c>
      <c r="AK467" t="str">
        <f>AK466 &amp; " Year"</f>
        <v>Min Change in SGA / Sales Year</v>
      </c>
      <c r="AL467" t="str">
        <f ca="1">IF(MATCH(AL466,AK463:AN463,0)=1,AK462,IF(MATCH(AL466,AK463:AN463,0)=2,AL462,IF(MATCH(AL466,AK463:AN463,0)=3,AM462,AN462)))</f>
        <v>12-13</v>
      </c>
    </row>
    <row r="468" spans="4:40" x14ac:dyDescent="0.3">
      <c r="J468" t="str">
        <f>"Max " &amp; J465</f>
        <v>Max EOY Pretax ROIC</v>
      </c>
      <c r="K468">
        <f ca="1">MAX(J467:N467)</f>
        <v>6.5121314752095941E-2</v>
      </c>
      <c r="L468" t="str">
        <f>"OM Effect on Max"</f>
        <v>OM Effect on Max</v>
      </c>
      <c r="M468" t="str">
        <f ca="1">IF(K469=R464,"Max ROIC in same year as Max OM","Inconclusive Effect")</f>
        <v>Max ROIC in same year as Max OM</v>
      </c>
      <c r="N468" t="str">
        <f>"Correlation with OM"</f>
        <v>Correlation with OM</v>
      </c>
      <c r="O468">
        <f ca="1">CORREL(J467:N467,Q462:U462)</f>
        <v>0.96233721137557948</v>
      </c>
      <c r="S468" t="str">
        <f>"Dep Effect on Min"</f>
        <v>Dep Effect on Min</v>
      </c>
      <c r="T468" t="str">
        <f ca="1">IF(R466=Y473,"Min OM in same year as Max Dep","Inconclusive Effect")</f>
        <v>Inconclusive Effect</v>
      </c>
    </row>
    <row r="469" spans="4:40" x14ac:dyDescent="0.3">
      <c r="J469" t="str">
        <f>J468 &amp; " Year"</f>
        <v>Max EOY Pretax ROIC Year</v>
      </c>
      <c r="K469">
        <f ca="1">VALUE(J466)+MATCH(K468,J467:N467,0)-1</f>
        <v>2016</v>
      </c>
      <c r="L469" t="str">
        <f>"IC Effect on Max"</f>
        <v>IC Effect on Max</v>
      </c>
      <c r="M469" t="str">
        <f ca="1">IF(K469=R494,"Max ROIC in same year as Min IC","Inconclusive Effect")</f>
        <v>Inconclusive Effect</v>
      </c>
      <c r="N469" t="str">
        <f>"Correlation with IC"</f>
        <v>Correlation with IC</v>
      </c>
      <c r="O469">
        <f ca="1">CORREL(J467:N467,Q490:U490)</f>
        <v>-0.50459173327988815</v>
      </c>
      <c r="X469" t="str">
        <f>"Depreciation / Sales"</f>
        <v>Depreciation / Sales</v>
      </c>
    </row>
    <row r="470" spans="4:40" x14ac:dyDescent="0.3">
      <c r="J470" t="str">
        <f>"Min " &amp; J465</f>
        <v>Min EOY Pretax ROIC</v>
      </c>
      <c r="K470">
        <f ca="1">MIN(J467:N467)</f>
        <v>3.470422407129542E-2</v>
      </c>
      <c r="L470" t="str">
        <f>"OM Effect on Min"</f>
        <v>OM Effect on Min</v>
      </c>
      <c r="M470" t="str">
        <f ca="1">IF(K471=R466,"Min ROIC in same year as Min OM","Inconclusive Effect")</f>
        <v>Min ROIC in same year as Min OM</v>
      </c>
      <c r="Q470" t="str">
        <f>"Change in EOY Pretax ROIC"</f>
        <v>Change in EOY Pretax ROIC</v>
      </c>
      <c r="X470" t="str">
        <f>D476</f>
        <v>2012</v>
      </c>
      <c r="Y470" t="str">
        <f>E476</f>
        <v>2013</v>
      </c>
      <c r="Z470" t="str">
        <f>F476</f>
        <v>2014</v>
      </c>
      <c r="AA470" t="str">
        <f>G476</f>
        <v>2015</v>
      </c>
      <c r="AB470" t="str">
        <f>H476</f>
        <v>2016</v>
      </c>
    </row>
    <row r="471" spans="4:40" x14ac:dyDescent="0.3">
      <c r="J471" t="str">
        <f>J470 &amp; " Year"</f>
        <v>Min EOY Pretax ROIC Year</v>
      </c>
      <c r="K471">
        <f ca="1">VALUE(J466)+MATCH(K470,J467:N467,0)-1</f>
        <v>2013</v>
      </c>
      <c r="L471" t="str">
        <f>"IC Effect on Min"</f>
        <v>IC Effect on Min</v>
      </c>
      <c r="M471" t="str">
        <f ca="1">IF(K471=R492,"Min ROIC in same year as Max IC","Inconclusive Effect")</f>
        <v>Min ROIC in same year as Max IC</v>
      </c>
      <c r="Q471" t="str">
        <f>K476</f>
        <v>12-13</v>
      </c>
      <c r="R471" t="str">
        <f>L476</f>
        <v>13-14</v>
      </c>
      <c r="S471" t="str">
        <f>M476</f>
        <v>14-15</v>
      </c>
      <c r="T471" t="str">
        <f>N476</f>
        <v>15-16</v>
      </c>
      <c r="X471">
        <f ca="1">(INDIRECT("J" &amp; MATCH("Depreciation &amp; Amortization Expense",B145:B403,0) +144))/(INDIRECT("J" &amp; MATCH("Sales/Revenue",B145:B403,0) +144))</f>
        <v>4.6634146341463414E-2</v>
      </c>
      <c r="Y471">
        <f ca="1">(INDIRECT("K" &amp; MATCH("Depreciation &amp; Amortization Expense",B145:B403,0) +144))/(INDIRECT("K" &amp; MATCH("Sales/Revenue",B145:B403,0) +144))</f>
        <v>5.9678899082568806E-2</v>
      </c>
      <c r="Z471">
        <f ca="1">(INDIRECT("L" &amp; MATCH("Depreciation &amp; Amortization Expense",B145:B403,0) +144))/(INDIRECT("L" &amp; MATCH("Sales/Revenue",B145:B403,0) +144))</f>
        <v>6.4603174603174607E-2</v>
      </c>
      <c r="AA471">
        <f ca="1">(INDIRECT("M" &amp; MATCH("Depreciation &amp; Amortization Expense",B145:B403,0) +144))/(INDIRECT("M" &amp; MATCH("Sales/Revenue",B145:B403,0) +144))</f>
        <v>6.5747899159663864E-2</v>
      </c>
      <c r="AB471">
        <f ca="1">(INDIRECT("N" &amp; MATCH("Depreciation &amp; Amortization Expense",B145:B403,0) +144))/(INDIRECT("N" &amp; MATCH("Sales/Revenue",B145:B403,0) +144))</f>
        <v>6.5162601626016253E-2</v>
      </c>
    </row>
    <row r="472" spans="4:40" x14ac:dyDescent="0.3">
      <c r="Q472">
        <f ca="1">K467-J467</f>
        <v>-1.5790322913762943E-2</v>
      </c>
      <c r="R472">
        <f ca="1">L467-K467</f>
        <v>2.9314955169996368E-2</v>
      </c>
      <c r="S472">
        <f ca="1">M467-L467</f>
        <v>-6.6837577971394155E-3</v>
      </c>
      <c r="T472">
        <f ca="1">N467-M467</f>
        <v>7.7858933079435685E-3</v>
      </c>
      <c r="X472" t="str">
        <f>"Max " &amp; X469</f>
        <v>Max Depreciation / Sales</v>
      </c>
      <c r="Y472">
        <f ca="1">MAX(X471:AB471)</f>
        <v>6.5747899159663864E-2</v>
      </c>
      <c r="AK472" t="str">
        <f>"Change in Depreciation / Sales"</f>
        <v>Change in Depreciation / Sales</v>
      </c>
    </row>
    <row r="473" spans="4:40" x14ac:dyDescent="0.3">
      <c r="Q473" t="str">
        <f>"Max " &amp; Q470</f>
        <v>Max Change in EOY Pretax ROIC</v>
      </c>
      <c r="R473">
        <f ca="1">MAX(Q472:T472)</f>
        <v>2.9314955169996368E-2</v>
      </c>
      <c r="X473" t="str">
        <f>X472 &amp; " Year"</f>
        <v>Max Depreciation / Sales Year</v>
      </c>
      <c r="Y473">
        <f ca="1">VALUE(X470)+MATCH(Y472,X471:AB471,0)-1</f>
        <v>2015</v>
      </c>
      <c r="AK473" t="str">
        <f>K476</f>
        <v>12-13</v>
      </c>
      <c r="AL473" t="str">
        <f>L476</f>
        <v>13-14</v>
      </c>
      <c r="AM473" t="str">
        <f>M476</f>
        <v>14-15</v>
      </c>
      <c r="AN473" t="str">
        <f>N476</f>
        <v>15-16</v>
      </c>
    </row>
    <row r="474" spans="4:40" x14ac:dyDescent="0.3">
      <c r="Q474" t="str">
        <f>Q473 &amp; " Year"</f>
        <v>Max Change in EOY Pretax ROIC Year</v>
      </c>
      <c r="R474" t="str">
        <f ca="1">IF(MATCH(R473,Q472:T472,0)=1,Q471,IF(MATCH(R473,Q472:T472,0)=2,R471,IF(MATCH(R473,Q472:T472,0)=3,S471,T471)))</f>
        <v>13-14</v>
      </c>
      <c r="X474" t="str">
        <f>"Min " &amp; X469</f>
        <v>Min Depreciation / Sales</v>
      </c>
      <c r="Y474">
        <f ca="1">MIN(X471:AB471)</f>
        <v>4.6634146341463414E-2</v>
      </c>
      <c r="AK474">
        <f ca="1">Y471-X471</f>
        <v>1.3044752741105392E-2</v>
      </c>
      <c r="AL474">
        <f ca="1">Z471-Y471</f>
        <v>4.9242755206058003E-3</v>
      </c>
      <c r="AM474">
        <f ca="1">AA471-Z471</f>
        <v>1.1447245564892572E-3</v>
      </c>
      <c r="AN474">
        <f ca="1">AB471-AA471</f>
        <v>-5.8529753364761072E-4</v>
      </c>
    </row>
    <row r="475" spans="4:40" x14ac:dyDescent="0.3">
      <c r="D475" t="str">
        <f>"EOY ROIC"</f>
        <v>EOY ROIC</v>
      </c>
      <c r="K475" t="str">
        <f>"Change in EOY ROIC"</f>
        <v>Change in EOY ROIC</v>
      </c>
      <c r="Q475" t="str">
        <f>"Min " &amp; Q470</f>
        <v>Min Change in EOY Pretax ROIC</v>
      </c>
      <c r="R475">
        <f ca="1">MIN(Q472:T472)</f>
        <v>-1.5790322913762943E-2</v>
      </c>
      <c r="X475" t="str">
        <f>X474 &amp; " Year"</f>
        <v>Min Depreciation / Sales Year</v>
      </c>
      <c r="Y475">
        <f ca="1">VALUE(X470)+MATCH(Y474,X471:AB471,0)-1</f>
        <v>2012</v>
      </c>
      <c r="AK475" t="str">
        <f>"Max " &amp; AK472</f>
        <v>Max Change in Depreciation / Sales</v>
      </c>
      <c r="AL475">
        <f ca="1">MAX(AK474:AN474)</f>
        <v>1.3044752741105392E-2</v>
      </c>
    </row>
    <row r="476" spans="4:40" x14ac:dyDescent="0.3">
      <c r="D476" t="str">
        <f>C144</f>
        <v>2012</v>
      </c>
      <c r="E476" t="str">
        <f>D144</f>
        <v>2013</v>
      </c>
      <c r="F476" t="str">
        <f>E144</f>
        <v>2014</v>
      </c>
      <c r="G476" t="str">
        <f>F144</f>
        <v>2015</v>
      </c>
      <c r="H476" t="str">
        <f>G144</f>
        <v>2016</v>
      </c>
      <c r="K476" t="str">
        <f>RIGHT(D476,2) &amp; "-" &amp; RIGHT(E476,2)</f>
        <v>12-13</v>
      </c>
      <c r="L476" t="str">
        <f>RIGHT(E476,2) &amp; "-" &amp; RIGHT(F476,2)</f>
        <v>13-14</v>
      </c>
      <c r="M476" t="str">
        <f>RIGHT(F476,2) &amp; "-" &amp; RIGHT(G476,2)</f>
        <v>14-15</v>
      </c>
      <c r="N476" t="str">
        <f>RIGHT(G476,2) &amp; "-" &amp; RIGHT(H476,2)</f>
        <v>15-16</v>
      </c>
      <c r="Q476" t="str">
        <f>Q475 &amp; " Year"</f>
        <v>Min Change in EOY Pretax ROIC Year</v>
      </c>
      <c r="R476" t="str">
        <f ca="1">IF(MATCH(R475,Q472:T472,0)=1,Q471,IF(MATCH(R475,Q472:T472,0)=2,R471,IF(MATCH(R475,Q472:T472,0)=3,S471,T471)))</f>
        <v>12-13</v>
      </c>
      <c r="AK476" t="str">
        <f>AK475 &amp; " Year"</f>
        <v>Max Change in Depreciation / Sales Year</v>
      </c>
      <c r="AL476" t="str">
        <f ca="1">IF(MATCH(AL475,AK474:AN474,0)=1,AK473,IF(MATCH(AL475,AK474:AN474,0)=2,AL473,IF(MATCH(AL475,AK474:AN474,0)=3,AM473,AN473)))</f>
        <v>12-13</v>
      </c>
    </row>
    <row r="477" spans="4:40" x14ac:dyDescent="0.3">
      <c r="D477">
        <f ca="1">J467*(1-J487)</f>
        <v>4.0802416511559698E-2</v>
      </c>
      <c r="E477">
        <f ca="1">K467*(1-K487)</f>
        <v>2.3331872128252159E-2</v>
      </c>
      <c r="F477">
        <f ca="1">L467*(1-L487)</f>
        <v>4.6347578773245114E-2</v>
      </c>
      <c r="G477">
        <f ca="1">M467*(1-M487)</f>
        <v>4.4060610667244156E-2</v>
      </c>
      <c r="H477">
        <f ca="1">N467*(1-N487)</f>
        <v>4.8354234368547855E-2</v>
      </c>
      <c r="K477">
        <f ca="1">E477-D477</f>
        <v>-1.747054438330754E-2</v>
      </c>
      <c r="L477">
        <f ca="1">F477-E477</f>
        <v>2.3015706644992955E-2</v>
      </c>
      <c r="M477">
        <f ca="1">G477-F477</f>
        <v>-2.2869681060009583E-3</v>
      </c>
      <c r="N477">
        <f ca="1">H477-G477</f>
        <v>4.293623701303699E-3</v>
      </c>
      <c r="AK477" t="str">
        <f>"Min " &amp; AK472</f>
        <v>Min Change in Depreciation / Sales</v>
      </c>
      <c r="AL477">
        <f ca="1">MIN(AK474:AN474)</f>
        <v>-5.8529753364761072E-4</v>
      </c>
    </row>
    <row r="478" spans="4:40" x14ac:dyDescent="0.3">
      <c r="D478" t="str">
        <f>"Max " &amp; D475</f>
        <v>Max EOY ROIC</v>
      </c>
      <c r="E478">
        <f ca="1">MAX(D477:H477)</f>
        <v>4.8354234368547855E-2</v>
      </c>
      <c r="F478" t="str">
        <f>"Cash Tax  Effect on Max"</f>
        <v>Cash Tax  Effect on Max</v>
      </c>
      <c r="G478" t="str">
        <f ca="1">IF(E479=K491,"Max ROIC in same year as Min Cash Tax","Inconclusive Effect")</f>
        <v>Inconclusive Effect</v>
      </c>
      <c r="K478" t="str">
        <f>"Max " &amp; K475</f>
        <v>Max Change in EOY ROIC</v>
      </c>
      <c r="L478">
        <f ca="1">MAX(K477:N477)</f>
        <v>2.3015706644992955E-2</v>
      </c>
      <c r="AK478" t="str">
        <f>AK477 &amp; " Year"</f>
        <v>Min Change in Depreciation / Sales Year</v>
      </c>
      <c r="AL478" t="str">
        <f ca="1">IF(MATCH(AL477,AK474:AN474,0)=1,AK473,IF(MATCH(AL477,AK474:AN474,0)=2,AL473,IF(MATCH(AL477,AK474:AN474,0)=3,AM473,AN473)))</f>
        <v>15-16</v>
      </c>
    </row>
    <row r="479" spans="4:40" x14ac:dyDescent="0.3">
      <c r="D479" t="str">
        <f>D478 &amp; " Year"</f>
        <v>Max EOY ROIC Year</v>
      </c>
      <c r="E479">
        <f ca="1">VALUE(D476)+MATCH(E478,D477:H477,0)-1</f>
        <v>2016</v>
      </c>
      <c r="K479" t="str">
        <f>K478 &amp; " Year"</f>
        <v>Max Change in EOY ROIC Year</v>
      </c>
      <c r="L479" t="str">
        <f ca="1">IF(MATCH(L478,K477:N477,0)=1,K476,IF(MATCH(L478,K477:N477,0)=2,L476,IF(MATCH(L478,K477:N477,0)=3,M476,N476)))</f>
        <v>13-14</v>
      </c>
      <c r="Q479" t="str">
        <f>"Change in Cash Tax Rate"</f>
        <v>Change in Cash Tax Rate</v>
      </c>
    </row>
    <row r="480" spans="4:40" x14ac:dyDescent="0.3">
      <c r="D480" t="str">
        <f>"Min " &amp; D475</f>
        <v>Min EOY ROIC</v>
      </c>
      <c r="E480">
        <f ca="1">MIN(D477:H477)</f>
        <v>2.3331872128252159E-2</v>
      </c>
      <c r="F480" t="str">
        <f>"Cash Tax  Effect on Min"</f>
        <v>Cash Tax  Effect on Min</v>
      </c>
      <c r="G480" t="str">
        <f ca="1">IF(E481=K489,"Min ROIC in same year as Max Cash Tax","Inconclusive Effect")</f>
        <v>Min ROIC in same year as Max Cash Tax</v>
      </c>
      <c r="K480" t="str">
        <f>"Min " &amp; K475</f>
        <v>Min Change in EOY ROIC</v>
      </c>
      <c r="L480">
        <f ca="1">MIN(K477:N477)</f>
        <v>-1.747054438330754E-2</v>
      </c>
      <c r="Q480" t="str">
        <f>K476</f>
        <v>12-13</v>
      </c>
      <c r="R480" t="str">
        <f>L476</f>
        <v>13-14</v>
      </c>
      <c r="S480" t="str">
        <f>M476</f>
        <v>14-15</v>
      </c>
      <c r="T480" t="str">
        <f>N476</f>
        <v>15-16</v>
      </c>
    </row>
    <row r="481" spans="4:40" x14ac:dyDescent="0.3">
      <c r="D481" t="str">
        <f>D480 &amp; " Year"</f>
        <v>Min EOY ROIC Year</v>
      </c>
      <c r="E481">
        <f ca="1">VALUE(D476)+MATCH(E480,D477:H477,0)-1</f>
        <v>2013</v>
      </c>
      <c r="K481" t="str">
        <f>K480 &amp; " Year"</f>
        <v>Min Change in EOY ROIC Year</v>
      </c>
      <c r="L481" t="str">
        <f ca="1">IF(MATCH(L480,K477:N477,0)=1,K476,IF(MATCH(L480,K477:N477,0)=2,L476,IF(MATCH(L480,K477:N477,0)=3,M476,N476)))</f>
        <v>12-13</v>
      </c>
      <c r="Q481">
        <f ca="1">K487-J487</f>
        <v>0.13574949293668626</v>
      </c>
      <c r="R481">
        <f ca="1">L487-K487</f>
        <v>-5.1657558832421679E-2</v>
      </c>
      <c r="S481">
        <f ca="1">M487-L487</f>
        <v>-4.4507071173737839E-2</v>
      </c>
      <c r="T481">
        <f ca="1">N487-M487</f>
        <v>2.5945572428250491E-2</v>
      </c>
      <c r="X481" t="str">
        <f>"Op WC / Sales"</f>
        <v>Op WC / Sales</v>
      </c>
    </row>
    <row r="482" spans="4:40" x14ac:dyDescent="0.3">
      <c r="D482" t="str">
        <f>"Correlation with OM"</f>
        <v>Correlation with OM</v>
      </c>
      <c r="E482">
        <f ca="1">CORREL(D477:H477,Q462:U462)</f>
        <v>0.90282404134847749</v>
      </c>
      <c r="Q482" t="str">
        <f>"Max " &amp; Q479</f>
        <v>Max Change in Cash Tax Rate</v>
      </c>
      <c r="R482">
        <f ca="1">MAX(Q481:T481)</f>
        <v>0.13574949293668626</v>
      </c>
      <c r="X482" t="str">
        <f>D476</f>
        <v>2012</v>
      </c>
      <c r="Y482" t="str">
        <f>E476</f>
        <v>2013</v>
      </c>
      <c r="Z482" t="str">
        <f>F476</f>
        <v>2014</v>
      </c>
      <c r="AA482" t="str">
        <f>G476</f>
        <v>2015</v>
      </c>
      <c r="AB482" t="str">
        <f>H476</f>
        <v>2016</v>
      </c>
      <c r="AK482" t="str">
        <f>"Change in Op WC / Sales"</f>
        <v>Change in Op WC / Sales</v>
      </c>
    </row>
    <row r="483" spans="4:40" x14ac:dyDescent="0.3">
      <c r="D483" t="str">
        <f>"Correlation with IC"</f>
        <v>Correlation with IC</v>
      </c>
      <c r="E483">
        <f ca="1">CORREL(D477:H477,Q490:U490)</f>
        <v>-0.62802424234315324</v>
      </c>
      <c r="Q483" t="str">
        <f>Q482 &amp; " Year"</f>
        <v>Max Change in Cash Tax Rate Year</v>
      </c>
      <c r="R483" t="str">
        <f ca="1">IF(MATCH(R482,Q481:T481,0)=1,Q480,IF(MATCH(R482,Q481:T481,0)=2,R480,IF(MATCH(R482,Q481:T481,0)=3,S480,T480)))</f>
        <v>12-13</v>
      </c>
      <c r="X483">
        <f ca="1">(INDIRECT("J" &amp; MATCH("Total Current Assets",B145:B403,0) +144) - INDIRECT("J" &amp; MATCH("Total Current Liabilities",B145:B403,0) +144))/(INDIRECT("J" &amp; MATCH("Sales/Revenue",B145:B403,0) +144))</f>
        <v>0.34035772357723576</v>
      </c>
      <c r="Y483">
        <f ca="1">(INDIRECT("K" &amp; MATCH("Total Current Assets",B145:B403,0) +144) - INDIRECT("K" &amp; MATCH("Total Current Liabilities",B145:B403,0) +144))/(INDIRECT("K" &amp; MATCH("Sales/Revenue",B145:B403,0) +144))</f>
        <v>0.2540183486238532</v>
      </c>
      <c r="Z483">
        <f ca="1">(INDIRECT("L" &amp; MATCH("Total Current Assets",B145:B403,0) +144) - INDIRECT("L" &amp; MATCH("Total Current Liabilities",B145:B403,0) +144))/(INDIRECT("L" &amp; MATCH("Sales/Revenue",B145:B403,0) +144))</f>
        <v>0.2565952380952381</v>
      </c>
      <c r="AA483">
        <f ca="1">(INDIRECT("M" &amp; MATCH("Total Current Assets",B145:B403,0) +144) - INDIRECT("M" &amp; MATCH("Total Current Liabilities",B145:B403,0) +144))/(INDIRECT("M" &amp; MATCH("Sales/Revenue",B145:B403,0) +144))</f>
        <v>0.30171428571428571</v>
      </c>
      <c r="AB483">
        <f ca="1">(INDIRECT("N" &amp; MATCH("Total Current Assets",B145:B403,0) +144) - INDIRECT("N" &amp; MATCH("Total Current Liabilities",B145:B403,0) +144))/(INDIRECT("N" &amp; MATCH("Sales/Revenue",B145:B403,0) +144))</f>
        <v>0.24927642276422765</v>
      </c>
      <c r="AK483" t="str">
        <f>K476</f>
        <v>12-13</v>
      </c>
      <c r="AL483" t="str">
        <f>L476</f>
        <v>13-14</v>
      </c>
      <c r="AM483" t="str">
        <f>M476</f>
        <v>14-15</v>
      </c>
      <c r="AN483" t="str">
        <f>N476</f>
        <v>15-16</v>
      </c>
    </row>
    <row r="484" spans="4:40" x14ac:dyDescent="0.3">
      <c r="D484" t="str">
        <f>"Correlation with GM"</f>
        <v>Correlation with GM</v>
      </c>
      <c r="E484">
        <f ca="1">CORREL(D477:H477,X455:AB455)</f>
        <v>0.95826315581568988</v>
      </c>
      <c r="Q484" t="str">
        <f>"Min " &amp; Q479</f>
        <v>Min Change in Cash Tax Rate</v>
      </c>
      <c r="R484">
        <f ca="1">MIN(Q481:T481)</f>
        <v>-5.1657558832421679E-2</v>
      </c>
      <c r="X484" t="str">
        <f>"Max " &amp; X481</f>
        <v>Max Op WC / Sales</v>
      </c>
      <c r="Y484">
        <f ca="1">MAX(X483:AB483)</f>
        <v>0.34035772357723576</v>
      </c>
      <c r="AK484">
        <f ca="1">Y483-X483</f>
        <v>-8.6339374953382564E-2</v>
      </c>
      <c r="AL484">
        <f ca="1">Z483-Y483</f>
        <v>2.5768894713849022E-3</v>
      </c>
      <c r="AM484">
        <f ca="1">AA483-Z483</f>
        <v>4.5119047619047614E-2</v>
      </c>
      <c r="AN484">
        <f ca="1">AB483-AA483</f>
        <v>-5.2437862950058062E-2</v>
      </c>
    </row>
    <row r="485" spans="4:40" x14ac:dyDescent="0.3">
      <c r="D485" t="str">
        <f>"Correlation with SGA"</f>
        <v>Correlation with SGA</v>
      </c>
      <c r="E485">
        <f ca="1">CORREL(D477:H477,X463:AB463)</f>
        <v>-0.36071760184590862</v>
      </c>
      <c r="J485" t="str">
        <f>"Cash Tax Rate"</f>
        <v>Cash Tax Rate</v>
      </c>
      <c r="Q485" t="str">
        <f>Q484 &amp; " Year"</f>
        <v>Min Change in Cash Tax Rate Year</v>
      </c>
      <c r="R485" t="str">
        <f ca="1">IF(MATCH(R484,Q481:T481,0)=1,Q480,IF(MATCH(R484,Q481:T481,0)=2,R480,IF(MATCH(R484,Q481:T481,0)=3,S480,T480)))</f>
        <v>13-14</v>
      </c>
      <c r="X485" t="str">
        <f>X484 &amp; " Year"</f>
        <v>Max Op WC / Sales Year</v>
      </c>
      <c r="Y485">
        <f ca="1">VALUE(X482)+MATCH(Y484,X483:AB483,0)-1</f>
        <v>2012</v>
      </c>
      <c r="AK485" t="str">
        <f>"Max " &amp; AK482</f>
        <v>Max Change in Op WC / Sales</v>
      </c>
      <c r="AL485">
        <f ca="1">MAX(AK484:AN484)</f>
        <v>4.5119047619047614E-2</v>
      </c>
    </row>
    <row r="486" spans="4:40" x14ac:dyDescent="0.3">
      <c r="D486" t="str">
        <f>"Correlation with Dep"</f>
        <v>Correlation with Dep</v>
      </c>
      <c r="E486">
        <f ca="1">CORREL(D477:H477,X471:AB471)</f>
        <v>0.27617041063113118</v>
      </c>
      <c r="J486" t="str">
        <f>D476</f>
        <v>2012</v>
      </c>
      <c r="K486" t="str">
        <f>E476</f>
        <v>2013</v>
      </c>
      <c r="L486" t="str">
        <f>F476</f>
        <v>2014</v>
      </c>
      <c r="M486" t="str">
        <f>G476</f>
        <v>2015</v>
      </c>
      <c r="N486" t="str">
        <f>H476</f>
        <v>2016</v>
      </c>
      <c r="X486" t="str">
        <f>"Min " &amp; X481</f>
        <v>Min Op WC / Sales</v>
      </c>
      <c r="Y486">
        <f ca="1">MIN(X483:AB483)</f>
        <v>0.24927642276422765</v>
      </c>
      <c r="AK486" t="str">
        <f>AK485 &amp; " Year"</f>
        <v>Max Change in Op WC / Sales Year</v>
      </c>
      <c r="AL486" t="str">
        <f ca="1">IF(MATCH(AL485,AK484:AN484,0)=1,AK483,IF(MATCH(AL485,AK484:AN484,0)=2,AL483,IF(MATCH(AL485,AK484:AN484,0)=3,AM483,AN483)))</f>
        <v>14-15</v>
      </c>
    </row>
    <row r="487" spans="4:40" x14ac:dyDescent="0.3">
      <c r="D487" t="str">
        <f>"Correlation with Op WC"</f>
        <v>Correlation with Op WC</v>
      </c>
      <c r="E487">
        <f ca="1">CORREL(D477:H477,X483:AB483)</f>
        <v>0.10259675203064084</v>
      </c>
      <c r="J487">
        <f ca="1">(INDIRECT("J" &amp; MATCH("Income Tax",B145:B403,0) +144))/(INDIRECT("J" &amp; MATCH("Pretax Income",B145:B403,0) +144))</f>
        <v>0.19194410193177147</v>
      </c>
      <c r="K487">
        <f ca="1">(INDIRECT("K" &amp; MATCH("Income Tax",B145:B403,0) +144))/(INDIRECT("K" &amp; MATCH("Pretax Income",B145:B403,0) +144))</f>
        <v>0.32769359486845773</v>
      </c>
      <c r="L487">
        <f ca="1">(INDIRECT("L" &amp; MATCH("Income Tax",B145:B403,0) +144))/(INDIRECT("L" &amp; MATCH("Pretax Income",B145:B403,0) +144))</f>
        <v>0.27603603603603605</v>
      </c>
      <c r="M487">
        <f ca="1">(INDIRECT("M" &amp; MATCH("Income Tax",B145:B403,0) +144))/(INDIRECT("M" &amp; MATCH("Pretax Income",B145:B403,0) +144))</f>
        <v>0.23152896486229821</v>
      </c>
      <c r="N487">
        <f ca="1">(INDIRECT("N" &amp; MATCH("Income Tax",B145:B403,0) +144))/(INDIRECT("N" &amp; MATCH("Pretax Income",B145:B403,0) +144))</f>
        <v>0.2574745372905487</v>
      </c>
      <c r="X487" t="str">
        <f>X486 &amp; " Year"</f>
        <v>Min Op WC / Sales Year</v>
      </c>
      <c r="Y487">
        <f ca="1">VALUE(X482)+MATCH(Y486,X483:AB483,0)-1</f>
        <v>2016</v>
      </c>
      <c r="AK487" t="str">
        <f>"Min " &amp; AK482</f>
        <v>Min Change in Op WC / Sales</v>
      </c>
      <c r="AL487">
        <f ca="1">MIN(AK484:AN484)</f>
        <v>-8.6339374953382564E-2</v>
      </c>
    </row>
    <row r="488" spans="4:40" x14ac:dyDescent="0.3">
      <c r="D488" t="str">
        <f>"Correlation with PPE"</f>
        <v>Correlation with PPE</v>
      </c>
      <c r="E488">
        <f ca="1">CORREL(D477:H477,X491:AB491)</f>
        <v>-0.24842438969368102</v>
      </c>
      <c r="J488" t="str">
        <f>"Max " &amp; J485</f>
        <v>Max Cash Tax Rate</v>
      </c>
      <c r="K488">
        <f ca="1">MAX(J487:N487)</f>
        <v>0.32769359486845773</v>
      </c>
      <c r="Q488" t="str">
        <f>"Invested Capital / Sales"</f>
        <v>Invested Capital / Sales</v>
      </c>
      <c r="AK488" t="str">
        <f>AK487 &amp; " Year"</f>
        <v>Min Change in Op WC / Sales Year</v>
      </c>
      <c r="AL488" t="str">
        <f ca="1">IF(MATCH(AL487,AK484:AN484,0)=1,AK483,IF(MATCH(AL487,AK484:AN484,0)=2,AL483,IF(MATCH(AL487,AK484:AN484,0)=3,AM483,AN483)))</f>
        <v>12-13</v>
      </c>
    </row>
    <row r="489" spans="4:40" x14ac:dyDescent="0.3">
      <c r="D489" t="str">
        <f>"Correlation with Intangibles"</f>
        <v>Correlation with Intangibles</v>
      </c>
      <c r="E489">
        <f ca="1">CORREL(D477:H477,X499:AB499)</f>
        <v>-0.61394631038717917</v>
      </c>
      <c r="J489" t="str">
        <f>J488 &amp; " Year"</f>
        <v>Max Cash Tax Rate Year</v>
      </c>
      <c r="K489">
        <f ca="1">VALUE(J486)+MATCH(K488,J487:N487,0)-1</f>
        <v>2013</v>
      </c>
      <c r="Q489" t="str">
        <f>D476</f>
        <v>2012</v>
      </c>
      <c r="R489" t="str">
        <f>E476</f>
        <v>2013</v>
      </c>
      <c r="S489" t="str">
        <f>F476</f>
        <v>2014</v>
      </c>
      <c r="T489" t="str">
        <f>G476</f>
        <v>2015</v>
      </c>
      <c r="U489" t="str">
        <f>H476</f>
        <v>2016</v>
      </c>
      <c r="X489" t="str">
        <f>"PPE / Sales"</f>
        <v>PPE / Sales</v>
      </c>
    </row>
    <row r="490" spans="4:40" x14ac:dyDescent="0.3">
      <c r="J490" t="str">
        <f>"Min " &amp; J485</f>
        <v>Min Cash Tax Rate</v>
      </c>
      <c r="K490">
        <f ca="1">MIN(J487:N487)</f>
        <v>0.19194410193177147</v>
      </c>
      <c r="Q490">
        <f ca="1">SUM(X483,X491,X499)</f>
        <v>1.3135121951219513</v>
      </c>
      <c r="R490">
        <f ca="1">SUM(Y483,Y491,Y499)</f>
        <v>1.6141651376146788</v>
      </c>
      <c r="S490">
        <f ca="1">SUM(Z483,Z491,Z499)</f>
        <v>1.4069444444444446</v>
      </c>
      <c r="T490">
        <f ca="1">SUM(AA483,AA491,AA499)</f>
        <v>1.502436974789916</v>
      </c>
      <c r="U490">
        <f ca="1">SUM(AB483,AB491,AB499)</f>
        <v>1.4643089430894309</v>
      </c>
      <c r="X490" t="str">
        <f>D476</f>
        <v>2012</v>
      </c>
      <c r="Y490" t="str">
        <f>E476</f>
        <v>2013</v>
      </c>
      <c r="Z490" t="str">
        <f>F476</f>
        <v>2014</v>
      </c>
      <c r="AA490" t="str">
        <f>G476</f>
        <v>2015</v>
      </c>
      <c r="AB490" t="str">
        <f>H476</f>
        <v>2016</v>
      </c>
      <c r="AE490" t="str">
        <f>"Change in Invested Capital / Sales"</f>
        <v>Change in Invested Capital / Sales</v>
      </c>
      <c r="AK490" t="str">
        <f>"Change in PPE / Sales"</f>
        <v>Change in PPE / Sales</v>
      </c>
    </row>
    <row r="491" spans="4:40" x14ac:dyDescent="0.3">
      <c r="J491" t="str">
        <f>J490 &amp; " Year"</f>
        <v>Min Cash Tax Rate Year</v>
      </c>
      <c r="K491">
        <f ca="1">VALUE(J486)+MATCH(K490,J487:N487,0)-1</f>
        <v>2012</v>
      </c>
      <c r="Q491" t="str">
        <f>"Max " &amp; Q488</f>
        <v>Max Invested Capital / Sales</v>
      </c>
      <c r="R491">
        <f ca="1">MAX(Q490:U490)</f>
        <v>1.6141651376146788</v>
      </c>
      <c r="S491" t="str">
        <f>"Op WC Effect on Max"</f>
        <v>Op WC Effect on Max</v>
      </c>
      <c r="T491" t="str">
        <f ca="1">IF(R492=Y485,"Max IC in same year as Max Op WC","Inconclusive Effect")</f>
        <v>Inconclusive Effect</v>
      </c>
      <c r="U491" t="str">
        <f>"Correlation with Op WC"</f>
        <v>Correlation with Op WC</v>
      </c>
      <c r="V491">
        <f ca="1">CORREL(Q490:U490,X483:AB483)</f>
        <v>-0.61126009008371496</v>
      </c>
      <c r="X491">
        <f ca="1">(INDIRECT("J" &amp; MATCH("Net Property, Plant &amp; Equipment",B145:B403,0) +144))/(INDIRECT("J" &amp; MATCH("Sales/Revenue",B145:B403,0) +144))</f>
        <v>0.18951219512195122</v>
      </c>
      <c r="Y491">
        <f ca="1">(INDIRECT("K" &amp; MATCH("Net Property, Plant &amp; Equipment",B145:B403,0) +144))/(INDIRECT("K" &amp; MATCH("Sales/Revenue",B145:B403,0) +144))</f>
        <v>0.27757798165137615</v>
      </c>
      <c r="Z491">
        <f ca="1">(INDIRECT("L" &amp; MATCH("Net Property, Plant &amp; Equipment",B145:B403,0) +144))/(INDIRECT("L" &amp; MATCH("Sales/Revenue",B145:B403,0) +144))</f>
        <v>0.23765079365079364</v>
      </c>
      <c r="AA491">
        <f ca="1">(INDIRECT("M" &amp; MATCH("Net Property, Plant &amp; Equipment",B145:B403,0) +144))/(INDIRECT("M" &amp; MATCH("Sales/Revenue",B145:B403,0) +144))</f>
        <v>0.25954621848739495</v>
      </c>
      <c r="AB491">
        <f ca="1">(INDIRECT("N" &amp; MATCH("Net Property, Plant &amp; Equipment",B145:B403,0) +144))/(INDIRECT("N" &amp; MATCH("Sales/Revenue",B145:B403,0) +144))</f>
        <v>0.27194308943089429</v>
      </c>
      <c r="AE491" t="str">
        <f>K476</f>
        <v>12-13</v>
      </c>
      <c r="AF491" t="str">
        <f>L476</f>
        <v>13-14</v>
      </c>
      <c r="AG491" t="str">
        <f>M476</f>
        <v>14-15</v>
      </c>
      <c r="AH491" t="str">
        <f>N476</f>
        <v>15-16</v>
      </c>
      <c r="AK491" t="str">
        <f>K476</f>
        <v>12-13</v>
      </c>
      <c r="AL491" t="str">
        <f>L476</f>
        <v>13-14</v>
      </c>
      <c r="AM491" t="str">
        <f>M476</f>
        <v>14-15</v>
      </c>
      <c r="AN491" t="str">
        <f>N476</f>
        <v>15-16</v>
      </c>
    </row>
    <row r="492" spans="4:40" x14ac:dyDescent="0.3">
      <c r="Q492" t="str">
        <f>Q491 &amp; " Year"</f>
        <v>Max Invested Capital / Sales Year</v>
      </c>
      <c r="R492">
        <f ca="1">VALUE(Q489)+MATCH(R491,Q490:U490,0)-1</f>
        <v>2013</v>
      </c>
      <c r="S492" t="str">
        <f>"PPE Effect on Max"</f>
        <v>PPE Effect on Max</v>
      </c>
      <c r="T492" t="str">
        <f ca="1">IF(R492=Y493,"Max IC in same year as Max PPE","Inconclusive Effect")</f>
        <v>Max IC in same year as Max PPE</v>
      </c>
      <c r="U492" t="str">
        <f>"Correlation with PPE"</f>
        <v>Correlation with PPE</v>
      </c>
      <c r="V492">
        <f ca="1">CORREL(Q490:U490,X491:AB491)</f>
        <v>0.89436466028616801</v>
      </c>
      <c r="X492" t="str">
        <f>"Max " &amp; X489</f>
        <v>Max PPE / Sales</v>
      </c>
      <c r="Y492">
        <f ca="1">MAX(X491:AB491)</f>
        <v>0.27757798165137615</v>
      </c>
      <c r="AE492">
        <f ca="1">R490-Q490</f>
        <v>0.30065294249272756</v>
      </c>
      <c r="AF492">
        <f ca="1">S490-R490</f>
        <v>-0.20722069317023428</v>
      </c>
      <c r="AG492">
        <f ca="1">T490-S490</f>
        <v>9.5492530345471449E-2</v>
      </c>
      <c r="AH492">
        <f ca="1">U490-T490</f>
        <v>-3.8128031700485066E-2</v>
      </c>
      <c r="AK492">
        <f ca="1">Y491-X491</f>
        <v>8.8065786529424928E-2</v>
      </c>
      <c r="AL492">
        <f ca="1">Z491-Y491</f>
        <v>-3.9927188000582509E-2</v>
      </c>
      <c r="AM492">
        <f ca="1">AA491-Z491</f>
        <v>2.1895424836601313E-2</v>
      </c>
      <c r="AN492">
        <f ca="1">AB491-AA491</f>
        <v>1.2396870943499338E-2</v>
      </c>
    </row>
    <row r="493" spans="4:40" x14ac:dyDescent="0.3">
      <c r="Q493" t="str">
        <f>"Min " &amp; Q488</f>
        <v>Min Invested Capital / Sales</v>
      </c>
      <c r="R493">
        <f ca="1">MIN(Q490:U490)</f>
        <v>1.3135121951219513</v>
      </c>
      <c r="S493" t="str">
        <f>"Intangibles Effect on Max"</f>
        <v>Intangibles Effect on Max</v>
      </c>
      <c r="T493" t="str">
        <f ca="1">IF(R492=Y501,"Max IC in same year as Max Intangibles","Inconclusive Effect")</f>
        <v>Max IC in same year as Max Intangibles</v>
      </c>
      <c r="U493" t="str">
        <f>"Correlation with Intangibles"</f>
        <v>Correlation with Intangibles</v>
      </c>
      <c r="V493">
        <f ca="1">CORREL(Q490:U490,X499:AB499)</f>
        <v>0.9768858192789166</v>
      </c>
      <c r="X493" t="str">
        <f>X492 &amp; " Year"</f>
        <v>Max PPE / Sales Year</v>
      </c>
      <c r="Y493">
        <f ca="1">VALUE(X490)+MATCH(Y492,X491:AB491,0)-1</f>
        <v>2013</v>
      </c>
      <c r="AE493" t="str">
        <f>"Max " &amp; AE490</f>
        <v>Max Change in Invested Capital / Sales</v>
      </c>
      <c r="AF493">
        <f ca="1">MAX(AE492:AH492)</f>
        <v>0.30065294249272756</v>
      </c>
      <c r="AK493" t="str">
        <f>"Max " &amp; AK490</f>
        <v>Max Change in PPE / Sales</v>
      </c>
      <c r="AL493">
        <f ca="1">MAX(AK492:AN492)</f>
        <v>8.8065786529424928E-2</v>
      </c>
    </row>
    <row r="494" spans="4:40" x14ac:dyDescent="0.3">
      <c r="Q494" t="str">
        <f>Q493 &amp; " Year"</f>
        <v>Min Invested Capital / Sales Year</v>
      </c>
      <c r="R494">
        <f ca="1">VALUE(Q489)+MATCH(R493,Q490:U490,0)-1</f>
        <v>2012</v>
      </c>
      <c r="S494" t="str">
        <f>"Op WC Effect on Min"</f>
        <v>Op WC Effect on Min</v>
      </c>
      <c r="T494" t="str">
        <f ca="1">IF(R494=Y487,"Min IC in same year as Min Op WC","Inconclusive Effect")</f>
        <v>Inconclusive Effect</v>
      </c>
      <c r="X494" t="str">
        <f>"Min " &amp; X489</f>
        <v>Min PPE / Sales</v>
      </c>
      <c r="Y494">
        <f ca="1">MIN(X491:AB491)</f>
        <v>0.18951219512195122</v>
      </c>
      <c r="AE494" t="str">
        <f>AE493 &amp; " Year"</f>
        <v>Max Change in Invested Capital / Sales Year</v>
      </c>
      <c r="AF494" t="str">
        <f ca="1">IF(MATCH(AF493,AE492:AH492,0)=1,AE491,IF(MATCH(AF493,AE492:AH492,0)=2,AF491,IF(MATCH(AF493,AE492:AH492,0)=3,AG491,AH491)))</f>
        <v>12-13</v>
      </c>
      <c r="AK494" t="str">
        <f>AK493 &amp; " Year"</f>
        <v>Max Change in PPE / Sales Year</v>
      </c>
      <c r="AL494" t="str">
        <f ca="1">IF(MATCH(AL493,AK492:AN492,0)=1,AK491,IF(MATCH(AL493,AK492:AN492,0)=2,AL491,IF(MATCH(AL493,AK492:AN492,0)=3,AM491,AN491)))</f>
        <v>12-13</v>
      </c>
    </row>
    <row r="495" spans="4:40" x14ac:dyDescent="0.3">
      <c r="S495" t="str">
        <f>"PPE Effect on Min"</f>
        <v>PPE Effect on Min</v>
      </c>
      <c r="T495" t="str">
        <f ca="1">IF(R494=Y495,"Min IC in same year as Min PPE","Inconclusive Effect")</f>
        <v>Min IC in same year as Min PPE</v>
      </c>
      <c r="X495" t="str">
        <f>X494 &amp; " Year"</f>
        <v>Min PPE / Sales Year</v>
      </c>
      <c r="Y495">
        <f ca="1">VALUE(X490)+MATCH(Y494,X491:AB491,0)-1</f>
        <v>2012</v>
      </c>
      <c r="AE495" t="str">
        <f>"Min " &amp; AE490</f>
        <v>Min Change in Invested Capital / Sales</v>
      </c>
      <c r="AF495">
        <f ca="1">MIN(AE492:AH492)</f>
        <v>-0.20722069317023428</v>
      </c>
      <c r="AK495" t="str">
        <f>"Min " &amp; AK490</f>
        <v>Min Change in PPE / Sales</v>
      </c>
      <c r="AL495">
        <f ca="1">MIN(AK492:AN492)</f>
        <v>-3.9927188000582509E-2</v>
      </c>
    </row>
    <row r="496" spans="4:40" x14ac:dyDescent="0.3">
      <c r="S496" t="str">
        <f>"Intangibles Effect on Min"</f>
        <v>Intangibles Effect on Min</v>
      </c>
      <c r="T496" t="str">
        <f ca="1">IF(R494=Y503,"Min IC in same year as Min Intangibles","Inconclusive Effect")</f>
        <v>Min IC in same year as Min Intangibles</v>
      </c>
      <c r="AE496" t="str">
        <f>AE495 &amp; " Year"</f>
        <v>Min Change in Invested Capital / Sales Year</v>
      </c>
      <c r="AF496" t="str">
        <f ca="1">IF(MATCH(AF495,AE492:AH492,0)=1,AE491,IF(MATCH(AF495,AE492:AH492,0)=2,AF491,IF(MATCH(AF495,AE492:AH492,0)=3,AG491,AH491)))</f>
        <v>13-14</v>
      </c>
      <c r="AK496" t="str">
        <f>AK495 &amp; " Year"</f>
        <v>Min Change in PPE / Sales Year</v>
      </c>
      <c r="AL496" t="str">
        <f ca="1">IF(MATCH(AL495,AK492:AN492,0)=1,AK491,IF(MATCH(AL495,AK492:AN492,0)=2,AL491,IF(MATCH(AL495,AK492:AN492,0)=3,AM491,AN491)))</f>
        <v>13-14</v>
      </c>
    </row>
    <row r="497" spans="3:40" x14ac:dyDescent="0.3">
      <c r="X497" t="str">
        <f>"Intangibles / Sales"</f>
        <v>Intangibles / Sales</v>
      </c>
    </row>
    <row r="498" spans="3:40" x14ac:dyDescent="0.3">
      <c r="X498" t="str">
        <f>D476</f>
        <v>2012</v>
      </c>
      <c r="Y498" t="str">
        <f>E476</f>
        <v>2013</v>
      </c>
      <c r="Z498" t="str">
        <f>F476</f>
        <v>2014</v>
      </c>
      <c r="AA498" t="str">
        <f>G476</f>
        <v>2015</v>
      </c>
      <c r="AB498" t="str">
        <f>H476</f>
        <v>2016</v>
      </c>
      <c r="AK498" t="str">
        <f>"Change in Intagibles / Sales"</f>
        <v>Change in Intagibles / Sales</v>
      </c>
    </row>
    <row r="499" spans="3:40" x14ac:dyDescent="0.3">
      <c r="X499">
        <f ca="1">(INDIRECT("J" &amp; MATCH("Intangible Assets",B145:B403,0) +144))/(INDIRECT("J" &amp; MATCH("Sales/Revenue",B145:B403,0) +144))</f>
        <v>0.78364227642276418</v>
      </c>
      <c r="Y499">
        <f ca="1">(INDIRECT("K" &amp; MATCH("Intangible Assets",B145:B403,0) +144))/(INDIRECT("K" &amp; MATCH("Sales/Revenue",B145:B403,0) +144))</f>
        <v>1.0825688073394495</v>
      </c>
      <c r="Z499">
        <f ca="1">(INDIRECT("L" &amp; MATCH("Intangible Assets",B145:B403,0) +144))/(INDIRECT("L" &amp; MATCH("Sales/Revenue",B145:B403,0) +144))</f>
        <v>0.91269841269841268</v>
      </c>
      <c r="AA499">
        <f ca="1">(INDIRECT("M" &amp; MATCH("Intangible Assets",B145:B403,0) +144))/(INDIRECT("M" &amp; MATCH("Sales/Revenue",B145:B403,0) +144))</f>
        <v>0.94117647058823528</v>
      </c>
      <c r="AB499">
        <f ca="1">(INDIRECT("N" &amp; MATCH("Intangible Assets",B145:B403,0) +144))/(INDIRECT("N" &amp; MATCH("Sales/Revenue",B145:B403,0) +144))</f>
        <v>0.94308943089430897</v>
      </c>
      <c r="AK499" t="str">
        <f>K476</f>
        <v>12-13</v>
      </c>
      <c r="AL499" t="str">
        <f>L476</f>
        <v>13-14</v>
      </c>
      <c r="AM499" t="str">
        <f>M476</f>
        <v>14-15</v>
      </c>
      <c r="AN499" t="str">
        <f>N476</f>
        <v>15-16</v>
      </c>
    </row>
    <row r="500" spans="3:40" x14ac:dyDescent="0.3">
      <c r="X500" t="str">
        <f>"Max " &amp; X497</f>
        <v>Max Intangibles / Sales</v>
      </c>
      <c r="Y500">
        <f ca="1">MAX(X499:AB499)</f>
        <v>1.0825688073394495</v>
      </c>
      <c r="AK500">
        <f ca="1">Y499-X499</f>
        <v>0.29892653091668531</v>
      </c>
      <c r="AL500">
        <f ca="1">Z499-Y499</f>
        <v>-0.16987039464103681</v>
      </c>
      <c r="AM500">
        <f ca="1">AA499-Z499</f>
        <v>2.8478057889822606E-2</v>
      </c>
      <c r="AN500">
        <f ca="1">AB499-AA499</f>
        <v>1.9129603060736855E-3</v>
      </c>
    </row>
    <row r="501" spans="3:40" x14ac:dyDescent="0.3">
      <c r="X501" t="str">
        <f>X500 &amp; " Year"</f>
        <v>Max Intangibles / Sales Year</v>
      </c>
      <c r="Y501">
        <f ca="1">VALUE(X498)+MATCH(Y500,X499:AB499,0)-1</f>
        <v>2013</v>
      </c>
      <c r="AK501" t="str">
        <f>"Max " &amp; AK498</f>
        <v>Max Change in Intagibles / Sales</v>
      </c>
      <c r="AL501">
        <f ca="1">MAX(AK500:AN500)</f>
        <v>0.29892653091668531</v>
      </c>
    </row>
    <row r="502" spans="3:40" x14ac:dyDescent="0.3">
      <c r="X502" t="str">
        <f>"Min " &amp; X497</f>
        <v>Min Intangibles / Sales</v>
      </c>
      <c r="Y502">
        <f ca="1">MIN(X499:AB499)</f>
        <v>0.78364227642276418</v>
      </c>
      <c r="AK502" t="str">
        <f>AK501 &amp; " Year"</f>
        <v>Max Change in Intagibles / Sales Year</v>
      </c>
      <c r="AL502" t="str">
        <f ca="1">IF(MATCH(AL501,AK500:AN500,0)=1,AK499,IF(MATCH(AL501,AK500:AN500,0)=2,AL499,IF(MATCH(AL501,AK500:AN500,0)=3,AM499,AN499)))</f>
        <v>12-13</v>
      </c>
    </row>
    <row r="503" spans="3:40" x14ac:dyDescent="0.3">
      <c r="X503" t="str">
        <f>X502 &amp; " Year"</f>
        <v>Min Intangibles / Sales Year</v>
      </c>
      <c r="Y503">
        <f ca="1">VALUE(X498)+MATCH(Y502,X499:AB499,0)-1</f>
        <v>2012</v>
      </c>
      <c r="AK503" t="str">
        <f>"Min " &amp; AK498</f>
        <v>Min Change in Intagibles / Sales</v>
      </c>
      <c r="AL503">
        <f ca="1">MIN(AK500:AN500)</f>
        <v>-0.16987039464103681</v>
      </c>
    </row>
    <row r="504" spans="3:40" x14ac:dyDescent="0.3">
      <c r="AK504" t="str">
        <f>AK503 &amp; " Year"</f>
        <v>Min Change in Intagibles / Sales Year</v>
      </c>
      <c r="AL504" t="str">
        <f ca="1">IF(MATCH(AL503,AK500:AN500,0)=1,AK499,IF(MATCH(AL503,AK500:AN500,0)=2,AL499,IF(MATCH(AL503,AK500:AN500,0)=3,AM499,AN499)))</f>
        <v>13-14</v>
      </c>
    </row>
    <row r="507" spans="3:40" x14ac:dyDescent="0.3">
      <c r="D507" t="str">
        <f t="shared" ref="D507:H508" si="155">D476</f>
        <v>2012</v>
      </c>
      <c r="E507" t="str">
        <f t="shared" si="155"/>
        <v>2013</v>
      </c>
      <c r="F507" t="str">
        <f t="shared" si="155"/>
        <v>2014</v>
      </c>
      <c r="G507" t="str">
        <f t="shared" si="155"/>
        <v>2015</v>
      </c>
      <c r="H507" t="str">
        <f t="shared" si="155"/>
        <v>2016</v>
      </c>
      <c r="I507" t="str">
        <f>"Average"</f>
        <v>Average</v>
      </c>
      <c r="J507" t="str">
        <f>"SD"</f>
        <v>SD</v>
      </c>
      <c r="K507" t="str">
        <f>D507</f>
        <v>2012</v>
      </c>
      <c r="L507" t="str">
        <f>E507</f>
        <v>2013</v>
      </c>
      <c r="M507" t="str">
        <f>F507</f>
        <v>2014</v>
      </c>
      <c r="N507" t="str">
        <f>G507</f>
        <v>2015</v>
      </c>
      <c r="O507" t="str">
        <f>H507</f>
        <v>2016</v>
      </c>
      <c r="P507" t="str">
        <f>"Max z Year"</f>
        <v>Max z Year</v>
      </c>
    </row>
    <row r="508" spans="3:40" x14ac:dyDescent="0.3">
      <c r="C508" t="str">
        <f>D475</f>
        <v>EOY ROIC</v>
      </c>
      <c r="D508">
        <f t="shared" ca="1" si="155"/>
        <v>4.0802416511559698E-2</v>
      </c>
      <c r="E508">
        <f t="shared" ca="1" si="155"/>
        <v>2.3331872128252159E-2</v>
      </c>
      <c r="F508">
        <f t="shared" ca="1" si="155"/>
        <v>4.6347578773245114E-2</v>
      </c>
      <c r="G508">
        <f t="shared" ca="1" si="155"/>
        <v>4.4060610667244156E-2</v>
      </c>
      <c r="H508">
        <f t="shared" ca="1" si="155"/>
        <v>4.8354234368547855E-2</v>
      </c>
      <c r="I508">
        <f t="shared" ref="I508:I518" ca="1" si="156">AVERAGE(D508:H508)</f>
        <v>4.0579342489769792E-2</v>
      </c>
      <c r="J508">
        <f t="shared" ref="J508:J518" ca="1" si="157">STDEV(D508:H508)</f>
        <v>1.0041983339495415E-2</v>
      </c>
      <c r="K508">
        <f t="shared" ref="K508:K518" ca="1" si="158">(D508-I508)/J508</f>
        <v>2.2214139801701342E-2</v>
      </c>
      <c r="L508">
        <f t="shared" ref="L508:L518" ca="1" si="159">(E508-I508)/J508</f>
        <v>-1.7175362454230356</v>
      </c>
      <c r="M508">
        <f t="shared" ref="M508:M518" ca="1" si="160">(F508-I508)/J508</f>
        <v>0.57441205471718715</v>
      </c>
      <c r="N508">
        <f t="shared" ref="N508:N518" ca="1" si="161">(G508-I508)/J508</f>
        <v>0.34667137554216348</v>
      </c>
      <c r="O508">
        <f t="shared" ref="O508:O518" ca="1" si="162">(H508-I508)/J508</f>
        <v>0.77423867536198598</v>
      </c>
      <c r="P508">
        <f ca="1">K507 + MATCH(IF(MAX(MAX(K508:O508),ABS(MIN(K508:O508)))=ABS(MIN(K508:O508)), MIN(K508:O508),MAX(K508:O508)),K508:O508,0) - 1</f>
        <v>2013</v>
      </c>
    </row>
    <row r="509" spans="3:40" x14ac:dyDescent="0.3">
      <c r="C509" t="str">
        <f>J465</f>
        <v>EOY Pretax ROIC</v>
      </c>
      <c r="D509">
        <f ca="1">J467</f>
        <v>5.0494546985058363E-2</v>
      </c>
      <c r="E509">
        <f ca="1">K467</f>
        <v>3.470422407129542E-2</v>
      </c>
      <c r="F509">
        <f ca="1">L467</f>
        <v>6.4019179241291788E-2</v>
      </c>
      <c r="G509">
        <f ca="1">M467</f>
        <v>5.7335421444152372E-2</v>
      </c>
      <c r="H509">
        <f ca="1">N467</f>
        <v>6.5121314752095941E-2</v>
      </c>
      <c r="I509">
        <f t="shared" ca="1" si="156"/>
        <v>5.4334937298778772E-2</v>
      </c>
      <c r="J509">
        <f t="shared" ca="1" si="157"/>
        <v>1.2442335846361433E-2</v>
      </c>
      <c r="K509">
        <f t="shared" ca="1" si="158"/>
        <v>-0.30865509186874041</v>
      </c>
      <c r="L509">
        <f t="shared" ca="1" si="159"/>
        <v>-1.5777353601352955</v>
      </c>
      <c r="M509">
        <f t="shared" ca="1" si="160"/>
        <v>0.77832989416894904</v>
      </c>
      <c r="N509">
        <f t="shared" ca="1" si="161"/>
        <v>0.24115119398991666</v>
      </c>
      <c r="O509">
        <f t="shared" ca="1" si="162"/>
        <v>0.86690936384517192</v>
      </c>
      <c r="P509">
        <f ca="1">K507 + MATCH(IF(MAX(MAX(K509:O509),ABS(MIN(K509:O509)))=ABS(MIN(K509:O509)), MIN(K509:O509),MAX(K509:O509)),K509:O509,0) - 1</f>
        <v>2013</v>
      </c>
    </row>
    <row r="510" spans="3:40" x14ac:dyDescent="0.3">
      <c r="C510" t="str">
        <f>J485</f>
        <v>Cash Tax Rate</v>
      </c>
      <c r="D510">
        <f ca="1">J487</f>
        <v>0.19194410193177147</v>
      </c>
      <c r="E510">
        <f ca="1">K487</f>
        <v>0.32769359486845773</v>
      </c>
      <c r="F510">
        <f ca="1">L487</f>
        <v>0.27603603603603605</v>
      </c>
      <c r="G510">
        <f ca="1">M487</f>
        <v>0.23152896486229821</v>
      </c>
      <c r="H510">
        <f ca="1">N487</f>
        <v>0.2574745372905487</v>
      </c>
      <c r="I510">
        <f t="shared" ca="1" si="156"/>
        <v>0.25693544699782245</v>
      </c>
      <c r="J510">
        <f t="shared" ca="1" si="157"/>
        <v>5.0599414220992379E-2</v>
      </c>
      <c r="K510">
        <f t="shared" ca="1" si="158"/>
        <v>-1.2844288035075269</v>
      </c>
      <c r="L510">
        <f t="shared" ca="1" si="159"/>
        <v>1.3983985577698559</v>
      </c>
      <c r="M510">
        <f t="shared" ca="1" si="160"/>
        <v>0.37748636683405046</v>
      </c>
      <c r="N510">
        <f t="shared" ca="1" si="161"/>
        <v>-0.50211020278933882</v>
      </c>
      <c r="O510">
        <f t="shared" ca="1" si="162"/>
        <v>1.0654081692957573E-2</v>
      </c>
      <c r="P510">
        <f ca="1">K507 + MATCH(IF(MAX(MAX(K510:O510),ABS(MIN(K510:O510)))=ABS(MIN(K510:O510)), MIN(K510:O510),MAX(K510:O510)),K510:O510,0) - 1</f>
        <v>2013</v>
      </c>
    </row>
    <row r="511" spans="3:40" x14ac:dyDescent="0.3">
      <c r="C511" t="str">
        <f>Q460</f>
        <v>Operating Margin</v>
      </c>
      <c r="D511">
        <f ca="1">Q462</f>
        <v>6.6325203252032519E-2</v>
      </c>
      <c r="E511">
        <f ca="1">R462</f>
        <v>5.6018348623853229E-2</v>
      </c>
      <c r="F511">
        <f ca="1">S462</f>
        <v>9.007142857142858E-2</v>
      </c>
      <c r="G511">
        <f ca="1">T462</f>
        <v>8.614285714285716E-2</v>
      </c>
      <c r="H511">
        <f ca="1">U462</f>
        <v>9.5357723577235765E-2</v>
      </c>
      <c r="I511">
        <f t="shared" ca="1" si="156"/>
        <v>7.8783112233481459E-2</v>
      </c>
      <c r="J511">
        <f t="shared" ca="1" si="157"/>
        <v>1.6805829572394446E-2</v>
      </c>
      <c r="K511">
        <f t="shared" ca="1" si="158"/>
        <v>-0.74128497660791004</v>
      </c>
      <c r="L511">
        <f t="shared" ca="1" si="159"/>
        <v>-1.3545754175100071</v>
      </c>
      <c r="M511">
        <f t="shared" ca="1" si="160"/>
        <v>0.67169051603911956</v>
      </c>
      <c r="N511">
        <f t="shared" ca="1" si="161"/>
        <v>0.43792809380055531</v>
      </c>
      <c r="O511">
        <f t="shared" ca="1" si="162"/>
        <v>0.98624178427823983</v>
      </c>
      <c r="P511">
        <f ca="1">K507 + MATCH(IF(MAX(MAX(K511:O511),ABS(MIN(K511:O511)))=ABS(MIN(K511:O511)), MIN(K511:O511),MAX(K511:O511)),K511:O511,0) - 1</f>
        <v>2013</v>
      </c>
    </row>
    <row r="512" spans="3:40" x14ac:dyDescent="0.3">
      <c r="C512" t="str">
        <f>Q488</f>
        <v>Invested Capital / Sales</v>
      </c>
      <c r="D512">
        <f ca="1">Q490</f>
        <v>1.3135121951219513</v>
      </c>
      <c r="E512">
        <f ca="1">R490</f>
        <v>1.6141651376146788</v>
      </c>
      <c r="F512">
        <f ca="1">S490</f>
        <v>1.4069444444444446</v>
      </c>
      <c r="G512">
        <f ca="1">T490</f>
        <v>1.502436974789916</v>
      </c>
      <c r="H512">
        <f ca="1">U490</f>
        <v>1.4643089430894309</v>
      </c>
      <c r="I512">
        <f t="shared" ca="1" si="156"/>
        <v>1.4602735390120845</v>
      </c>
      <c r="J512">
        <f t="shared" ca="1" si="157"/>
        <v>0.111646258682236</v>
      </c>
      <c r="K512">
        <f t="shared" ca="1" si="158"/>
        <v>-1.3145209308611103</v>
      </c>
      <c r="L512">
        <f t="shared" ca="1" si="159"/>
        <v>1.3783856299259942</v>
      </c>
      <c r="M512">
        <f t="shared" ca="1" si="160"/>
        <v>-0.47766127765573818</v>
      </c>
      <c r="N512">
        <f t="shared" ca="1" si="161"/>
        <v>0.37765202592086644</v>
      </c>
      <c r="O512">
        <f t="shared" ca="1" si="162"/>
        <v>3.6144552669981719E-2</v>
      </c>
      <c r="P512">
        <f ca="1">K507 + MATCH(IF(MAX(MAX(K512:O512),ABS(MIN(K512:O512)))=ABS(MIN(K512:O512)), MIN(K512:O512),MAX(K512:O512)),K512:O512,0) - 1</f>
        <v>2013</v>
      </c>
    </row>
    <row r="513" spans="3:16" x14ac:dyDescent="0.3">
      <c r="C513" t="str">
        <f>X453</f>
        <v>Gross Margin</v>
      </c>
      <c r="D513">
        <f ca="1">X455</f>
        <v>0.33965040650406503</v>
      </c>
      <c r="E513">
        <f ca="1">Y455</f>
        <v>0.32354128440366975</v>
      </c>
      <c r="F513">
        <f ca="1">Z455</f>
        <v>0.34775396825396826</v>
      </c>
      <c r="G513">
        <f ca="1">AA455</f>
        <v>0.34978151260504203</v>
      </c>
      <c r="H513">
        <f ca="1">AB455</f>
        <v>0.35814634146341462</v>
      </c>
      <c r="I513">
        <f t="shared" ca="1" si="156"/>
        <v>0.34377470264603194</v>
      </c>
      <c r="J513">
        <f t="shared" ca="1" si="157"/>
        <v>1.3084927926783419E-2</v>
      </c>
      <c r="K513">
        <f t="shared" ca="1" si="158"/>
        <v>-0.31519441032035994</v>
      </c>
      <c r="L513">
        <f t="shared" ca="1" si="159"/>
        <v>-1.5463148406760874</v>
      </c>
      <c r="M513">
        <f t="shared" ca="1" si="160"/>
        <v>0.30411062485038221</v>
      </c>
      <c r="N513">
        <f t="shared" ca="1" si="161"/>
        <v>0.45906328201585361</v>
      </c>
      <c r="O513">
        <f t="shared" ca="1" si="162"/>
        <v>1.0983353441302115</v>
      </c>
      <c r="P513">
        <f ca="1">K507 + MATCH(IF(MAX(MAX(K513:O513),ABS(MIN(K513:O513)))=ABS(MIN(K513:O513)), MIN(K513:O513),MAX(K513:O513)),K513:O513,0) - 1</f>
        <v>2013</v>
      </c>
    </row>
    <row r="514" spans="3:16" x14ac:dyDescent="0.3">
      <c r="C514" t="str">
        <f>X461</f>
        <v>SGA / Sales</v>
      </c>
      <c r="D514">
        <f ca="1">X463</f>
        <v>0.22669105691056909</v>
      </c>
      <c r="E514">
        <f ca="1">Y463</f>
        <v>0.20784403669724771</v>
      </c>
      <c r="F514">
        <f ca="1">Z463</f>
        <v>0.19307936507936507</v>
      </c>
      <c r="G514">
        <f ca="1">AA463</f>
        <v>0.19789075630252101</v>
      </c>
      <c r="H514">
        <f ca="1">AB463</f>
        <v>0.1976260162601626</v>
      </c>
      <c r="I514">
        <f t="shared" ca="1" si="156"/>
        <v>0.20462624624997311</v>
      </c>
      <c r="J514">
        <f t="shared" ca="1" si="157"/>
        <v>1.3462081510311983E-2</v>
      </c>
      <c r="K514">
        <f t="shared" ca="1" si="158"/>
        <v>1.6390341006102431</v>
      </c>
      <c r="L514">
        <f t="shared" ca="1" si="159"/>
        <v>0.23902621929675363</v>
      </c>
      <c r="M514">
        <f t="shared" ca="1" si="160"/>
        <v>-0.85773371389581188</v>
      </c>
      <c r="N514">
        <f t="shared" ca="1" si="161"/>
        <v>-0.50033049809516461</v>
      </c>
      <c r="O514">
        <f t="shared" ca="1" si="162"/>
        <v>-0.51999610791602446</v>
      </c>
      <c r="P514">
        <f ca="1">K507 + MATCH(IF(MAX(MAX(K514:O514),ABS(MIN(K514:O514)))=ABS(MIN(K514:O514)), MIN(K514:O514),MAX(K514:O514)),K514:O514,0) - 1</f>
        <v>2012</v>
      </c>
    </row>
    <row r="515" spans="3:16" x14ac:dyDescent="0.3">
      <c r="C515" t="str">
        <f>X469</f>
        <v>Depreciation / Sales</v>
      </c>
      <c r="D515">
        <f ca="1">X471</f>
        <v>4.6634146341463414E-2</v>
      </c>
      <c r="E515">
        <f ca="1">Y471</f>
        <v>5.9678899082568806E-2</v>
      </c>
      <c r="F515">
        <f ca="1">Z471</f>
        <v>6.4603174603174607E-2</v>
      </c>
      <c r="G515">
        <f ca="1">AA471</f>
        <v>6.5747899159663864E-2</v>
      </c>
      <c r="H515">
        <f ca="1">AB471</f>
        <v>6.5162601626016253E-2</v>
      </c>
      <c r="I515">
        <f t="shared" ca="1" si="156"/>
        <v>6.0365344162577397E-2</v>
      </c>
      <c r="J515">
        <f t="shared" ca="1" si="157"/>
        <v>8.0461448029609563E-3</v>
      </c>
      <c r="K515">
        <f t="shared" ca="1" si="158"/>
        <v>-1.7065561405334073</v>
      </c>
      <c r="L515">
        <f t="shared" ca="1" si="159"/>
        <v>-8.5313537951241095E-2</v>
      </c>
      <c r="M515">
        <f t="shared" ca="1" si="160"/>
        <v>0.52669079967808941</v>
      </c>
      <c r="N515">
        <f t="shared" ca="1" si="161"/>
        <v>0.66896074193267108</v>
      </c>
      <c r="O515">
        <f t="shared" ca="1" si="162"/>
        <v>0.59621813687388281</v>
      </c>
      <c r="P515">
        <f ca="1">K507 + MATCH(IF(MAX(MAX(K515:O515),ABS(MIN(K515:O515)))=ABS(MIN(K515:O515)), MIN(K515:O515),MAX(K515:O515)),K515:O515,0) - 1</f>
        <v>2012</v>
      </c>
    </row>
    <row r="516" spans="3:16" x14ac:dyDescent="0.3">
      <c r="C516" t="str">
        <f>X481</f>
        <v>Op WC / Sales</v>
      </c>
      <c r="D516">
        <f ca="1">X483</f>
        <v>0.34035772357723576</v>
      </c>
      <c r="E516">
        <f ca="1">Y483</f>
        <v>0.2540183486238532</v>
      </c>
      <c r="F516">
        <f ca="1">Z483</f>
        <v>0.2565952380952381</v>
      </c>
      <c r="G516">
        <f ca="1">AA483</f>
        <v>0.30171428571428571</v>
      </c>
      <c r="H516">
        <f ca="1">AB483</f>
        <v>0.24927642276422765</v>
      </c>
      <c r="I516">
        <f t="shared" ca="1" si="156"/>
        <v>0.2803924037549681</v>
      </c>
      <c r="J516">
        <f t="shared" ca="1" si="157"/>
        <v>3.9624999628345932E-2</v>
      </c>
      <c r="K516">
        <f t="shared" ca="1" si="158"/>
        <v>1.5133203882573965</v>
      </c>
      <c r="L516">
        <f t="shared" ca="1" si="159"/>
        <v>-0.66559130292705659</v>
      </c>
      <c r="M516">
        <f t="shared" ca="1" si="160"/>
        <v>-0.60055939136732728</v>
      </c>
      <c r="N516">
        <f t="shared" ca="1" si="161"/>
        <v>0.53809166332622249</v>
      </c>
      <c r="O516">
        <f t="shared" ca="1" si="162"/>
        <v>-0.78526135728923729</v>
      </c>
      <c r="P516">
        <f ca="1">K507 + MATCH(IF(MAX(MAX(K516:O516),ABS(MIN(K516:O516)))=ABS(MIN(K516:O516)), MIN(K516:O516),MAX(K516:O516)),K516:O516,0) - 1</f>
        <v>2012</v>
      </c>
    </row>
    <row r="517" spans="3:16" x14ac:dyDescent="0.3">
      <c r="C517" t="str">
        <f>X489</f>
        <v>PPE / Sales</v>
      </c>
      <c r="D517">
        <f ca="1">X491</f>
        <v>0.18951219512195122</v>
      </c>
      <c r="E517">
        <f ca="1">Y491</f>
        <v>0.27757798165137615</v>
      </c>
      <c r="F517">
        <f ca="1">Z491</f>
        <v>0.23765079365079364</v>
      </c>
      <c r="G517">
        <f ca="1">AA491</f>
        <v>0.25954621848739495</v>
      </c>
      <c r="H517">
        <f ca="1">AB491</f>
        <v>0.27194308943089429</v>
      </c>
      <c r="I517">
        <f t="shared" ca="1" si="156"/>
        <v>0.24724605566848204</v>
      </c>
      <c r="J517">
        <f t="shared" ca="1" si="157"/>
        <v>3.5729997630351409E-2</v>
      </c>
      <c r="K517">
        <f t="shared" ca="1" si="158"/>
        <v>-1.6158372341309053</v>
      </c>
      <c r="L517">
        <f t="shared" ca="1" si="159"/>
        <v>0.84892045884515188</v>
      </c>
      <c r="M517">
        <f t="shared" ca="1" si="160"/>
        <v>-0.26854919266878297</v>
      </c>
      <c r="N517">
        <f t="shared" ca="1" si="161"/>
        <v>0.34425311040223372</v>
      </c>
      <c r="O517">
        <f t="shared" ca="1" si="162"/>
        <v>0.69121285755230411</v>
      </c>
      <c r="P517">
        <f ca="1">K507 + MATCH(IF(MAX(MAX(K517:O517),ABS(MIN(K517:O517)))=ABS(MIN(K517:O517)), MIN(K517:O517),MAX(K517:O517)),K517:O517,0) - 1</f>
        <v>2012</v>
      </c>
    </row>
    <row r="518" spans="3:16" x14ac:dyDescent="0.3">
      <c r="C518" t="str">
        <f>X497</f>
        <v>Intangibles / Sales</v>
      </c>
      <c r="D518">
        <f ca="1">X499</f>
        <v>0.78364227642276418</v>
      </c>
      <c r="E518">
        <f ca="1">Y499</f>
        <v>1.0825688073394495</v>
      </c>
      <c r="F518">
        <f ca="1">Z499</f>
        <v>0.91269841269841268</v>
      </c>
      <c r="G518">
        <f ca="1">AA499</f>
        <v>0.94117647058823528</v>
      </c>
      <c r="H518">
        <f ca="1">AB499</f>
        <v>0.94308943089430897</v>
      </c>
      <c r="I518">
        <f t="shared" ca="1" si="156"/>
        <v>0.93263507958863412</v>
      </c>
      <c r="J518">
        <f t="shared" ca="1" si="157"/>
        <v>0.1063704583291359</v>
      </c>
      <c r="K518">
        <f t="shared" ca="1" si="158"/>
        <v>-1.4006972002024303</v>
      </c>
      <c r="L518">
        <f t="shared" ca="1" si="159"/>
        <v>1.4095429323702282</v>
      </c>
      <c r="M518">
        <f t="shared" ca="1" si="160"/>
        <v>-0.18742672733939511</v>
      </c>
      <c r="N518">
        <f t="shared" ca="1" si="161"/>
        <v>8.0298525866759299E-2</v>
      </c>
      <c r="O518">
        <f t="shared" ca="1" si="162"/>
        <v>9.8282469304837985E-2</v>
      </c>
      <c r="P518">
        <f ca="1">K507 + MATCH(IF(MAX(MAX(K518:O518),ABS(MIN(K518:O518)))=ABS(MIN(K518:O518)), MIN(K518:O518),MAX(K518:O518)),K518:O518,0) - 1</f>
        <v>2013</v>
      </c>
    </row>
    <row r="519" spans="3:16" x14ac:dyDescent="0.3">
      <c r="I519" t="str">
        <f>"Max SD"</f>
        <v>Max SD</v>
      </c>
      <c r="J519">
        <f ca="1">MAX(J508:J518)</f>
        <v>0.111646258682236</v>
      </c>
    </row>
    <row r="520" spans="3:16" x14ac:dyDescent="0.3">
      <c r="I520" t="str">
        <f>"Max SD Item"</f>
        <v>Max SD Item</v>
      </c>
      <c r="J520" t="str">
        <f ca="1">INDIRECT("C" &amp; 507 + MATCH(J519,J508:J518,0))</f>
        <v>Invested Capital / Sales</v>
      </c>
    </row>
    <row r="521" spans="3:16" x14ac:dyDescent="0.3">
      <c r="I521" t="str">
        <f>"Min SD"</f>
        <v>Min SD</v>
      </c>
      <c r="J521">
        <f ca="1">MIN(J508:J518)</f>
        <v>8.0461448029609563E-3</v>
      </c>
    </row>
    <row r="522" spans="3:16" x14ac:dyDescent="0.3">
      <c r="I522" t="str">
        <f>"Min SD Item"</f>
        <v>Min SD Item</v>
      </c>
      <c r="J522" t="str">
        <f ca="1">INDIRECT("C" &amp; 507 + MATCH(J521,J508:J518,0))</f>
        <v>Depreciation / Sales</v>
      </c>
    </row>
    <row r="523" spans="3:16" x14ac:dyDescent="0.3">
      <c r="C523" t="str">
        <f>"Correlation Analysis"</f>
        <v>Correlation Analysis</v>
      </c>
    </row>
    <row r="524" spans="3:16" x14ac:dyDescent="0.3">
      <c r="D524" t="str">
        <f>C528</f>
        <v>Operating Margin</v>
      </c>
      <c r="E524" t="str">
        <f>C529</f>
        <v>Invested Capital / Sales</v>
      </c>
      <c r="F524" t="str">
        <f>X453</f>
        <v>Gross Margin</v>
      </c>
      <c r="G524" t="str">
        <f>X461</f>
        <v>SGA / Sales</v>
      </c>
      <c r="H524" t="str">
        <f>X469</f>
        <v>Depreciation / Sales</v>
      </c>
      <c r="I524" t="str">
        <f>X481</f>
        <v>Op WC / Sales</v>
      </c>
      <c r="J524" t="str">
        <f>X489</f>
        <v>PPE / Sales</v>
      </c>
      <c r="K524" t="str">
        <f>X497</f>
        <v>Intangibles / Sales</v>
      </c>
      <c r="L524" t="str">
        <f>"Key Driver on correlation basis"</f>
        <v>Key Driver on correlation basis</v>
      </c>
    </row>
    <row r="525" spans="3:16" x14ac:dyDescent="0.3">
      <c r="C525" t="str">
        <f>C508</f>
        <v>EOY ROIC</v>
      </c>
      <c r="D525">
        <f ca="1">E482</f>
        <v>0.90282404134847749</v>
      </c>
      <c r="E525">
        <f ca="1">E483</f>
        <v>-0.62802424234315324</v>
      </c>
      <c r="F525">
        <f ca="1">E484</f>
        <v>0.95826315581568988</v>
      </c>
      <c r="G525">
        <f ca="1">E485</f>
        <v>-0.36071760184590862</v>
      </c>
      <c r="H525">
        <f ca="1">E486</f>
        <v>0.27617041063113118</v>
      </c>
      <c r="I525">
        <f ca="1">E487</f>
        <v>0.10259675203064084</v>
      </c>
      <c r="J525">
        <f ca="1">E488</f>
        <v>-0.24842438969368102</v>
      </c>
      <c r="K525">
        <f ca="1">E489</f>
        <v>-0.61394631038717917</v>
      </c>
    </row>
    <row r="526" spans="3:16" x14ac:dyDescent="0.3">
      <c r="C526" t="str">
        <f>C509</f>
        <v>EOY Pretax ROIC</v>
      </c>
      <c r="D526">
        <f ca="1">O468</f>
        <v>0.96233721137557948</v>
      </c>
      <c r="E526">
        <f ca="1">O469</f>
        <v>-0.50459173327988815</v>
      </c>
    </row>
    <row r="527" spans="3:16" x14ac:dyDescent="0.3">
      <c r="C527" t="str">
        <f>C510</f>
        <v>Cash Tax Rate</v>
      </c>
    </row>
    <row r="528" spans="3:16" x14ac:dyDescent="0.3">
      <c r="C528" t="str">
        <f>C511</f>
        <v>Operating Margin</v>
      </c>
      <c r="F528">
        <f ca="1">V463</f>
        <v>0.95419452302214847</v>
      </c>
      <c r="G528">
        <f ca="1">V464</f>
        <v>-0.71171316680773289</v>
      </c>
      <c r="H528">
        <f ca="1">V465</f>
        <v>0.65383830167632173</v>
      </c>
      <c r="L528" t="str">
        <f ca="1">INDIRECT(ADDRESS(524,5+MATCH(IF(ABS(MAX(F528:H528))&gt;ABS(MIN(F528:H528)),MAX(F528:H528),MIN(F528:H528)),F528:H528,0)))</f>
        <v>Gross Margin</v>
      </c>
    </row>
    <row r="529" spans="3:12" x14ac:dyDescent="0.3">
      <c r="C529" t="str">
        <f>C512</f>
        <v>Invested Capital / Sales</v>
      </c>
      <c r="I529">
        <f ca="1">V491</f>
        <v>-0.61126009008371496</v>
      </c>
      <c r="J529">
        <f ca="1">V492</f>
        <v>0.89436466028616801</v>
      </c>
      <c r="K529">
        <f ca="1">V493</f>
        <v>0.9768858192789166</v>
      </c>
      <c r="L529" t="str">
        <f ca="1">INDIRECT(ADDRESS(524,8+MATCH(IF(ABS(MAX(I529:K529))&gt;ABS(MIN(I529:K529)),MAX(I529:K529),MIN(I529:K529)),I529:K529,0)))</f>
        <v>Intangibles / Sales</v>
      </c>
    </row>
    <row r="532" spans="3:12" x14ac:dyDescent="0.3">
      <c r="C532" t="str">
        <f>"Causation Analysis"</f>
        <v>Causation Analysis</v>
      </c>
    </row>
    <row r="533" spans="3:12" x14ac:dyDescent="0.3">
      <c r="D533" t="str">
        <f>C527</f>
        <v>Cash Tax Rate</v>
      </c>
      <c r="E533" t="str">
        <f>C536</f>
        <v>Operating Margin</v>
      </c>
      <c r="F533" t="str">
        <f>C537</f>
        <v>Invested Capital / Sales</v>
      </c>
      <c r="G533" t="str">
        <f t="shared" ref="G533:L533" si="163">F524</f>
        <v>Gross Margin</v>
      </c>
      <c r="H533" t="str">
        <f t="shared" si="163"/>
        <v>SGA / Sales</v>
      </c>
      <c r="I533" t="str">
        <f t="shared" si="163"/>
        <v>Depreciation / Sales</v>
      </c>
      <c r="J533" t="str">
        <f t="shared" si="163"/>
        <v>Op WC / Sales</v>
      </c>
      <c r="K533" t="str">
        <f t="shared" si="163"/>
        <v>PPE / Sales</v>
      </c>
      <c r="L533" t="str">
        <f t="shared" si="163"/>
        <v>Intangibles / Sales</v>
      </c>
    </row>
    <row r="534" spans="3:12" x14ac:dyDescent="0.3">
      <c r="C534" t="str">
        <f>C508</f>
        <v>EOY ROIC</v>
      </c>
      <c r="D534" t="str">
        <f ca="1">IF(AND(G478&lt;&gt;"Inconclusive Effect",G480&lt;&gt;"Inconclusive Effect"),G478 &amp; CHAR(10) &amp; ". " &amp;G480,IF(G478&lt;&gt;"Inconclusive Effect",G478,IF(G480&lt;&gt;"Inconclusive Effect",G480,"Inconclusive Effect")))</f>
        <v>Min ROIC in same year as Max Cash Tax</v>
      </c>
    </row>
    <row r="535" spans="3:12" x14ac:dyDescent="0.3">
      <c r="C535" t="str">
        <f>C509</f>
        <v>EOY Pretax ROIC</v>
      </c>
      <c r="E535" t="str">
        <f ca="1">IF(AND(M468&lt;&gt;"Inconclusive Effect",M470&lt;&gt;"Inconclusive Effect"),M468 &amp; CHAR(10) &amp; ". " &amp;M470,IF(M468&lt;&gt;"Inconclusive Effect",M468,IF(M470&lt;&gt;"Inconclusive Effect",M470,"Inconclusive Effect")))</f>
        <v>Max ROIC in same year as Max OM
. Min ROIC in same year as Min OM</v>
      </c>
      <c r="F535" t="str">
        <f ca="1">IF(AND(M469&lt;&gt;"Inconclusive Effect",M471&lt;&gt;"Inconclusive Effect"),M469 &amp; CHAR(10) &amp; ". " &amp;M471,IF(M469&lt;&gt;"Inconclusive Effect",M469,IF(M471&lt;&gt;"Inconclusive Effect",M471,"Inconclusive Effect")))</f>
        <v>Min ROIC in same year as Max IC</v>
      </c>
    </row>
    <row r="536" spans="3:12" x14ac:dyDescent="0.3">
      <c r="C536" t="str">
        <f>C511</f>
        <v>Operating Margin</v>
      </c>
      <c r="G536" t="str">
        <f ca="1">IF(AND(T463&lt;&gt;"Inconclusive Effect",T466&lt;&gt;"Inconclusive Effect"),T463 &amp; CHAR(10) &amp; ". " &amp;T466,IF(T463&lt;&gt;"Inconclusive Effect",T463,IF(T466&lt;&gt;"Inconclusive Effect",T466,"Inconclusive Effect")))</f>
        <v>Max OM in same year as Max GM
. Min OM in same year as Min GM</v>
      </c>
      <c r="H536" t="str">
        <f ca="1">IF(AND(T464&lt;&gt;"Inconclusive Effect",T467&lt;&gt;"Inconclusive Effect"),T464 &amp; CHAR(10) &amp; ". " &amp;T467,IF(T464&lt;&gt;"Inconclusive Effect",T464,IF(T467&lt;&gt;"Inconclusive Effect",T467,"Inconclusive Effect")))</f>
        <v>Inconclusive Effect</v>
      </c>
      <c r="I536" t="str">
        <f ca="1">IF(AND(T465&lt;&gt;"Inconclusive Effect",T468&lt;&gt;"Inconclusive Effect"),T465 &amp; CHAR(10) &amp; ". " &amp;T468,IF(T465&lt;&gt;"Inconclusive Effect",T465,IF(T468&lt;&gt;"Inconclusive Effect",T468,"Inconclusive Effect")))</f>
        <v>Inconclusive Effect</v>
      </c>
    </row>
    <row r="537" spans="3:12" x14ac:dyDescent="0.3">
      <c r="C537" t="str">
        <f>C512</f>
        <v>Invested Capital / Sales</v>
      </c>
      <c r="J537" t="str">
        <f ca="1">IF(AND(T491&lt;&gt;"Inconclusive Effect",T494&lt;&gt;"Inconclusive Effect"),T491 &amp; CHAR(10) &amp; ". " &amp;T494,IF(T491&lt;&gt;"Inconclusive Effect",T491,IF(T494&lt;&gt;"Inconclusive Effect",T494,"Inconclusive Effect")))</f>
        <v>Inconclusive Effect</v>
      </c>
      <c r="K537" t="str">
        <f ca="1">IF(AND(T492&lt;&gt;"Inconclusive Effect",T495&lt;&gt;"Inconclusive Effect"),T492 &amp; CHAR(10) &amp; ". " &amp;T495,IF(T492&lt;&gt;"Inconclusive Effect",T492,IF(T495&lt;&gt;"Inconclusive Effect",T495,"Inconclusive Effect")))</f>
        <v>Max IC in same year as Max PPE
. Min IC in same year as Min PPE</v>
      </c>
      <c r="L537" t="str">
        <f ca="1">IF(AND(T493&lt;&gt;"Inconclusive Effect",T496&lt;&gt;"Inconclusive Effect"),T493 &amp; CHAR(10) &amp; ". " &amp;T496,IF(T493&lt;&gt;"Inconclusive Effect",T493,IF(T496&lt;&gt;"Inconclusive Effect",T496,"Inconclusive Effect")))</f>
        <v>Max IC in same year as Max Intangibles
. Min IC in same year as Min Intangibles</v>
      </c>
    </row>
    <row r="538" spans="3:12" x14ac:dyDescent="0.3">
      <c r="C538" t="str">
        <f>"Summary"</f>
        <v>Summary</v>
      </c>
      <c r="D538" t="str">
        <f ca="1">IF(D534&lt;&gt;"Inconclusive Effect",D534,"")</f>
        <v>Min ROIC in same year as Max Cash Tax</v>
      </c>
      <c r="E538" t="str">
        <f ca="1">IF(E535&lt;&gt;"Inconclusive Effect",E535,"")</f>
        <v>Max ROIC in same year as Max OM
. Min ROIC in same year as Min OM</v>
      </c>
      <c r="F538" t="str">
        <f ca="1">IF(F535&lt;&gt;"Inconclusive Effect",F535,"")</f>
        <v>Min ROIC in same year as Max IC</v>
      </c>
      <c r="G538" t="str">
        <f ca="1">IF(G536&lt;&gt;"Inconclusive Effect",G536,"")</f>
        <v>Max OM in same year as Max GM
. Min OM in same year as Min GM</v>
      </c>
      <c r="H538" t="str">
        <f ca="1">IF(H536&lt;&gt;"Inconclusive Effect",H536,"")</f>
        <v/>
      </c>
      <c r="I538" t="str">
        <f ca="1">IF(I536&lt;&gt;"Inconclusive Effect",I536,"")</f>
        <v/>
      </c>
      <c r="J538" t="str">
        <f ca="1">IF(J537&lt;&gt;"Inconclusive Effect",J537,"")</f>
        <v/>
      </c>
      <c r="K538" t="str">
        <f ca="1">IF(K537&lt;&gt;"Inconclusive Effect",K537,"")</f>
        <v>Max IC in same year as Max PPE
. Min IC in same year as Min PPE</v>
      </c>
      <c r="L538" t="str">
        <f ca="1">IF(L537&lt;&gt;"Inconclusive Effect",L537,"")</f>
        <v>Max IC in same year as Max Intangibles
. Min IC in same year as Min Intangibles</v>
      </c>
    </row>
    <row r="540" spans="3:12" x14ac:dyDescent="0.3">
      <c r="C540" t="e">
        <f ca="1">_xludf.TEXTJOIN(". ",TRUE,D538:L538)</f>
        <v>#NAME?</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H540"/>
  <sheetViews>
    <sheetView topLeftCell="B1" workbookViewId="0"/>
  </sheetViews>
  <sheetFormatPr defaultRowHeight="14.4" x14ac:dyDescent="0.3"/>
  <cols>
    <col min="1" max="1" width="0" hidden="1" customWidth="1"/>
    <col min="2" max="7" width="20.6640625" customWidth="1"/>
  </cols>
  <sheetData>
    <row r="1" spans="1:16" x14ac:dyDescent="0.3">
      <c r="B1" t="s">
        <v>0</v>
      </c>
      <c r="C1" t="s">
        <v>2411</v>
      </c>
      <c r="D1" t="str">
        <f>TRIM(IFERROR(IFERROR(IFERROR(IFERROR(IFERROR(IFERROR(IFERROR(REPLACE(LEFT(C1,FIND("(",C1) - 2), FIND("PLC",UPPER(LEFT(C1,FIND("(",C1) - 2))),3,"" ), REPLACE(LEFT(C1,FIND("(",C1) - 2), FIND(", INC.",UPPER(LEFT(C1,FIND("(",C1) - 2))),6,"" )), REPLACE(LEFT(C1,FIND("(",C1) - 2), FIND("CORPORATION",UPPER(LEFT(C1,FIND("(",C1) - 2))),11,"" )),REPLACE(LEFT(C1,FIND("(",C1) - 2), FIND("CORP.",UPPER(LEFT(C1,FIND("(",C1) - 2))),5,"" )), REPLACE(LEFT(C1,FIND("(",C1) - 2), FIND("COMPANY",UPPER(LEFT(C1,FIND("(",C1) - 2))),7,"" )),REPLACE(LEFT(C1,FIND("(",C1) - 2), FIND("INC.",UPPER(LEFT(C1,FIND("(",C1) - 2))),4,"" )),REPLACE(LEFT(C1,FIND("(",C1) - 2), FIND("CORP",UPPER(LEFT(C1,FIND("(",C1) - 2))),4,"" )),LEFT(C1,FIND("(",C1) - 2)))</f>
        <v>Bureau Veritas SA</v>
      </c>
    </row>
    <row r="2" spans="1:16" x14ac:dyDescent="0.3">
      <c r="B2" t="s">
        <v>2</v>
      </c>
      <c r="C2" t="s">
        <v>2412</v>
      </c>
      <c r="K2" t="str">
        <f>LEFT(C1,FIND("(",C1) - 2)</f>
        <v>Bureau Veritas SA</v>
      </c>
    </row>
    <row r="3" spans="1:16" x14ac:dyDescent="0.3">
      <c r="J3">
        <f ca="1">RANDBETWEEN(1,6)</f>
        <v>6</v>
      </c>
      <c r="K3" t="str">
        <f>" is scheduled to report earnings "&amp;IFERROR("between "&amp;LEFT(C20,FIND("-",C20)-2)&amp;" and "&amp;RIGHT(C20,FIND("-",C20)-2),"on "&amp;C20)</f>
        <v xml:space="preserve"> is scheduled to report earnings on Jul 28, 2017</v>
      </c>
      <c r="L3" t="str">
        <f>" is slated to report earnings "&amp;IFERROR("between "&amp;LEFT(C20,FIND("-",C20)-2)&amp;" and "&amp;RIGHT(C20,FIND("-",C20)-2),"on "&amp;C20)</f>
        <v xml:space="preserve"> is slated to report earnings on Jul 28, 2017</v>
      </c>
      <c r="M3" t="str">
        <f>" will report earnings "&amp;IFERROR("between "&amp;LEFT(C20,FIND("-",C20)-2)&amp;" and "&amp;RIGHT(C20,FIND("-",C20)-2),"on "&amp;C20)</f>
        <v xml:space="preserve"> will report earnings on Jul 28, 2017</v>
      </c>
      <c r="N3" t="str">
        <f>" reports earnings "&amp;IFERROR("between "&amp;LEFT(C20,FIND("-",C20)-2)&amp;" and "&amp;RIGHT(C20,FIND("-",C20)-2),"on "&amp;C20)</f>
        <v xml:space="preserve"> reports earnings on Jul 28, 2017</v>
      </c>
      <c r="O3" t="str">
        <f>" plans to report earnings "&amp;IFERROR("between "&amp;LEFT(C20,FIND("-",C20)-2)&amp;" and "&amp;RIGHT(C20,FIND("-",C20)-2),"on "&amp;C20)</f>
        <v xml:space="preserve"> plans to report earnings on Jul 28, 2017</v>
      </c>
      <c r="P3" t="str">
        <f>" is going to report earnings "&amp;IFERROR("between "&amp;LEFT(C20,FIND("-",C20)-2)&amp;" and "&amp;RIGHT(C20,FIND("-",C20)-2),"on "&amp;C20)</f>
        <v xml:space="preserve"> is going to report earnings on Jul 28, 2017</v>
      </c>
    </row>
    <row r="4" spans="1:16" x14ac:dyDescent="0.3">
      <c r="B4" t="s">
        <v>4</v>
      </c>
      <c r="J4">
        <f ca="1">RANDBETWEEN(1,2)</f>
        <v>1</v>
      </c>
      <c r="K4" t="str">
        <f>"The stock is currently trading at " &amp; TEXT(C2,"$####.00") &amp; ", " &amp; IF(C2-C7=0, "at the same price" &amp; " after opening " &amp; IF(C8-C7=0, "at the same price as yesterday's close", IF(C8-C7&gt;0, "up " &amp; IF((C7-C8)/C7*-1 &lt;0.01, "slightly", TEXT((C7-C8)/C7*-1,"##.##%")) &amp; " over yesterday's close", IF((C7-C8)/C7 &lt;0.01, "slightly below", "down " &amp; TEXT((C7-C8)/C7*1,"##.##%") &amp; " from") &amp; " yesterday's close")), IF(C2-C7&gt;0, "up " &amp; TEXT((C7-C2)/C7*-1,"##.##%") &amp; " after opening " &amp; IF(C8-C7=0, "at the same price as yesterday's close", IF(C8-C7&gt;0, "up " &amp; IF((C7-C8)/C7*-1 &lt;0.01, "slightly", TEXT((C7-C8)/C7*-1,"##.##%")) &amp; " over yesterday's close", IF((C7-C8)/C7 &lt;0.01, "slightly below", "down " &amp; TEXT((C7-C8)/C7*1,"##.##%") &amp; " from") &amp; " yesterday's close")), "down " &amp; TEXT((C7-C2)/C7*1,"##.##%") &amp; " after opening " &amp; IF(C8-C7=0, "at the same price as yesterday's close", IF(C8-C7&gt;0, "up " &amp; IF((C7-C8)/C7*-1 &lt;0.01, "slightly", TEXT((C7-C8)/C7*-1,"##.##%")) &amp; " over yesterday's close", IF((C7-C8)/C7 &lt;0.01, "slightly below", "down " &amp; TEXT((C7-C8)/C7*1,"##.##%") &amp; " from") &amp; " yesterday's close")) ))</f>
        <v>The stock is currently trading at $20.22, up 1.86% after opening slightly below yesterday's close</v>
      </c>
      <c r="L4" t="str">
        <f>"The current stock price is " &amp; TEXT(C2,"$####.00") &amp; ", " &amp; IF(C2-C7=0, "at the same price" &amp; " after opening " &amp; IF(C8-C7=0, "at the same price as yesterday's closing price", IF(C8-C7&gt;0, "up " &amp; IF((C7-C8)/C7*-1 &lt;0.01, "a fraction", TEXT((C7-C8)/C7*-1,"##.##%")) &amp; " over yesterday's closing price", IF((C7-C8)/C7 &lt;0.01, "a bit below", "down " &amp; TEXT((C7-C8)/C7*1,"##.##%") &amp; " from") &amp; " yesterday's closing price")), IF(C2-C7&gt;0, "up " &amp; TEXT((C7-C2)/C7*-1,"##.##%") &amp; " after opening " &amp; IF(C8-C7=0, "at yesterday's closing price", IF(C8-C7&gt;0, "up " &amp; IF((C7-C8)/C7*-1 &lt;0.01, "a fraction", TEXT((C7-C8)/C7*-1,"##.##%")) &amp; " over yesterday's closing price", IF((C7-C8)/C7 &lt;0.01, "a bit below", "down " &amp; TEXT((C7-C8)/C7*1,"##.##%") &amp; " from") &amp; " yesterday's closing price")), "down " &amp; TEXT((C7-C2)/C7*1,"##.##%") &amp; " after opening " &amp; IF(C8-C7=0, "at yesterday's closing price", IF(C8-C7&gt;0, "up " &amp; IF((C7-C8)/C7*-1 &lt;0.01, "a fraction", TEXT((C7-C8)/C7*-1,"##.##%")) &amp; " over yesterday's closing price", IF((C7-C8)/C7 &lt;0.01, "a bit below", "down " &amp; TEXT((C7-C8)/C7*1,"##.##%") &amp; " from") &amp; " yesterday's closing price")) ))</f>
        <v>The current stock price is $20.22, up 1.86% after opening a bit below yesterday's closing price</v>
      </c>
    </row>
    <row r="5" spans="1:16" x14ac:dyDescent="0.3">
      <c r="J5">
        <f ca="1">RANDBETWEEN(1,2)</f>
        <v>2</v>
      </c>
      <c r="K5" t="str">
        <f>"The one year target estimate for " &amp; D1 &amp; " is " &amp; TEXT(C23,"$####.00")</f>
        <v>The one year target estimate for Bureau Veritas SA is $19.77</v>
      </c>
      <c r="L5" t="str">
        <f>D1 &amp; " is expected to be trading at " &amp; TEXT(C23, "$####.00") &amp; ", based on target estimates"</f>
        <v>Bureau Veritas SA is expected to be trading at $19.77, based on target estimates</v>
      </c>
    </row>
    <row r="6" spans="1:16" x14ac:dyDescent="0.3">
      <c r="K6" t="str">
        <f>" which would be " &amp; IF(OR(LEFT(ABS((C23-C2)/C2*100),1)="8",LEFT(ABS((C23-C2)/C2*100),2)="18"), "an ", "a ")  &amp;TEXT(ABS((C23-C2)/C2),"####.00%")&amp;IF((C23-C2)&gt;0," increase over"," decrease from")&amp;" the current price"</f>
        <v xml:space="preserve"> which would be a 2.23% decrease from the current price</v>
      </c>
    </row>
    <row r="7" spans="1:16" x14ac:dyDescent="0.3">
      <c r="A7" s="1">
        <v>0</v>
      </c>
      <c r="B7" t="s">
        <v>5</v>
      </c>
      <c r="C7" t="s">
        <v>2413</v>
      </c>
      <c r="K7" t="str">
        <f>"Earnings are expected to " &amp; IF(C28=D28, "remain constant over the next quarter", IF( D28&gt;C28,  "increase by " &amp; TEXT((D28-C28)/C28*100,"##.##") &amp; "% over last quarter", "decrease by " &amp; TEXT((D28-C28)/C28*-100,"##.##") &amp; "% from last quarter")) &amp; " based on the average of " &amp; $C$27 &amp; " analyst estimates (Yahoo Finance)"</f>
        <v>Earnings are expected to remain constant over the next quarter based on the average of  analyst estimates (Yahoo Finance)</v>
      </c>
    </row>
    <row r="8" spans="1:16" x14ac:dyDescent="0.3">
      <c r="A8" s="1">
        <v>1</v>
      </c>
      <c r="B8" t="s">
        <v>7</v>
      </c>
      <c r="C8" t="s">
        <v>2414</v>
      </c>
      <c r="K8" t="str">
        <f>IF(VALUE(C2)=D12, "The stock is trading at an all-time low",IF(VALUE(C2) =E12,"The stock is trading at an all-time high",IF(VALUE(C2)&lt;D12+(E12-D12)/3, "The stock is trading in the low end of its 52-week range",IF(VALUE(C2)&lt;D12+2*(E12-D12)/3, "The stock is trading near the middle of its 52 week range", "The stock is trading in the high end of its 52-week range"))) )</f>
        <v>The stock is trading in the high end of its 52-week range</v>
      </c>
    </row>
    <row r="9" spans="1:16" x14ac:dyDescent="0.3">
      <c r="A9" s="1">
        <v>2</v>
      </c>
      <c r="B9" t="s">
        <v>9</v>
      </c>
      <c r="C9" t="s">
        <v>2415</v>
      </c>
      <c r="K9" t="str">
        <f>"Over the last 4 quarters, there" &amp; IF(4 - COUNTIF(C45:F45,"-*")=1, " has"," have") &amp; " been" &amp; IF(4 - COUNTIF(C45:F45,"-*")=1, " a,","") &amp; " positive earnings surprise" &amp; IF(4 - COUNTIF(C45:F45,"-*")=1, " ","s ") &amp; 4 -COUNTIF(C45:F45,"-*") &amp; IF(4 - COUNTIF(C45:F45,"-*")=1, " time,"," times,") &amp; " and a negative earnings surprise " &amp; COUNTIF(C45:F45,"-*") &amp; IF(COUNTIF(C45:F45,"-*")=1, " time", " times")</f>
        <v>Over the last 4 quarters, there have been positive earnings surprises 4 times, and a negative earnings surprise 0 times</v>
      </c>
    </row>
    <row r="10" spans="1:16" x14ac:dyDescent="0.3">
      <c r="A10" s="1">
        <v>3</v>
      </c>
      <c r="B10" t="s">
        <v>11</v>
      </c>
      <c r="C10" t="s">
        <v>2416</v>
      </c>
      <c r="K10" t="str">
        <f>IF(F48=F52,"",IF(F48&gt;F52, "EPS estimates have increased by " &amp; TEXT(F48-F52,"$0.00") &amp; " in the 2 months leading up to the earnings report", "EPS estimates have decreased by " &amp; TEXT(ABS(F48-F52),"$0.00") &amp; " in the 2 months leading up to the earnings report"))</f>
        <v>EPS estimates have decreased by $0.01 in the 2 months leading up to the earnings report</v>
      </c>
    </row>
    <row r="11" spans="1:16" x14ac:dyDescent="0.3">
      <c r="A11" s="1">
        <v>4</v>
      </c>
      <c r="B11" t="s">
        <v>12</v>
      </c>
      <c r="C11" t="s">
        <v>2417</v>
      </c>
      <c r="K11" t="str">
        <f>IF(B145="Interest Income",U42, K42)</f>
        <v>No positive trends</v>
      </c>
    </row>
    <row r="12" spans="1:16" x14ac:dyDescent="0.3">
      <c r="A12" s="1">
        <v>5</v>
      </c>
      <c r="B12" t="s">
        <v>14</v>
      </c>
      <c r="C12" t="s">
        <v>2418</v>
      </c>
      <c r="D12" t="str">
        <f>LEFT(C12,FIND("-",C12)-2)</f>
        <v>16.62</v>
      </c>
      <c r="E12" t="str">
        <f>TRIM(RIGHT(C12,FIND("-",C12)-1))</f>
        <v>21.81</v>
      </c>
      <c r="K12" t="str">
        <f ca="1">D78</f>
        <v>Inconclusive</v>
      </c>
    </row>
    <row r="13" spans="1:16" x14ac:dyDescent="0.3">
      <c r="A13" s="1">
        <v>6</v>
      </c>
      <c r="B13" t="s">
        <v>16</v>
      </c>
      <c r="C13" t="s">
        <v>2419</v>
      </c>
      <c r="K13" t="str">
        <f ca="1">D89</f>
        <v>Inconclusive</v>
      </c>
    </row>
    <row r="14" spans="1:16" x14ac:dyDescent="0.3">
      <c r="A14" s="1">
        <v>7</v>
      </c>
      <c r="B14" t="s">
        <v>18</v>
      </c>
      <c r="C14" t="s">
        <v>2420</v>
      </c>
    </row>
    <row r="16" spans="1:16" x14ac:dyDescent="0.3">
      <c r="A16" s="1">
        <v>0</v>
      </c>
      <c r="B16" t="s">
        <v>20</v>
      </c>
      <c r="C16" t="s">
        <v>2421</v>
      </c>
    </row>
    <row r="17" spans="1:23" x14ac:dyDescent="0.3">
      <c r="A17" s="1">
        <v>1</v>
      </c>
      <c r="B17" t="s">
        <v>22</v>
      </c>
      <c r="C17" t="s">
        <v>2422</v>
      </c>
      <c r="K17" t="str">
        <f ca="1">K2 &amp; IF(J3=1, K3,IF(J3=2,L3,IF(J3=3,M3,IF(J3=4,N3,IF(J3=5,O3,IF(J3=6,P3)))))) &amp; ". " &amp; IF(J4=1,K4,IF(J4=2,L4)) &amp; ". " &amp; IF(J5=1,K5,IF(J5=2,L5)) &amp; K6 &amp; ". " &amp; K7 &amp; ". " &amp; K8 &amp; ". " &amp; K9 &amp; "."</f>
        <v>Bureau Veritas SA is going to report earnings on Jul 28, 2017. The stock is currently trading at $20.22, up 1.86% after opening slightly below yesterday's close. Bureau Veritas SA is expected to be trading at $19.77, based on target estimates which would be a 2.23% decrease from the current price. Earnings are expected to remain constant over the next quarter based on the average of  analyst estimates (Yahoo Finance). The stock is trading in the high end of its 52-week range. Over the last 4 quarters, there have been positive earnings surprises 4 times, and a negative earnings surprise 0 times.</v>
      </c>
    </row>
    <row r="18" spans="1:23" x14ac:dyDescent="0.3">
      <c r="A18" s="1">
        <v>2</v>
      </c>
      <c r="B18" t="s">
        <v>24</v>
      </c>
      <c r="C18" t="s">
        <v>2423</v>
      </c>
    </row>
    <row r="19" spans="1:23" x14ac:dyDescent="0.3">
      <c r="A19" s="1">
        <v>3</v>
      </c>
      <c r="B19" t="s">
        <v>26</v>
      </c>
      <c r="C19" t="s">
        <v>2424</v>
      </c>
    </row>
    <row r="20" spans="1:23" x14ac:dyDescent="0.3">
      <c r="A20" s="1">
        <v>4</v>
      </c>
      <c r="B20" t="s">
        <v>28</v>
      </c>
      <c r="C20" t="s">
        <v>29</v>
      </c>
    </row>
    <row r="21" spans="1:23" x14ac:dyDescent="0.3">
      <c r="A21" s="1">
        <v>5</v>
      </c>
      <c r="B21" t="s">
        <v>30</v>
      </c>
      <c r="C21" t="s">
        <v>2425</v>
      </c>
    </row>
    <row r="22" spans="1:23" x14ac:dyDescent="0.3">
      <c r="A22" s="1">
        <v>6</v>
      </c>
      <c r="B22" t="s">
        <v>32</v>
      </c>
      <c r="C22" t="s">
        <v>2426</v>
      </c>
      <c r="J22">
        <f>IF(K22 &lt;&gt; "",1, 0)</f>
        <v>0</v>
      </c>
      <c r="K22" t="str">
        <f>IF(I145="pos_trend","Revenue","")</f>
        <v/>
      </c>
      <c r="L22" t="str">
        <f t="shared" ref="L22:L38" si="0">IF(EXACT(K22,UPPER(K22)),K22,LOWER(K22))</f>
        <v/>
      </c>
      <c r="M22" t="str">
        <f>L22</f>
        <v/>
      </c>
      <c r="T22">
        <f>IF(U22 &lt;&gt; "",1, 0)</f>
        <v>0</v>
      </c>
      <c r="U22" t="str">
        <f>IF(AND(B145 = "Interest Income",I145="pos_trend"), "Interest Income","")</f>
        <v/>
      </c>
      <c r="V22" t="str">
        <f t="shared" ref="V22:V38" si="1">IF(EXACT(U22,UPPER(U22)),U22,LOWER(U22))</f>
        <v/>
      </c>
      <c r="W22" t="str">
        <f>V22</f>
        <v/>
      </c>
    </row>
    <row r="23" spans="1:23" x14ac:dyDescent="0.3">
      <c r="A23" s="1">
        <v>7</v>
      </c>
      <c r="B23" t="s">
        <v>34</v>
      </c>
      <c r="C23" t="s">
        <v>2427</v>
      </c>
      <c r="J23">
        <f>IF(K23 &lt;&gt; "",2, 0)</f>
        <v>0</v>
      </c>
      <c r="K23" t="str">
        <f>IF(I146="pos_trend",B146,"")</f>
        <v/>
      </c>
      <c r="L23" t="str">
        <f t="shared" si="0"/>
        <v/>
      </c>
      <c r="M23" t="str">
        <f t="shared" ref="M23:M39" si="2">IF(L23&lt;&gt;"", M22 &amp; ", " &amp; L23,M22)</f>
        <v/>
      </c>
      <c r="T23">
        <f>IF(U23 &lt;&gt; "",2, 0)</f>
        <v>0</v>
      </c>
      <c r="U23" t="str">
        <f>IF(I151="pos_trend",B151,"")</f>
        <v/>
      </c>
      <c r="V23" t="str">
        <f t="shared" si="1"/>
        <v/>
      </c>
      <c r="W23" t="str">
        <f t="shared" ref="W23:W39" si="3">IF(V23&lt;&gt;"", W22 &amp; ", " &amp; V23,W22)</f>
        <v/>
      </c>
    </row>
    <row r="24" spans="1:23" x14ac:dyDescent="0.3">
      <c r="J24">
        <f>IF(K24 &lt;&gt; "",3, 0)</f>
        <v>0</v>
      </c>
      <c r="K24" t="str">
        <f>IF(I153="pos_trend",B153,"")</f>
        <v/>
      </c>
      <c r="L24" t="str">
        <f t="shared" si="0"/>
        <v/>
      </c>
      <c r="M24" t="str">
        <f t="shared" si="2"/>
        <v/>
      </c>
      <c r="T24">
        <f>IF(U24 &lt;&gt; "",3, 0)</f>
        <v>0</v>
      </c>
      <c r="U24" t="str">
        <f>IF(I161="pos_trend",B161,"")</f>
        <v/>
      </c>
      <c r="V24" t="str">
        <f t="shared" si="1"/>
        <v/>
      </c>
      <c r="W24" t="str">
        <f t="shared" si="3"/>
        <v/>
      </c>
    </row>
    <row r="25" spans="1:23" x14ac:dyDescent="0.3">
      <c r="J25">
        <f>IF(K25 &lt;&gt; "",4, 0)</f>
        <v>0</v>
      </c>
      <c r="K25" t="str">
        <f>IF(I154="pos_trend",B154,"")</f>
        <v/>
      </c>
      <c r="L25" t="str">
        <f t="shared" si="0"/>
        <v/>
      </c>
      <c r="M25" t="str">
        <f t="shared" si="2"/>
        <v/>
      </c>
      <c r="T25">
        <f>IF(U25 &lt;&gt; "",4, 0)</f>
        <v>0</v>
      </c>
      <c r="U25" t="str">
        <f>IF(I162="pos_trend",B162,"")</f>
        <v/>
      </c>
      <c r="V25" t="str">
        <f t="shared" si="1"/>
        <v/>
      </c>
      <c r="W25" t="str">
        <f t="shared" si="3"/>
        <v/>
      </c>
    </row>
    <row r="26" spans="1:23" x14ac:dyDescent="0.3">
      <c r="B26" s="1" t="s">
        <v>36</v>
      </c>
      <c r="C26" s="1" t="s">
        <v>37</v>
      </c>
      <c r="D26" s="1" t="s">
        <v>38</v>
      </c>
      <c r="E26" s="1" t="s">
        <v>39</v>
      </c>
      <c r="F26" s="1" t="s">
        <v>40</v>
      </c>
      <c r="J26">
        <f>IF(K26 &lt;&gt; "",5, 0)</f>
        <v>0</v>
      </c>
      <c r="K26" t="str">
        <f>IF(I155="pos_trend",B155,"")</f>
        <v/>
      </c>
      <c r="L26" t="str">
        <f t="shared" si="0"/>
        <v/>
      </c>
      <c r="M26" t="str">
        <f t="shared" si="2"/>
        <v/>
      </c>
      <c r="T26">
        <f>IF(U26 &lt;&gt; "",5, 0)</f>
        <v>0</v>
      </c>
      <c r="U26" t="str">
        <f>IF(I167="pos_trend",B167,"")</f>
        <v/>
      </c>
      <c r="V26" t="str">
        <f t="shared" si="1"/>
        <v/>
      </c>
      <c r="W26" t="str">
        <f t="shared" si="3"/>
        <v/>
      </c>
    </row>
    <row r="27" spans="1:23" x14ac:dyDescent="0.3">
      <c r="A27" s="1">
        <v>0</v>
      </c>
      <c r="B27" t="s">
        <v>41</v>
      </c>
      <c r="E27">
        <v>20</v>
      </c>
      <c r="F27">
        <v>20</v>
      </c>
      <c r="J27">
        <f>IF(K27 &lt;&gt; "",6, 0)</f>
        <v>0</v>
      </c>
      <c r="K27" t="str">
        <f>IF(I172="pos_trend",B172,"")</f>
        <v/>
      </c>
      <c r="L27" t="str">
        <f t="shared" si="0"/>
        <v/>
      </c>
      <c r="M27" t="str">
        <f t="shared" si="2"/>
        <v/>
      </c>
      <c r="T27">
        <f>IF(U27 &lt;&gt; "",6, 0)</f>
        <v>0</v>
      </c>
      <c r="U27" t="str">
        <f>IF(I170="pos_trend",B170,"")</f>
        <v/>
      </c>
      <c r="V27" t="str">
        <f t="shared" si="1"/>
        <v/>
      </c>
      <c r="W27" t="str">
        <f t="shared" si="3"/>
        <v/>
      </c>
    </row>
    <row r="28" spans="1:23" x14ac:dyDescent="0.3">
      <c r="A28" s="1">
        <v>1</v>
      </c>
      <c r="B28" t="s">
        <v>42</v>
      </c>
      <c r="E28">
        <v>0.96</v>
      </c>
      <c r="F28">
        <v>1.01</v>
      </c>
      <c r="J28">
        <f>IF(K28 &lt;&gt; "",7, 0)</f>
        <v>0</v>
      </c>
      <c r="K28" t="str">
        <f>IF(I173="pos_trend",B173,"")</f>
        <v/>
      </c>
      <c r="L28" t="str">
        <f t="shared" si="0"/>
        <v/>
      </c>
      <c r="M28" t="str">
        <f t="shared" si="2"/>
        <v/>
      </c>
      <c r="T28">
        <f>IF(U28 &lt;&gt; "",7, 0)</f>
        <v>0</v>
      </c>
      <c r="U28" t="str">
        <f>IF(I171="pos_trend",B171,"")</f>
        <v/>
      </c>
      <c r="V28" t="str">
        <f t="shared" si="1"/>
        <v/>
      </c>
      <c r="W28" t="str">
        <f t="shared" si="3"/>
        <v/>
      </c>
    </row>
    <row r="29" spans="1:23" x14ac:dyDescent="0.3">
      <c r="A29" s="1">
        <v>2</v>
      </c>
      <c r="B29" t="s">
        <v>43</v>
      </c>
      <c r="E29">
        <v>0.86</v>
      </c>
      <c r="F29">
        <v>0.94</v>
      </c>
      <c r="J29">
        <f>IF(K29 &lt;&gt; "",8, 0)</f>
        <v>0</v>
      </c>
      <c r="K29" t="str">
        <f>IF(I174="pos_trend",B174,"")</f>
        <v/>
      </c>
      <c r="L29" t="str">
        <f t="shared" si="0"/>
        <v/>
      </c>
      <c r="M29" t="str">
        <f t="shared" si="2"/>
        <v/>
      </c>
      <c r="T29">
        <f>IF(U29 &lt;&gt; "",8, 0)</f>
        <v>0</v>
      </c>
      <c r="U29" t="str">
        <f>IF(I172="pos_trend",B172,"")</f>
        <v/>
      </c>
      <c r="V29" t="str">
        <f t="shared" si="1"/>
        <v/>
      </c>
      <c r="W29" t="str">
        <f t="shared" si="3"/>
        <v/>
      </c>
    </row>
    <row r="30" spans="1:23" x14ac:dyDescent="0.3">
      <c r="A30" s="1">
        <v>3</v>
      </c>
      <c r="B30" t="s">
        <v>44</v>
      </c>
      <c r="E30">
        <v>1.01</v>
      </c>
      <c r="F30">
        <v>1.06</v>
      </c>
      <c r="J30">
        <f>IF(K30 &lt;&gt; "",9, 0)</f>
        <v>0</v>
      </c>
      <c r="K30" t="str">
        <f>IF(I185="pos_trend",B185,"")</f>
        <v/>
      </c>
      <c r="L30" t="str">
        <f t="shared" si="0"/>
        <v/>
      </c>
      <c r="M30" t="str">
        <f t="shared" si="2"/>
        <v/>
      </c>
      <c r="T30">
        <f>IF(U30 &lt;&gt; "",9, 0)</f>
        <v>0</v>
      </c>
      <c r="U30" t="str">
        <f>IF(I178="pos_trend",B178,"")</f>
        <v/>
      </c>
      <c r="V30" t="str">
        <f t="shared" si="1"/>
        <v/>
      </c>
      <c r="W30" t="str">
        <f t="shared" si="3"/>
        <v/>
      </c>
    </row>
    <row r="31" spans="1:23" x14ac:dyDescent="0.3">
      <c r="A31" s="1">
        <v>4</v>
      </c>
      <c r="B31" t="s">
        <v>45</v>
      </c>
      <c r="E31">
        <v>0.94</v>
      </c>
      <c r="F31">
        <v>0.96</v>
      </c>
      <c r="J31">
        <f>IF(K31 &lt;&gt; "",10, 0)</f>
        <v>0</v>
      </c>
      <c r="K31" t="str">
        <f>IF(I186="pos_trend",B186,"")</f>
        <v/>
      </c>
      <c r="L31" t="str">
        <f t="shared" si="0"/>
        <v/>
      </c>
      <c r="M31" t="str">
        <f t="shared" si="2"/>
        <v/>
      </c>
      <c r="T31">
        <f>IF(U31 &lt;&gt; "",10, 0)</f>
        <v>0</v>
      </c>
      <c r="U31" t="str">
        <f>IF(I199="pos_trend",B199,"")</f>
        <v/>
      </c>
      <c r="V31" t="str">
        <f t="shared" si="1"/>
        <v/>
      </c>
      <c r="W31" t="str">
        <f t="shared" si="3"/>
        <v/>
      </c>
    </row>
    <row r="32" spans="1:23" x14ac:dyDescent="0.3">
      <c r="J32">
        <f>IF(K32 &lt;&gt; "",11, 0)</f>
        <v>0</v>
      </c>
      <c r="K32" t="str">
        <f>IF(I187="pos_trend",B187,"")</f>
        <v/>
      </c>
      <c r="L32" t="str">
        <f t="shared" si="0"/>
        <v/>
      </c>
      <c r="M32" t="str">
        <f t="shared" si="2"/>
        <v/>
      </c>
      <c r="T32">
        <f>IF(U32 &lt;&gt; "",11, 0)</f>
        <v>0</v>
      </c>
      <c r="U32" t="str">
        <f>IF(I209="pos_trend",B209,"")</f>
        <v/>
      </c>
      <c r="V32" t="str">
        <f t="shared" si="1"/>
        <v/>
      </c>
      <c r="W32" t="str">
        <f t="shared" si="3"/>
        <v/>
      </c>
    </row>
    <row r="33" spans="1:23" x14ac:dyDescent="0.3">
      <c r="B33" s="1" t="s">
        <v>46</v>
      </c>
      <c r="C33" s="1" t="s">
        <v>37</v>
      </c>
      <c r="D33" s="1" t="s">
        <v>38</v>
      </c>
      <c r="E33" s="1" t="s">
        <v>39</v>
      </c>
      <c r="F33" s="1" t="s">
        <v>40</v>
      </c>
      <c r="J33">
        <f>IF(K33 &lt;&gt; "",12, 0)</f>
        <v>0</v>
      </c>
      <c r="K33" t="str">
        <f>IF(I195="pos_trend",B195,"")</f>
        <v/>
      </c>
      <c r="L33" t="str">
        <f t="shared" si="0"/>
        <v/>
      </c>
      <c r="M33" t="str">
        <f t="shared" si="2"/>
        <v/>
      </c>
      <c r="T33">
        <f>IF(U33 &lt;&gt; "",12, 0)</f>
        <v>0</v>
      </c>
      <c r="U33" t="str">
        <f>IF(I231="pos_trend",B231,"")</f>
        <v/>
      </c>
      <c r="V33" t="str">
        <f t="shared" si="1"/>
        <v/>
      </c>
      <c r="W33" t="str">
        <f t="shared" si="3"/>
        <v/>
      </c>
    </row>
    <row r="34" spans="1:23" x14ac:dyDescent="0.3">
      <c r="A34" s="1">
        <v>0</v>
      </c>
      <c r="B34" t="s">
        <v>41</v>
      </c>
      <c r="E34" t="s">
        <v>2428</v>
      </c>
      <c r="F34" t="s">
        <v>2429</v>
      </c>
      <c r="J34">
        <f>IF(K34 &lt;&gt; "",13, 0)</f>
        <v>0</v>
      </c>
      <c r="K34" t="str">
        <f>IF(I196="pos_trend",B196,"")</f>
        <v/>
      </c>
      <c r="L34" t="str">
        <f t="shared" si="0"/>
        <v/>
      </c>
      <c r="M34" t="str">
        <f t="shared" si="2"/>
        <v/>
      </c>
      <c r="T34">
        <f>IF(U34 &lt;&gt; "",13, 0)</f>
        <v>0</v>
      </c>
      <c r="U34" t="str">
        <f>IF(I251="pos_trend",B251,"")</f>
        <v/>
      </c>
      <c r="V34" t="str">
        <f t="shared" si="1"/>
        <v/>
      </c>
      <c r="W34" t="str">
        <f t="shared" si="3"/>
        <v/>
      </c>
    </row>
    <row r="35" spans="1:23" x14ac:dyDescent="0.3">
      <c r="A35" s="1">
        <v>1</v>
      </c>
      <c r="B35" t="s">
        <v>42</v>
      </c>
      <c r="E35" t="s">
        <v>2430</v>
      </c>
      <c r="F35" t="s">
        <v>2431</v>
      </c>
      <c r="J35">
        <f>IF(K35 &lt;&gt; "",14, 0)</f>
        <v>0</v>
      </c>
      <c r="K35" t="str">
        <f>IF(I201="pos_trend",B201,"")</f>
        <v/>
      </c>
      <c r="L35" t="str">
        <f t="shared" si="0"/>
        <v/>
      </c>
      <c r="M35" t="str">
        <f t="shared" si="2"/>
        <v/>
      </c>
      <c r="T35">
        <f>IF(U35 &lt;&gt; "",14, 0)</f>
        <v>0</v>
      </c>
      <c r="U35" t="str">
        <f>IF(I279="pos_trend",B279,"")</f>
        <v/>
      </c>
      <c r="V35" t="str">
        <f t="shared" si="1"/>
        <v/>
      </c>
      <c r="W35" t="str">
        <f t="shared" si="3"/>
        <v/>
      </c>
    </row>
    <row r="36" spans="1:23" x14ac:dyDescent="0.3">
      <c r="A36" s="1">
        <v>2</v>
      </c>
      <c r="B36" t="s">
        <v>43</v>
      </c>
      <c r="E36" t="s">
        <v>2432</v>
      </c>
      <c r="F36" t="s">
        <v>2433</v>
      </c>
      <c r="J36">
        <f>IF(K36 &lt;&gt; "",15, 0)</f>
        <v>0</v>
      </c>
      <c r="K36" t="str">
        <f>IF(I202="pos_trend",B202,"")</f>
        <v/>
      </c>
      <c r="L36" t="str">
        <f t="shared" si="0"/>
        <v/>
      </c>
      <c r="M36" t="str">
        <f t="shared" si="2"/>
        <v/>
      </c>
      <c r="T36">
        <f>IF(U36 &lt;&gt; "",15, 0)</f>
        <v>0</v>
      </c>
      <c r="U36" t="str">
        <f>IF(I336="pos_trend",B336,"")</f>
        <v/>
      </c>
      <c r="V36" t="str">
        <f t="shared" si="1"/>
        <v/>
      </c>
      <c r="W36" t="str">
        <f t="shared" si="3"/>
        <v/>
      </c>
    </row>
    <row r="37" spans="1:23" x14ac:dyDescent="0.3">
      <c r="A37" s="1">
        <v>3</v>
      </c>
      <c r="B37" t="s">
        <v>44</v>
      </c>
      <c r="E37" t="s">
        <v>2434</v>
      </c>
      <c r="F37" t="s">
        <v>2435</v>
      </c>
      <c r="J37">
        <f>IF(K37 &lt;&gt; "",16, 0)</f>
        <v>0</v>
      </c>
      <c r="K37" t="str">
        <f>IF(I203="pos_trend",B203,"")</f>
        <v/>
      </c>
      <c r="L37" t="str">
        <f t="shared" si="0"/>
        <v/>
      </c>
      <c r="M37" t="str">
        <f t="shared" si="2"/>
        <v/>
      </c>
      <c r="T37">
        <f>IF(U37 &lt;&gt; "",16, 0)</f>
        <v>0</v>
      </c>
      <c r="U37" t="str">
        <f>IF(I235="pos_trend",B235,"")</f>
        <v/>
      </c>
      <c r="V37" t="str">
        <f t="shared" si="1"/>
        <v/>
      </c>
      <c r="W37" t="str">
        <f t="shared" si="3"/>
        <v/>
      </c>
    </row>
    <row r="38" spans="1:23" x14ac:dyDescent="0.3">
      <c r="A38" s="1">
        <v>4</v>
      </c>
      <c r="B38" t="s">
        <v>61</v>
      </c>
      <c r="E38" t="s">
        <v>2436</v>
      </c>
      <c r="F38" t="s">
        <v>2430</v>
      </c>
      <c r="J38">
        <f>IF(K38 &lt;&gt; "",17, 0)</f>
        <v>0</v>
      </c>
      <c r="K38" t="str">
        <f>IF(I351="pos_trend",B351,"")</f>
        <v/>
      </c>
      <c r="L38" t="str">
        <f t="shared" si="0"/>
        <v/>
      </c>
      <c r="M38" t="str">
        <f t="shared" si="2"/>
        <v/>
      </c>
      <c r="T38">
        <f>IF(U38 &lt;&gt; "",17, 0)</f>
        <v>0</v>
      </c>
      <c r="U38" t="str">
        <f>IF(I236="pos_trend",B236,"")</f>
        <v/>
      </c>
      <c r="V38" t="str">
        <f t="shared" si="1"/>
        <v/>
      </c>
      <c r="W38" t="str">
        <f t="shared" si="3"/>
        <v/>
      </c>
    </row>
    <row r="39" spans="1:23" x14ac:dyDescent="0.3">
      <c r="A39" s="1">
        <v>5</v>
      </c>
      <c r="B39" t="s">
        <v>65</v>
      </c>
      <c r="E39" t="s">
        <v>2437</v>
      </c>
      <c r="F39" t="s">
        <v>1653</v>
      </c>
      <c r="K39" t="str">
        <f>IF(I352="pos_trend",B352,"")</f>
        <v/>
      </c>
      <c r="M39" t="str">
        <f t="shared" si="2"/>
        <v/>
      </c>
      <c r="W39" t="str">
        <f t="shared" si="3"/>
        <v/>
      </c>
    </row>
    <row r="40" spans="1:23" x14ac:dyDescent="0.3">
      <c r="J40">
        <f>MAX(J22:J39)</f>
        <v>0</v>
      </c>
      <c r="K40" t="str">
        <f>VLOOKUP(J40,J22:K39,2,FALSE)</f>
        <v/>
      </c>
      <c r="M40" t="str">
        <f>IF(IFERROR(FIND(",",M39),TRUE)=TRUE,M39,IF(NOT(EXACT(K40,UPPER(K40))),SUBSTITUTE(M39,LOWER(K40),"and "&amp;LOWER(K40)),SUBSTITUTE(M39,K40,"and "&amp;K40)))</f>
        <v/>
      </c>
      <c r="T40">
        <f>MAX(T22:T39)</f>
        <v>0</v>
      </c>
      <c r="U40" t="str">
        <f>VLOOKUP(T40,T22:U39,2,FALSE)</f>
        <v/>
      </c>
      <c r="W40" t="str">
        <f>IF(IFERROR(FIND(",",W39),TRUE)=TRUE,W39,IF(NOT(EXACT(U40,UPPER(U40))),SUBSTITUTE(W39,LOWER(U40),"and "&amp;LOWER(U40)),SUBSTITUTE(W39,U40,"and "&amp;U40)))</f>
        <v/>
      </c>
    </row>
    <row r="41" spans="1:23" x14ac:dyDescent="0.3">
      <c r="B41" s="1" t="s">
        <v>70</v>
      </c>
      <c r="C41" s="1" t="s">
        <v>2438</v>
      </c>
      <c r="D41" s="1" t="s">
        <v>2439</v>
      </c>
      <c r="E41" s="1" t="s">
        <v>2440</v>
      </c>
      <c r="F41" s="1" t="s">
        <v>2441</v>
      </c>
    </row>
    <row r="42" spans="1:23" x14ac:dyDescent="0.3">
      <c r="A42" s="1">
        <v>0</v>
      </c>
      <c r="B42" t="s">
        <v>75</v>
      </c>
      <c r="K42" t="str">
        <f>SUBSTITUTE(IF(M40&lt;&gt;"", D1 &amp; " has managed to increase " &amp; M40 &amp; " each year since " &amp; C144, "No positive trends")," , "," ")</f>
        <v>No positive trends</v>
      </c>
      <c r="U42" t="str">
        <f>SUBSTITUTE(IF(W40&lt;&gt;"", D1 &amp; " has managed to increase " &amp; W40 &amp; " each year since " &amp; C144, "No positive trends")," , "," ")</f>
        <v>No positive trends</v>
      </c>
    </row>
    <row r="43" spans="1:23" x14ac:dyDescent="0.3">
      <c r="A43" s="1">
        <v>1</v>
      </c>
      <c r="B43" t="s">
        <v>80</v>
      </c>
    </row>
    <row r="44" spans="1:23" x14ac:dyDescent="0.3">
      <c r="A44" s="1">
        <v>2</v>
      </c>
      <c r="B44" t="s">
        <v>84</v>
      </c>
    </row>
    <row r="45" spans="1:23" x14ac:dyDescent="0.3">
      <c r="A45" s="1">
        <v>3</v>
      </c>
      <c r="B45" t="s">
        <v>89</v>
      </c>
    </row>
    <row r="47" spans="1:23" x14ac:dyDescent="0.3">
      <c r="B47" s="1" t="s">
        <v>94</v>
      </c>
      <c r="C47" s="1" t="s">
        <v>37</v>
      </c>
      <c r="D47" s="1" t="s">
        <v>38</v>
      </c>
      <c r="E47" s="1" t="s">
        <v>39</v>
      </c>
      <c r="F47" s="1" t="s">
        <v>40</v>
      </c>
    </row>
    <row r="48" spans="1:23" x14ac:dyDescent="0.3">
      <c r="A48" s="1">
        <v>0</v>
      </c>
      <c r="B48" t="s">
        <v>95</v>
      </c>
      <c r="E48">
        <v>0.96</v>
      </c>
      <c r="F48">
        <v>1.01</v>
      </c>
    </row>
    <row r="49" spans="1:14" x14ac:dyDescent="0.3">
      <c r="A49" s="1">
        <v>1</v>
      </c>
      <c r="B49" t="s">
        <v>96</v>
      </c>
      <c r="E49">
        <v>0.96</v>
      </c>
      <c r="F49">
        <v>1.01</v>
      </c>
    </row>
    <row r="50" spans="1:14" x14ac:dyDescent="0.3">
      <c r="A50" s="1">
        <v>2</v>
      </c>
      <c r="B50" t="s">
        <v>97</v>
      </c>
      <c r="E50">
        <v>0.97</v>
      </c>
      <c r="F50">
        <v>1.02</v>
      </c>
    </row>
    <row r="51" spans="1:14" x14ac:dyDescent="0.3">
      <c r="A51" s="1">
        <v>3</v>
      </c>
      <c r="B51" t="s">
        <v>98</v>
      </c>
      <c r="E51">
        <v>0.98</v>
      </c>
      <c r="F51">
        <v>1.03</v>
      </c>
    </row>
    <row r="52" spans="1:14" x14ac:dyDescent="0.3">
      <c r="A52" s="1">
        <v>4</v>
      </c>
      <c r="B52" t="s">
        <v>99</v>
      </c>
      <c r="E52">
        <v>0.97</v>
      </c>
      <c r="F52">
        <v>1.02</v>
      </c>
    </row>
    <row r="54" spans="1:14" x14ac:dyDescent="0.3">
      <c r="B54" s="1" t="s">
        <v>100</v>
      </c>
      <c r="C54" s="1" t="s">
        <v>37</v>
      </c>
      <c r="D54" s="1" t="s">
        <v>38</v>
      </c>
      <c r="E54" s="1" t="s">
        <v>39</v>
      </c>
      <c r="F54" s="1" t="s">
        <v>40</v>
      </c>
    </row>
    <row r="55" spans="1:14" x14ac:dyDescent="0.3">
      <c r="A55" s="1">
        <v>0</v>
      </c>
      <c r="B55" t="s">
        <v>101</v>
      </c>
    </row>
    <row r="56" spans="1:14" x14ac:dyDescent="0.3">
      <c r="A56" s="1">
        <v>1</v>
      </c>
      <c r="B56" t="s">
        <v>102</v>
      </c>
    </row>
    <row r="57" spans="1:14" x14ac:dyDescent="0.3">
      <c r="A57" s="1">
        <v>2</v>
      </c>
      <c r="B57" t="s">
        <v>103</v>
      </c>
      <c r="E57">
        <v>1</v>
      </c>
    </row>
    <row r="58" spans="1:14" x14ac:dyDescent="0.3">
      <c r="A58" s="1">
        <v>3</v>
      </c>
      <c r="B58" t="s">
        <v>104</v>
      </c>
    </row>
    <row r="60" spans="1:14" x14ac:dyDescent="0.3">
      <c r="B60" s="1" t="s">
        <v>105</v>
      </c>
      <c r="C60" s="1" t="s">
        <v>2442</v>
      </c>
      <c r="D60" s="1" t="s">
        <v>107</v>
      </c>
      <c r="E60" s="1" t="s">
        <v>108</v>
      </c>
      <c r="F60" s="1" t="s">
        <v>109</v>
      </c>
      <c r="I60" t="str">
        <f t="shared" ref="I60:I91" si="4">IF(AND(K60&gt; J60, L60&gt; K60, M60&gt; L60, N60&gt; M60), "pos_trend", IF(AND(K60&lt; J60, L60&lt; K60, M60&lt; L60, N60&lt; M60), "neg_trend", "N/A"))</f>
        <v>N/A</v>
      </c>
      <c r="J60" t="str">
        <f t="shared" ref="J60:J91" si="5">IFERROR(IF(TRIM(C60)="-", "N/A", IF(RIGHT(C60,1)=")",IF(RIGHT(C60,2)="T)",-1000000000000*VALUE(MID(C60,2,LEN(C60)-3)),IF(RIGHT(C60,2)="M)",-1000000*VALUE(MID(C60,2,LEN(C60)-3)),IF(RIGHT(C60,2)="B)",-1000000000*VALUE(MID(C60,2,LEN(C60)-3)),IF(RIGHT(C60,2)="k)",-1000*VALUE(MID(C60,2,LEN(C60)-3)),VALUE(SUBSTITUTE(C60,",","")))))),IF(RIGHT(C60,1)="T",1000000000000*VALUE(LEFT(C60,LEN(C60)-1)),IF(RIGHT(C60,1)="M",1000000*VALUE(LEFT(C60,LEN(C60)-1)),IF(RIGHT(C60,1)="B",1000000000*VALUE(LEFT(C60,LEN(C60)-1)),IF(RIGHT(C60,1)="%",0.01*VALUE(LEFT(C60,LEN(C60)-1)),IF(RIGHT(C60,1)="k",1000*VALUE(LEFT(C60,LEN(C60)-1)),VALUE(SUBSTITUTE(C60,",",""))))))))),"N/A")</f>
        <v>N/A</v>
      </c>
      <c r="K60" t="str">
        <f t="shared" ref="K60:K91" si="6">IFERROR(IF(TRIM(D60)="-", "N/A", IF(RIGHT(D60,1)=")",IF(RIGHT(D60,2)="T)",-1000000000000*VALUE(MID(D60,2,LEN(D60)-3)),IF(RIGHT(D60,2)="M)",-1000000*VALUE(MID(D60,2,LEN(D60)-3)),IF(RIGHT(D60,2)="B)",-1000000000*VALUE(MID(D60,2,LEN(D60)-3)),IF(RIGHT(D60,2)="k)",-1000*VALUE(MID(D60,2,LEN(D60)-3)),VALUE(SUBSTITUTE(D60,",","")))))),IF(RIGHT(D60,1)="T",1000000000000*VALUE(LEFT(D60,LEN(D60)-1)),IF(RIGHT(D60,1)="M",1000000*VALUE(LEFT(D60,LEN(D60)-1)),IF(RIGHT(D60,1)="B",1000000000*VALUE(LEFT(D60,LEN(D60)-1)),IF(RIGHT(D60,1)="%",0.01*VALUE(LEFT(D60,LEN(D60)-1)),IF(RIGHT(D60,1)="k",1000*VALUE(LEFT(D60,LEN(D60)-1)),VALUE(SUBSTITUTE(D60,",",""))))))))),"N/A")</f>
        <v>N/A</v>
      </c>
      <c r="L60" t="str">
        <f t="shared" ref="L60:L91" si="7">IFERROR(IF(TRIM(E60)="-", "N/A", IF(RIGHT(E60,1)=")",IF(RIGHT(E60,2)="T)",-1000000000000*VALUE(MID(E60,2,LEN(E60)-3)),IF(RIGHT(E60,2)="M)",-1000000*VALUE(MID(E60,2,LEN(E60)-3)),IF(RIGHT(E60,2)="B)",-1000000000*VALUE(MID(E60,2,LEN(E60)-3)),IF(RIGHT(E60,2)="k)",-1000*VALUE(MID(E60,2,LEN(E60)-3)),VALUE(SUBSTITUTE(E60,",","")))))),IF(RIGHT(E60,1)="T",1000000000000*VALUE(LEFT(E60,LEN(E60)-1)),IF(RIGHT(E60,1)="M",1000000*VALUE(LEFT(E60,LEN(E60)-1)),IF(RIGHT(E60,1)="B",1000000000*VALUE(LEFT(E60,LEN(E60)-1)),IF(RIGHT(E60,1)="%",0.01*VALUE(LEFT(E60,LEN(E60)-1)),IF(RIGHT(E60,1)="k",1000*VALUE(LEFT(E60,LEN(E60)-1)),VALUE(SUBSTITUTE(E60,",",""))))))))),"N/A")</f>
        <v>N/A</v>
      </c>
      <c r="M60" t="str">
        <f t="shared" ref="M60:M91" si="8">IFERROR(IF(TRIM(F60)="-", "N/A", IF(RIGHT(F60,1)=")",IF(RIGHT(F60,2)="T)",-1000000000000*VALUE(MID(F60,2,LEN(F60)-3)),IF(RIGHT(F60,2)="M)",-1000000*VALUE(MID(F60,2,LEN(F60)-3)),IF(RIGHT(F60,2)="B)",-1000000000*VALUE(MID(F60,2,LEN(F60)-3)),IF(RIGHT(F60,2)="k)",-1000*VALUE(MID(F60,2,LEN(F60)-3)),VALUE(SUBSTITUTE(F60,",","")))))),IF(RIGHT(F60,1)="T",1000000000000*VALUE(LEFT(F60,LEN(F60)-1)),IF(RIGHT(F60,1)="M",1000000*VALUE(LEFT(F60,LEN(F60)-1)),IF(RIGHT(F60,1)="B",1000000000*VALUE(LEFT(F60,LEN(F60)-1)),IF(RIGHT(F60,1)="%",0.01*VALUE(LEFT(F60,LEN(F60)-1)),IF(RIGHT(F60,1)="k",1000*VALUE(LEFT(F60,LEN(F60)-1)),VALUE(SUBSTITUTE(F60,",",""))))))))),"N/A")</f>
        <v>N/A</v>
      </c>
      <c r="N60" t="str">
        <f t="shared" ref="N60:N91" si="9">IFERROR(IF(TRIM(G60)="-", "N/A", IF(RIGHT(G60,1)=")",IF(RIGHT(G60,2)="T)",-1000000000000*VALUE(MID(G60,2,LEN(G60)-3)),IF(RIGHT(G60,2)="M)",-1000000*VALUE(MID(G60,2,LEN(G60)-3)),IF(RIGHT(G60,2)="B)",-1000000000*VALUE(MID(G60,2,LEN(G60)-3)),IF(RIGHT(G60,2)="k)",-1000*VALUE(MID(G60,2,LEN(G60)-3)),VALUE(SUBSTITUTE(G60,",","")))))),IF(RIGHT(G60,1)="T",1000000000000*VALUE(LEFT(G60,LEN(G60)-1)),IF(RIGHT(G60,1)="M",1000000*VALUE(LEFT(G60,LEN(G60)-1)),IF(RIGHT(G60,1)="B",1000000000*VALUE(LEFT(G60,LEN(G60)-1)),IF(RIGHT(G60,1)="%",0.01*VALUE(LEFT(G60,LEN(G60)-1)),IF(RIGHT(G60,1)="k",1000*VALUE(LEFT(G60,LEN(G60)-1)),VALUE(SUBSTITUTE(G60,",",""))))))))),"N/A")</f>
        <v>N/A</v>
      </c>
    </row>
    <row r="61" spans="1:14" x14ac:dyDescent="0.3">
      <c r="A61" s="1">
        <v>0</v>
      </c>
      <c r="B61" t="s">
        <v>110</v>
      </c>
      <c r="F61">
        <v>0.18</v>
      </c>
      <c r="I61" t="str">
        <f t="shared" si="4"/>
        <v>N/A</v>
      </c>
      <c r="J61" t="str">
        <f t="shared" si="5"/>
        <v>N/A</v>
      </c>
      <c r="K61" t="str">
        <f t="shared" si="6"/>
        <v>N/A</v>
      </c>
      <c r="L61" t="str">
        <f t="shared" si="7"/>
        <v>N/A</v>
      </c>
      <c r="M61">
        <f t="shared" si="8"/>
        <v>0.18</v>
      </c>
      <c r="N61" t="str">
        <f t="shared" si="9"/>
        <v>N/A</v>
      </c>
    </row>
    <row r="62" spans="1:14" x14ac:dyDescent="0.3">
      <c r="A62" s="1">
        <v>1</v>
      </c>
      <c r="B62" t="s">
        <v>112</v>
      </c>
      <c r="F62">
        <v>0.24</v>
      </c>
      <c r="I62" t="str">
        <f t="shared" si="4"/>
        <v>N/A</v>
      </c>
      <c r="J62" t="str">
        <f t="shared" si="5"/>
        <v>N/A</v>
      </c>
      <c r="K62" t="str">
        <f t="shared" si="6"/>
        <v>N/A</v>
      </c>
      <c r="L62" t="str">
        <f t="shared" si="7"/>
        <v>N/A</v>
      </c>
      <c r="M62">
        <f t="shared" si="8"/>
        <v>0.24</v>
      </c>
      <c r="N62" t="str">
        <f t="shared" si="9"/>
        <v>N/A</v>
      </c>
    </row>
    <row r="63" spans="1:14" x14ac:dyDescent="0.3">
      <c r="A63" s="1">
        <v>2</v>
      </c>
      <c r="B63" t="s">
        <v>114</v>
      </c>
      <c r="C63" t="s">
        <v>1035</v>
      </c>
      <c r="F63">
        <v>0.08</v>
      </c>
      <c r="I63" t="str">
        <f t="shared" si="4"/>
        <v>N/A</v>
      </c>
      <c r="J63">
        <f t="shared" si="5"/>
        <v>2.1000000000000001E-2</v>
      </c>
      <c r="K63" t="str">
        <f t="shared" si="6"/>
        <v>N/A</v>
      </c>
      <c r="L63" t="str">
        <f t="shared" si="7"/>
        <v>N/A</v>
      </c>
      <c r="M63">
        <f t="shared" si="8"/>
        <v>0.08</v>
      </c>
      <c r="N63" t="str">
        <f t="shared" si="9"/>
        <v>N/A</v>
      </c>
    </row>
    <row r="64" spans="1:14" x14ac:dyDescent="0.3">
      <c r="A64" s="1">
        <v>3</v>
      </c>
      <c r="B64" t="s">
        <v>116</v>
      </c>
      <c r="C64" t="s">
        <v>1022</v>
      </c>
      <c r="F64">
        <v>0.12</v>
      </c>
      <c r="I64" t="str">
        <f t="shared" si="4"/>
        <v>N/A</v>
      </c>
      <c r="J64">
        <f t="shared" si="5"/>
        <v>5.2000000000000005E-2</v>
      </c>
      <c r="K64" t="str">
        <f t="shared" si="6"/>
        <v>N/A</v>
      </c>
      <c r="L64" t="str">
        <f t="shared" si="7"/>
        <v>N/A</v>
      </c>
      <c r="M64">
        <f t="shared" si="8"/>
        <v>0.12</v>
      </c>
      <c r="N64" t="str">
        <f t="shared" si="9"/>
        <v>N/A</v>
      </c>
    </row>
    <row r="65" spans="1:14" x14ac:dyDescent="0.3">
      <c r="A65" s="1">
        <v>4</v>
      </c>
      <c r="B65" t="s">
        <v>118</v>
      </c>
      <c r="C65" t="s">
        <v>2443</v>
      </c>
      <c r="F65">
        <v>0.1</v>
      </c>
      <c r="I65" t="str">
        <f t="shared" si="4"/>
        <v>N/A</v>
      </c>
      <c r="J65">
        <f t="shared" si="5"/>
        <v>5.6799999999999996E-2</v>
      </c>
      <c r="K65" t="str">
        <f t="shared" si="6"/>
        <v>N/A</v>
      </c>
      <c r="L65" t="str">
        <f t="shared" si="7"/>
        <v>N/A</v>
      </c>
      <c r="M65">
        <f t="shared" si="8"/>
        <v>0.1</v>
      </c>
      <c r="N65" t="str">
        <f t="shared" si="9"/>
        <v>N/A</v>
      </c>
    </row>
    <row r="66" spans="1:14" x14ac:dyDescent="0.3">
      <c r="A66" s="1">
        <v>5</v>
      </c>
      <c r="B66" t="s">
        <v>120</v>
      </c>
      <c r="C66" t="s">
        <v>2444</v>
      </c>
      <c r="I66" t="str">
        <f t="shared" si="4"/>
        <v>N/A</v>
      </c>
      <c r="J66">
        <f t="shared" si="5"/>
        <v>3.1400000000000004E-2</v>
      </c>
      <c r="K66" t="str">
        <f t="shared" si="6"/>
        <v>N/A</v>
      </c>
      <c r="L66" t="str">
        <f t="shared" si="7"/>
        <v>N/A</v>
      </c>
      <c r="M66" t="str">
        <f t="shared" si="8"/>
        <v>N/A</v>
      </c>
      <c r="N66" t="str">
        <f t="shared" si="9"/>
        <v>N/A</v>
      </c>
    </row>
    <row r="67" spans="1:14" x14ac:dyDescent="0.3">
      <c r="D67" t="s">
        <v>122</v>
      </c>
      <c r="E67" t="str">
        <f>C1</f>
        <v>Bureau Veritas SA (BVI.PA)</v>
      </c>
      <c r="I67" t="str">
        <f t="shared" si="4"/>
        <v>N/A</v>
      </c>
      <c r="J67" t="str">
        <f t="shared" si="5"/>
        <v>N/A</v>
      </c>
      <c r="K67" t="str">
        <f t="shared" si="6"/>
        <v>N/A</v>
      </c>
      <c r="L67" t="str">
        <f t="shared" si="7"/>
        <v>N/A</v>
      </c>
      <c r="M67" t="str">
        <f t="shared" si="8"/>
        <v>N/A</v>
      </c>
      <c r="N67" t="str">
        <f t="shared" si="9"/>
        <v>N/A</v>
      </c>
    </row>
    <row r="68" spans="1:14" x14ac:dyDescent="0.3">
      <c r="A68" s="1">
        <v>0</v>
      </c>
      <c r="B68" t="s">
        <v>123</v>
      </c>
      <c r="C68" t="s">
        <v>2421</v>
      </c>
      <c r="D68" t="str">
        <f ca="1">IFERROR(AVERAGE(VALUE(INDIRECT("J"&amp;(MATCH(B68,B69:B500,0)+68))),VALUE(INDIRECT("J"&amp;(MATCH(B68,B69:B500,0)+79))),VALUE(INDIRECT("J"&amp;(MATCH(B68,B69:B500,0)+90))),VALUE(INDIRECT("J"&amp;(MATCH(B68,B69:B500,0)+101)))),"")</f>
        <v/>
      </c>
      <c r="E68" t="str">
        <f t="shared" ref="E68:E76" ca="1" si="10">IFERROR(IF(AND(C68&lt;&gt;"",D68&lt;&gt;0),IF(VALUE(J68)&gt;VALUE(K68),"above average","below average"),"no data"),"no data")</f>
        <v>no data</v>
      </c>
      <c r="I68" t="str">
        <f t="shared" ca="1" si="4"/>
        <v>N/A</v>
      </c>
      <c r="J68">
        <f t="shared" si="5"/>
        <v>8830000000</v>
      </c>
      <c r="K68" t="str">
        <f t="shared" ca="1" si="6"/>
        <v>N/A</v>
      </c>
      <c r="L68" t="str">
        <f t="shared" ca="1" si="7"/>
        <v>N/A</v>
      </c>
      <c r="M68" t="str">
        <f t="shared" si="8"/>
        <v>N/A</v>
      </c>
      <c r="N68" t="str">
        <f t="shared" si="9"/>
        <v>N/A</v>
      </c>
    </row>
    <row r="69" spans="1:14" x14ac:dyDescent="0.3">
      <c r="A69" s="1">
        <v>1</v>
      </c>
      <c r="B69" t="s">
        <v>124</v>
      </c>
      <c r="D69" t="str">
        <f ca="1">IFERROR(AVERAGE(VALUE(INDIRECT("J"&amp;(MATCH(B69,B70:B501,0)+69))),VALUE(INDIRECT("J"&amp;(MATCH(B69,B70:B501,0)+80))),VALUE(INDIRECT("J"&amp;(MATCH(B69,B70:B501,0)+91))),VALUE(INDIRECT("J"&amp;(MATCH(B69,B70:B501,0)+102)))),"")</f>
        <v/>
      </c>
      <c r="E69" t="str">
        <f t="shared" ca="1" si="10"/>
        <v>no data</v>
      </c>
      <c r="I69" t="str">
        <f t="shared" ca="1" si="4"/>
        <v>N/A</v>
      </c>
      <c r="J69" t="str">
        <f t="shared" si="5"/>
        <v>N/A</v>
      </c>
      <c r="K69" t="str">
        <f t="shared" ca="1" si="6"/>
        <v>N/A</v>
      </c>
      <c r="L69" t="str">
        <f t="shared" ca="1" si="7"/>
        <v>N/A</v>
      </c>
      <c r="M69" t="str">
        <f t="shared" si="8"/>
        <v>N/A</v>
      </c>
      <c r="N69" t="str">
        <f t="shared" si="9"/>
        <v>N/A</v>
      </c>
    </row>
    <row r="70" spans="1:14" x14ac:dyDescent="0.3">
      <c r="A70" s="1">
        <v>2</v>
      </c>
      <c r="B70" t="s">
        <v>125</v>
      </c>
      <c r="C70" t="s">
        <v>2423</v>
      </c>
      <c r="D70" t="str">
        <f ca="1">IFERROR(AVERAGE(VALUE(INDIRECT("J"&amp;(MATCH(B70,B71:B502,0)+70))),VALUE(INDIRECT("J"&amp;(MATCH(B70,B71:B502,0)+81))),VALUE(INDIRECT("J"&amp;(MATCH(B70,B71:B502,0)+92))),VALUE(INDIRECT("J"&amp;(MATCH(B70,B71:B502,0)+103)))),"")</f>
        <v/>
      </c>
      <c r="E70" t="str">
        <f t="shared" ca="1" si="10"/>
        <v>no data</v>
      </c>
      <c r="F70" t="str">
        <f t="shared" ref="F70:F76" ca="1" si="11">IF(E70="above average",LOWER(TRIM(IF(ISNUMBER(VALUE(RIGHT(B70,1))),REPLACE(B70,LEN(B70),1,""),B70))),"")</f>
        <v/>
      </c>
      <c r="G70" t="str">
        <f ca="1">IFERROR(LEFT(F70,FIND("(",F70) - 2),F70)</f>
        <v/>
      </c>
      <c r="I70" t="str">
        <f t="shared" ca="1" si="4"/>
        <v>N/A</v>
      </c>
      <c r="J70">
        <f t="shared" si="5"/>
        <v>27.7</v>
      </c>
      <c r="K70" t="str">
        <f t="shared" ca="1" si="6"/>
        <v>N/A</v>
      </c>
      <c r="L70" t="str">
        <f t="shared" ca="1" si="7"/>
        <v>N/A</v>
      </c>
      <c r="M70" t="str">
        <f t="shared" ca="1" si="8"/>
        <v>N/A</v>
      </c>
      <c r="N70" t="str">
        <f t="shared" ca="1" si="9"/>
        <v>N/A</v>
      </c>
    </row>
    <row r="71" spans="1:14" x14ac:dyDescent="0.3">
      <c r="A71" s="1">
        <v>3</v>
      </c>
      <c r="B71" t="s">
        <v>126</v>
      </c>
      <c r="C71" t="s">
        <v>2445</v>
      </c>
      <c r="D71" t="str">
        <f ca="1">IFERROR(AVERAGE(VALUE(INDIRECT("J"&amp;(MATCH(B71,B72:B503,0)+71))),VALUE(INDIRECT("J"&amp;(MATCH(B71,B72:B503,0)+82))),VALUE(INDIRECT("J"&amp;(MATCH(B71,B72:B503,0)+93))),VALUE(INDIRECT("J"&amp;(MATCH(B71,B72:B503,0)+104)))),"")</f>
        <v/>
      </c>
      <c r="E71" t="str">
        <f t="shared" ca="1" si="10"/>
        <v>no data</v>
      </c>
      <c r="F71" t="str">
        <f t="shared" ca="1" si="11"/>
        <v/>
      </c>
      <c r="G71" t="str">
        <f t="shared" ref="G71:G76" ca="1" si="12">IF(F71&lt;&gt;"", G70 &amp; ", " &amp; IFERROR(LEFT(F71,FIND("(",F71) - 2),F71),G70)</f>
        <v/>
      </c>
      <c r="I71" t="str">
        <f t="shared" ca="1" si="4"/>
        <v>N/A</v>
      </c>
      <c r="J71">
        <f t="shared" si="5"/>
        <v>20.02</v>
      </c>
      <c r="K71" t="str">
        <f t="shared" ca="1" si="6"/>
        <v>N/A</v>
      </c>
      <c r="L71" t="str">
        <f t="shared" ca="1" si="7"/>
        <v>N/A</v>
      </c>
      <c r="M71" t="str">
        <f t="shared" ca="1" si="8"/>
        <v>N/A</v>
      </c>
      <c r="N71" t="str">
        <f t="shared" ca="1" si="9"/>
        <v>N/A</v>
      </c>
    </row>
    <row r="72" spans="1:14" x14ac:dyDescent="0.3">
      <c r="A72" s="1">
        <v>4</v>
      </c>
      <c r="B72" t="s">
        <v>128</v>
      </c>
      <c r="C72" t="s">
        <v>2446</v>
      </c>
      <c r="D72" t="str">
        <f ca="1">IFERROR(AVERAGE(VALUE(INDIRECT("J"&amp;(MATCH(B72,B73:B504,0)+72))),VALUE(INDIRECT("J"&amp;(MATCH(B72,B73:B504,0)+83))),VALUE(INDIRECT("J"&amp;(MATCH(B72,B73:B504,0)+94))),VALUE(INDIRECT("J"&amp;(MATCH(B72,B73:B504,0)+105)))),"")</f>
        <v/>
      </c>
      <c r="E72" t="str">
        <f t="shared" ca="1" si="10"/>
        <v>no data</v>
      </c>
      <c r="F72" t="str">
        <f t="shared" ca="1" si="11"/>
        <v/>
      </c>
      <c r="G72" t="str">
        <f t="shared" ca="1" si="12"/>
        <v/>
      </c>
      <c r="I72" t="str">
        <f t="shared" ca="1" si="4"/>
        <v>N/A</v>
      </c>
      <c r="J72">
        <f t="shared" si="5"/>
        <v>3.64</v>
      </c>
      <c r="K72" t="str">
        <f t="shared" ca="1" si="6"/>
        <v>N/A</v>
      </c>
      <c r="L72" t="str">
        <f t="shared" ca="1" si="7"/>
        <v>N/A</v>
      </c>
      <c r="M72" t="str">
        <f t="shared" ca="1" si="8"/>
        <v>N/A</v>
      </c>
      <c r="N72" t="str">
        <f t="shared" ca="1" si="9"/>
        <v>N/A</v>
      </c>
    </row>
    <row r="73" spans="1:14" x14ac:dyDescent="0.3">
      <c r="A73" s="1">
        <v>5</v>
      </c>
      <c r="B73" t="s">
        <v>130</v>
      </c>
      <c r="C73" t="s">
        <v>1686</v>
      </c>
      <c r="D73" t="str">
        <f ca="1">IFERROR(AVERAGE(VALUE(INDIRECT("J"&amp;(MATCH(B73,B74:B505,0)+73))),VALUE(INDIRECT("J"&amp;(MATCH(B73,B74:B505,0)+84))),VALUE(INDIRECT("J"&amp;(MATCH(B73,B74:B505,0)+95))),VALUE(INDIRECT("J"&amp;(MATCH(B73,B74:B505,0)+106)))),"")</f>
        <v/>
      </c>
      <c r="E73" t="str">
        <f t="shared" ca="1" si="10"/>
        <v>no data</v>
      </c>
      <c r="F73" t="str">
        <f t="shared" ca="1" si="11"/>
        <v/>
      </c>
      <c r="G73" t="str">
        <f t="shared" ca="1" si="12"/>
        <v/>
      </c>
      <c r="I73" t="str">
        <f t="shared" ca="1" si="4"/>
        <v>N/A</v>
      </c>
      <c r="J73">
        <f t="shared" si="5"/>
        <v>1.94</v>
      </c>
      <c r="K73" t="str">
        <f t="shared" ca="1" si="6"/>
        <v>N/A</v>
      </c>
      <c r="L73" t="str">
        <f t="shared" ca="1" si="7"/>
        <v>N/A</v>
      </c>
      <c r="M73" t="str">
        <f t="shared" ca="1" si="8"/>
        <v>N/A</v>
      </c>
      <c r="N73" t="str">
        <f t="shared" ca="1" si="9"/>
        <v>N/A</v>
      </c>
    </row>
    <row r="74" spans="1:14" x14ac:dyDescent="0.3">
      <c r="A74" s="1">
        <v>6</v>
      </c>
      <c r="B74" t="s">
        <v>132</v>
      </c>
      <c r="C74" t="s">
        <v>2447</v>
      </c>
      <c r="D74" t="str">
        <f ca="1">IFERROR(AVERAGE(VALUE(INDIRECT("J"&amp;(MATCH(B74,B75:B506,0)+74))),VALUE(INDIRECT("J"&amp;(MATCH(B74,B75:B506,0)+85))),VALUE(INDIRECT("J"&amp;(MATCH(B74,B75:B506,0)+96))),VALUE(INDIRECT("J"&amp;(MATCH(B74,B75:B506,0)+107)))),"")</f>
        <v/>
      </c>
      <c r="E74" t="str">
        <f t="shared" ca="1" si="10"/>
        <v>no data</v>
      </c>
      <c r="F74" t="str">
        <f t="shared" ca="1" si="11"/>
        <v/>
      </c>
      <c r="G74" t="str">
        <f t="shared" ca="1" si="12"/>
        <v/>
      </c>
      <c r="I74" t="str">
        <f t="shared" ca="1" si="4"/>
        <v>N/A</v>
      </c>
      <c r="J74">
        <f t="shared" si="5"/>
        <v>7.37</v>
      </c>
      <c r="K74" t="str">
        <f t="shared" ca="1" si="6"/>
        <v>N/A</v>
      </c>
      <c r="L74" t="str">
        <f t="shared" ca="1" si="7"/>
        <v>N/A</v>
      </c>
      <c r="M74" t="str">
        <f t="shared" ca="1" si="8"/>
        <v>N/A</v>
      </c>
      <c r="N74" t="str">
        <f t="shared" ca="1" si="9"/>
        <v>N/A</v>
      </c>
    </row>
    <row r="75" spans="1:14" x14ac:dyDescent="0.3">
      <c r="A75" s="1">
        <v>7</v>
      </c>
      <c r="B75" t="s">
        <v>134</v>
      </c>
      <c r="D75" t="str">
        <f ca="1">IFERROR(AVERAGE(VALUE(INDIRECT("J"&amp;(MATCH(B75,B76:B507,0)+75))),VALUE(INDIRECT("J"&amp;(MATCH(B75,B76:B507,0)+86))),VALUE(INDIRECT("J"&amp;(MATCH(B75,B76:B507,0)+97))),VALUE(INDIRECT("J"&amp;(MATCH(B75,B76:B507,0)+108)))),"")</f>
        <v/>
      </c>
      <c r="E75" t="str">
        <f t="shared" ca="1" si="10"/>
        <v>no data</v>
      </c>
      <c r="F75" t="str">
        <f t="shared" ca="1" si="11"/>
        <v/>
      </c>
      <c r="G75" t="str">
        <f t="shared" ca="1" si="12"/>
        <v/>
      </c>
      <c r="I75" t="str">
        <f t="shared" ca="1" si="4"/>
        <v>N/A</v>
      </c>
      <c r="J75" t="str">
        <f t="shared" si="5"/>
        <v>N/A</v>
      </c>
      <c r="K75" t="str">
        <f t="shared" ca="1" si="6"/>
        <v>N/A</v>
      </c>
      <c r="L75" t="str">
        <f t="shared" ca="1" si="7"/>
        <v>N/A</v>
      </c>
      <c r="M75" t="str">
        <f t="shared" ca="1" si="8"/>
        <v>N/A</v>
      </c>
      <c r="N75" t="str">
        <f t="shared" ca="1" si="9"/>
        <v>N/A</v>
      </c>
    </row>
    <row r="76" spans="1:14" x14ac:dyDescent="0.3">
      <c r="A76" s="1">
        <v>8</v>
      </c>
      <c r="B76" t="s">
        <v>135</v>
      </c>
      <c r="D76" t="str">
        <f ca="1">IFERROR(AVERAGE(VALUE(INDIRECT("J"&amp;(MATCH(B76,B77:B508,0)+76))),VALUE(INDIRECT("J"&amp;(MATCH(B76,B77:B508,0)+87))),VALUE(INDIRECT("J"&amp;(MATCH(B76,B77:B508,0)+98))),VALUE(INDIRECT("J"&amp;(MATCH(B76,B77:B508,0)+109)))),"")</f>
        <v/>
      </c>
      <c r="E76" t="str">
        <f t="shared" ca="1" si="10"/>
        <v>no data</v>
      </c>
      <c r="F76" t="str">
        <f t="shared" ca="1" si="11"/>
        <v/>
      </c>
      <c r="G76" t="str">
        <f t="shared" ca="1" si="12"/>
        <v/>
      </c>
      <c r="I76" t="str">
        <f t="shared" ca="1" si="4"/>
        <v>N/A</v>
      </c>
      <c r="J76" t="str">
        <f t="shared" si="5"/>
        <v>N/A</v>
      </c>
      <c r="K76" t="str">
        <f t="shared" ca="1" si="6"/>
        <v>N/A</v>
      </c>
      <c r="L76" t="str">
        <f t="shared" ca="1" si="7"/>
        <v>N/A</v>
      </c>
      <c r="M76" t="str">
        <f t="shared" ca="1" si="8"/>
        <v>N/A</v>
      </c>
      <c r="N76" t="str">
        <f t="shared" ca="1" si="9"/>
        <v>N/A</v>
      </c>
    </row>
    <row r="77" spans="1:14" x14ac:dyDescent="0.3">
      <c r="F77" t="str">
        <f ca="1">IF(F76="",IF(F75="",IF(F74="",IF(F73="",IF(F72="",IF(F71="",IFERROR(LEFT(F70,FIND("(",F70) - 2),F70),IFERROR(LEFT(F71,FIND("(",F71) - 2),F71)),IFERROR(LEFT(F72,FIND("(",F72) - 2),F72)),IFERROR(LEFT(F73,FIND("(",F73) - 2),F73)),IFERROR(LEFT(F74,FIND("(",F74) - 2),F74)),IFERROR(LEFT(F75,FIND("(",F75) - 2),F75)),IFERROR(LEFT(F76,FIND("(",F76) - 2),F76))</f>
        <v/>
      </c>
      <c r="G77" t="str">
        <f ca="1">TRIM(IF(LEFT(G76,1)=",",REPLACE(G76,1,1,""),SUBSTITUTE(G76,F77, "and " &amp; F77)))</f>
        <v/>
      </c>
      <c r="I77" t="str">
        <f t="shared" ca="1" si="4"/>
        <v>N/A</v>
      </c>
      <c r="J77" t="str">
        <f t="shared" si="5"/>
        <v>N/A</v>
      </c>
      <c r="K77" t="str">
        <f t="shared" si="6"/>
        <v>N/A</v>
      </c>
      <c r="L77" t="str">
        <f t="shared" si="7"/>
        <v>N/A</v>
      </c>
      <c r="M77" t="str">
        <f t="shared" ca="1" si="8"/>
        <v>N/A</v>
      </c>
      <c r="N77" t="str">
        <f t="shared" ca="1" si="9"/>
        <v>N/A</v>
      </c>
    </row>
    <row r="78" spans="1:14" x14ac:dyDescent="0.3">
      <c r="A78" s="1">
        <v>0</v>
      </c>
      <c r="B78" t="s">
        <v>136</v>
      </c>
      <c r="C78" t="s">
        <v>137</v>
      </c>
      <c r="D78" t="str">
        <f ca="1">IF(COUNTIF(E70:E76,"=above average")&gt;0,"There are some indications that "&amp;D1&amp;" may be overvalued. The company has a higher " &amp; G77 &amp; " than the comparable average", "Inconclusive")</f>
        <v>Inconclusive</v>
      </c>
      <c r="I78" t="str">
        <f t="shared" ca="1" si="4"/>
        <v>N/A</v>
      </c>
      <c r="J78" t="str">
        <f t="shared" si="5"/>
        <v>N/A</v>
      </c>
      <c r="K78" t="str">
        <f t="shared" ca="1" si="6"/>
        <v>N/A</v>
      </c>
      <c r="L78" t="str">
        <f t="shared" si="7"/>
        <v>N/A</v>
      </c>
      <c r="M78" t="str">
        <f t="shared" si="8"/>
        <v>N/A</v>
      </c>
      <c r="N78" t="str">
        <f t="shared" si="9"/>
        <v>N/A</v>
      </c>
    </row>
    <row r="79" spans="1:14" x14ac:dyDescent="0.3">
      <c r="A79" s="1">
        <v>1</v>
      </c>
      <c r="B79" t="s">
        <v>138</v>
      </c>
      <c r="C79" t="s">
        <v>137</v>
      </c>
      <c r="I79" t="str">
        <f t="shared" si="4"/>
        <v>N/A</v>
      </c>
      <c r="J79" t="str">
        <f t="shared" si="5"/>
        <v>N/A</v>
      </c>
      <c r="K79" t="str">
        <f t="shared" si="6"/>
        <v>N/A</v>
      </c>
      <c r="L79" t="str">
        <f t="shared" si="7"/>
        <v>N/A</v>
      </c>
      <c r="M79" t="str">
        <f t="shared" si="8"/>
        <v>N/A</v>
      </c>
      <c r="N79" t="str">
        <f t="shared" si="9"/>
        <v>N/A</v>
      </c>
    </row>
    <row r="80" spans="1:14" x14ac:dyDescent="0.3">
      <c r="I80" t="str">
        <f t="shared" si="4"/>
        <v>N/A</v>
      </c>
      <c r="J80" t="str">
        <f t="shared" si="5"/>
        <v>N/A</v>
      </c>
      <c r="K80" t="str">
        <f t="shared" si="6"/>
        <v>N/A</v>
      </c>
      <c r="L80" t="str">
        <f t="shared" si="7"/>
        <v>N/A</v>
      </c>
      <c r="M80" t="str">
        <f t="shared" si="8"/>
        <v>N/A</v>
      </c>
      <c r="N80" t="str">
        <f t="shared" si="9"/>
        <v>N/A</v>
      </c>
    </row>
    <row r="81" spans="1:14" x14ac:dyDescent="0.3">
      <c r="A81" s="1">
        <v>0</v>
      </c>
      <c r="B81" t="s">
        <v>140</v>
      </c>
      <c r="C81" t="s">
        <v>2448</v>
      </c>
      <c r="F81" t="str">
        <f t="shared" ref="F81:F87" ca="1" si="13">IF(E70="below average",LOWER(TRIM(IF(ISNUMBER(VALUE(RIGHT(B70,1))),REPLACE(B70,LEN(B70),1,""),B70))),"")</f>
        <v/>
      </c>
      <c r="G81" t="str">
        <f ca="1">IFERROR(LEFT(F81,FIND("(",F81) - 2),F81)</f>
        <v/>
      </c>
      <c r="I81" t="str">
        <f t="shared" ca="1" si="4"/>
        <v>N/A</v>
      </c>
      <c r="J81">
        <f t="shared" si="5"/>
        <v>7.0199999999999999E-2</v>
      </c>
      <c r="K81" t="str">
        <f t="shared" si="6"/>
        <v>N/A</v>
      </c>
      <c r="L81" t="str">
        <f t="shared" si="7"/>
        <v>N/A</v>
      </c>
      <c r="M81" t="str">
        <f t="shared" ca="1" si="8"/>
        <v>N/A</v>
      </c>
      <c r="N81" t="str">
        <f t="shared" ca="1" si="9"/>
        <v>N/A</v>
      </c>
    </row>
    <row r="82" spans="1:14" x14ac:dyDescent="0.3">
      <c r="A82" s="1">
        <v>1</v>
      </c>
      <c r="B82" t="s">
        <v>142</v>
      </c>
      <c r="C82" t="s">
        <v>2449</v>
      </c>
      <c r="F82" t="str">
        <f t="shared" ca="1" si="13"/>
        <v/>
      </c>
      <c r="G82" t="str">
        <f t="shared" ref="G82:G87" ca="1" si="14">IF(F82&lt;&gt;"", G81 &amp; ", " &amp; IFERROR(LEFT(F82,FIND("(",F82) - 2),F82),G81)</f>
        <v/>
      </c>
      <c r="I82" t="str">
        <f t="shared" ca="1" si="4"/>
        <v>N/A</v>
      </c>
      <c r="J82">
        <f t="shared" si="5"/>
        <v>0.1331</v>
      </c>
      <c r="K82" t="str">
        <f t="shared" si="6"/>
        <v>N/A</v>
      </c>
      <c r="L82" t="str">
        <f t="shared" si="7"/>
        <v>N/A</v>
      </c>
      <c r="M82" t="str">
        <f t="shared" ca="1" si="8"/>
        <v>N/A</v>
      </c>
      <c r="N82" t="str">
        <f t="shared" ca="1" si="9"/>
        <v>N/A</v>
      </c>
    </row>
    <row r="83" spans="1:14" x14ac:dyDescent="0.3">
      <c r="F83" t="str">
        <f t="shared" ca="1" si="13"/>
        <v/>
      </c>
      <c r="G83" t="str">
        <f t="shared" ca="1" si="14"/>
        <v/>
      </c>
      <c r="I83" t="str">
        <f t="shared" ca="1" si="4"/>
        <v>N/A</v>
      </c>
      <c r="J83" t="str">
        <f t="shared" si="5"/>
        <v>N/A</v>
      </c>
      <c r="K83" t="str">
        <f t="shared" si="6"/>
        <v>N/A</v>
      </c>
      <c r="L83" t="str">
        <f t="shared" si="7"/>
        <v>N/A</v>
      </c>
      <c r="M83" t="str">
        <f t="shared" ca="1" si="8"/>
        <v>N/A</v>
      </c>
      <c r="N83" t="str">
        <f t="shared" ca="1" si="9"/>
        <v>N/A</v>
      </c>
    </row>
    <row r="84" spans="1:14" x14ac:dyDescent="0.3">
      <c r="A84" s="1">
        <v>0</v>
      </c>
      <c r="B84" t="s">
        <v>144</v>
      </c>
      <c r="C84" t="s">
        <v>2450</v>
      </c>
      <c r="F84" t="str">
        <f t="shared" ca="1" si="13"/>
        <v/>
      </c>
      <c r="G84" t="str">
        <f t="shared" ca="1" si="14"/>
        <v/>
      </c>
      <c r="I84" t="str">
        <f t="shared" ca="1" si="4"/>
        <v>N/A</v>
      </c>
      <c r="J84">
        <f t="shared" si="5"/>
        <v>6.7199999999999996E-2</v>
      </c>
      <c r="K84" t="str">
        <f t="shared" si="6"/>
        <v>N/A</v>
      </c>
      <c r="L84" t="str">
        <f t="shared" si="7"/>
        <v>N/A</v>
      </c>
      <c r="M84" t="str">
        <f t="shared" ca="1" si="8"/>
        <v>N/A</v>
      </c>
      <c r="N84" t="str">
        <f t="shared" ca="1" si="9"/>
        <v>N/A</v>
      </c>
    </row>
    <row r="85" spans="1:14" x14ac:dyDescent="0.3">
      <c r="A85" s="1">
        <v>1</v>
      </c>
      <c r="B85" t="s">
        <v>146</v>
      </c>
      <c r="C85" t="s">
        <v>2451</v>
      </c>
      <c r="F85" t="str">
        <f t="shared" ca="1" si="13"/>
        <v/>
      </c>
      <c r="G85" t="str">
        <f t="shared" ca="1" si="14"/>
        <v/>
      </c>
      <c r="I85" t="str">
        <f t="shared" ca="1" si="4"/>
        <v>N/A</v>
      </c>
      <c r="J85">
        <f t="shared" si="5"/>
        <v>0.28300000000000003</v>
      </c>
      <c r="K85" t="str">
        <f t="shared" si="6"/>
        <v>N/A</v>
      </c>
      <c r="L85" t="str">
        <f t="shared" si="7"/>
        <v>N/A</v>
      </c>
      <c r="M85" t="str">
        <f t="shared" ca="1" si="8"/>
        <v>N/A</v>
      </c>
      <c r="N85" t="str">
        <f t="shared" ca="1" si="9"/>
        <v>N/A</v>
      </c>
    </row>
    <row r="86" spans="1:14" x14ac:dyDescent="0.3">
      <c r="F86" t="str">
        <f t="shared" ca="1" si="13"/>
        <v/>
      </c>
      <c r="G86" t="str">
        <f t="shared" ca="1" si="14"/>
        <v/>
      </c>
      <c r="I86" t="str">
        <f t="shared" ca="1" si="4"/>
        <v>N/A</v>
      </c>
      <c r="J86" t="str">
        <f t="shared" si="5"/>
        <v>N/A</v>
      </c>
      <c r="K86" t="str">
        <f t="shared" si="6"/>
        <v>N/A</v>
      </c>
      <c r="L86" t="str">
        <f t="shared" si="7"/>
        <v>N/A</v>
      </c>
      <c r="M86" t="str">
        <f t="shared" ca="1" si="8"/>
        <v>N/A</v>
      </c>
      <c r="N86" t="str">
        <f t="shared" ca="1" si="9"/>
        <v>N/A</v>
      </c>
    </row>
    <row r="87" spans="1:14" x14ac:dyDescent="0.3">
      <c r="A87" s="1">
        <v>0</v>
      </c>
      <c r="B87" t="s">
        <v>148</v>
      </c>
      <c r="C87" t="s">
        <v>2436</v>
      </c>
      <c r="F87" t="str">
        <f t="shared" ca="1" si="13"/>
        <v/>
      </c>
      <c r="G87" t="str">
        <f t="shared" ca="1" si="14"/>
        <v/>
      </c>
      <c r="I87" t="str">
        <f t="shared" ca="1" si="4"/>
        <v>N/A</v>
      </c>
      <c r="J87">
        <f t="shared" si="5"/>
        <v>4550000000</v>
      </c>
      <c r="K87" t="str">
        <f t="shared" si="6"/>
        <v>N/A</v>
      </c>
      <c r="L87" t="str">
        <f t="shared" si="7"/>
        <v>N/A</v>
      </c>
      <c r="M87" t="str">
        <f t="shared" ca="1" si="8"/>
        <v>N/A</v>
      </c>
      <c r="N87" t="str">
        <f t="shared" ca="1" si="9"/>
        <v>N/A</v>
      </c>
    </row>
    <row r="88" spans="1:14" x14ac:dyDescent="0.3">
      <c r="A88" s="1">
        <v>1</v>
      </c>
      <c r="B88" t="s">
        <v>150</v>
      </c>
      <c r="C88" t="s">
        <v>2452</v>
      </c>
      <c r="F88" t="str">
        <f ca="1">IF(F87="",IF(F86="",IF(F85="",IF(F84="",IF(F83="",IF(F82="",IFERROR(LEFT(F81,FIND("(",F81) - 2),F81),IFERROR(LEFT(F82,FIND("(",F82) - 2),F82)),IFERROR(LEFT(F83,FIND("(",F83) - 2),F83)),IFERROR(LEFT(F84,FIND("(",F84) - 2),F84)),IFERROR(LEFT(F85,FIND("(",F85) - 2),F85)),IFERROR(LEFT(F86,FIND("(",F86) - 2),F86)),IFERROR(LEFT(F87,FIND("(",F87) - 2),F87))</f>
        <v/>
      </c>
      <c r="G88" t="str">
        <f ca="1">TRIM(IF(LEFT(G87,1)=",",REPLACE(G87,1,1,""),SUBSTITUTE(G87,F88, "and " &amp; F88)))</f>
        <v/>
      </c>
      <c r="I88" t="str">
        <f t="shared" ca="1" si="4"/>
        <v>N/A</v>
      </c>
      <c r="J88">
        <f t="shared" si="5"/>
        <v>10.41</v>
      </c>
      <c r="K88" t="str">
        <f t="shared" si="6"/>
        <v>N/A</v>
      </c>
      <c r="L88" t="str">
        <f t="shared" si="7"/>
        <v>N/A</v>
      </c>
      <c r="M88" t="str">
        <f t="shared" ca="1" si="8"/>
        <v>N/A</v>
      </c>
      <c r="N88" t="str">
        <f t="shared" ca="1" si="9"/>
        <v>N/A</v>
      </c>
    </row>
    <row r="89" spans="1:14" x14ac:dyDescent="0.3">
      <c r="A89" s="1">
        <v>2</v>
      </c>
      <c r="B89" t="s">
        <v>152</v>
      </c>
      <c r="C89" t="s">
        <v>2453</v>
      </c>
      <c r="D89" t="str">
        <f ca="1">IF(COUNTIF(E70:E76,"=below average")&gt;0,"There are some indications that "&amp;D1&amp;" may be undervalued. The company has a lower " &amp; G88 &amp; " than the comparable average", "Inconclusive")</f>
        <v>Inconclusive</v>
      </c>
      <c r="I89" t="str">
        <f t="shared" ca="1" si="4"/>
        <v>N/A</v>
      </c>
      <c r="J89">
        <f t="shared" si="5"/>
        <v>5.0000000000000001E-3</v>
      </c>
      <c r="K89" t="str">
        <f t="shared" ca="1" si="6"/>
        <v>N/A</v>
      </c>
      <c r="L89" t="str">
        <f t="shared" si="7"/>
        <v>N/A</v>
      </c>
      <c r="M89" t="str">
        <f t="shared" si="8"/>
        <v>N/A</v>
      </c>
      <c r="N89" t="str">
        <f t="shared" si="9"/>
        <v>N/A</v>
      </c>
    </row>
    <row r="90" spans="1:14" x14ac:dyDescent="0.3">
      <c r="A90" s="1">
        <v>3</v>
      </c>
      <c r="B90" t="s">
        <v>154</v>
      </c>
      <c r="C90" t="s">
        <v>2454</v>
      </c>
      <c r="I90" t="str">
        <f t="shared" si="4"/>
        <v>N/A</v>
      </c>
      <c r="J90">
        <f t="shared" si="5"/>
        <v>1420000000</v>
      </c>
      <c r="K90" t="str">
        <f t="shared" si="6"/>
        <v>N/A</v>
      </c>
      <c r="L90" t="str">
        <f t="shared" si="7"/>
        <v>N/A</v>
      </c>
      <c r="M90" t="str">
        <f t="shared" si="8"/>
        <v>N/A</v>
      </c>
      <c r="N90" t="str">
        <f t="shared" si="9"/>
        <v>N/A</v>
      </c>
    </row>
    <row r="91" spans="1:14" x14ac:dyDescent="0.3">
      <c r="A91" s="1">
        <v>4</v>
      </c>
      <c r="B91" t="s">
        <v>156</v>
      </c>
      <c r="C91" t="s">
        <v>2455</v>
      </c>
      <c r="I91" t="str">
        <f t="shared" si="4"/>
        <v>N/A</v>
      </c>
      <c r="J91">
        <f t="shared" si="5"/>
        <v>798200000</v>
      </c>
      <c r="K91" t="str">
        <f t="shared" si="6"/>
        <v>N/A</v>
      </c>
      <c r="L91" t="str">
        <f t="shared" si="7"/>
        <v>N/A</v>
      </c>
      <c r="M91" t="str">
        <f t="shared" si="8"/>
        <v>N/A</v>
      </c>
      <c r="N91" t="str">
        <f t="shared" si="9"/>
        <v>N/A</v>
      </c>
    </row>
    <row r="92" spans="1:14" x14ac:dyDescent="0.3">
      <c r="A92" s="1">
        <v>5</v>
      </c>
      <c r="B92" t="s">
        <v>158</v>
      </c>
      <c r="C92" t="s">
        <v>2456</v>
      </c>
      <c r="I92" t="str">
        <f t="shared" ref="I92:I123" si="15">IF(AND(K92&gt; J92, L92&gt; K92, M92&gt; L92, N92&gt; M92), "pos_trend", IF(AND(K92&lt; J92, L92&lt; K92, M92&lt; L92, N92&lt; M92), "neg_trend", "N/A"))</f>
        <v>N/A</v>
      </c>
      <c r="J92">
        <f t="shared" ref="J92:J123" si="16">IFERROR(IF(TRIM(C92)="-", "N/A", IF(RIGHT(C92,1)=")",IF(RIGHT(C92,2)="T)",-1000000000000*VALUE(MID(C92,2,LEN(C92)-3)),IF(RIGHT(C92,2)="M)",-1000000*VALUE(MID(C92,2,LEN(C92)-3)),IF(RIGHT(C92,2)="B)",-1000000000*VALUE(MID(C92,2,LEN(C92)-3)),IF(RIGHT(C92,2)="k)",-1000*VALUE(MID(C92,2,LEN(C92)-3)),VALUE(SUBSTITUTE(C92,",","")))))),IF(RIGHT(C92,1)="T",1000000000000*VALUE(LEFT(C92,LEN(C92)-1)),IF(RIGHT(C92,1)="M",1000000*VALUE(LEFT(C92,LEN(C92)-1)),IF(RIGHT(C92,1)="B",1000000000*VALUE(LEFT(C92,LEN(C92)-1)),IF(RIGHT(C92,1)="%",0.01*VALUE(LEFT(C92,LEN(C92)-1)),IF(RIGHT(C92,1)="k",1000*VALUE(LEFT(C92,LEN(C92)-1)),VALUE(SUBSTITUTE(C92,",",""))))))))),"N/A")</f>
        <v>319400000</v>
      </c>
      <c r="K92" t="str">
        <f t="shared" ref="K92:K123" si="17">IFERROR(IF(TRIM(D92)="-", "N/A", IF(RIGHT(D92,1)=")",IF(RIGHT(D92,2)="T)",-1000000000000*VALUE(MID(D92,2,LEN(D92)-3)),IF(RIGHT(D92,2)="M)",-1000000*VALUE(MID(D92,2,LEN(D92)-3)),IF(RIGHT(D92,2)="B)",-1000000000*VALUE(MID(D92,2,LEN(D92)-3)),IF(RIGHT(D92,2)="k)",-1000*VALUE(MID(D92,2,LEN(D92)-3)),VALUE(SUBSTITUTE(D92,",","")))))),IF(RIGHT(D92,1)="T",1000000000000*VALUE(LEFT(D92,LEN(D92)-1)),IF(RIGHT(D92,1)="M",1000000*VALUE(LEFT(D92,LEN(D92)-1)),IF(RIGHT(D92,1)="B",1000000000*VALUE(LEFT(D92,LEN(D92)-1)),IF(RIGHT(D92,1)="%",0.01*VALUE(LEFT(D92,LEN(D92)-1)),IF(RIGHT(D92,1)="k",1000*VALUE(LEFT(D92,LEN(D92)-1)),VALUE(SUBSTITUTE(D92,",",""))))))))),"N/A")</f>
        <v>N/A</v>
      </c>
      <c r="L92" t="str">
        <f t="shared" ref="L92:L123" si="18">IFERROR(IF(TRIM(E92)="-", "N/A", IF(RIGHT(E92,1)=")",IF(RIGHT(E92,2)="T)",-1000000000000*VALUE(MID(E92,2,LEN(E92)-3)),IF(RIGHT(E92,2)="M)",-1000000*VALUE(MID(E92,2,LEN(E92)-3)),IF(RIGHT(E92,2)="B)",-1000000000*VALUE(MID(E92,2,LEN(E92)-3)),IF(RIGHT(E92,2)="k)",-1000*VALUE(MID(E92,2,LEN(E92)-3)),VALUE(SUBSTITUTE(E92,",","")))))),IF(RIGHT(E92,1)="T",1000000000000*VALUE(LEFT(E92,LEN(E92)-1)),IF(RIGHT(E92,1)="M",1000000*VALUE(LEFT(E92,LEN(E92)-1)),IF(RIGHT(E92,1)="B",1000000000*VALUE(LEFT(E92,LEN(E92)-1)),IF(RIGHT(E92,1)="%",0.01*VALUE(LEFT(E92,LEN(E92)-1)),IF(RIGHT(E92,1)="k",1000*VALUE(LEFT(E92,LEN(E92)-1)),VALUE(SUBSTITUTE(E92,",",""))))))))),"N/A")</f>
        <v>N/A</v>
      </c>
      <c r="M92" t="str">
        <f t="shared" ref="M92:M123" si="19">IFERROR(IF(TRIM(F92)="-", "N/A", IF(RIGHT(F92,1)=")",IF(RIGHT(F92,2)="T)",-1000000000000*VALUE(MID(F92,2,LEN(F92)-3)),IF(RIGHT(F92,2)="M)",-1000000*VALUE(MID(F92,2,LEN(F92)-3)),IF(RIGHT(F92,2)="B)",-1000000000*VALUE(MID(F92,2,LEN(F92)-3)),IF(RIGHT(F92,2)="k)",-1000*VALUE(MID(F92,2,LEN(F92)-3)),VALUE(SUBSTITUTE(F92,",","")))))),IF(RIGHT(F92,1)="T",1000000000000*VALUE(LEFT(F92,LEN(F92)-1)),IF(RIGHT(F92,1)="M",1000000*VALUE(LEFT(F92,LEN(F92)-1)),IF(RIGHT(F92,1)="B",1000000000*VALUE(LEFT(F92,LEN(F92)-1)),IF(RIGHT(F92,1)="%",0.01*VALUE(LEFT(F92,LEN(F92)-1)),IF(RIGHT(F92,1)="k",1000*VALUE(LEFT(F92,LEN(F92)-1)),VALUE(SUBSTITUTE(F92,",",""))))))))),"N/A")</f>
        <v>N/A</v>
      </c>
      <c r="N92" t="str">
        <f t="shared" ref="N92:N123" si="20">IFERROR(IF(TRIM(G92)="-", "N/A", IF(RIGHT(G92,1)=")",IF(RIGHT(G92,2)="T)",-1000000000000*VALUE(MID(G92,2,LEN(G92)-3)),IF(RIGHT(G92,2)="M)",-1000000*VALUE(MID(G92,2,LEN(G92)-3)),IF(RIGHT(G92,2)="B)",-1000000000*VALUE(MID(G92,2,LEN(G92)-3)),IF(RIGHT(G92,2)="k)",-1000*VALUE(MID(G92,2,LEN(G92)-3)),VALUE(SUBSTITUTE(G92,",","")))))),IF(RIGHT(G92,1)="T",1000000000000*VALUE(LEFT(G92,LEN(G92)-1)),IF(RIGHT(G92,1)="M",1000000*VALUE(LEFT(G92,LEN(G92)-1)),IF(RIGHT(G92,1)="B",1000000000*VALUE(LEFT(G92,LEN(G92)-1)),IF(RIGHT(G92,1)="%",0.01*VALUE(LEFT(G92,LEN(G92)-1)),IF(RIGHT(G92,1)="k",1000*VALUE(LEFT(G92,LEN(G92)-1)),VALUE(SUBSTITUTE(G92,",",""))))))))),"N/A")</f>
        <v>N/A</v>
      </c>
    </row>
    <row r="93" spans="1:14" x14ac:dyDescent="0.3">
      <c r="A93" s="1">
        <v>6</v>
      </c>
      <c r="B93" t="s">
        <v>160</v>
      </c>
      <c r="C93" t="s">
        <v>2424</v>
      </c>
      <c r="I93" t="str">
        <f t="shared" si="15"/>
        <v>N/A</v>
      </c>
      <c r="J93">
        <f t="shared" si="16"/>
        <v>0.73</v>
      </c>
      <c r="K93" t="str">
        <f t="shared" si="17"/>
        <v>N/A</v>
      </c>
      <c r="L93" t="str">
        <f t="shared" si="18"/>
        <v>N/A</v>
      </c>
      <c r="M93" t="str">
        <f t="shared" si="19"/>
        <v>N/A</v>
      </c>
      <c r="N93" t="str">
        <f t="shared" si="20"/>
        <v>N/A</v>
      </c>
    </row>
    <row r="94" spans="1:14" x14ac:dyDescent="0.3">
      <c r="A94" s="1">
        <v>7</v>
      </c>
      <c r="B94" t="s">
        <v>161</v>
      </c>
      <c r="C94" t="s">
        <v>2457</v>
      </c>
      <c r="I94" t="str">
        <f t="shared" si="15"/>
        <v>N/A</v>
      </c>
      <c r="J94">
        <f t="shared" si="16"/>
        <v>0.99299999999999999</v>
      </c>
      <c r="K94" t="str">
        <f t="shared" si="17"/>
        <v>N/A</v>
      </c>
      <c r="L94" t="str">
        <f t="shared" si="18"/>
        <v>N/A</v>
      </c>
      <c r="M94" t="str">
        <f t="shared" si="19"/>
        <v>N/A</v>
      </c>
      <c r="N94" t="str">
        <f t="shared" si="20"/>
        <v>N/A</v>
      </c>
    </row>
    <row r="95" spans="1:14" x14ac:dyDescent="0.3">
      <c r="I95" t="str">
        <f t="shared" si="15"/>
        <v>N/A</v>
      </c>
      <c r="J95" t="str">
        <f t="shared" si="16"/>
        <v>N/A</v>
      </c>
      <c r="K95" t="str">
        <f t="shared" si="17"/>
        <v>N/A</v>
      </c>
      <c r="L95" t="str">
        <f t="shared" si="18"/>
        <v>N/A</v>
      </c>
      <c r="M95" t="str">
        <f t="shared" si="19"/>
        <v>N/A</v>
      </c>
      <c r="N95" t="str">
        <f t="shared" si="20"/>
        <v>N/A</v>
      </c>
    </row>
    <row r="96" spans="1:14" x14ac:dyDescent="0.3">
      <c r="A96" s="1">
        <v>0</v>
      </c>
      <c r="B96" t="s">
        <v>163</v>
      </c>
      <c r="C96" t="s">
        <v>2458</v>
      </c>
      <c r="I96" t="str">
        <f t="shared" si="15"/>
        <v>N/A</v>
      </c>
      <c r="J96">
        <f t="shared" si="16"/>
        <v>1100000000</v>
      </c>
      <c r="K96" t="str">
        <f t="shared" si="17"/>
        <v>N/A</v>
      </c>
      <c r="L96" t="str">
        <f t="shared" si="18"/>
        <v>N/A</v>
      </c>
      <c r="M96" t="str">
        <f t="shared" si="19"/>
        <v>N/A</v>
      </c>
      <c r="N96" t="str">
        <f t="shared" si="20"/>
        <v>N/A</v>
      </c>
    </row>
    <row r="97" spans="1:14" x14ac:dyDescent="0.3">
      <c r="A97" s="1">
        <v>1</v>
      </c>
      <c r="B97" t="s">
        <v>165</v>
      </c>
      <c r="C97" t="s">
        <v>2459</v>
      </c>
      <c r="I97" t="str">
        <f t="shared" si="15"/>
        <v>N/A</v>
      </c>
      <c r="J97">
        <f t="shared" si="16"/>
        <v>2.5299999999999998</v>
      </c>
      <c r="K97" t="str">
        <f t="shared" si="17"/>
        <v>N/A</v>
      </c>
      <c r="L97" t="str">
        <f t="shared" si="18"/>
        <v>N/A</v>
      </c>
      <c r="M97" t="str">
        <f t="shared" si="19"/>
        <v>N/A</v>
      </c>
      <c r="N97" t="str">
        <f t="shared" si="20"/>
        <v>N/A</v>
      </c>
    </row>
    <row r="98" spans="1:14" x14ac:dyDescent="0.3">
      <c r="A98" s="1">
        <v>2</v>
      </c>
      <c r="B98" t="s">
        <v>167</v>
      </c>
      <c r="C98" t="s">
        <v>2460</v>
      </c>
      <c r="I98" t="str">
        <f t="shared" si="15"/>
        <v>N/A</v>
      </c>
      <c r="J98">
        <f t="shared" si="16"/>
        <v>3080000000</v>
      </c>
      <c r="K98" t="str">
        <f t="shared" si="17"/>
        <v>N/A</v>
      </c>
      <c r="L98" t="str">
        <f t="shared" si="18"/>
        <v>N/A</v>
      </c>
      <c r="M98" t="str">
        <f t="shared" si="19"/>
        <v>N/A</v>
      </c>
      <c r="N98" t="str">
        <f t="shared" si="20"/>
        <v>N/A</v>
      </c>
    </row>
    <row r="99" spans="1:14" x14ac:dyDescent="0.3">
      <c r="A99" s="1">
        <v>3</v>
      </c>
      <c r="B99" t="s">
        <v>169</v>
      </c>
      <c r="C99" t="s">
        <v>2461</v>
      </c>
      <c r="I99" t="str">
        <f t="shared" si="15"/>
        <v>N/A</v>
      </c>
      <c r="J99">
        <f t="shared" si="16"/>
        <v>247.98</v>
      </c>
      <c r="K99" t="str">
        <f t="shared" si="17"/>
        <v>N/A</v>
      </c>
      <c r="L99" t="str">
        <f t="shared" si="18"/>
        <v>N/A</v>
      </c>
      <c r="M99" t="str">
        <f t="shared" si="19"/>
        <v>N/A</v>
      </c>
      <c r="N99" t="str">
        <f t="shared" si="20"/>
        <v>N/A</v>
      </c>
    </row>
    <row r="100" spans="1:14" x14ac:dyDescent="0.3">
      <c r="A100" s="1">
        <v>4</v>
      </c>
      <c r="B100" t="s">
        <v>171</v>
      </c>
      <c r="C100" t="s">
        <v>990</v>
      </c>
      <c r="I100" t="str">
        <f t="shared" si="15"/>
        <v>N/A</v>
      </c>
      <c r="J100">
        <f t="shared" si="16"/>
        <v>1.49</v>
      </c>
      <c r="K100" t="str">
        <f t="shared" si="17"/>
        <v>N/A</v>
      </c>
      <c r="L100" t="str">
        <f t="shared" si="18"/>
        <v>N/A</v>
      </c>
      <c r="M100" t="str">
        <f t="shared" si="19"/>
        <v>N/A</v>
      </c>
      <c r="N100" t="str">
        <f t="shared" si="20"/>
        <v>N/A</v>
      </c>
    </row>
    <row r="101" spans="1:14" x14ac:dyDescent="0.3">
      <c r="A101" s="1">
        <v>5</v>
      </c>
      <c r="B101" t="s">
        <v>173</v>
      </c>
      <c r="C101" t="s">
        <v>2462</v>
      </c>
      <c r="I101" t="str">
        <f t="shared" si="15"/>
        <v>N/A</v>
      </c>
      <c r="J101">
        <f t="shared" si="16"/>
        <v>2.74</v>
      </c>
      <c r="K101" t="str">
        <f t="shared" si="17"/>
        <v>N/A</v>
      </c>
      <c r="L101" t="str">
        <f t="shared" si="18"/>
        <v>N/A</v>
      </c>
      <c r="M101" t="str">
        <f t="shared" si="19"/>
        <v>N/A</v>
      </c>
      <c r="N101" t="str">
        <f t="shared" si="20"/>
        <v>N/A</v>
      </c>
    </row>
    <row r="102" spans="1:14" x14ac:dyDescent="0.3">
      <c r="I102" t="str">
        <f t="shared" si="15"/>
        <v>N/A</v>
      </c>
      <c r="J102" t="str">
        <f t="shared" si="16"/>
        <v>N/A</v>
      </c>
      <c r="K102" t="str">
        <f t="shared" si="17"/>
        <v>N/A</v>
      </c>
      <c r="L102" t="str">
        <f t="shared" si="18"/>
        <v>N/A</v>
      </c>
      <c r="M102" t="str">
        <f t="shared" si="19"/>
        <v>N/A</v>
      </c>
      <c r="N102" t="str">
        <f t="shared" si="20"/>
        <v>N/A</v>
      </c>
    </row>
    <row r="103" spans="1:14" x14ac:dyDescent="0.3">
      <c r="A103" s="1">
        <v>0</v>
      </c>
      <c r="B103" t="s">
        <v>175</v>
      </c>
      <c r="C103" t="s">
        <v>2463</v>
      </c>
      <c r="I103" t="str">
        <f t="shared" si="15"/>
        <v>N/A</v>
      </c>
      <c r="J103">
        <f t="shared" si="16"/>
        <v>594400000</v>
      </c>
      <c r="K103" t="str">
        <f t="shared" si="17"/>
        <v>N/A</v>
      </c>
      <c r="L103" t="str">
        <f t="shared" si="18"/>
        <v>N/A</v>
      </c>
      <c r="M103" t="str">
        <f t="shared" si="19"/>
        <v>N/A</v>
      </c>
      <c r="N103" t="str">
        <f t="shared" si="20"/>
        <v>N/A</v>
      </c>
    </row>
    <row r="104" spans="1:14" x14ac:dyDescent="0.3">
      <c r="A104" s="1">
        <v>1</v>
      </c>
      <c r="B104" t="s">
        <v>177</v>
      </c>
      <c r="C104" t="s">
        <v>2464</v>
      </c>
      <c r="I104" t="str">
        <f t="shared" si="15"/>
        <v>N/A</v>
      </c>
      <c r="J104">
        <f t="shared" si="16"/>
        <v>296620000</v>
      </c>
      <c r="K104" t="str">
        <f t="shared" si="17"/>
        <v>N/A</v>
      </c>
      <c r="L104" t="str">
        <f t="shared" si="18"/>
        <v>N/A</v>
      </c>
      <c r="M104" t="str">
        <f t="shared" si="19"/>
        <v>N/A</v>
      </c>
      <c r="N104" t="str">
        <f t="shared" si="20"/>
        <v>N/A</v>
      </c>
    </row>
    <row r="105" spans="1:14" x14ac:dyDescent="0.3">
      <c r="I105" t="str">
        <f t="shared" si="15"/>
        <v>N/A</v>
      </c>
      <c r="J105" t="str">
        <f t="shared" si="16"/>
        <v>N/A</v>
      </c>
      <c r="K105" t="str">
        <f t="shared" si="17"/>
        <v>N/A</v>
      </c>
      <c r="L105" t="str">
        <f t="shared" si="18"/>
        <v>N/A</v>
      </c>
      <c r="M105" t="str">
        <f t="shared" si="19"/>
        <v>N/A</v>
      </c>
      <c r="N105" t="str">
        <f t="shared" si="20"/>
        <v>N/A</v>
      </c>
    </row>
    <row r="106" spans="1:14" x14ac:dyDescent="0.3">
      <c r="A106" s="1">
        <v>0</v>
      </c>
      <c r="B106" t="s">
        <v>22</v>
      </c>
      <c r="C106" t="s">
        <v>2422</v>
      </c>
      <c r="I106" t="str">
        <f t="shared" si="15"/>
        <v>N/A</v>
      </c>
      <c r="J106">
        <f t="shared" si="16"/>
        <v>0.53</v>
      </c>
      <c r="K106" t="str">
        <f t="shared" si="17"/>
        <v>N/A</v>
      </c>
      <c r="L106" t="str">
        <f t="shared" si="18"/>
        <v>N/A</v>
      </c>
      <c r="M106" t="str">
        <f t="shared" si="19"/>
        <v>N/A</v>
      </c>
      <c r="N106" t="str">
        <f t="shared" si="20"/>
        <v>N/A</v>
      </c>
    </row>
    <row r="107" spans="1:14" x14ac:dyDescent="0.3">
      <c r="A107" s="1">
        <v>1</v>
      </c>
      <c r="B107" t="s">
        <v>179</v>
      </c>
      <c r="C107" t="s">
        <v>2465</v>
      </c>
      <c r="I107" t="str">
        <f t="shared" si="15"/>
        <v>N/A</v>
      </c>
      <c r="J107">
        <f t="shared" si="16"/>
        <v>1.66E-2</v>
      </c>
      <c r="K107" t="str">
        <f t="shared" si="17"/>
        <v>N/A</v>
      </c>
      <c r="L107" t="str">
        <f t="shared" si="18"/>
        <v>N/A</v>
      </c>
      <c r="M107" t="str">
        <f t="shared" si="19"/>
        <v>N/A</v>
      </c>
      <c r="N107" t="str">
        <f t="shared" si="20"/>
        <v>N/A</v>
      </c>
    </row>
    <row r="108" spans="1:14" x14ac:dyDescent="0.3">
      <c r="A108" s="1">
        <v>2</v>
      </c>
      <c r="B108" t="s">
        <v>181</v>
      </c>
      <c r="C108" t="s">
        <v>182</v>
      </c>
      <c r="I108" t="str">
        <f t="shared" si="15"/>
        <v>N/A</v>
      </c>
      <c r="J108">
        <f t="shared" si="16"/>
        <v>0.14180000000000001</v>
      </c>
      <c r="K108" t="str">
        <f t="shared" si="17"/>
        <v>N/A</v>
      </c>
      <c r="L108" t="str">
        <f t="shared" si="18"/>
        <v>N/A</v>
      </c>
      <c r="M108" t="str">
        <f t="shared" si="19"/>
        <v>N/A</v>
      </c>
      <c r="N108" t="str">
        <f t="shared" si="20"/>
        <v>N/A</v>
      </c>
    </row>
    <row r="109" spans="1:14" x14ac:dyDescent="0.3">
      <c r="A109" s="1">
        <v>3</v>
      </c>
      <c r="B109" t="s">
        <v>183</v>
      </c>
      <c r="C109" t="s">
        <v>2466</v>
      </c>
      <c r="I109" t="str">
        <f t="shared" si="15"/>
        <v>N/A</v>
      </c>
      <c r="J109">
        <f t="shared" si="16"/>
        <v>21.81</v>
      </c>
      <c r="K109" t="str">
        <f t="shared" si="17"/>
        <v>N/A</v>
      </c>
      <c r="L109" t="str">
        <f t="shared" si="18"/>
        <v>N/A</v>
      </c>
      <c r="M109" t="str">
        <f t="shared" si="19"/>
        <v>N/A</v>
      </c>
      <c r="N109" t="str">
        <f t="shared" si="20"/>
        <v>N/A</v>
      </c>
    </row>
    <row r="110" spans="1:14" x14ac:dyDescent="0.3">
      <c r="A110" s="1">
        <v>4</v>
      </c>
      <c r="B110" t="s">
        <v>185</v>
      </c>
      <c r="C110" t="s">
        <v>2467</v>
      </c>
      <c r="I110" t="str">
        <f t="shared" si="15"/>
        <v>N/A</v>
      </c>
      <c r="J110">
        <f t="shared" si="16"/>
        <v>16.62</v>
      </c>
      <c r="K110" t="str">
        <f t="shared" si="17"/>
        <v>N/A</v>
      </c>
      <c r="L110" t="str">
        <f t="shared" si="18"/>
        <v>N/A</v>
      </c>
      <c r="M110" t="str">
        <f t="shared" si="19"/>
        <v>N/A</v>
      </c>
      <c r="N110" t="str">
        <f t="shared" si="20"/>
        <v>N/A</v>
      </c>
    </row>
    <row r="111" spans="1:14" x14ac:dyDescent="0.3">
      <c r="A111" s="1">
        <v>5</v>
      </c>
      <c r="B111" t="s">
        <v>187</v>
      </c>
      <c r="C111" t="s">
        <v>2468</v>
      </c>
      <c r="I111" t="str">
        <f t="shared" si="15"/>
        <v>N/A</v>
      </c>
      <c r="J111">
        <f t="shared" si="16"/>
        <v>20.010000000000002</v>
      </c>
      <c r="K111" t="str">
        <f t="shared" si="17"/>
        <v>N/A</v>
      </c>
      <c r="L111" t="str">
        <f t="shared" si="18"/>
        <v>N/A</v>
      </c>
      <c r="M111" t="str">
        <f t="shared" si="19"/>
        <v>N/A</v>
      </c>
      <c r="N111" t="str">
        <f t="shared" si="20"/>
        <v>N/A</v>
      </c>
    </row>
    <row r="112" spans="1:14" x14ac:dyDescent="0.3">
      <c r="A112" s="1">
        <v>6</v>
      </c>
      <c r="B112" t="s">
        <v>189</v>
      </c>
      <c r="C112" t="s">
        <v>2469</v>
      </c>
      <c r="I112" t="str">
        <f t="shared" si="15"/>
        <v>N/A</v>
      </c>
      <c r="J112">
        <f t="shared" si="16"/>
        <v>19.600000000000001</v>
      </c>
      <c r="K112" t="str">
        <f t="shared" si="17"/>
        <v>N/A</v>
      </c>
      <c r="L112" t="str">
        <f t="shared" si="18"/>
        <v>N/A</v>
      </c>
      <c r="M112" t="str">
        <f t="shared" si="19"/>
        <v>N/A</v>
      </c>
      <c r="N112" t="str">
        <f t="shared" si="20"/>
        <v>N/A</v>
      </c>
    </row>
    <row r="113" spans="1:14" x14ac:dyDescent="0.3">
      <c r="I113" t="str">
        <f t="shared" si="15"/>
        <v>N/A</v>
      </c>
      <c r="J113" t="str">
        <f t="shared" si="16"/>
        <v>N/A</v>
      </c>
      <c r="K113" t="str">
        <f t="shared" si="17"/>
        <v>N/A</v>
      </c>
      <c r="L113" t="str">
        <f t="shared" si="18"/>
        <v>N/A</v>
      </c>
      <c r="M113" t="str">
        <f t="shared" si="19"/>
        <v>N/A</v>
      </c>
      <c r="N113" t="str">
        <f t="shared" si="20"/>
        <v>N/A</v>
      </c>
    </row>
    <row r="114" spans="1:14" x14ac:dyDescent="0.3">
      <c r="A114" s="1">
        <v>0</v>
      </c>
      <c r="B114" t="s">
        <v>191</v>
      </c>
      <c r="C114" t="s">
        <v>2470</v>
      </c>
      <c r="I114" t="str">
        <f t="shared" si="15"/>
        <v>N/A</v>
      </c>
      <c r="J114">
        <f t="shared" si="16"/>
        <v>708690</v>
      </c>
      <c r="K114" t="str">
        <f t="shared" si="17"/>
        <v>N/A</v>
      </c>
      <c r="L114" t="str">
        <f t="shared" si="18"/>
        <v>N/A</v>
      </c>
      <c r="M114" t="str">
        <f t="shared" si="19"/>
        <v>N/A</v>
      </c>
      <c r="N114" t="str">
        <f t="shared" si="20"/>
        <v>N/A</v>
      </c>
    </row>
    <row r="115" spans="1:14" x14ac:dyDescent="0.3">
      <c r="A115" s="1">
        <v>1</v>
      </c>
      <c r="B115" t="s">
        <v>193</v>
      </c>
      <c r="C115" t="s">
        <v>2471</v>
      </c>
      <c r="I115" t="str">
        <f t="shared" si="15"/>
        <v>N/A</v>
      </c>
      <c r="J115">
        <f t="shared" si="16"/>
        <v>608080</v>
      </c>
      <c r="K115" t="str">
        <f t="shared" si="17"/>
        <v>N/A</v>
      </c>
      <c r="L115" t="str">
        <f t="shared" si="18"/>
        <v>N/A</v>
      </c>
      <c r="M115" t="str">
        <f t="shared" si="19"/>
        <v>N/A</v>
      </c>
      <c r="N115" t="str">
        <f t="shared" si="20"/>
        <v>N/A</v>
      </c>
    </row>
    <row r="116" spans="1:14" x14ac:dyDescent="0.3">
      <c r="A116" s="1">
        <v>2</v>
      </c>
      <c r="B116" t="s">
        <v>195</v>
      </c>
      <c r="C116" t="s">
        <v>2472</v>
      </c>
      <c r="I116" t="str">
        <f t="shared" si="15"/>
        <v>N/A</v>
      </c>
      <c r="J116">
        <f t="shared" si="16"/>
        <v>436490000</v>
      </c>
      <c r="K116" t="str">
        <f t="shared" si="17"/>
        <v>N/A</v>
      </c>
      <c r="L116" t="str">
        <f t="shared" si="18"/>
        <v>N/A</v>
      </c>
      <c r="M116" t="str">
        <f t="shared" si="19"/>
        <v>N/A</v>
      </c>
      <c r="N116" t="str">
        <f t="shared" si="20"/>
        <v>N/A</v>
      </c>
    </row>
    <row r="117" spans="1:14" x14ac:dyDescent="0.3">
      <c r="A117" s="1">
        <v>3</v>
      </c>
      <c r="B117" t="s">
        <v>197</v>
      </c>
      <c r="C117" t="s">
        <v>2473</v>
      </c>
      <c r="I117" t="str">
        <f t="shared" si="15"/>
        <v>N/A</v>
      </c>
      <c r="J117">
        <f t="shared" si="16"/>
        <v>254910000</v>
      </c>
      <c r="K117" t="str">
        <f t="shared" si="17"/>
        <v>N/A</v>
      </c>
      <c r="L117" t="str">
        <f t="shared" si="18"/>
        <v>N/A</v>
      </c>
      <c r="M117" t="str">
        <f t="shared" si="19"/>
        <v>N/A</v>
      </c>
      <c r="N117" t="str">
        <f t="shared" si="20"/>
        <v>N/A</v>
      </c>
    </row>
    <row r="118" spans="1:14" x14ac:dyDescent="0.3">
      <c r="A118" s="1">
        <v>4</v>
      </c>
      <c r="B118" t="s">
        <v>199</v>
      </c>
      <c r="I118" t="str">
        <f t="shared" si="15"/>
        <v>N/A</v>
      </c>
      <c r="J118" t="str">
        <f t="shared" si="16"/>
        <v>N/A</v>
      </c>
      <c r="K118" t="str">
        <f t="shared" si="17"/>
        <v>N/A</v>
      </c>
      <c r="L118" t="str">
        <f t="shared" si="18"/>
        <v>N/A</v>
      </c>
      <c r="M118" t="str">
        <f t="shared" si="19"/>
        <v>N/A</v>
      </c>
      <c r="N118" t="str">
        <f t="shared" si="20"/>
        <v>N/A</v>
      </c>
    </row>
    <row r="119" spans="1:14" x14ac:dyDescent="0.3">
      <c r="A119" s="1">
        <v>5</v>
      </c>
      <c r="B119" t="s">
        <v>201</v>
      </c>
      <c r="I119" t="str">
        <f t="shared" si="15"/>
        <v>N/A</v>
      </c>
      <c r="J119" t="str">
        <f t="shared" si="16"/>
        <v>N/A</v>
      </c>
      <c r="K119" t="str">
        <f t="shared" si="17"/>
        <v>N/A</v>
      </c>
      <c r="L119" t="str">
        <f t="shared" si="18"/>
        <v>N/A</v>
      </c>
      <c r="M119" t="str">
        <f t="shared" si="19"/>
        <v>N/A</v>
      </c>
      <c r="N119" t="str">
        <f t="shared" si="20"/>
        <v>N/A</v>
      </c>
    </row>
    <row r="120" spans="1:14" x14ac:dyDescent="0.3">
      <c r="A120" s="1">
        <v>6</v>
      </c>
      <c r="B120" t="s">
        <v>203</v>
      </c>
      <c r="I120" t="str">
        <f t="shared" si="15"/>
        <v>N/A</v>
      </c>
      <c r="J120" t="str">
        <f t="shared" si="16"/>
        <v>N/A</v>
      </c>
      <c r="K120" t="str">
        <f t="shared" si="17"/>
        <v>N/A</v>
      </c>
      <c r="L120" t="str">
        <f t="shared" si="18"/>
        <v>N/A</v>
      </c>
      <c r="M120" t="str">
        <f t="shared" si="19"/>
        <v>N/A</v>
      </c>
      <c r="N120" t="str">
        <f t="shared" si="20"/>
        <v>N/A</v>
      </c>
    </row>
    <row r="121" spans="1:14" x14ac:dyDescent="0.3">
      <c r="A121" s="1">
        <v>7</v>
      </c>
      <c r="B121" t="s">
        <v>205</v>
      </c>
      <c r="I121" t="str">
        <f t="shared" si="15"/>
        <v>N/A</v>
      </c>
      <c r="J121" t="str">
        <f t="shared" si="16"/>
        <v>N/A</v>
      </c>
      <c r="K121" t="str">
        <f t="shared" si="17"/>
        <v>N/A</v>
      </c>
      <c r="L121" t="str">
        <f t="shared" si="18"/>
        <v>N/A</v>
      </c>
      <c r="M121" t="str">
        <f t="shared" si="19"/>
        <v>N/A</v>
      </c>
      <c r="N121" t="str">
        <f t="shared" si="20"/>
        <v>N/A</v>
      </c>
    </row>
    <row r="122" spans="1:14" x14ac:dyDescent="0.3">
      <c r="A122" s="1">
        <v>8</v>
      </c>
      <c r="B122" t="s">
        <v>207</v>
      </c>
      <c r="I122" t="str">
        <f t="shared" si="15"/>
        <v>N/A</v>
      </c>
      <c r="J122" t="str">
        <f t="shared" si="16"/>
        <v>N/A</v>
      </c>
      <c r="K122" t="str">
        <f t="shared" si="17"/>
        <v>N/A</v>
      </c>
      <c r="L122" t="str">
        <f t="shared" si="18"/>
        <v>N/A</v>
      </c>
      <c r="M122" t="str">
        <f t="shared" si="19"/>
        <v>N/A</v>
      </c>
      <c r="N122" t="str">
        <f t="shared" si="20"/>
        <v>N/A</v>
      </c>
    </row>
    <row r="123" spans="1:14" x14ac:dyDescent="0.3">
      <c r="A123" s="1">
        <v>9</v>
      </c>
      <c r="B123" t="s">
        <v>209</v>
      </c>
      <c r="I123" t="str">
        <f t="shared" si="15"/>
        <v>N/A</v>
      </c>
      <c r="J123" t="str">
        <f t="shared" si="16"/>
        <v>N/A</v>
      </c>
      <c r="K123" t="str">
        <f t="shared" si="17"/>
        <v>N/A</v>
      </c>
      <c r="L123" t="str">
        <f t="shared" si="18"/>
        <v>N/A</v>
      </c>
      <c r="M123" t="str">
        <f t="shared" si="19"/>
        <v>N/A</v>
      </c>
      <c r="N123" t="str">
        <f t="shared" si="20"/>
        <v>N/A</v>
      </c>
    </row>
    <row r="124" spans="1:14" x14ac:dyDescent="0.3">
      <c r="I124" t="str">
        <f t="shared" ref="I124:I155" si="21">IF(AND(K124&gt; J124, L124&gt; K124, M124&gt; L124, N124&gt; M124), "pos_trend", IF(AND(K124&lt; J124, L124&lt; K124, M124&lt; L124, N124&lt; M124), "neg_trend", "N/A"))</f>
        <v>N/A</v>
      </c>
      <c r="J124" t="str">
        <f t="shared" ref="J124:J156" si="22">IFERROR(IF(TRIM(C124)="-", "N/A", IF(RIGHT(C124,1)=")",IF(RIGHT(C124,2)="T)",-1000000000000*VALUE(MID(C124,2,LEN(C124)-3)),IF(RIGHT(C124,2)="M)",-1000000*VALUE(MID(C124,2,LEN(C124)-3)),IF(RIGHT(C124,2)="B)",-1000000000*VALUE(MID(C124,2,LEN(C124)-3)),IF(RIGHT(C124,2)="k)",-1000*VALUE(MID(C124,2,LEN(C124)-3)),VALUE(SUBSTITUTE(C124,",","")))))),IF(RIGHT(C124,1)="T",1000000000000*VALUE(LEFT(C124,LEN(C124)-1)),IF(RIGHT(C124,1)="M",1000000*VALUE(LEFT(C124,LEN(C124)-1)),IF(RIGHT(C124,1)="B",1000000000*VALUE(LEFT(C124,LEN(C124)-1)),IF(RIGHT(C124,1)="%",0.01*VALUE(LEFT(C124,LEN(C124)-1)),IF(RIGHT(C124,1)="k",1000*VALUE(LEFT(C124,LEN(C124)-1)),VALUE(SUBSTITUTE(C124,",",""))))))))),"N/A")</f>
        <v>N/A</v>
      </c>
      <c r="K124" t="str">
        <f t="shared" ref="K124:K156" si="23">IFERROR(IF(TRIM(D124)="-", "N/A", IF(RIGHT(D124,1)=")",IF(RIGHT(D124,2)="T)",-1000000000000*VALUE(MID(D124,2,LEN(D124)-3)),IF(RIGHT(D124,2)="M)",-1000000*VALUE(MID(D124,2,LEN(D124)-3)),IF(RIGHT(D124,2)="B)",-1000000000*VALUE(MID(D124,2,LEN(D124)-3)),IF(RIGHT(D124,2)="k)",-1000*VALUE(MID(D124,2,LEN(D124)-3)),VALUE(SUBSTITUTE(D124,",","")))))),IF(RIGHT(D124,1)="T",1000000000000*VALUE(LEFT(D124,LEN(D124)-1)),IF(RIGHT(D124,1)="M",1000000*VALUE(LEFT(D124,LEN(D124)-1)),IF(RIGHT(D124,1)="B",1000000000*VALUE(LEFT(D124,LEN(D124)-1)),IF(RIGHT(D124,1)="%",0.01*VALUE(LEFT(D124,LEN(D124)-1)),IF(RIGHT(D124,1)="k",1000*VALUE(LEFT(D124,LEN(D124)-1)),VALUE(SUBSTITUTE(D124,",",""))))))))),"N/A")</f>
        <v>N/A</v>
      </c>
      <c r="L124" t="str">
        <f t="shared" ref="L124:L156" si="24">IFERROR(IF(TRIM(E124)="-", "N/A", IF(RIGHT(E124,1)=")",IF(RIGHT(E124,2)="T)",-1000000000000*VALUE(MID(E124,2,LEN(E124)-3)),IF(RIGHT(E124,2)="M)",-1000000*VALUE(MID(E124,2,LEN(E124)-3)),IF(RIGHT(E124,2)="B)",-1000000000*VALUE(MID(E124,2,LEN(E124)-3)),IF(RIGHT(E124,2)="k)",-1000*VALUE(MID(E124,2,LEN(E124)-3)),VALUE(SUBSTITUTE(E124,",","")))))),IF(RIGHT(E124,1)="T",1000000000000*VALUE(LEFT(E124,LEN(E124)-1)),IF(RIGHT(E124,1)="M",1000000*VALUE(LEFT(E124,LEN(E124)-1)),IF(RIGHT(E124,1)="B",1000000000*VALUE(LEFT(E124,LEN(E124)-1)),IF(RIGHT(E124,1)="%",0.01*VALUE(LEFT(E124,LEN(E124)-1)),IF(RIGHT(E124,1)="k",1000*VALUE(LEFT(E124,LEN(E124)-1)),VALUE(SUBSTITUTE(E124,",",""))))))))),"N/A")</f>
        <v>N/A</v>
      </c>
      <c r="M124" t="str">
        <f t="shared" ref="M124:M156" si="25">IFERROR(IF(TRIM(F124)="-", "N/A", IF(RIGHT(F124,1)=")",IF(RIGHT(F124,2)="T)",-1000000000000*VALUE(MID(F124,2,LEN(F124)-3)),IF(RIGHT(F124,2)="M)",-1000000*VALUE(MID(F124,2,LEN(F124)-3)),IF(RIGHT(F124,2)="B)",-1000000000*VALUE(MID(F124,2,LEN(F124)-3)),IF(RIGHT(F124,2)="k)",-1000*VALUE(MID(F124,2,LEN(F124)-3)),VALUE(SUBSTITUTE(F124,",","")))))),IF(RIGHT(F124,1)="T",1000000000000*VALUE(LEFT(F124,LEN(F124)-1)),IF(RIGHT(F124,1)="M",1000000*VALUE(LEFT(F124,LEN(F124)-1)),IF(RIGHT(F124,1)="B",1000000000*VALUE(LEFT(F124,LEN(F124)-1)),IF(RIGHT(F124,1)="%",0.01*VALUE(LEFT(F124,LEN(F124)-1)),IF(RIGHT(F124,1)="k",1000*VALUE(LEFT(F124,LEN(F124)-1)),VALUE(SUBSTITUTE(F124,",",""))))))))),"N/A")</f>
        <v>N/A</v>
      </c>
      <c r="N124" t="str">
        <f t="shared" ref="N124:N156" si="26">IFERROR(IF(TRIM(G124)="-", "N/A", IF(RIGHT(G124,1)=")",IF(RIGHT(G124,2)="T)",-1000000000000*VALUE(MID(G124,2,LEN(G124)-3)),IF(RIGHT(G124,2)="M)",-1000000*VALUE(MID(G124,2,LEN(G124)-3)),IF(RIGHT(G124,2)="B)",-1000000000*VALUE(MID(G124,2,LEN(G124)-3)),IF(RIGHT(G124,2)="k)",-1000*VALUE(MID(G124,2,LEN(G124)-3)),VALUE(SUBSTITUTE(G124,",","")))))),IF(RIGHT(G124,1)="T",1000000000000*VALUE(LEFT(G124,LEN(G124)-1)),IF(RIGHT(G124,1)="M",1000000*VALUE(LEFT(G124,LEN(G124)-1)),IF(RIGHT(G124,1)="B",1000000000*VALUE(LEFT(G124,LEN(G124)-1)),IF(RIGHT(G124,1)="%",0.01*VALUE(LEFT(G124,LEN(G124)-1)),IF(RIGHT(G124,1)="k",1000*VALUE(LEFT(G124,LEN(G124)-1)),VALUE(SUBSTITUTE(G124,",",""))))))))),"N/A")</f>
        <v>N/A</v>
      </c>
    </row>
    <row r="125" spans="1:14" x14ac:dyDescent="0.3">
      <c r="A125" s="1">
        <v>0</v>
      </c>
      <c r="B125" t="s">
        <v>211</v>
      </c>
      <c r="C125" t="s">
        <v>2474</v>
      </c>
      <c r="I125" t="str">
        <f t="shared" si="21"/>
        <v>N/A</v>
      </c>
      <c r="J125">
        <f t="shared" si="22"/>
        <v>0.62</v>
      </c>
      <c r="K125" t="str">
        <f t="shared" si="23"/>
        <v>N/A</v>
      </c>
      <c r="L125" t="str">
        <f t="shared" si="24"/>
        <v>N/A</v>
      </c>
      <c r="M125" t="str">
        <f t="shared" si="25"/>
        <v>N/A</v>
      </c>
      <c r="N125" t="str">
        <f t="shared" si="26"/>
        <v>N/A</v>
      </c>
    </row>
    <row r="126" spans="1:14" x14ac:dyDescent="0.3">
      <c r="A126" s="1">
        <v>1</v>
      </c>
      <c r="B126" t="s">
        <v>213</v>
      </c>
      <c r="C126" t="s">
        <v>2475</v>
      </c>
      <c r="I126" t="str">
        <f t="shared" si="21"/>
        <v>N/A</v>
      </c>
      <c r="J126">
        <f t="shared" si="22"/>
        <v>2.6700000000000002E-2</v>
      </c>
      <c r="K126" t="str">
        <f t="shared" si="23"/>
        <v>N/A</v>
      </c>
      <c r="L126" t="str">
        <f t="shared" si="24"/>
        <v>N/A</v>
      </c>
      <c r="M126" t="str">
        <f t="shared" si="25"/>
        <v>N/A</v>
      </c>
      <c r="N126" t="str">
        <f t="shared" si="26"/>
        <v>N/A</v>
      </c>
    </row>
    <row r="127" spans="1:14" x14ac:dyDescent="0.3">
      <c r="A127" s="1">
        <v>2</v>
      </c>
      <c r="B127" t="s">
        <v>215</v>
      </c>
      <c r="C127" t="s">
        <v>2476</v>
      </c>
      <c r="I127" t="str">
        <f t="shared" si="21"/>
        <v>N/A</v>
      </c>
      <c r="J127">
        <f t="shared" si="22"/>
        <v>0.55000000000000004</v>
      </c>
      <c r="K127" t="str">
        <f t="shared" si="23"/>
        <v>N/A</v>
      </c>
      <c r="L127" t="str">
        <f t="shared" si="24"/>
        <v>N/A</v>
      </c>
      <c r="M127" t="str">
        <f t="shared" si="25"/>
        <v>N/A</v>
      </c>
      <c r="N127" t="str">
        <f t="shared" si="26"/>
        <v>N/A</v>
      </c>
    </row>
    <row r="128" spans="1:14" x14ac:dyDescent="0.3">
      <c r="A128" s="1">
        <v>3</v>
      </c>
      <c r="B128" t="s">
        <v>217</v>
      </c>
      <c r="C128" t="s">
        <v>2477</v>
      </c>
      <c r="I128" t="str">
        <f t="shared" si="21"/>
        <v>N/A</v>
      </c>
      <c r="J128">
        <f t="shared" si="22"/>
        <v>2.7700000000000002E-2</v>
      </c>
      <c r="K128" t="str">
        <f t="shared" si="23"/>
        <v>N/A</v>
      </c>
      <c r="L128" t="str">
        <f t="shared" si="24"/>
        <v>N/A</v>
      </c>
      <c r="M128" t="str">
        <f t="shared" si="25"/>
        <v>N/A</v>
      </c>
      <c r="N128" t="str">
        <f t="shared" si="26"/>
        <v>N/A</v>
      </c>
    </row>
    <row r="129" spans="1:60" x14ac:dyDescent="0.3">
      <c r="A129" s="1">
        <v>4</v>
      </c>
      <c r="B129" t="s">
        <v>219</v>
      </c>
      <c r="I129" t="str">
        <f t="shared" si="21"/>
        <v>N/A</v>
      </c>
      <c r="J129" t="str">
        <f t="shared" si="22"/>
        <v>N/A</v>
      </c>
      <c r="K129" t="str">
        <f t="shared" si="23"/>
        <v>N/A</v>
      </c>
      <c r="L129" t="str">
        <f t="shared" si="24"/>
        <v>N/A</v>
      </c>
      <c r="M129" t="str">
        <f t="shared" si="25"/>
        <v>N/A</v>
      </c>
      <c r="N129" t="str">
        <f t="shared" si="26"/>
        <v>N/A</v>
      </c>
    </row>
    <row r="130" spans="1:60" x14ac:dyDescent="0.3">
      <c r="A130" s="1">
        <v>5</v>
      </c>
      <c r="B130" t="s">
        <v>221</v>
      </c>
      <c r="C130" t="s">
        <v>2478</v>
      </c>
      <c r="I130" t="str">
        <f t="shared" si="21"/>
        <v>N/A</v>
      </c>
      <c r="J130">
        <f t="shared" si="22"/>
        <v>0.6986</v>
      </c>
      <c r="K130" t="str">
        <f t="shared" si="23"/>
        <v>N/A</v>
      </c>
      <c r="L130" t="str">
        <f t="shared" si="24"/>
        <v>N/A</v>
      </c>
      <c r="M130" t="str">
        <f t="shared" si="25"/>
        <v>N/A</v>
      </c>
      <c r="N130" t="str">
        <f t="shared" si="26"/>
        <v>N/A</v>
      </c>
    </row>
    <row r="131" spans="1:60" x14ac:dyDescent="0.3">
      <c r="A131" s="1">
        <v>6</v>
      </c>
      <c r="B131" t="s">
        <v>223</v>
      </c>
      <c r="I131" t="str">
        <f t="shared" si="21"/>
        <v>N/A</v>
      </c>
      <c r="J131" t="str">
        <f t="shared" si="22"/>
        <v>N/A</v>
      </c>
      <c r="K131" t="str">
        <f t="shared" si="23"/>
        <v>N/A</v>
      </c>
      <c r="L131" t="str">
        <f t="shared" si="24"/>
        <v>N/A</v>
      </c>
      <c r="M131" t="str">
        <f t="shared" si="25"/>
        <v>N/A</v>
      </c>
      <c r="N131" t="str">
        <f t="shared" si="26"/>
        <v>N/A</v>
      </c>
    </row>
    <row r="132" spans="1:60" x14ac:dyDescent="0.3">
      <c r="A132" s="1">
        <v>7</v>
      </c>
      <c r="B132" t="s">
        <v>225</v>
      </c>
      <c r="C132" t="s">
        <v>2479</v>
      </c>
      <c r="I132" t="str">
        <f t="shared" si="21"/>
        <v>N/A</v>
      </c>
      <c r="J132" t="str">
        <f t="shared" si="22"/>
        <v>N/A</v>
      </c>
      <c r="K132" t="str">
        <f t="shared" si="23"/>
        <v>N/A</v>
      </c>
      <c r="L132" t="str">
        <f t="shared" si="24"/>
        <v>N/A</v>
      </c>
      <c r="M132" t="str">
        <f t="shared" si="25"/>
        <v>N/A</v>
      </c>
      <c r="N132" t="str">
        <f t="shared" si="26"/>
        <v>N/A</v>
      </c>
    </row>
    <row r="133" spans="1:60" x14ac:dyDescent="0.3">
      <c r="A133" s="1">
        <v>8</v>
      </c>
      <c r="B133" t="s">
        <v>227</v>
      </c>
      <c r="C133" t="s">
        <v>2480</v>
      </c>
      <c r="I133" t="str">
        <f t="shared" si="21"/>
        <v>N/A</v>
      </c>
      <c r="J133">
        <f t="shared" si="22"/>
        <v>42826</v>
      </c>
      <c r="K133" t="str">
        <f t="shared" si="23"/>
        <v>N/A</v>
      </c>
      <c r="L133" t="str">
        <f t="shared" si="24"/>
        <v>N/A</v>
      </c>
      <c r="M133" t="str">
        <f t="shared" si="25"/>
        <v>N/A</v>
      </c>
      <c r="N133" t="str">
        <f t="shared" si="26"/>
        <v>N/A</v>
      </c>
    </row>
    <row r="134" spans="1:60" x14ac:dyDescent="0.3">
      <c r="A134" s="1">
        <v>9</v>
      </c>
      <c r="B134" t="s">
        <v>229</v>
      </c>
      <c r="C134" t="s">
        <v>2481</v>
      </c>
      <c r="I134" t="str">
        <f t="shared" si="21"/>
        <v>N/A</v>
      </c>
      <c r="J134" t="str">
        <f t="shared" si="22"/>
        <v>N/A</v>
      </c>
      <c r="K134" t="str">
        <f t="shared" si="23"/>
        <v>N/A</v>
      </c>
      <c r="L134" t="str">
        <f t="shared" si="24"/>
        <v>N/A</v>
      </c>
      <c r="M134" t="str">
        <f t="shared" si="25"/>
        <v>N/A</v>
      </c>
      <c r="N134" t="str">
        <f t="shared" si="26"/>
        <v>N/A</v>
      </c>
    </row>
    <row r="135" spans="1:60" x14ac:dyDescent="0.3">
      <c r="I135" t="str">
        <f t="shared" si="21"/>
        <v>N/A</v>
      </c>
      <c r="J135" t="str">
        <f t="shared" si="22"/>
        <v>N/A</v>
      </c>
      <c r="K135" t="str">
        <f t="shared" si="23"/>
        <v>N/A</v>
      </c>
      <c r="L135" t="str">
        <f t="shared" si="24"/>
        <v>N/A</v>
      </c>
      <c r="M135" t="str">
        <f t="shared" si="25"/>
        <v>N/A</v>
      </c>
      <c r="N135" t="str">
        <f t="shared" si="26"/>
        <v>N/A</v>
      </c>
    </row>
    <row r="136" spans="1:60" x14ac:dyDescent="0.3">
      <c r="I136" t="str">
        <f t="shared" si="21"/>
        <v>N/A</v>
      </c>
      <c r="J136" t="str">
        <f t="shared" si="22"/>
        <v>N/A</v>
      </c>
      <c r="K136" t="str">
        <f t="shared" si="23"/>
        <v>N/A</v>
      </c>
      <c r="L136" t="str">
        <f t="shared" si="24"/>
        <v>N/A</v>
      </c>
      <c r="M136" t="str">
        <f t="shared" si="25"/>
        <v>N/A</v>
      </c>
      <c r="N136" t="str">
        <f t="shared" si="26"/>
        <v>N/A</v>
      </c>
    </row>
    <row r="137" spans="1:60" x14ac:dyDescent="0.3">
      <c r="B137" s="1" t="s">
        <v>231</v>
      </c>
      <c r="C137" s="1" t="s">
        <v>232</v>
      </c>
      <c r="D137" s="1" t="s">
        <v>233</v>
      </c>
      <c r="E137" s="1" t="s">
        <v>234</v>
      </c>
      <c r="F137" s="1" t="s">
        <v>235</v>
      </c>
      <c r="I137" t="str">
        <f t="shared" si="21"/>
        <v>N/A</v>
      </c>
      <c r="J137" t="str">
        <f t="shared" si="22"/>
        <v>N/A</v>
      </c>
      <c r="K137" t="str">
        <f t="shared" si="23"/>
        <v>N/A</v>
      </c>
      <c r="L137" t="str">
        <f t="shared" si="24"/>
        <v>N/A</v>
      </c>
      <c r="M137" t="str">
        <f t="shared" si="25"/>
        <v>N/A</v>
      </c>
      <c r="N137" t="str">
        <f t="shared" si="26"/>
        <v>N/A</v>
      </c>
    </row>
    <row r="138" spans="1:60" x14ac:dyDescent="0.3">
      <c r="A138" s="1">
        <v>0</v>
      </c>
      <c r="B138" t="s">
        <v>2482</v>
      </c>
      <c r="C138" t="s">
        <v>2483</v>
      </c>
      <c r="D138" t="s">
        <v>2484</v>
      </c>
      <c r="F138">
        <v>59</v>
      </c>
      <c r="I138" t="str">
        <f t="shared" si="21"/>
        <v>N/A</v>
      </c>
      <c r="J138" t="str">
        <f t="shared" si="22"/>
        <v>N/A</v>
      </c>
      <c r="K138">
        <f t="shared" si="23"/>
        <v>1480000</v>
      </c>
      <c r="L138" t="str">
        <f t="shared" si="24"/>
        <v>N/A</v>
      </c>
      <c r="M138">
        <f t="shared" si="25"/>
        <v>59</v>
      </c>
      <c r="N138" t="str">
        <f t="shared" si="26"/>
        <v>N/A</v>
      </c>
    </row>
    <row r="139" spans="1:60" x14ac:dyDescent="0.3">
      <c r="A139" s="1">
        <v>1</v>
      </c>
      <c r="B139" t="s">
        <v>2485</v>
      </c>
      <c r="C139" t="s">
        <v>2486</v>
      </c>
      <c r="F139">
        <v>50</v>
      </c>
      <c r="I139" t="str">
        <f t="shared" si="21"/>
        <v>N/A</v>
      </c>
      <c r="J139" t="str">
        <f t="shared" si="22"/>
        <v>N/A</v>
      </c>
      <c r="K139" t="str">
        <f t="shared" si="23"/>
        <v>N/A</v>
      </c>
      <c r="L139" t="str">
        <f t="shared" si="24"/>
        <v>N/A</v>
      </c>
      <c r="M139">
        <f t="shared" si="25"/>
        <v>50</v>
      </c>
      <c r="N139" t="str">
        <f t="shared" si="26"/>
        <v>N/A</v>
      </c>
    </row>
    <row r="140" spans="1:60" x14ac:dyDescent="0.3">
      <c r="A140" s="1">
        <v>2</v>
      </c>
      <c r="B140" t="s">
        <v>2487</v>
      </c>
      <c r="C140" t="s">
        <v>2488</v>
      </c>
      <c r="I140" t="str">
        <f t="shared" si="21"/>
        <v>N/A</v>
      </c>
      <c r="J140" t="str">
        <f t="shared" si="22"/>
        <v>N/A</v>
      </c>
      <c r="K140" t="str">
        <f t="shared" si="23"/>
        <v>N/A</v>
      </c>
      <c r="L140" t="str">
        <f t="shared" si="24"/>
        <v>N/A</v>
      </c>
      <c r="M140" t="str">
        <f t="shared" si="25"/>
        <v>N/A</v>
      </c>
      <c r="N140" t="str">
        <f t="shared" si="26"/>
        <v>N/A</v>
      </c>
    </row>
    <row r="141" spans="1:60" x14ac:dyDescent="0.3">
      <c r="A141" s="1">
        <v>3</v>
      </c>
      <c r="B141" t="s">
        <v>2489</v>
      </c>
      <c r="C141" t="s">
        <v>2490</v>
      </c>
      <c r="F141">
        <v>60</v>
      </c>
      <c r="I141" t="str">
        <f t="shared" si="21"/>
        <v>N/A</v>
      </c>
      <c r="J141" t="str">
        <f t="shared" si="22"/>
        <v>N/A</v>
      </c>
      <c r="K141" t="str">
        <f t="shared" si="23"/>
        <v>N/A</v>
      </c>
      <c r="L141" t="str">
        <f t="shared" si="24"/>
        <v>N/A</v>
      </c>
      <c r="M141">
        <f t="shared" si="25"/>
        <v>60</v>
      </c>
      <c r="N141" t="str">
        <f t="shared" si="26"/>
        <v>N/A</v>
      </c>
    </row>
    <row r="142" spans="1:60" x14ac:dyDescent="0.3">
      <c r="A142" s="1">
        <v>4</v>
      </c>
      <c r="B142" t="s">
        <v>2491</v>
      </c>
      <c r="C142" t="s">
        <v>2492</v>
      </c>
      <c r="I142" t="str">
        <f t="shared" si="21"/>
        <v>N/A</v>
      </c>
      <c r="J142" t="str">
        <f t="shared" si="22"/>
        <v>N/A</v>
      </c>
      <c r="K142" t="str">
        <f t="shared" si="23"/>
        <v>N/A</v>
      </c>
      <c r="L142" t="str">
        <f t="shared" si="24"/>
        <v>N/A</v>
      </c>
      <c r="M142" t="str">
        <f t="shared" si="25"/>
        <v>N/A</v>
      </c>
      <c r="N142" t="str">
        <f t="shared" si="26"/>
        <v>N/A</v>
      </c>
    </row>
    <row r="143" spans="1:60" x14ac:dyDescent="0.3">
      <c r="I143" t="str">
        <f t="shared" si="21"/>
        <v>N/A</v>
      </c>
      <c r="J143" t="str">
        <f t="shared" si="22"/>
        <v>N/A</v>
      </c>
      <c r="K143" t="str">
        <f t="shared" si="23"/>
        <v>N/A</v>
      </c>
      <c r="L143" t="str">
        <f t="shared" si="24"/>
        <v>N/A</v>
      </c>
      <c r="M143" t="str">
        <f t="shared" si="25"/>
        <v>N/A</v>
      </c>
      <c r="N143" t="str">
        <f t="shared" si="26"/>
        <v>N/A</v>
      </c>
      <c r="V143" t="str">
        <f>"z-score"</f>
        <v>z-score</v>
      </c>
    </row>
    <row r="144" spans="1:60" x14ac:dyDescent="0.3">
      <c r="I144" t="str">
        <f t="shared" si="21"/>
        <v>N/A</v>
      </c>
      <c r="J144" t="str">
        <f t="shared" si="22"/>
        <v>N/A</v>
      </c>
      <c r="K144" t="str">
        <f t="shared" si="23"/>
        <v>N/A</v>
      </c>
      <c r="L144" t="str">
        <f t="shared" si="24"/>
        <v>N/A</v>
      </c>
      <c r="M144" t="str">
        <f t="shared" si="25"/>
        <v>N/A</v>
      </c>
      <c r="N144" t="str">
        <f t="shared" si="26"/>
        <v>N/A</v>
      </c>
      <c r="P144" t="str">
        <f>"Max"</f>
        <v>Max</v>
      </c>
      <c r="Q144" t="str">
        <f>"Max Year"</f>
        <v>Max Year</v>
      </c>
      <c r="R144" t="str">
        <f>"Min"</f>
        <v>Min</v>
      </c>
      <c r="S144" t="str">
        <f>"Min Year"</f>
        <v>Min Year</v>
      </c>
      <c r="T144" t="str">
        <f>"Average"</f>
        <v>Average</v>
      </c>
      <c r="U144" t="str">
        <f>"SD"</f>
        <v>SD</v>
      </c>
      <c r="V144" t="str">
        <f>J144</f>
        <v>N/A</v>
      </c>
      <c r="W144" t="str">
        <f>K144</f>
        <v>N/A</v>
      </c>
      <c r="X144" t="str">
        <f>L144</f>
        <v>N/A</v>
      </c>
      <c r="Y144" t="str">
        <f>M144</f>
        <v>N/A</v>
      </c>
      <c r="Z144" t="str">
        <f>N144</f>
        <v>N/A</v>
      </c>
      <c r="AA144" t="str">
        <f>"Max z"</f>
        <v>Max z</v>
      </c>
      <c r="AB144" t="str">
        <f>"Max z Year"</f>
        <v>Max z Year</v>
      </c>
      <c r="AC144" t="str">
        <f>"Direction"</f>
        <v>Direction</v>
      </c>
      <c r="AE144" t="str">
        <f>"Trendline"</f>
        <v>Trendline</v>
      </c>
      <c r="AF144" t="str">
        <f>"Correlation"</f>
        <v>Correlation</v>
      </c>
      <c r="AZ144" t="str">
        <f>"Max/Min inequality check"</f>
        <v>Max/Min inequality check</v>
      </c>
      <c r="BA144" t="str">
        <f>"If most recent year is max"</f>
        <v>If most recent year is max</v>
      </c>
      <c r="BC144" t="str">
        <f>"If most recent year is min"</f>
        <v>If most recent year is min</v>
      </c>
      <c r="BE144" t="str">
        <f>"Trend direction"</f>
        <v>Trend direction</v>
      </c>
      <c r="BF144" t="str">
        <f>"If trend matched by max or min in most recent year"</f>
        <v>If trend matched by max or min in most recent year</v>
      </c>
      <c r="BG144" t="str">
        <f>"If 5 years of increasing"</f>
        <v>If 5 years of increasing</v>
      </c>
      <c r="BH144" t="str">
        <f>"If correlation &gt; .8"</f>
        <v>If correlation &gt; .8</v>
      </c>
    </row>
    <row r="145" spans="9:60" x14ac:dyDescent="0.3">
      <c r="I145" t="str">
        <f t="shared" si="21"/>
        <v>N/A</v>
      </c>
      <c r="J145" t="str">
        <f t="shared" si="22"/>
        <v>N/A</v>
      </c>
      <c r="K145" t="str">
        <f t="shared" si="23"/>
        <v>N/A</v>
      </c>
      <c r="L145" t="str">
        <f t="shared" si="24"/>
        <v>N/A</v>
      </c>
      <c r="M145" t="str">
        <f t="shared" si="25"/>
        <v>N/A</v>
      </c>
      <c r="N145" t="str">
        <f t="shared" si="26"/>
        <v>N/A</v>
      </c>
      <c r="P145">
        <f t="shared" ref="P145:P208" si="27">MAX(J145:N145)</f>
        <v>0</v>
      </c>
      <c r="Q145" t="str">
        <f>IFERROR(J144+MATCH(P145,J145:N145,0)-1,"")</f>
        <v/>
      </c>
      <c r="R145" t="str">
        <f t="shared" ref="R145:R208" si="28">IF(Q145="","",MIN(J145:N145))</f>
        <v/>
      </c>
      <c r="S145" t="str">
        <f>IFERROR(J144+MATCH(R145,J145:N145,0)-1,"")</f>
        <v/>
      </c>
      <c r="T145" t="str">
        <f t="shared" ref="T145:T208" si="29">IFERROR(AVERAGE(J145:N145),"")</f>
        <v/>
      </c>
      <c r="U145" t="str">
        <f t="shared" ref="U145:U208" si="30">IFERROR(STDEV(J145:N145),"")</f>
        <v/>
      </c>
      <c r="V145" t="str">
        <f t="shared" ref="V145:V208" si="31">IFERROR(IF(C145="-","",IF(ISBLANK(B145),"",IF(OR(ISNUMBER(FIND("Growth",B145)),ISNUMBER(FIND("Margin",B145))),"",(J145-T145)/U145))),"")</f>
        <v/>
      </c>
      <c r="W145" t="str">
        <f t="shared" ref="W145:W208" si="32">IFERROR(IF(OR(D145="-",ISBLANK(D145)),"",(K145-T145)/U145),"")</f>
        <v/>
      </c>
      <c r="X145" t="str">
        <f t="shared" ref="X145:X208" si="33">IFERROR(IF(OR(E145="-",ISBLANK(E145)),"",(L145-T145)/U145),"")</f>
        <v/>
      </c>
      <c r="Y145" t="str">
        <f t="shared" ref="Y145:Y208" si="34">IFERROR(IF(OR(F145="-",ISBLANK(F145)),"",(M145-T145)/U145),"")</f>
        <v/>
      </c>
      <c r="Z145" t="str">
        <f t="shared" ref="Z145:Z208" si="35">IFERROR(IF(OR(G145="-",ISBLANK(G145)),"",(N145-T145)/U145),"")</f>
        <v/>
      </c>
      <c r="AA145">
        <f t="shared" ref="AA145:AA208" si="36">IF(MAX(MAX(V145:Z145),ABS(MIN(V145:Z145)))=ABS(MIN(V145:Z145)),MIN(V145:Z145),MAX(V145:Z145))</f>
        <v>0</v>
      </c>
      <c r="AB145" t="str">
        <f>IFERROR(V144+MATCH(AA145,V145:Z145,0)-1,"")</f>
        <v/>
      </c>
      <c r="AC145" t="str">
        <f t="shared" ref="AC145:AC208" si="37">IF(AB145&lt;&gt;"",IF(S145=AB145,"Low",IF(AB145=Q145,"High","")),"")</f>
        <v/>
      </c>
      <c r="AE145" t="str">
        <f>IF(ISNUMBER(MATCH("N/A",J145:N145,0)),"",IFERROR((5 * SUMPRODUCT(J144:N144,J145:N145) - PRODUCT(SUM(J144:N144),SUM(J145:N145))) / ((5 * SUM((J144^2)+(K144^2)+(L144^2)+(M144^2)+(N144^2))) - SUM(J144:N144)^2),""))</f>
        <v/>
      </c>
      <c r="AF145" t="str">
        <f>IFERROR(CORREL(J144:N144,J145:N145),"")</f>
        <v/>
      </c>
      <c r="AZ145">
        <f t="shared" ref="AZ145:AZ208" si="38">IF(Q145=S145,0,1)</f>
        <v>0</v>
      </c>
      <c r="BA145" t="str">
        <f>IF(AZ145=1,IF(Q145="","",IF(Q145=N144,"Yes","No")),"")</f>
        <v/>
      </c>
      <c r="BB145" t="str">
        <f t="shared" ref="BB145:BB208" si="39">IF(BA145="Yes",P145,"")</f>
        <v/>
      </c>
      <c r="BC145" t="str">
        <f>IF(AZ145=1,IF(S145="","",IF(S145=N144,"Yes","No")),"")</f>
        <v/>
      </c>
      <c r="BD145" t="str">
        <f t="shared" ref="BD145:BD208" si="40">IF(BC145="Yes",R145,"")</f>
        <v/>
      </c>
      <c r="BE145" t="str">
        <f t="shared" ref="BE145:BE208" si="41">IFERROR(IF(SIGN(AE145)=1,"Increasing",IF(SIGN(AE145)=-1,"Decreasing","")),"")</f>
        <v/>
      </c>
      <c r="BF145" t="str">
        <f t="shared" ref="BF145:BF208" si="42">IF(OR(AND(BE145="Increasing",BA145="Yes"),AND(BE145="Decreasing",BC145="Yes")),"Yes","No")</f>
        <v>No</v>
      </c>
      <c r="BG145" t="str">
        <f t="shared" ref="BG145:BG208" si="43">IF(I145="pos_trend","Yes","No")</f>
        <v>No</v>
      </c>
      <c r="BH145" t="str">
        <f t="shared" ref="BH145:BH208" si="44">IF(AF145&lt;&gt;"",IF(ABS(AF145)&gt;0.8,"Yes","No"),"")</f>
        <v/>
      </c>
    </row>
    <row r="146" spans="9:60" x14ac:dyDescent="0.3">
      <c r="I146" t="str">
        <f t="shared" si="21"/>
        <v>N/A</v>
      </c>
      <c r="J146" t="str">
        <f t="shared" si="22"/>
        <v>N/A</v>
      </c>
      <c r="K146" t="str">
        <f t="shared" si="23"/>
        <v>N/A</v>
      </c>
      <c r="L146" t="str">
        <f t="shared" si="24"/>
        <v>N/A</v>
      </c>
      <c r="M146" t="str">
        <f t="shared" si="25"/>
        <v>N/A</v>
      </c>
      <c r="N146" t="str">
        <f t="shared" si="26"/>
        <v>N/A</v>
      </c>
      <c r="P146">
        <f t="shared" si="27"/>
        <v>0</v>
      </c>
      <c r="Q146" t="str">
        <f>IFERROR(J144+MATCH(P146,J146:N146,0)-1,"")</f>
        <v/>
      </c>
      <c r="R146" t="str">
        <f t="shared" si="28"/>
        <v/>
      </c>
      <c r="S146" t="str">
        <f>IFERROR(J144+MATCH(R146,J146:N146,0)-1,"")</f>
        <v/>
      </c>
      <c r="T146" t="str">
        <f t="shared" si="29"/>
        <v/>
      </c>
      <c r="U146" t="str">
        <f t="shared" si="30"/>
        <v/>
      </c>
      <c r="V146" t="str">
        <f t="shared" si="31"/>
        <v/>
      </c>
      <c r="W146" t="str">
        <f t="shared" si="32"/>
        <v/>
      </c>
      <c r="X146" t="str">
        <f t="shared" si="33"/>
        <v/>
      </c>
      <c r="Y146" t="str">
        <f t="shared" si="34"/>
        <v/>
      </c>
      <c r="Z146" t="str">
        <f t="shared" si="35"/>
        <v/>
      </c>
      <c r="AA146">
        <f t="shared" si="36"/>
        <v>0</v>
      </c>
      <c r="AB146" t="str">
        <f>IFERROR(V144+MATCH(AA146,V146:Z146,0)-1,"")</f>
        <v/>
      </c>
      <c r="AC146" t="str">
        <f t="shared" si="37"/>
        <v/>
      </c>
      <c r="AE146" t="str">
        <f>IF(ISNUMBER(MATCH("N/A",J146:N146,0)),"",IFERROR((5 * SUMPRODUCT(J144:N144,J146:N146) - PRODUCT(SUM(J144:N144),SUM(J146:N146))) / ((5 * SUM((J144^2)+(K144^2)+(L144^2)+(M144^2)+(N144^2))) - SUM(J144:N144)^2),""))</f>
        <v/>
      </c>
      <c r="AF146" t="str">
        <f>IFERROR(CORREL(J144:N144,J146:N146),"")</f>
        <v/>
      </c>
      <c r="AZ146">
        <f t="shared" si="38"/>
        <v>0</v>
      </c>
      <c r="BA146" t="str">
        <f>IF(AZ146=1,IF(Q146="","",IF(Q146=N144,"Yes","No")),"")</f>
        <v/>
      </c>
      <c r="BB146" t="str">
        <f t="shared" si="39"/>
        <v/>
      </c>
      <c r="BC146" t="str">
        <f>IF(AZ146=1,IF(S146="","",IF(S146=N144,"Yes","No")),"")</f>
        <v/>
      </c>
      <c r="BD146" t="str">
        <f t="shared" si="40"/>
        <v/>
      </c>
      <c r="BE146" t="str">
        <f t="shared" si="41"/>
        <v/>
      </c>
      <c r="BF146" t="str">
        <f t="shared" si="42"/>
        <v>No</v>
      </c>
      <c r="BG146" t="str">
        <f t="shared" si="43"/>
        <v>No</v>
      </c>
      <c r="BH146" t="str">
        <f t="shared" si="44"/>
        <v/>
      </c>
    </row>
    <row r="147" spans="9:60" x14ac:dyDescent="0.3">
      <c r="I147" t="str">
        <f t="shared" si="21"/>
        <v>N/A</v>
      </c>
      <c r="J147" t="str">
        <f t="shared" si="22"/>
        <v>N/A</v>
      </c>
      <c r="K147" t="str">
        <f t="shared" si="23"/>
        <v>N/A</v>
      </c>
      <c r="L147" t="str">
        <f t="shared" si="24"/>
        <v>N/A</v>
      </c>
      <c r="M147" t="str">
        <f t="shared" si="25"/>
        <v>N/A</v>
      </c>
      <c r="N147" t="str">
        <f t="shared" si="26"/>
        <v>N/A</v>
      </c>
      <c r="P147">
        <f t="shared" si="27"/>
        <v>0</v>
      </c>
      <c r="Q147" t="str">
        <f>IFERROR(J144+MATCH(P147,J147:N147,0)-1,"")</f>
        <v/>
      </c>
      <c r="R147" t="str">
        <f t="shared" si="28"/>
        <v/>
      </c>
      <c r="S147" t="str">
        <f>IFERROR(J144+MATCH(R147,J147:N147,0)-1,"")</f>
        <v/>
      </c>
      <c r="T147" t="str">
        <f t="shared" si="29"/>
        <v/>
      </c>
      <c r="U147" t="str">
        <f t="shared" si="30"/>
        <v/>
      </c>
      <c r="V147" t="str">
        <f t="shared" si="31"/>
        <v/>
      </c>
      <c r="W147" t="str">
        <f t="shared" si="32"/>
        <v/>
      </c>
      <c r="X147" t="str">
        <f t="shared" si="33"/>
        <v/>
      </c>
      <c r="Y147" t="str">
        <f t="shared" si="34"/>
        <v/>
      </c>
      <c r="Z147" t="str">
        <f t="shared" si="35"/>
        <v/>
      </c>
      <c r="AA147">
        <f t="shared" si="36"/>
        <v>0</v>
      </c>
      <c r="AB147" t="str">
        <f>IFERROR(V144+MATCH(AA147,V147:Z147,0)-1,"")</f>
        <v/>
      </c>
      <c r="AC147" t="str">
        <f t="shared" si="37"/>
        <v/>
      </c>
      <c r="AE147" t="str">
        <f>IF(ISNUMBER(MATCH("N/A",J147:N147,0)),"",IFERROR((5 * SUMPRODUCT(J144:N144,J147:N147) - PRODUCT(SUM(J144:N144),SUM(J147:N147))) / ((5 * SUM((J144^2)+(K144^2)+(L144^2)+(M144^2)+(N144^2))) - SUM(J144:N144)^2),""))</f>
        <v/>
      </c>
      <c r="AF147" t="str">
        <f>IFERROR(CORREL(J144:N144,J147:N147),"")</f>
        <v/>
      </c>
      <c r="AZ147">
        <f t="shared" si="38"/>
        <v>0</v>
      </c>
      <c r="BA147" t="str">
        <f>IF(AZ147=1,IF(Q147="","",IF(Q147=N144,"Yes","No")),"")</f>
        <v/>
      </c>
      <c r="BB147" t="str">
        <f t="shared" si="39"/>
        <v/>
      </c>
      <c r="BC147" t="str">
        <f>IF(AZ147=1,IF(S147="","",IF(S147=N144,"Yes","No")),"")</f>
        <v/>
      </c>
      <c r="BD147" t="str">
        <f t="shared" si="40"/>
        <v/>
      </c>
      <c r="BE147" t="str">
        <f t="shared" si="41"/>
        <v/>
      </c>
      <c r="BF147" t="str">
        <f t="shared" si="42"/>
        <v>No</v>
      </c>
      <c r="BG147" t="str">
        <f t="shared" si="43"/>
        <v>No</v>
      </c>
      <c r="BH147" t="str">
        <f t="shared" si="44"/>
        <v/>
      </c>
    </row>
    <row r="148" spans="9:60" x14ac:dyDescent="0.3">
      <c r="I148" t="str">
        <f t="shared" si="21"/>
        <v>N/A</v>
      </c>
      <c r="J148" t="str">
        <f t="shared" si="22"/>
        <v>N/A</v>
      </c>
      <c r="K148" t="str">
        <f t="shared" si="23"/>
        <v>N/A</v>
      </c>
      <c r="L148" t="str">
        <f t="shared" si="24"/>
        <v>N/A</v>
      </c>
      <c r="M148" t="str">
        <f t="shared" si="25"/>
        <v>N/A</v>
      </c>
      <c r="N148" t="str">
        <f t="shared" si="26"/>
        <v>N/A</v>
      </c>
      <c r="P148">
        <f t="shared" si="27"/>
        <v>0</v>
      </c>
      <c r="Q148" t="str">
        <f>IFERROR(J144+MATCH(P148,J148:N148,0)-1,"")</f>
        <v/>
      </c>
      <c r="R148" t="str">
        <f t="shared" si="28"/>
        <v/>
      </c>
      <c r="S148" t="str">
        <f>IFERROR(J144+MATCH(R148,J148:N148,0)-1,"")</f>
        <v/>
      </c>
      <c r="T148" t="str">
        <f t="shared" si="29"/>
        <v/>
      </c>
      <c r="U148" t="str">
        <f t="shared" si="30"/>
        <v/>
      </c>
      <c r="V148" t="str">
        <f t="shared" si="31"/>
        <v/>
      </c>
      <c r="W148" t="str">
        <f t="shared" si="32"/>
        <v/>
      </c>
      <c r="X148" t="str">
        <f t="shared" si="33"/>
        <v/>
      </c>
      <c r="Y148" t="str">
        <f t="shared" si="34"/>
        <v/>
      </c>
      <c r="Z148" t="str">
        <f t="shared" si="35"/>
        <v/>
      </c>
      <c r="AA148">
        <f t="shared" si="36"/>
        <v>0</v>
      </c>
      <c r="AB148" t="str">
        <f>IFERROR(V144+MATCH(AA148,V148:Z148,0)-1,"")</f>
        <v/>
      </c>
      <c r="AC148" t="str">
        <f t="shared" si="37"/>
        <v/>
      </c>
      <c r="AE148" t="str">
        <f>IF(ISNUMBER(MATCH("N/A",J148:N148,0)),"",IFERROR((5 * SUMPRODUCT(J144:N144,J148:N148) - PRODUCT(SUM(J144:N144),SUM(J148:N148))) / ((5 * SUM((J144^2)+(K144^2)+(L144^2)+(M144^2)+(N144^2))) - SUM(J144:N144)^2),""))</f>
        <v/>
      </c>
      <c r="AF148" t="str">
        <f>IFERROR(CORREL(J144:N144,J148:N148),"")</f>
        <v/>
      </c>
      <c r="AZ148">
        <f t="shared" si="38"/>
        <v>0</v>
      </c>
      <c r="BA148" t="str">
        <f>IF(AZ148=1,IF(Q148="","",IF(Q148=N144,"Yes","No")),"")</f>
        <v/>
      </c>
      <c r="BB148" t="str">
        <f t="shared" si="39"/>
        <v/>
      </c>
      <c r="BC148" t="str">
        <f>IF(AZ148=1,IF(S148="","",IF(S148=N144,"Yes","No")),"")</f>
        <v/>
      </c>
      <c r="BD148" t="str">
        <f t="shared" si="40"/>
        <v/>
      </c>
      <c r="BE148" t="str">
        <f t="shared" si="41"/>
        <v/>
      </c>
      <c r="BF148" t="str">
        <f t="shared" si="42"/>
        <v>No</v>
      </c>
      <c r="BG148" t="str">
        <f t="shared" si="43"/>
        <v>No</v>
      </c>
      <c r="BH148" t="str">
        <f t="shared" si="44"/>
        <v/>
      </c>
    </row>
    <row r="149" spans="9:60" x14ac:dyDescent="0.3">
      <c r="I149" t="str">
        <f t="shared" si="21"/>
        <v>N/A</v>
      </c>
      <c r="J149" t="str">
        <f t="shared" si="22"/>
        <v>N/A</v>
      </c>
      <c r="K149" t="str">
        <f t="shared" si="23"/>
        <v>N/A</v>
      </c>
      <c r="L149" t="str">
        <f t="shared" si="24"/>
        <v>N/A</v>
      </c>
      <c r="M149" t="str">
        <f t="shared" si="25"/>
        <v>N/A</v>
      </c>
      <c r="N149" t="str">
        <f t="shared" si="26"/>
        <v>N/A</v>
      </c>
      <c r="P149">
        <f t="shared" si="27"/>
        <v>0</v>
      </c>
      <c r="Q149" t="str">
        <f>IFERROR(J144+MATCH(P149,J149:N149,0)-1,"")</f>
        <v/>
      </c>
      <c r="R149" t="str">
        <f t="shared" si="28"/>
        <v/>
      </c>
      <c r="S149" t="str">
        <f>IFERROR(J144+MATCH(R149,J149:N149,0)-1,"")</f>
        <v/>
      </c>
      <c r="T149" t="str">
        <f t="shared" si="29"/>
        <v/>
      </c>
      <c r="U149" t="str">
        <f t="shared" si="30"/>
        <v/>
      </c>
      <c r="V149" t="str">
        <f t="shared" si="31"/>
        <v/>
      </c>
      <c r="W149" t="str">
        <f t="shared" si="32"/>
        <v/>
      </c>
      <c r="X149" t="str">
        <f t="shared" si="33"/>
        <v/>
      </c>
      <c r="Y149" t="str">
        <f t="shared" si="34"/>
        <v/>
      </c>
      <c r="Z149" t="str">
        <f t="shared" si="35"/>
        <v/>
      </c>
      <c r="AA149">
        <f t="shared" si="36"/>
        <v>0</v>
      </c>
      <c r="AB149" t="str">
        <f>IFERROR(V144+MATCH(AA149,V149:Z149,0)-1,"")</f>
        <v/>
      </c>
      <c r="AC149" t="str">
        <f t="shared" si="37"/>
        <v/>
      </c>
      <c r="AE149" t="str">
        <f>IF(ISNUMBER(MATCH("N/A",J149:N149,0)),"",IFERROR((5 * SUMPRODUCT(J144:N144,J149:N149) - PRODUCT(SUM(J144:N144),SUM(J149:N149))) / ((5 * SUM((J144^2)+(K144^2)+(L144^2)+(M144^2)+(N144^2))) - SUM(J144:N144)^2),""))</f>
        <v/>
      </c>
      <c r="AF149" t="str">
        <f>IFERROR(CORREL(J144:N144,J149:N149),"")</f>
        <v/>
      </c>
      <c r="AZ149">
        <f t="shared" si="38"/>
        <v>0</v>
      </c>
      <c r="BA149" t="str">
        <f>IF(AZ149=1,IF(Q149="","",IF(Q149=N144,"Yes","No")),"")</f>
        <v/>
      </c>
      <c r="BB149" t="str">
        <f t="shared" si="39"/>
        <v/>
      </c>
      <c r="BC149" t="str">
        <f>IF(AZ149=1,IF(S149="","",IF(S149=N144,"Yes","No")),"")</f>
        <v/>
      </c>
      <c r="BD149" t="str">
        <f t="shared" si="40"/>
        <v/>
      </c>
      <c r="BE149" t="str">
        <f t="shared" si="41"/>
        <v/>
      </c>
      <c r="BF149" t="str">
        <f t="shared" si="42"/>
        <v>No</v>
      </c>
      <c r="BG149" t="str">
        <f t="shared" si="43"/>
        <v>No</v>
      </c>
      <c r="BH149" t="str">
        <f t="shared" si="44"/>
        <v/>
      </c>
    </row>
    <row r="150" spans="9:60" x14ac:dyDescent="0.3">
      <c r="I150" t="str">
        <f t="shared" si="21"/>
        <v>N/A</v>
      </c>
      <c r="J150" t="str">
        <f t="shared" si="22"/>
        <v>N/A</v>
      </c>
      <c r="K150" t="str">
        <f t="shared" si="23"/>
        <v>N/A</v>
      </c>
      <c r="L150" t="str">
        <f t="shared" si="24"/>
        <v>N/A</v>
      </c>
      <c r="M150" t="str">
        <f t="shared" si="25"/>
        <v>N/A</v>
      </c>
      <c r="N150" t="str">
        <f t="shared" si="26"/>
        <v>N/A</v>
      </c>
      <c r="P150">
        <f t="shared" si="27"/>
        <v>0</v>
      </c>
      <c r="Q150" t="str">
        <f>IFERROR(J144+MATCH(P150,J150:N150,0)-1,"")</f>
        <v/>
      </c>
      <c r="R150" t="str">
        <f t="shared" si="28"/>
        <v/>
      </c>
      <c r="S150" t="str">
        <f>IFERROR(J144+MATCH(R150,J150:N150,0)-1,"")</f>
        <v/>
      </c>
      <c r="T150" t="str">
        <f t="shared" si="29"/>
        <v/>
      </c>
      <c r="U150" t="str">
        <f t="shared" si="30"/>
        <v/>
      </c>
      <c r="V150" t="str">
        <f t="shared" si="31"/>
        <v/>
      </c>
      <c r="W150" t="str">
        <f t="shared" si="32"/>
        <v/>
      </c>
      <c r="X150" t="str">
        <f t="shared" si="33"/>
        <v/>
      </c>
      <c r="Y150" t="str">
        <f t="shared" si="34"/>
        <v/>
      </c>
      <c r="Z150" t="str">
        <f t="shared" si="35"/>
        <v/>
      </c>
      <c r="AA150">
        <f t="shared" si="36"/>
        <v>0</v>
      </c>
      <c r="AB150" t="str">
        <f>IFERROR(V144+MATCH(AA150,V150:Z150,0)-1,"")</f>
        <v/>
      </c>
      <c r="AC150" t="str">
        <f t="shared" si="37"/>
        <v/>
      </c>
      <c r="AE150" t="str">
        <f>IF(ISNUMBER(MATCH("N/A",J150:N150,0)),"",IFERROR((5 * SUMPRODUCT(J144:N144,J150:N150) - PRODUCT(SUM(J144:N144),SUM(J150:N150))) / ((5 * SUM((J144^2)+(K144^2)+(L144^2)+(M144^2)+(N144^2))) - SUM(J144:N144)^2),""))</f>
        <v/>
      </c>
      <c r="AF150" t="str">
        <f>IFERROR(CORREL(J144:N144,J150:N150),"")</f>
        <v/>
      </c>
      <c r="AZ150">
        <f t="shared" si="38"/>
        <v>0</v>
      </c>
      <c r="BA150" t="str">
        <f>IF(AZ150=1,IF(Q150="","",IF(Q150=N144,"Yes","No")),"")</f>
        <v/>
      </c>
      <c r="BB150" t="str">
        <f t="shared" si="39"/>
        <v/>
      </c>
      <c r="BC150" t="str">
        <f>IF(AZ150=1,IF(S150="","",IF(S150=N144,"Yes","No")),"")</f>
        <v/>
      </c>
      <c r="BD150" t="str">
        <f t="shared" si="40"/>
        <v/>
      </c>
      <c r="BE150" t="str">
        <f t="shared" si="41"/>
        <v/>
      </c>
      <c r="BF150" t="str">
        <f t="shared" si="42"/>
        <v>No</v>
      </c>
      <c r="BG150" t="str">
        <f t="shared" si="43"/>
        <v>No</v>
      </c>
      <c r="BH150" t="str">
        <f t="shared" si="44"/>
        <v/>
      </c>
    </row>
    <row r="151" spans="9:60" x14ac:dyDescent="0.3">
      <c r="I151" t="str">
        <f t="shared" si="21"/>
        <v>N/A</v>
      </c>
      <c r="J151" t="str">
        <f t="shared" si="22"/>
        <v>N/A</v>
      </c>
      <c r="K151" t="str">
        <f t="shared" si="23"/>
        <v>N/A</v>
      </c>
      <c r="L151" t="str">
        <f t="shared" si="24"/>
        <v>N/A</v>
      </c>
      <c r="M151" t="str">
        <f t="shared" si="25"/>
        <v>N/A</v>
      </c>
      <c r="N151" t="str">
        <f t="shared" si="26"/>
        <v>N/A</v>
      </c>
      <c r="P151">
        <f t="shared" si="27"/>
        <v>0</v>
      </c>
      <c r="Q151" t="str">
        <f>IFERROR(J144+MATCH(P151,J151:N151,0)-1,"")</f>
        <v/>
      </c>
      <c r="R151" t="str">
        <f t="shared" si="28"/>
        <v/>
      </c>
      <c r="S151" t="str">
        <f>IFERROR(J144+MATCH(R151,J151:N151,0)-1,"")</f>
        <v/>
      </c>
      <c r="T151" t="str">
        <f t="shared" si="29"/>
        <v/>
      </c>
      <c r="U151" t="str">
        <f t="shared" si="30"/>
        <v/>
      </c>
      <c r="V151" t="str">
        <f t="shared" si="31"/>
        <v/>
      </c>
      <c r="W151" t="str">
        <f t="shared" si="32"/>
        <v/>
      </c>
      <c r="X151" t="str">
        <f t="shared" si="33"/>
        <v/>
      </c>
      <c r="Y151" t="str">
        <f t="shared" si="34"/>
        <v/>
      </c>
      <c r="Z151" t="str">
        <f t="shared" si="35"/>
        <v/>
      </c>
      <c r="AA151">
        <f t="shared" si="36"/>
        <v>0</v>
      </c>
      <c r="AB151" t="str">
        <f>IFERROR(V144+MATCH(AA151,V151:Z151,0)-1,"")</f>
        <v/>
      </c>
      <c r="AC151" t="str">
        <f t="shared" si="37"/>
        <v/>
      </c>
      <c r="AE151" t="str">
        <f>IF(ISNUMBER(MATCH("N/A",J151:N151,0)),"",IFERROR((5 * SUMPRODUCT(J144:N144,J151:N151) - PRODUCT(SUM(J144:N144),SUM(J151:N151))) / ((5 * SUM((J144^2)+(K144^2)+(L144^2)+(M144^2)+(N144^2))) - SUM(J144:N144)^2),""))</f>
        <v/>
      </c>
      <c r="AF151" t="str">
        <f>IFERROR(CORREL(J144:N144,J151:N151),"")</f>
        <v/>
      </c>
      <c r="AZ151">
        <f t="shared" si="38"/>
        <v>0</v>
      </c>
      <c r="BA151" t="str">
        <f>IF(AZ151=1,IF(Q151="","",IF(Q151=N144,"Yes","No")),"")</f>
        <v/>
      </c>
      <c r="BB151" t="str">
        <f t="shared" si="39"/>
        <v/>
      </c>
      <c r="BC151" t="str">
        <f>IF(AZ151=1,IF(S151="","",IF(S151=N144,"Yes","No")),"")</f>
        <v/>
      </c>
      <c r="BD151" t="str">
        <f t="shared" si="40"/>
        <v/>
      </c>
      <c r="BE151" t="str">
        <f t="shared" si="41"/>
        <v/>
      </c>
      <c r="BF151" t="str">
        <f t="shared" si="42"/>
        <v>No</v>
      </c>
      <c r="BG151" t="str">
        <f t="shared" si="43"/>
        <v>No</v>
      </c>
      <c r="BH151" t="str">
        <f t="shared" si="44"/>
        <v/>
      </c>
    </row>
    <row r="152" spans="9:60" x14ac:dyDescent="0.3">
      <c r="I152" t="str">
        <f t="shared" si="21"/>
        <v>N/A</v>
      </c>
      <c r="J152" t="str">
        <f t="shared" si="22"/>
        <v>N/A</v>
      </c>
      <c r="K152" t="str">
        <f t="shared" si="23"/>
        <v>N/A</v>
      </c>
      <c r="L152" t="str">
        <f t="shared" si="24"/>
        <v>N/A</v>
      </c>
      <c r="M152" t="str">
        <f t="shared" si="25"/>
        <v>N/A</v>
      </c>
      <c r="N152" t="str">
        <f t="shared" si="26"/>
        <v>N/A</v>
      </c>
      <c r="P152">
        <f t="shared" si="27"/>
        <v>0</v>
      </c>
      <c r="Q152" t="str">
        <f>IFERROR(J144+MATCH(P152,J152:N152,0)-1,"")</f>
        <v/>
      </c>
      <c r="R152" t="str">
        <f t="shared" si="28"/>
        <v/>
      </c>
      <c r="S152" t="str">
        <f>IFERROR(J144+MATCH(R152,J152:N152,0)-1,"")</f>
        <v/>
      </c>
      <c r="T152" t="str">
        <f t="shared" si="29"/>
        <v/>
      </c>
      <c r="U152" t="str">
        <f t="shared" si="30"/>
        <v/>
      </c>
      <c r="V152" t="str">
        <f t="shared" si="31"/>
        <v/>
      </c>
      <c r="W152" t="str">
        <f t="shared" si="32"/>
        <v/>
      </c>
      <c r="X152" t="str">
        <f t="shared" si="33"/>
        <v/>
      </c>
      <c r="Y152" t="str">
        <f t="shared" si="34"/>
        <v/>
      </c>
      <c r="Z152" t="str">
        <f t="shared" si="35"/>
        <v/>
      </c>
      <c r="AA152">
        <f t="shared" si="36"/>
        <v>0</v>
      </c>
      <c r="AB152" t="str">
        <f>IFERROR(V144+MATCH(AA152,V152:Z152,0)-1,"")</f>
        <v/>
      </c>
      <c r="AC152" t="str">
        <f t="shared" si="37"/>
        <v/>
      </c>
      <c r="AE152" t="str">
        <f>IF(ISNUMBER(MATCH("N/A",J152:N152,0)),"",IFERROR((5 * SUMPRODUCT(J144:N144,J152:N152) - PRODUCT(SUM(J144:N144),SUM(J152:N152))) / ((5 * SUM((J144^2)+(K144^2)+(L144^2)+(M144^2)+(N144^2))) - SUM(J144:N144)^2),""))</f>
        <v/>
      </c>
      <c r="AF152" t="str">
        <f>IFERROR(CORREL(J144:N144,J152:N152),"")</f>
        <v/>
      </c>
      <c r="AZ152">
        <f t="shared" si="38"/>
        <v>0</v>
      </c>
      <c r="BA152" t="str">
        <f>IF(AZ152=1,IF(Q152="","",IF(Q152=N144,"Yes","No")),"")</f>
        <v/>
      </c>
      <c r="BB152" t="str">
        <f t="shared" si="39"/>
        <v/>
      </c>
      <c r="BC152" t="str">
        <f>IF(AZ152=1,IF(S152="","",IF(S152=N144,"Yes","No")),"")</f>
        <v/>
      </c>
      <c r="BD152" t="str">
        <f t="shared" si="40"/>
        <v/>
      </c>
      <c r="BE152" t="str">
        <f t="shared" si="41"/>
        <v/>
      </c>
      <c r="BF152" t="str">
        <f t="shared" si="42"/>
        <v>No</v>
      </c>
      <c r="BG152" t="str">
        <f t="shared" si="43"/>
        <v>No</v>
      </c>
      <c r="BH152" t="str">
        <f t="shared" si="44"/>
        <v/>
      </c>
    </row>
    <row r="153" spans="9:60" x14ac:dyDescent="0.3">
      <c r="I153" t="str">
        <f t="shared" si="21"/>
        <v>N/A</v>
      </c>
      <c r="J153" t="str">
        <f t="shared" si="22"/>
        <v>N/A</v>
      </c>
      <c r="K153" t="str">
        <f t="shared" si="23"/>
        <v>N/A</v>
      </c>
      <c r="L153" t="str">
        <f t="shared" si="24"/>
        <v>N/A</v>
      </c>
      <c r="M153" t="str">
        <f t="shared" si="25"/>
        <v>N/A</v>
      </c>
      <c r="N153" t="str">
        <f t="shared" si="26"/>
        <v>N/A</v>
      </c>
      <c r="P153">
        <f t="shared" si="27"/>
        <v>0</v>
      </c>
      <c r="Q153" t="str">
        <f>IFERROR(J144+MATCH(P153,J153:N153,0)-1,"")</f>
        <v/>
      </c>
      <c r="R153" t="str">
        <f t="shared" si="28"/>
        <v/>
      </c>
      <c r="S153" t="str">
        <f>IFERROR(J144+MATCH(R153,J153:N153,0)-1,"")</f>
        <v/>
      </c>
      <c r="T153" t="str">
        <f t="shared" si="29"/>
        <v/>
      </c>
      <c r="U153" t="str">
        <f t="shared" si="30"/>
        <v/>
      </c>
      <c r="V153" t="str">
        <f t="shared" si="31"/>
        <v/>
      </c>
      <c r="W153" t="str">
        <f t="shared" si="32"/>
        <v/>
      </c>
      <c r="X153" t="str">
        <f t="shared" si="33"/>
        <v/>
      </c>
      <c r="Y153" t="str">
        <f t="shared" si="34"/>
        <v/>
      </c>
      <c r="Z153" t="str">
        <f t="shared" si="35"/>
        <v/>
      </c>
      <c r="AA153">
        <f t="shared" si="36"/>
        <v>0</v>
      </c>
      <c r="AB153" t="str">
        <f>IFERROR(V144+MATCH(AA153,V153:Z153,0)-1,"")</f>
        <v/>
      </c>
      <c r="AC153" t="str">
        <f t="shared" si="37"/>
        <v/>
      </c>
      <c r="AE153" t="str">
        <f>IF(ISNUMBER(MATCH("N/A",J153:N153,0)),"",IFERROR((5 * SUMPRODUCT(J144:N144,J153:N153) - PRODUCT(SUM(J144:N144),SUM(J153:N153))) / ((5 * SUM((J144^2)+(K144^2)+(L144^2)+(M144^2)+(N144^2))) - SUM(J144:N144)^2),""))</f>
        <v/>
      </c>
      <c r="AF153" t="str">
        <f>IFERROR(CORREL(J144:N144,J153:N153),"")</f>
        <v/>
      </c>
      <c r="AZ153">
        <f t="shared" si="38"/>
        <v>0</v>
      </c>
      <c r="BA153" t="str">
        <f>IF(AZ153=1,IF(Q153="","",IF(Q153=N144,"Yes","No")),"")</f>
        <v/>
      </c>
      <c r="BB153" t="str">
        <f t="shared" si="39"/>
        <v/>
      </c>
      <c r="BC153" t="str">
        <f>IF(AZ153=1,IF(S153="","",IF(S153=N144,"Yes","No")),"")</f>
        <v/>
      </c>
      <c r="BD153" t="str">
        <f t="shared" si="40"/>
        <v/>
      </c>
      <c r="BE153" t="str">
        <f t="shared" si="41"/>
        <v/>
      </c>
      <c r="BF153" t="str">
        <f t="shared" si="42"/>
        <v>No</v>
      </c>
      <c r="BG153" t="str">
        <f t="shared" si="43"/>
        <v>No</v>
      </c>
      <c r="BH153" t="str">
        <f t="shared" si="44"/>
        <v/>
      </c>
    </row>
    <row r="154" spans="9:60" x14ac:dyDescent="0.3">
      <c r="I154" t="str">
        <f t="shared" si="21"/>
        <v>N/A</v>
      </c>
      <c r="J154" t="str">
        <f t="shared" si="22"/>
        <v>N/A</v>
      </c>
      <c r="K154" t="str">
        <f t="shared" si="23"/>
        <v>N/A</v>
      </c>
      <c r="L154" t="str">
        <f t="shared" si="24"/>
        <v>N/A</v>
      </c>
      <c r="M154" t="str">
        <f t="shared" si="25"/>
        <v>N/A</v>
      </c>
      <c r="N154" t="str">
        <f t="shared" si="26"/>
        <v>N/A</v>
      </c>
      <c r="P154">
        <f t="shared" si="27"/>
        <v>0</v>
      </c>
      <c r="Q154" t="str">
        <f>IFERROR(J144+MATCH(P154,J154:N154,0)-1,"")</f>
        <v/>
      </c>
      <c r="R154" t="str">
        <f t="shared" si="28"/>
        <v/>
      </c>
      <c r="S154" t="str">
        <f>IFERROR(J144+MATCH(R154,J154:N154,0)-1,"")</f>
        <v/>
      </c>
      <c r="T154" t="str">
        <f t="shared" si="29"/>
        <v/>
      </c>
      <c r="U154" t="str">
        <f t="shared" si="30"/>
        <v/>
      </c>
      <c r="V154" t="str">
        <f t="shared" si="31"/>
        <v/>
      </c>
      <c r="W154" t="str">
        <f t="shared" si="32"/>
        <v/>
      </c>
      <c r="X154" t="str">
        <f t="shared" si="33"/>
        <v/>
      </c>
      <c r="Y154" t="str">
        <f t="shared" si="34"/>
        <v/>
      </c>
      <c r="Z154" t="str">
        <f t="shared" si="35"/>
        <v/>
      </c>
      <c r="AA154">
        <f t="shared" si="36"/>
        <v>0</v>
      </c>
      <c r="AB154" t="str">
        <f>IFERROR(V144+MATCH(AA154,V154:Z154,0)-1,"")</f>
        <v/>
      </c>
      <c r="AC154" t="str">
        <f t="shared" si="37"/>
        <v/>
      </c>
      <c r="AE154" t="str">
        <f>IF(ISNUMBER(MATCH("N/A",J154:N154,0)),"",IFERROR((5 * SUMPRODUCT(J144:N144,J154:N154) - PRODUCT(SUM(J144:N144),SUM(J154:N154))) / ((5 * SUM((J144^2)+(K144^2)+(L144^2)+(M144^2)+(N144^2))) - SUM(J144:N144)^2),""))</f>
        <v/>
      </c>
      <c r="AF154" t="str">
        <f>IFERROR(CORREL(J144:N144,J154:N154),"")</f>
        <v/>
      </c>
      <c r="AZ154">
        <f t="shared" si="38"/>
        <v>0</v>
      </c>
      <c r="BA154" t="str">
        <f>IF(AZ154=1,IF(Q154="","",IF(Q154=N144,"Yes","No")),"")</f>
        <v/>
      </c>
      <c r="BB154" t="str">
        <f t="shared" si="39"/>
        <v/>
      </c>
      <c r="BC154" t="str">
        <f>IF(AZ154=1,IF(S154="","",IF(S154=N144,"Yes","No")),"")</f>
        <v/>
      </c>
      <c r="BD154" t="str">
        <f t="shared" si="40"/>
        <v/>
      </c>
      <c r="BE154" t="str">
        <f t="shared" si="41"/>
        <v/>
      </c>
      <c r="BF154" t="str">
        <f t="shared" si="42"/>
        <v>No</v>
      </c>
      <c r="BG154" t="str">
        <f t="shared" si="43"/>
        <v>No</v>
      </c>
      <c r="BH154" t="str">
        <f t="shared" si="44"/>
        <v/>
      </c>
    </row>
    <row r="155" spans="9:60" x14ac:dyDescent="0.3">
      <c r="I155" t="str">
        <f t="shared" si="21"/>
        <v>N/A</v>
      </c>
      <c r="J155" t="str">
        <f t="shared" si="22"/>
        <v>N/A</v>
      </c>
      <c r="K155" t="str">
        <f t="shared" si="23"/>
        <v>N/A</v>
      </c>
      <c r="L155" t="str">
        <f t="shared" si="24"/>
        <v>N/A</v>
      </c>
      <c r="M155" t="str">
        <f t="shared" si="25"/>
        <v>N/A</v>
      </c>
      <c r="N155" t="str">
        <f t="shared" si="26"/>
        <v>N/A</v>
      </c>
      <c r="P155">
        <f t="shared" si="27"/>
        <v>0</v>
      </c>
      <c r="Q155" t="str">
        <f>IFERROR(J144+MATCH(P155,J155:N155,0)-1,"")</f>
        <v/>
      </c>
      <c r="R155" t="str">
        <f t="shared" si="28"/>
        <v/>
      </c>
      <c r="S155" t="str">
        <f>IFERROR(J144+MATCH(R155,J155:N155,0)-1,"")</f>
        <v/>
      </c>
      <c r="T155" t="str">
        <f t="shared" si="29"/>
        <v/>
      </c>
      <c r="U155" t="str">
        <f t="shared" si="30"/>
        <v/>
      </c>
      <c r="V155" t="str">
        <f t="shared" si="31"/>
        <v/>
      </c>
      <c r="W155" t="str">
        <f t="shared" si="32"/>
        <v/>
      </c>
      <c r="X155" t="str">
        <f t="shared" si="33"/>
        <v/>
      </c>
      <c r="Y155" t="str">
        <f t="shared" si="34"/>
        <v/>
      </c>
      <c r="Z155" t="str">
        <f t="shared" si="35"/>
        <v/>
      </c>
      <c r="AA155">
        <f t="shared" si="36"/>
        <v>0</v>
      </c>
      <c r="AB155" t="str">
        <f>IFERROR(V144+MATCH(AA155,V155:Z155,0)-1,"")</f>
        <v/>
      </c>
      <c r="AC155" t="str">
        <f t="shared" si="37"/>
        <v/>
      </c>
      <c r="AE155" t="str">
        <f>IF(ISNUMBER(MATCH("N/A",J155:N155,0)),"",IFERROR((5 * SUMPRODUCT(J144:N144,J155:N155) - PRODUCT(SUM(J144:N144),SUM(J155:N155))) / ((5 * SUM((J144^2)+(K144^2)+(L144^2)+(M144^2)+(N144^2))) - SUM(J144:N144)^2),""))</f>
        <v/>
      </c>
      <c r="AF155" t="str">
        <f>IFERROR(CORREL(J144:N144,J155:N155),"")</f>
        <v/>
      </c>
      <c r="AZ155">
        <f t="shared" si="38"/>
        <v>0</v>
      </c>
      <c r="BA155" t="str">
        <f>IF(AZ155=1,IF(Q155="","",IF(Q155=N144,"Yes","No")),"")</f>
        <v/>
      </c>
      <c r="BB155" t="str">
        <f t="shared" si="39"/>
        <v/>
      </c>
      <c r="BC155" t="str">
        <f>IF(AZ155=1,IF(S155="","",IF(S155=N144,"Yes","No")),"")</f>
        <v/>
      </c>
      <c r="BD155" t="str">
        <f t="shared" si="40"/>
        <v/>
      </c>
      <c r="BE155" t="str">
        <f t="shared" si="41"/>
        <v/>
      </c>
      <c r="BF155" t="str">
        <f t="shared" si="42"/>
        <v>No</v>
      </c>
      <c r="BG155" t="str">
        <f t="shared" si="43"/>
        <v>No</v>
      </c>
      <c r="BH155" t="str">
        <f t="shared" si="44"/>
        <v/>
      </c>
    </row>
    <row r="156" spans="9:60" x14ac:dyDescent="0.3">
      <c r="I156" t="str">
        <f t="shared" ref="I156:I187" si="45">IF(AND(K156&gt; J156, L156&gt; K156, M156&gt; L156, N156&gt; M156), "pos_trend", IF(AND(K156&lt; J156, L156&lt; K156, M156&lt; L156, N156&lt; M156), "neg_trend", "N/A"))</f>
        <v>N/A</v>
      </c>
      <c r="J156" t="str">
        <f t="shared" si="22"/>
        <v>N/A</v>
      </c>
      <c r="K156" t="str">
        <f t="shared" si="23"/>
        <v>N/A</v>
      </c>
      <c r="L156" t="str">
        <f t="shared" si="24"/>
        <v>N/A</v>
      </c>
      <c r="M156" t="str">
        <f t="shared" si="25"/>
        <v>N/A</v>
      </c>
      <c r="N156" t="str">
        <f t="shared" si="26"/>
        <v>N/A</v>
      </c>
      <c r="P156">
        <f t="shared" si="27"/>
        <v>0</v>
      </c>
      <c r="Q156" t="str">
        <f>IFERROR(J144+MATCH(P156,J156:N156,0)-1,"")</f>
        <v/>
      </c>
      <c r="R156" t="str">
        <f t="shared" si="28"/>
        <v/>
      </c>
      <c r="S156" t="str">
        <f>IFERROR(J144+MATCH(R156,J156:N156,0)-1,"")</f>
        <v/>
      </c>
      <c r="T156" t="str">
        <f t="shared" si="29"/>
        <v/>
      </c>
      <c r="U156" t="str">
        <f t="shared" si="30"/>
        <v/>
      </c>
      <c r="V156" t="str">
        <f t="shared" si="31"/>
        <v/>
      </c>
      <c r="W156" t="str">
        <f t="shared" si="32"/>
        <v/>
      </c>
      <c r="X156" t="str">
        <f t="shared" si="33"/>
        <v/>
      </c>
      <c r="Y156" t="str">
        <f t="shared" si="34"/>
        <v/>
      </c>
      <c r="Z156" t="str">
        <f t="shared" si="35"/>
        <v/>
      </c>
      <c r="AA156">
        <f t="shared" si="36"/>
        <v>0</v>
      </c>
      <c r="AB156" t="str">
        <f>IFERROR(V144+MATCH(AA156,V156:Z156,0)-1,"")</f>
        <v/>
      </c>
      <c r="AC156" t="str">
        <f t="shared" si="37"/>
        <v/>
      </c>
      <c r="AE156" t="str">
        <f>IF(ISNUMBER(MATCH("N/A",J156:N156,0)),"",IFERROR((5 * SUMPRODUCT(J144:N144,J156:N156) - PRODUCT(SUM(J144:N144),SUM(J156:N156))) / ((5 * SUM((J144^2)+(K144^2)+(L144^2)+(M144^2)+(N144^2))) - SUM(J144:N144)^2),""))</f>
        <v/>
      </c>
      <c r="AF156" t="str">
        <f>IFERROR(CORREL(J144:N144,J156:N156),"")</f>
        <v/>
      </c>
      <c r="AZ156">
        <f t="shared" si="38"/>
        <v>0</v>
      </c>
      <c r="BA156" t="str">
        <f>IF(AZ156=1,IF(Q156="","",IF(Q156=N144,"Yes","No")),"")</f>
        <v/>
      </c>
      <c r="BB156" t="str">
        <f t="shared" si="39"/>
        <v/>
      </c>
      <c r="BC156" t="str">
        <f>IF(AZ156=1,IF(S156="","",IF(S156=N144,"Yes","No")),"")</f>
        <v/>
      </c>
      <c r="BD156" t="str">
        <f t="shared" si="40"/>
        <v/>
      </c>
      <c r="BE156" t="str">
        <f t="shared" si="41"/>
        <v/>
      </c>
      <c r="BF156" t="str">
        <f t="shared" si="42"/>
        <v>No</v>
      </c>
      <c r="BG156" t="str">
        <f t="shared" si="43"/>
        <v>No</v>
      </c>
      <c r="BH156" t="str">
        <f t="shared" si="44"/>
        <v/>
      </c>
    </row>
    <row r="157" spans="9:60" x14ac:dyDescent="0.3">
      <c r="P157">
        <f t="shared" si="27"/>
        <v>0</v>
      </c>
      <c r="Q157" t="str">
        <f>IFERROR(J144+MATCH(P157,J157:N157,0)-1,"")</f>
        <v/>
      </c>
      <c r="R157" t="str">
        <f t="shared" si="28"/>
        <v/>
      </c>
      <c r="S157" t="str">
        <f>IFERROR(J144+MATCH(R157,J157:N157,0)-1,"")</f>
        <v/>
      </c>
      <c r="T157" t="str">
        <f t="shared" si="29"/>
        <v/>
      </c>
      <c r="U157" t="str">
        <f t="shared" si="30"/>
        <v/>
      </c>
      <c r="V157" t="str">
        <f t="shared" si="31"/>
        <v/>
      </c>
      <c r="W157" t="str">
        <f t="shared" si="32"/>
        <v/>
      </c>
      <c r="X157" t="str">
        <f t="shared" si="33"/>
        <v/>
      </c>
      <c r="Y157" t="str">
        <f t="shared" si="34"/>
        <v/>
      </c>
      <c r="Z157" t="str">
        <f t="shared" si="35"/>
        <v/>
      </c>
      <c r="AA157">
        <f t="shared" si="36"/>
        <v>0</v>
      </c>
      <c r="AB157" t="str">
        <f>IFERROR(V144+MATCH(AA157,V157:Z157,0)-1,"")</f>
        <v/>
      </c>
      <c r="AC157" t="str">
        <f t="shared" si="37"/>
        <v/>
      </c>
      <c r="AE157" t="str">
        <f>IF(ISNUMBER(MATCH("N/A",J157:N157,0)),"",IFERROR((5 * SUMPRODUCT(J144:N144,J157:N157) - PRODUCT(SUM(J144:N144),SUM(J157:N157))) / ((5 * SUM((J144^2)+(K144^2)+(L144^2)+(M144^2)+(N144^2))) - SUM(J144:N144)^2),""))</f>
        <v/>
      </c>
      <c r="AF157" t="str">
        <f>IFERROR(CORREL(J144:N144,J157:N157),"")</f>
        <v/>
      </c>
      <c r="AZ157">
        <f t="shared" si="38"/>
        <v>0</v>
      </c>
      <c r="BA157" t="str">
        <f>IF(AZ157=1,IF(Q157="","",IF(Q157=N144,"Yes","No")),"")</f>
        <v/>
      </c>
      <c r="BB157" t="str">
        <f t="shared" si="39"/>
        <v/>
      </c>
      <c r="BC157" t="str">
        <f>IF(AZ157=1,IF(S157="","",IF(S157=N144,"Yes","No")),"")</f>
        <v/>
      </c>
      <c r="BD157" t="str">
        <f t="shared" si="40"/>
        <v/>
      </c>
      <c r="BE157" t="str">
        <f t="shared" si="41"/>
        <v/>
      </c>
      <c r="BF157" t="str">
        <f t="shared" si="42"/>
        <v>No</v>
      </c>
      <c r="BG157" t="str">
        <f t="shared" si="43"/>
        <v>No</v>
      </c>
      <c r="BH157" t="str">
        <f t="shared" si="44"/>
        <v/>
      </c>
    </row>
    <row r="158" spans="9:60" x14ac:dyDescent="0.3">
      <c r="I158" t="str">
        <f t="shared" ref="I158:I204" si="46">IF(AND(K158&gt; J158, L158&gt; K158, M158&gt; L158, N158&gt; M158), "pos_trend", IF(AND(K158&lt; J158, L158&lt; K158, M158&lt; L158, N158&lt; M158), "neg_trend", "N/A"))</f>
        <v>N/A</v>
      </c>
      <c r="J158" t="str">
        <f>IFERROR(IF(TRIM(C158)="-", "0", IF(RIGHT(C158,1)=")",IF(RIGHT(C158,2)="T)",-1000000000000*VALUE(MID(C158,2,LEN(C158)-3)),IF(RIGHT(C158,2)="M)",-1000000*VALUE(MID(C158,2,LEN(C158)-3)),IF(RIGHT(C158,2)="B)",-1000000000*VALUE(MID(C158,2,LEN(C158)-3)),IF(RIGHT(C158,2)="k)",-1000*VALUE(MID(C158,2,LEN(C158)-3)),VALUE(SUBSTITUTE(C158,",","")))))),IF(RIGHT(C158,1)="T",1000000000000*VALUE(LEFT(C158,LEN(C158)-1)),IF(RIGHT(C158,1)="M",1000000*VALUE(LEFT(C158,LEN(C158)-1)),IF(RIGHT(C158,1)="B",1000000000*VALUE(LEFT(C158,LEN(C158)-1)),IF(RIGHT(C158,1)="%",0.01*VALUE(LEFT(C158,LEN(C158)-1)),IF(RIGHT(C158,1)="k",1000*VALUE(LEFT(C158,LEN(C158)-1)),VALUE(SUBSTITUTE(C158,",",""))))))))),"N/A")</f>
        <v>N/A</v>
      </c>
      <c r="K158" t="str">
        <f>IFERROR(IF(TRIM(D158)="-", "0", IF(RIGHT(D158,1)=")",IF(RIGHT(D158,2)="T)",-1000000000000*VALUE(MID(D158,2,LEN(D158)-3)),IF(RIGHT(D158,2)="M)",-1000000*VALUE(MID(D158,2,LEN(D158)-3)),IF(RIGHT(D158,2)="B)",-1000000000*VALUE(MID(D158,2,LEN(D158)-3)),IF(RIGHT(D158,2)="k)",-1000*VALUE(MID(D158,2,LEN(D158)-3)),VALUE(SUBSTITUTE(D158,",","")))))),IF(RIGHT(D158,1)="T",1000000000000*VALUE(LEFT(D158,LEN(D158)-1)),IF(RIGHT(D158,1)="M",1000000*VALUE(LEFT(D158,LEN(D158)-1)),IF(RIGHT(D158,1)="B",1000000000*VALUE(LEFT(D158,LEN(D158)-1)),IF(RIGHT(D158,1)="%",0.01*VALUE(LEFT(D158,LEN(D158)-1)),IF(RIGHT(D158,1)="k",1000*VALUE(LEFT(D158,LEN(D158)-1)),VALUE(SUBSTITUTE(D158,",",""))))))))),"N/A")</f>
        <v>N/A</v>
      </c>
      <c r="L158" t="str">
        <f>IFERROR(IF(TRIM(E158)="-", "0", IF(RIGHT(E158,1)=")",IF(RIGHT(E158,2)="T)",-1000000000000*VALUE(MID(E158,2,LEN(E158)-3)),IF(RIGHT(E158,2)="M)",-1000000*VALUE(MID(E158,2,LEN(E158)-3)),IF(RIGHT(E158,2)="B)",-1000000000*VALUE(MID(E158,2,LEN(E158)-3)),IF(RIGHT(E158,2)="k)",-1000*VALUE(MID(E158,2,LEN(E158)-3)),VALUE(SUBSTITUTE(E158,",","")))))),IF(RIGHT(E158,1)="T",1000000000000*VALUE(LEFT(E158,LEN(E158)-1)),IF(RIGHT(E158,1)="M",1000000*VALUE(LEFT(E158,LEN(E158)-1)),IF(RIGHT(E158,1)="B",1000000000*VALUE(LEFT(E158,LEN(E158)-1)),IF(RIGHT(E158,1)="%",0.01*VALUE(LEFT(E158,LEN(E158)-1)),IF(RIGHT(E158,1)="k",1000*VALUE(LEFT(E158,LEN(E158)-1)),VALUE(SUBSTITUTE(E158,",",""))))))))),"N/A")</f>
        <v>N/A</v>
      </c>
      <c r="M158" t="str">
        <f>IFERROR(IF(TRIM(F158)="-", "0", IF(RIGHT(F158,1)=")",IF(RIGHT(F158,2)="T)",-1000000000000*VALUE(MID(F158,2,LEN(F158)-3)),IF(RIGHT(F158,2)="M)",-1000000*VALUE(MID(F158,2,LEN(F158)-3)),IF(RIGHT(F158,2)="B)",-1000000000*VALUE(MID(F158,2,LEN(F158)-3)),IF(RIGHT(F158,2)="k)",-1000*VALUE(MID(F158,2,LEN(F158)-3)),VALUE(SUBSTITUTE(F158,",","")))))),IF(RIGHT(F158,1)="T",1000000000000*VALUE(LEFT(F158,LEN(F158)-1)),IF(RIGHT(F158,1)="M",1000000*VALUE(LEFT(F158,LEN(F158)-1)),IF(RIGHT(F158,1)="B",1000000000*VALUE(LEFT(F158,LEN(F158)-1)),IF(RIGHT(F158,1)="%",0.01*VALUE(LEFT(F158,LEN(F158)-1)),IF(RIGHT(F158,1)="k",1000*VALUE(LEFT(F158,LEN(F158)-1)),VALUE(SUBSTITUTE(F158,",",""))))))))),"N/A")</f>
        <v>N/A</v>
      </c>
      <c r="N158" t="str">
        <f>IFERROR(IF(TRIM(G158)="-", "0", IF(RIGHT(G158,1)=")",IF(RIGHT(G158,2)="T)",-1000000000000*VALUE(MID(G158,2,LEN(G158)-3)),IF(RIGHT(G158,2)="M)",-1000000*VALUE(MID(G158,2,LEN(G158)-3)),IF(RIGHT(G158,2)="B)",-1000000000*VALUE(MID(G158,2,LEN(G158)-3)),IF(RIGHT(G158,2)="k)",-1000*VALUE(MID(G158,2,LEN(G158)-3)),VALUE(SUBSTITUTE(G158,",","")))))),IF(RIGHT(G158,1)="T",1000000000000*VALUE(LEFT(G158,LEN(G158)-1)),IF(RIGHT(G158,1)="M",1000000*VALUE(LEFT(G158,LEN(G158)-1)),IF(RIGHT(G158,1)="B",1000000000*VALUE(LEFT(G158,LEN(G158)-1)),IF(RIGHT(G158,1)="%",0.01*VALUE(LEFT(G158,LEN(G158)-1)),IF(RIGHT(G158,1)="k",1000*VALUE(LEFT(G158,LEN(G158)-1)),VALUE(SUBSTITUTE(G158,",",""))))))))),"N/A")</f>
        <v>N/A</v>
      </c>
      <c r="P158">
        <f t="shared" si="27"/>
        <v>0</v>
      </c>
      <c r="Q158" t="str">
        <f>IFERROR(J144+MATCH(P158,J158:N158,0)-1,"")</f>
        <v/>
      </c>
      <c r="R158" t="str">
        <f t="shared" si="28"/>
        <v/>
      </c>
      <c r="S158" t="str">
        <f>IFERROR(J144+MATCH(R158,J158:N158,0)-1,"")</f>
        <v/>
      </c>
      <c r="T158" t="str">
        <f t="shared" si="29"/>
        <v/>
      </c>
      <c r="U158" t="str">
        <f t="shared" si="30"/>
        <v/>
      </c>
      <c r="V158" t="str">
        <f t="shared" si="31"/>
        <v/>
      </c>
      <c r="W158" t="str">
        <f t="shared" si="32"/>
        <v/>
      </c>
      <c r="X158" t="str">
        <f t="shared" si="33"/>
        <v/>
      </c>
      <c r="Y158" t="str">
        <f t="shared" si="34"/>
        <v/>
      </c>
      <c r="Z158" t="str">
        <f t="shared" si="35"/>
        <v/>
      </c>
      <c r="AA158">
        <f t="shared" si="36"/>
        <v>0</v>
      </c>
      <c r="AB158" t="str">
        <f>IFERROR(V144+MATCH(AA158,V158:Z158,0)-1,"")</f>
        <v/>
      </c>
      <c r="AC158" t="str">
        <f t="shared" si="37"/>
        <v/>
      </c>
      <c r="AE158" t="str">
        <f>IF(ISNUMBER(MATCH("N/A",J158:N158,0)),"",IFERROR((5 * SUMPRODUCT(J144:N144,J158:N158) - PRODUCT(SUM(J144:N144),SUM(J158:N158))) / ((5 * SUM((J144^2)+(K144^2)+(L144^2)+(M144^2)+(N144^2))) - SUM(J144:N144)^2),""))</f>
        <v/>
      </c>
      <c r="AF158" t="str">
        <f>IFERROR(CORREL(J144:N144,J158:N158),"")</f>
        <v/>
      </c>
      <c r="AZ158">
        <f t="shared" si="38"/>
        <v>0</v>
      </c>
      <c r="BA158" t="str">
        <f>IF(AZ158=1,IF(Q158="","",IF(Q158=N144,"Yes","No")),"")</f>
        <v/>
      </c>
      <c r="BB158" t="str">
        <f t="shared" si="39"/>
        <v/>
      </c>
      <c r="BC158" t="str">
        <f>IF(AZ158=1,IF(S158="","",IF(S158=N144,"Yes","No")),"")</f>
        <v/>
      </c>
      <c r="BD158" t="str">
        <f t="shared" si="40"/>
        <v/>
      </c>
      <c r="BE158" t="str">
        <f t="shared" si="41"/>
        <v/>
      </c>
      <c r="BF158" t="str">
        <f t="shared" si="42"/>
        <v>No</v>
      </c>
      <c r="BG158" t="str">
        <f t="shared" si="43"/>
        <v>No</v>
      </c>
      <c r="BH158" t="str">
        <f t="shared" si="44"/>
        <v/>
      </c>
    </row>
    <row r="159" spans="9:60" x14ac:dyDescent="0.3">
      <c r="I159" t="str">
        <f t="shared" si="46"/>
        <v>N/A</v>
      </c>
      <c r="J159" t="str">
        <f t="shared" ref="J159:J204" si="47">IFERROR(IF(TRIM(C159)="-", "N/A", IF(RIGHT(C159,1)=")",IF(RIGHT(C159,2)="T)",-1000000000000*VALUE(MID(C159,2,LEN(C159)-3)),IF(RIGHT(C159,2)="M)",-1000000*VALUE(MID(C159,2,LEN(C159)-3)),IF(RIGHT(C159,2)="B)",-1000000000*VALUE(MID(C159,2,LEN(C159)-3)),IF(RIGHT(C159,2)="k)",-1000*VALUE(MID(C159,2,LEN(C159)-3)),VALUE(SUBSTITUTE(C159,",","")))))),IF(RIGHT(C159,1)="T",1000000000000*VALUE(LEFT(C159,LEN(C159)-1)),IF(RIGHT(C159,1)="M",1000000*VALUE(LEFT(C159,LEN(C159)-1)),IF(RIGHT(C159,1)="B",1000000000*VALUE(LEFT(C159,LEN(C159)-1)),IF(RIGHT(C159,1)="%",0.01*VALUE(LEFT(C159,LEN(C159)-1)),IF(RIGHT(C159,1)="k",1000*VALUE(LEFT(C159,LEN(C159)-1)),VALUE(SUBSTITUTE(C159,",",""))))))))),"N/A")</f>
        <v>N/A</v>
      </c>
      <c r="K159" t="str">
        <f t="shared" ref="K159:K204" si="48">IFERROR(IF(TRIM(D159)="-", "N/A", IF(RIGHT(D159,1)=")",IF(RIGHT(D159,2)="T)",-1000000000000*VALUE(MID(D159,2,LEN(D159)-3)),IF(RIGHT(D159,2)="M)",-1000000*VALUE(MID(D159,2,LEN(D159)-3)),IF(RIGHT(D159,2)="B)",-1000000000*VALUE(MID(D159,2,LEN(D159)-3)),IF(RIGHT(D159,2)="k)",-1000*VALUE(MID(D159,2,LEN(D159)-3)),VALUE(SUBSTITUTE(D159,",","")))))),IF(RIGHT(D159,1)="T",1000000000000*VALUE(LEFT(D159,LEN(D159)-1)),IF(RIGHT(D159,1)="M",1000000*VALUE(LEFT(D159,LEN(D159)-1)),IF(RIGHT(D159,1)="B",1000000000*VALUE(LEFT(D159,LEN(D159)-1)),IF(RIGHT(D159,1)="%",0.01*VALUE(LEFT(D159,LEN(D159)-1)),IF(RIGHT(D159,1)="k",1000*VALUE(LEFT(D159,LEN(D159)-1)),VALUE(SUBSTITUTE(D159,",",""))))))))),"N/A")</f>
        <v>N/A</v>
      </c>
      <c r="L159" t="str">
        <f t="shared" ref="L159:L204" si="49">IFERROR(IF(TRIM(E159)="-", "N/A", IF(RIGHT(E159,1)=")",IF(RIGHT(E159,2)="T)",-1000000000000*VALUE(MID(E159,2,LEN(E159)-3)),IF(RIGHT(E159,2)="M)",-1000000*VALUE(MID(E159,2,LEN(E159)-3)),IF(RIGHT(E159,2)="B)",-1000000000*VALUE(MID(E159,2,LEN(E159)-3)),IF(RIGHT(E159,2)="k)",-1000*VALUE(MID(E159,2,LEN(E159)-3)),VALUE(SUBSTITUTE(E159,",","")))))),IF(RIGHT(E159,1)="T",1000000000000*VALUE(LEFT(E159,LEN(E159)-1)),IF(RIGHT(E159,1)="M",1000000*VALUE(LEFT(E159,LEN(E159)-1)),IF(RIGHT(E159,1)="B",1000000000*VALUE(LEFT(E159,LEN(E159)-1)),IF(RIGHT(E159,1)="%",0.01*VALUE(LEFT(E159,LEN(E159)-1)),IF(RIGHT(E159,1)="k",1000*VALUE(LEFT(E159,LEN(E159)-1)),VALUE(SUBSTITUTE(E159,",",""))))))))),"N/A")</f>
        <v>N/A</v>
      </c>
      <c r="M159" t="str">
        <f t="shared" ref="M159:M204" si="50">IFERROR(IF(TRIM(F159)="-", "N/A", IF(RIGHT(F159,1)=")",IF(RIGHT(F159,2)="T)",-1000000000000*VALUE(MID(F159,2,LEN(F159)-3)),IF(RIGHT(F159,2)="M)",-1000000*VALUE(MID(F159,2,LEN(F159)-3)),IF(RIGHT(F159,2)="B)",-1000000000*VALUE(MID(F159,2,LEN(F159)-3)),IF(RIGHT(F159,2)="k)",-1000*VALUE(MID(F159,2,LEN(F159)-3)),VALUE(SUBSTITUTE(F159,",","")))))),IF(RIGHT(F159,1)="T",1000000000000*VALUE(LEFT(F159,LEN(F159)-1)),IF(RIGHT(F159,1)="M",1000000*VALUE(LEFT(F159,LEN(F159)-1)),IF(RIGHT(F159,1)="B",1000000000*VALUE(LEFT(F159,LEN(F159)-1)),IF(RIGHT(F159,1)="%",0.01*VALUE(LEFT(F159,LEN(F159)-1)),IF(RIGHT(F159,1)="k",1000*VALUE(LEFT(F159,LEN(F159)-1)),VALUE(SUBSTITUTE(F159,",",""))))))))),"N/A")</f>
        <v>N/A</v>
      </c>
      <c r="N159" t="str">
        <f t="shared" ref="N159:N204" si="51">IFERROR(IF(TRIM(G159)="-", "N/A", IF(RIGHT(G159,1)=")",IF(RIGHT(G159,2)="T)",-1000000000000*VALUE(MID(G159,2,LEN(G159)-3)),IF(RIGHT(G159,2)="M)",-1000000*VALUE(MID(G159,2,LEN(G159)-3)),IF(RIGHT(G159,2)="B)",-1000000000*VALUE(MID(G159,2,LEN(G159)-3)),IF(RIGHT(G159,2)="k)",-1000*VALUE(MID(G159,2,LEN(G159)-3)),VALUE(SUBSTITUTE(G159,",","")))))),IF(RIGHT(G159,1)="T",1000000000000*VALUE(LEFT(G159,LEN(G159)-1)),IF(RIGHT(G159,1)="M",1000000*VALUE(LEFT(G159,LEN(G159)-1)),IF(RIGHT(G159,1)="B",1000000000*VALUE(LEFT(G159,LEN(G159)-1)),IF(RIGHT(G159,1)="%",0.01*VALUE(LEFT(G159,LEN(G159)-1)),IF(RIGHT(G159,1)="k",1000*VALUE(LEFT(G159,LEN(G159)-1)),VALUE(SUBSTITUTE(G159,",",""))))))))),"N/A")</f>
        <v>N/A</v>
      </c>
      <c r="P159">
        <f t="shared" si="27"/>
        <v>0</v>
      </c>
      <c r="Q159" t="str">
        <f>IFERROR(J144+MATCH(P159,J159:N159,0)-1,"")</f>
        <v/>
      </c>
      <c r="R159" t="str">
        <f t="shared" si="28"/>
        <v/>
      </c>
      <c r="S159" t="str">
        <f>IFERROR(J144+MATCH(R159,J159:N159,0)-1,"")</f>
        <v/>
      </c>
      <c r="T159" t="str">
        <f t="shared" si="29"/>
        <v/>
      </c>
      <c r="U159" t="str">
        <f t="shared" si="30"/>
        <v/>
      </c>
      <c r="V159" t="str">
        <f t="shared" si="31"/>
        <v/>
      </c>
      <c r="W159" t="str">
        <f t="shared" si="32"/>
        <v/>
      </c>
      <c r="X159" t="str">
        <f t="shared" si="33"/>
        <v/>
      </c>
      <c r="Y159" t="str">
        <f t="shared" si="34"/>
        <v/>
      </c>
      <c r="Z159" t="str">
        <f t="shared" si="35"/>
        <v/>
      </c>
      <c r="AA159">
        <f t="shared" si="36"/>
        <v>0</v>
      </c>
      <c r="AB159" t="str">
        <f>IFERROR(V144+MATCH(AA159,V159:Z159,0)-1,"")</f>
        <v/>
      </c>
      <c r="AC159" t="str">
        <f t="shared" si="37"/>
        <v/>
      </c>
      <c r="AE159" t="str">
        <f>IF(ISNUMBER(MATCH("N/A",J159:N159,0)),"",IFERROR((5 * SUMPRODUCT(J144:N144,J159:N159) - PRODUCT(SUM(J144:N144),SUM(J159:N159))) / ((5 * SUM((J144^2)+(K144^2)+(L144^2)+(M144^2)+(N144^2))) - SUM(J144:N144)^2),""))</f>
        <v/>
      </c>
      <c r="AF159" t="str">
        <f>IFERROR(CORREL(J144:N144,J159:N159),"")</f>
        <v/>
      </c>
      <c r="AZ159">
        <f t="shared" si="38"/>
        <v>0</v>
      </c>
      <c r="BA159" t="str">
        <f>IF(AZ159=1,IF(Q159="","",IF(Q159=N144,"Yes","No")),"")</f>
        <v/>
      </c>
      <c r="BB159" t="str">
        <f t="shared" si="39"/>
        <v/>
      </c>
      <c r="BC159" t="str">
        <f>IF(AZ159=1,IF(S159="","",IF(S159=N144,"Yes","No")),"")</f>
        <v/>
      </c>
      <c r="BD159" t="str">
        <f t="shared" si="40"/>
        <v/>
      </c>
      <c r="BE159" t="str">
        <f t="shared" si="41"/>
        <v/>
      </c>
      <c r="BF159" t="str">
        <f t="shared" si="42"/>
        <v>No</v>
      </c>
      <c r="BG159" t="str">
        <f t="shared" si="43"/>
        <v>No</v>
      </c>
      <c r="BH159" t="str">
        <f t="shared" si="44"/>
        <v/>
      </c>
    </row>
    <row r="160" spans="9:60" x14ac:dyDescent="0.3">
      <c r="I160" t="str">
        <f t="shared" si="46"/>
        <v>N/A</v>
      </c>
      <c r="J160" t="str">
        <f t="shared" si="47"/>
        <v>N/A</v>
      </c>
      <c r="K160" t="str">
        <f t="shared" si="48"/>
        <v>N/A</v>
      </c>
      <c r="L160" t="str">
        <f t="shared" si="49"/>
        <v>N/A</v>
      </c>
      <c r="M160" t="str">
        <f t="shared" si="50"/>
        <v>N/A</v>
      </c>
      <c r="N160" t="str">
        <f t="shared" si="51"/>
        <v>N/A</v>
      </c>
      <c r="P160">
        <f t="shared" si="27"/>
        <v>0</v>
      </c>
      <c r="Q160" t="str">
        <f>IFERROR(J144+MATCH(P160,J160:N160,0)-1,"")</f>
        <v/>
      </c>
      <c r="R160" t="str">
        <f t="shared" si="28"/>
        <v/>
      </c>
      <c r="S160" t="str">
        <f>IFERROR(J144+MATCH(R160,J160:N160,0)-1,"")</f>
        <v/>
      </c>
      <c r="T160" t="str">
        <f t="shared" si="29"/>
        <v/>
      </c>
      <c r="U160" t="str">
        <f t="shared" si="30"/>
        <v/>
      </c>
      <c r="V160" t="str">
        <f t="shared" si="31"/>
        <v/>
      </c>
      <c r="W160" t="str">
        <f t="shared" si="32"/>
        <v/>
      </c>
      <c r="X160" t="str">
        <f t="shared" si="33"/>
        <v/>
      </c>
      <c r="Y160" t="str">
        <f t="shared" si="34"/>
        <v/>
      </c>
      <c r="Z160" t="str">
        <f t="shared" si="35"/>
        <v/>
      </c>
      <c r="AA160">
        <f t="shared" si="36"/>
        <v>0</v>
      </c>
      <c r="AB160" t="str">
        <f>IFERROR(V144+MATCH(AA160,V160:Z160,0)-1,"")</f>
        <v/>
      </c>
      <c r="AC160" t="str">
        <f t="shared" si="37"/>
        <v/>
      </c>
      <c r="AE160" t="str">
        <f>IF(ISNUMBER(MATCH("N/A",J160:N160,0)),"",IFERROR((5 * SUMPRODUCT(J144:N144,J160:N160) - PRODUCT(SUM(J144:N144),SUM(J160:N160))) / ((5 * SUM((J144^2)+(K144^2)+(L144^2)+(M144^2)+(N144^2))) - SUM(J144:N144)^2),""))</f>
        <v/>
      </c>
      <c r="AF160" t="str">
        <f>IFERROR(CORREL(J144:N144,J160:N160),"")</f>
        <v/>
      </c>
      <c r="AZ160">
        <f t="shared" si="38"/>
        <v>0</v>
      </c>
      <c r="BA160" t="str">
        <f>IF(AZ160=1,IF(Q160="","",IF(Q160=N144,"Yes","No")),"")</f>
        <v/>
      </c>
      <c r="BB160" t="str">
        <f t="shared" si="39"/>
        <v/>
      </c>
      <c r="BC160" t="str">
        <f>IF(AZ160=1,IF(S160="","",IF(S160=N144,"Yes","No")),"")</f>
        <v/>
      </c>
      <c r="BD160" t="str">
        <f t="shared" si="40"/>
        <v/>
      </c>
      <c r="BE160" t="str">
        <f t="shared" si="41"/>
        <v/>
      </c>
      <c r="BF160" t="str">
        <f t="shared" si="42"/>
        <v>No</v>
      </c>
      <c r="BG160" t="str">
        <f t="shared" si="43"/>
        <v>No</v>
      </c>
      <c r="BH160" t="str">
        <f t="shared" si="44"/>
        <v/>
      </c>
    </row>
    <row r="161" spans="9:60" x14ac:dyDescent="0.3">
      <c r="I161" t="str">
        <f t="shared" si="46"/>
        <v>N/A</v>
      </c>
      <c r="J161" t="str">
        <f t="shared" si="47"/>
        <v>N/A</v>
      </c>
      <c r="K161" t="str">
        <f t="shared" si="48"/>
        <v>N/A</v>
      </c>
      <c r="L161" t="str">
        <f t="shared" si="49"/>
        <v>N/A</v>
      </c>
      <c r="M161" t="str">
        <f t="shared" si="50"/>
        <v>N/A</v>
      </c>
      <c r="N161" t="str">
        <f t="shared" si="51"/>
        <v>N/A</v>
      </c>
      <c r="P161">
        <f t="shared" si="27"/>
        <v>0</v>
      </c>
      <c r="Q161" t="str">
        <f>IFERROR(J144+MATCH(P161,J161:N161,0)-1,"")</f>
        <v/>
      </c>
      <c r="R161" t="str">
        <f t="shared" si="28"/>
        <v/>
      </c>
      <c r="S161" t="str">
        <f>IFERROR(J144+MATCH(R161,J161:N161,0)-1,"")</f>
        <v/>
      </c>
      <c r="T161" t="str">
        <f t="shared" si="29"/>
        <v/>
      </c>
      <c r="U161" t="str">
        <f t="shared" si="30"/>
        <v/>
      </c>
      <c r="V161" t="str">
        <f t="shared" si="31"/>
        <v/>
      </c>
      <c r="W161" t="str">
        <f t="shared" si="32"/>
        <v/>
      </c>
      <c r="X161" t="str">
        <f t="shared" si="33"/>
        <v/>
      </c>
      <c r="Y161" t="str">
        <f t="shared" si="34"/>
        <v/>
      </c>
      <c r="Z161" t="str">
        <f t="shared" si="35"/>
        <v/>
      </c>
      <c r="AA161">
        <f t="shared" si="36"/>
        <v>0</v>
      </c>
      <c r="AB161" t="str">
        <f>IFERROR(V144+MATCH(AA161,V161:Z161,0)-1,"")</f>
        <v/>
      </c>
      <c r="AC161" t="str">
        <f t="shared" si="37"/>
        <v/>
      </c>
      <c r="AE161" t="str">
        <f>IF(ISNUMBER(MATCH("N/A",J161:N161,0)),"",IFERROR((5 * SUMPRODUCT(J144:N144,J161:N161) - PRODUCT(SUM(J144:N144),SUM(J161:N161))) / ((5 * SUM((J144^2)+(K144^2)+(L144^2)+(M144^2)+(N144^2))) - SUM(J144:N144)^2),""))</f>
        <v/>
      </c>
      <c r="AF161" t="str">
        <f>IFERROR(CORREL(J144:N144,J161:N161),"")</f>
        <v/>
      </c>
      <c r="AZ161">
        <f t="shared" si="38"/>
        <v>0</v>
      </c>
      <c r="BA161" t="str">
        <f>IF(AZ161=1,IF(Q161="","",IF(Q161=N144,"Yes","No")),"")</f>
        <v/>
      </c>
      <c r="BB161" t="str">
        <f t="shared" si="39"/>
        <v/>
      </c>
      <c r="BC161" t="str">
        <f>IF(AZ161=1,IF(S161="","",IF(S161=N144,"Yes","No")),"")</f>
        <v/>
      </c>
      <c r="BD161" t="str">
        <f t="shared" si="40"/>
        <v/>
      </c>
      <c r="BE161" t="str">
        <f t="shared" si="41"/>
        <v/>
      </c>
      <c r="BF161" t="str">
        <f t="shared" si="42"/>
        <v>No</v>
      </c>
      <c r="BG161" t="str">
        <f t="shared" si="43"/>
        <v>No</v>
      </c>
      <c r="BH161" t="str">
        <f t="shared" si="44"/>
        <v/>
      </c>
    </row>
    <row r="162" spans="9:60" x14ac:dyDescent="0.3">
      <c r="I162" t="str">
        <f t="shared" si="46"/>
        <v>N/A</v>
      </c>
      <c r="J162" t="str">
        <f t="shared" si="47"/>
        <v>N/A</v>
      </c>
      <c r="K162" t="str">
        <f t="shared" si="48"/>
        <v>N/A</v>
      </c>
      <c r="L162" t="str">
        <f t="shared" si="49"/>
        <v>N/A</v>
      </c>
      <c r="M162" t="str">
        <f t="shared" si="50"/>
        <v>N/A</v>
      </c>
      <c r="N162" t="str">
        <f t="shared" si="51"/>
        <v>N/A</v>
      </c>
      <c r="P162">
        <f t="shared" si="27"/>
        <v>0</v>
      </c>
      <c r="Q162" t="str">
        <f>IFERROR(J144+MATCH(P162,J162:N162,0)-1,"")</f>
        <v/>
      </c>
      <c r="R162" t="str">
        <f t="shared" si="28"/>
        <v/>
      </c>
      <c r="S162" t="str">
        <f>IFERROR(J144+MATCH(R162,J162:N162,0)-1,"")</f>
        <v/>
      </c>
      <c r="T162" t="str">
        <f t="shared" si="29"/>
        <v/>
      </c>
      <c r="U162" t="str">
        <f t="shared" si="30"/>
        <v/>
      </c>
      <c r="V162" t="str">
        <f t="shared" si="31"/>
        <v/>
      </c>
      <c r="W162" t="str">
        <f t="shared" si="32"/>
        <v/>
      </c>
      <c r="X162" t="str">
        <f t="shared" si="33"/>
        <v/>
      </c>
      <c r="Y162" t="str">
        <f t="shared" si="34"/>
        <v/>
      </c>
      <c r="Z162" t="str">
        <f t="shared" si="35"/>
        <v/>
      </c>
      <c r="AA162">
        <f t="shared" si="36"/>
        <v>0</v>
      </c>
      <c r="AB162" t="str">
        <f>IFERROR(V144+MATCH(AA162,V162:Z162,0)-1,"")</f>
        <v/>
      </c>
      <c r="AC162" t="str">
        <f t="shared" si="37"/>
        <v/>
      </c>
      <c r="AE162" t="str">
        <f>IF(ISNUMBER(MATCH("N/A",J162:N162,0)),"",IFERROR((5 * SUMPRODUCT(J144:N144,J162:N162) - PRODUCT(SUM(J144:N144),SUM(J162:N162))) / ((5 * SUM((J144^2)+(K144^2)+(L144^2)+(M144^2)+(N144^2))) - SUM(J144:N144)^2),""))</f>
        <v/>
      </c>
      <c r="AF162" t="str">
        <f>IFERROR(CORREL(J144:N144,J162:N162),"")</f>
        <v/>
      </c>
      <c r="AZ162">
        <f t="shared" si="38"/>
        <v>0</v>
      </c>
      <c r="BA162" t="str">
        <f>IF(AZ162=1,IF(Q162="","",IF(Q162=N144,"Yes","No")),"")</f>
        <v/>
      </c>
      <c r="BB162" t="str">
        <f t="shared" si="39"/>
        <v/>
      </c>
      <c r="BC162" t="str">
        <f>IF(AZ162=1,IF(S162="","",IF(S162=N144,"Yes","No")),"")</f>
        <v/>
      </c>
      <c r="BD162" t="str">
        <f t="shared" si="40"/>
        <v/>
      </c>
      <c r="BE162" t="str">
        <f t="shared" si="41"/>
        <v/>
      </c>
      <c r="BF162" t="str">
        <f t="shared" si="42"/>
        <v>No</v>
      </c>
      <c r="BG162" t="str">
        <f t="shared" si="43"/>
        <v>No</v>
      </c>
      <c r="BH162" t="str">
        <f t="shared" si="44"/>
        <v/>
      </c>
    </row>
    <row r="163" spans="9:60" x14ac:dyDescent="0.3">
      <c r="I163" t="str">
        <f t="shared" si="46"/>
        <v>N/A</v>
      </c>
      <c r="J163" t="str">
        <f t="shared" si="47"/>
        <v>N/A</v>
      </c>
      <c r="K163" t="str">
        <f t="shared" si="48"/>
        <v>N/A</v>
      </c>
      <c r="L163" t="str">
        <f t="shared" si="49"/>
        <v>N/A</v>
      </c>
      <c r="M163" t="str">
        <f t="shared" si="50"/>
        <v>N/A</v>
      </c>
      <c r="N163" t="str">
        <f t="shared" si="51"/>
        <v>N/A</v>
      </c>
      <c r="P163">
        <f t="shared" si="27"/>
        <v>0</v>
      </c>
      <c r="Q163" t="str">
        <f>IFERROR(J144+MATCH(P163,J163:N163,0)-1,"")</f>
        <v/>
      </c>
      <c r="R163" t="str">
        <f t="shared" si="28"/>
        <v/>
      </c>
      <c r="S163" t="str">
        <f>IFERROR(J144+MATCH(R163,J163:N163,0)-1,"")</f>
        <v/>
      </c>
      <c r="T163" t="str">
        <f t="shared" si="29"/>
        <v/>
      </c>
      <c r="U163" t="str">
        <f t="shared" si="30"/>
        <v/>
      </c>
      <c r="V163" t="str">
        <f t="shared" si="31"/>
        <v/>
      </c>
      <c r="W163" t="str">
        <f t="shared" si="32"/>
        <v/>
      </c>
      <c r="X163" t="str">
        <f t="shared" si="33"/>
        <v/>
      </c>
      <c r="Y163" t="str">
        <f t="shared" si="34"/>
        <v/>
      </c>
      <c r="Z163" t="str">
        <f t="shared" si="35"/>
        <v/>
      </c>
      <c r="AA163">
        <f t="shared" si="36"/>
        <v>0</v>
      </c>
      <c r="AB163" t="str">
        <f>IFERROR(V144+MATCH(AA163,V163:Z163,0)-1,"")</f>
        <v/>
      </c>
      <c r="AC163" t="str">
        <f t="shared" si="37"/>
        <v/>
      </c>
      <c r="AE163" t="str">
        <f>IF(ISNUMBER(MATCH("N/A",J163:N163,0)),"",IFERROR((5 * SUMPRODUCT(J144:N144,J163:N163) - PRODUCT(SUM(J144:N144),SUM(J163:N163))) / ((5 * SUM((J144^2)+(K144^2)+(L144^2)+(M144^2)+(N144^2))) - SUM(J144:N144)^2),""))</f>
        <v/>
      </c>
      <c r="AF163" t="str">
        <f>IFERROR(CORREL(J144:N144,J163:N163),"")</f>
        <v/>
      </c>
      <c r="AZ163">
        <f t="shared" si="38"/>
        <v>0</v>
      </c>
      <c r="BA163" t="str">
        <f>IF(AZ163=1,IF(Q163="","",IF(Q163=N144,"Yes","No")),"")</f>
        <v/>
      </c>
      <c r="BB163" t="str">
        <f t="shared" si="39"/>
        <v/>
      </c>
      <c r="BC163" t="str">
        <f>IF(AZ163=1,IF(S163="","",IF(S163=N144,"Yes","No")),"")</f>
        <v/>
      </c>
      <c r="BD163" t="str">
        <f t="shared" si="40"/>
        <v/>
      </c>
      <c r="BE163" t="str">
        <f t="shared" si="41"/>
        <v/>
      </c>
      <c r="BF163" t="str">
        <f t="shared" si="42"/>
        <v>No</v>
      </c>
      <c r="BG163" t="str">
        <f t="shared" si="43"/>
        <v>No</v>
      </c>
      <c r="BH163" t="str">
        <f t="shared" si="44"/>
        <v/>
      </c>
    </row>
    <row r="164" spans="9:60" x14ac:dyDescent="0.3">
      <c r="I164" t="str">
        <f t="shared" si="46"/>
        <v>N/A</v>
      </c>
      <c r="J164" t="str">
        <f t="shared" si="47"/>
        <v>N/A</v>
      </c>
      <c r="K164" t="str">
        <f t="shared" si="48"/>
        <v>N/A</v>
      </c>
      <c r="L164" t="str">
        <f t="shared" si="49"/>
        <v>N/A</v>
      </c>
      <c r="M164" t="str">
        <f t="shared" si="50"/>
        <v>N/A</v>
      </c>
      <c r="N164" t="str">
        <f t="shared" si="51"/>
        <v>N/A</v>
      </c>
      <c r="P164">
        <f t="shared" si="27"/>
        <v>0</v>
      </c>
      <c r="Q164" t="str">
        <f>IFERROR(J144+MATCH(P164,J164:N164,0)-1,"")</f>
        <v/>
      </c>
      <c r="R164" t="str">
        <f t="shared" si="28"/>
        <v/>
      </c>
      <c r="S164" t="str">
        <f>IFERROR(J144+MATCH(R164,J164:N164,0)-1,"")</f>
        <v/>
      </c>
      <c r="T164" t="str">
        <f t="shared" si="29"/>
        <v/>
      </c>
      <c r="U164" t="str">
        <f t="shared" si="30"/>
        <v/>
      </c>
      <c r="V164" t="str">
        <f t="shared" si="31"/>
        <v/>
      </c>
      <c r="W164" t="str">
        <f t="shared" si="32"/>
        <v/>
      </c>
      <c r="X164" t="str">
        <f t="shared" si="33"/>
        <v/>
      </c>
      <c r="Y164" t="str">
        <f t="shared" si="34"/>
        <v/>
      </c>
      <c r="Z164" t="str">
        <f t="shared" si="35"/>
        <v/>
      </c>
      <c r="AA164">
        <f t="shared" si="36"/>
        <v>0</v>
      </c>
      <c r="AB164" t="str">
        <f>IFERROR(V144+MATCH(AA164,V164:Z164,0)-1,"")</f>
        <v/>
      </c>
      <c r="AC164" t="str">
        <f t="shared" si="37"/>
        <v/>
      </c>
      <c r="AE164" t="str">
        <f>IF(ISNUMBER(MATCH("N/A",J164:N164,0)),"",IFERROR((5 * SUMPRODUCT(J144:N144,J164:N164) - PRODUCT(SUM(J144:N144),SUM(J164:N164))) / ((5 * SUM((J144^2)+(K144^2)+(L144^2)+(M144^2)+(N144^2))) - SUM(J144:N144)^2),""))</f>
        <v/>
      </c>
      <c r="AF164" t="str">
        <f>IFERROR(CORREL(J144:N144,J164:N164),"")</f>
        <v/>
      </c>
      <c r="AZ164">
        <f t="shared" si="38"/>
        <v>0</v>
      </c>
      <c r="BA164" t="str">
        <f>IF(AZ164=1,IF(Q164="","",IF(Q164=N144,"Yes","No")),"")</f>
        <v/>
      </c>
      <c r="BB164" t="str">
        <f t="shared" si="39"/>
        <v/>
      </c>
      <c r="BC164" t="str">
        <f>IF(AZ164=1,IF(S164="","",IF(S164=N144,"Yes","No")),"")</f>
        <v/>
      </c>
      <c r="BD164" t="str">
        <f t="shared" si="40"/>
        <v/>
      </c>
      <c r="BE164" t="str">
        <f t="shared" si="41"/>
        <v/>
      </c>
      <c r="BF164" t="str">
        <f t="shared" si="42"/>
        <v>No</v>
      </c>
      <c r="BG164" t="str">
        <f t="shared" si="43"/>
        <v>No</v>
      </c>
      <c r="BH164" t="str">
        <f t="shared" si="44"/>
        <v/>
      </c>
    </row>
    <row r="165" spans="9:60" x14ac:dyDescent="0.3">
      <c r="I165" t="str">
        <f t="shared" si="46"/>
        <v>N/A</v>
      </c>
      <c r="J165" t="str">
        <f t="shared" si="47"/>
        <v>N/A</v>
      </c>
      <c r="K165" t="str">
        <f t="shared" si="48"/>
        <v>N/A</v>
      </c>
      <c r="L165" t="str">
        <f t="shared" si="49"/>
        <v>N/A</v>
      </c>
      <c r="M165" t="str">
        <f t="shared" si="50"/>
        <v>N/A</v>
      </c>
      <c r="N165" t="str">
        <f t="shared" si="51"/>
        <v>N/A</v>
      </c>
      <c r="P165">
        <f t="shared" si="27"/>
        <v>0</v>
      </c>
      <c r="Q165" t="str">
        <f>IFERROR(J144+MATCH(P165,J165:N165,0)-1,"")</f>
        <v/>
      </c>
      <c r="R165" t="str">
        <f t="shared" si="28"/>
        <v/>
      </c>
      <c r="S165" t="str">
        <f>IFERROR(J144+MATCH(R165,J165:N165,0)-1,"")</f>
        <v/>
      </c>
      <c r="T165" t="str">
        <f t="shared" si="29"/>
        <v/>
      </c>
      <c r="U165" t="str">
        <f t="shared" si="30"/>
        <v/>
      </c>
      <c r="V165" t="str">
        <f t="shared" si="31"/>
        <v/>
      </c>
      <c r="W165" t="str">
        <f t="shared" si="32"/>
        <v/>
      </c>
      <c r="X165" t="str">
        <f t="shared" si="33"/>
        <v/>
      </c>
      <c r="Y165" t="str">
        <f t="shared" si="34"/>
        <v/>
      </c>
      <c r="Z165" t="str">
        <f t="shared" si="35"/>
        <v/>
      </c>
      <c r="AA165">
        <f t="shared" si="36"/>
        <v>0</v>
      </c>
      <c r="AB165" t="str">
        <f>IFERROR(V144+MATCH(AA165,V165:Z165,0)-1,"")</f>
        <v/>
      </c>
      <c r="AC165" t="str">
        <f t="shared" si="37"/>
        <v/>
      </c>
      <c r="AE165" t="str">
        <f>IF(ISNUMBER(MATCH("N/A",J165:N165,0)),"",IFERROR((5 * SUMPRODUCT(J144:N144,J165:N165) - PRODUCT(SUM(J144:N144),SUM(J165:N165))) / ((5 * SUM((J144^2)+(K144^2)+(L144^2)+(M144^2)+(N144^2))) - SUM(J144:N144)^2),""))</f>
        <v/>
      </c>
      <c r="AF165" t="str">
        <f>IFERROR(CORREL(J144:N144,J165:N165),"")</f>
        <v/>
      </c>
      <c r="AZ165">
        <f t="shared" si="38"/>
        <v>0</v>
      </c>
      <c r="BA165" t="str">
        <f>IF(AZ165=1,IF(Q165="","",IF(Q165=N144,"Yes","No")),"")</f>
        <v/>
      </c>
      <c r="BB165" t="str">
        <f t="shared" si="39"/>
        <v/>
      </c>
      <c r="BC165" t="str">
        <f>IF(AZ165=1,IF(S165="","",IF(S165=N144,"Yes","No")),"")</f>
        <v/>
      </c>
      <c r="BD165" t="str">
        <f t="shared" si="40"/>
        <v/>
      </c>
      <c r="BE165" t="str">
        <f t="shared" si="41"/>
        <v/>
      </c>
      <c r="BF165" t="str">
        <f t="shared" si="42"/>
        <v>No</v>
      </c>
      <c r="BG165" t="str">
        <f t="shared" si="43"/>
        <v>No</v>
      </c>
      <c r="BH165" t="str">
        <f t="shared" si="44"/>
        <v/>
      </c>
    </row>
    <row r="166" spans="9:60" x14ac:dyDescent="0.3">
      <c r="I166" t="str">
        <f t="shared" si="46"/>
        <v>N/A</v>
      </c>
      <c r="J166" t="str">
        <f t="shared" si="47"/>
        <v>N/A</v>
      </c>
      <c r="K166" t="str">
        <f t="shared" si="48"/>
        <v>N/A</v>
      </c>
      <c r="L166" t="str">
        <f t="shared" si="49"/>
        <v>N/A</v>
      </c>
      <c r="M166" t="str">
        <f t="shared" si="50"/>
        <v>N/A</v>
      </c>
      <c r="N166" t="str">
        <f t="shared" si="51"/>
        <v>N/A</v>
      </c>
      <c r="P166">
        <f t="shared" si="27"/>
        <v>0</v>
      </c>
      <c r="Q166" t="str">
        <f>IFERROR(J144+MATCH(P166,J166:N166,0)-1,"")</f>
        <v/>
      </c>
      <c r="R166" t="str">
        <f t="shared" si="28"/>
        <v/>
      </c>
      <c r="S166" t="str">
        <f>IFERROR(J144+MATCH(R166,J166:N166,0)-1,"")</f>
        <v/>
      </c>
      <c r="T166" t="str">
        <f t="shared" si="29"/>
        <v/>
      </c>
      <c r="U166" t="str">
        <f t="shared" si="30"/>
        <v/>
      </c>
      <c r="V166" t="str">
        <f t="shared" si="31"/>
        <v/>
      </c>
      <c r="W166" t="str">
        <f t="shared" si="32"/>
        <v/>
      </c>
      <c r="X166" t="str">
        <f t="shared" si="33"/>
        <v/>
      </c>
      <c r="Y166" t="str">
        <f t="shared" si="34"/>
        <v/>
      </c>
      <c r="Z166" t="str">
        <f t="shared" si="35"/>
        <v/>
      </c>
      <c r="AA166">
        <f t="shared" si="36"/>
        <v>0</v>
      </c>
      <c r="AB166" t="str">
        <f>IFERROR(V144+MATCH(AA166,V166:Z166,0)-1,"")</f>
        <v/>
      </c>
      <c r="AC166" t="str">
        <f t="shared" si="37"/>
        <v/>
      </c>
      <c r="AE166" t="str">
        <f>IF(ISNUMBER(MATCH("N/A",J166:N166,0)),"",IFERROR((5 * SUMPRODUCT(J144:N144,J166:N166) - PRODUCT(SUM(J144:N144),SUM(J166:N166))) / ((5 * SUM((J144^2)+(K144^2)+(L144^2)+(M144^2)+(N144^2))) - SUM(J144:N144)^2),""))</f>
        <v/>
      </c>
      <c r="AF166" t="str">
        <f>IFERROR(CORREL(J144:N144,J166:N166),"")</f>
        <v/>
      </c>
      <c r="AZ166">
        <f t="shared" si="38"/>
        <v>0</v>
      </c>
      <c r="BA166" t="str">
        <f>IF(AZ166=1,IF(Q166="","",IF(Q166=N144,"Yes","No")),"")</f>
        <v/>
      </c>
      <c r="BB166" t="str">
        <f t="shared" si="39"/>
        <v/>
      </c>
      <c r="BC166" t="str">
        <f>IF(AZ166=1,IF(S166="","",IF(S166=N144,"Yes","No")),"")</f>
        <v/>
      </c>
      <c r="BD166" t="str">
        <f t="shared" si="40"/>
        <v/>
      </c>
      <c r="BE166" t="str">
        <f t="shared" si="41"/>
        <v/>
      </c>
      <c r="BF166" t="str">
        <f t="shared" si="42"/>
        <v>No</v>
      </c>
      <c r="BG166" t="str">
        <f t="shared" si="43"/>
        <v>No</v>
      </c>
      <c r="BH166" t="str">
        <f t="shared" si="44"/>
        <v/>
      </c>
    </row>
    <row r="167" spans="9:60" x14ac:dyDescent="0.3">
      <c r="I167" t="str">
        <f t="shared" si="46"/>
        <v>N/A</v>
      </c>
      <c r="J167" t="str">
        <f t="shared" si="47"/>
        <v>N/A</v>
      </c>
      <c r="K167" t="str">
        <f t="shared" si="48"/>
        <v>N/A</v>
      </c>
      <c r="L167" t="str">
        <f t="shared" si="49"/>
        <v>N/A</v>
      </c>
      <c r="M167" t="str">
        <f t="shared" si="50"/>
        <v>N/A</v>
      </c>
      <c r="N167" t="str">
        <f t="shared" si="51"/>
        <v>N/A</v>
      </c>
      <c r="P167">
        <f t="shared" si="27"/>
        <v>0</v>
      </c>
      <c r="Q167" t="str">
        <f>IFERROR(J144+MATCH(P167,J167:N167,0)-1,"")</f>
        <v/>
      </c>
      <c r="R167" t="str">
        <f t="shared" si="28"/>
        <v/>
      </c>
      <c r="S167" t="str">
        <f>IFERROR(J144+MATCH(R167,J167:N167,0)-1,"")</f>
        <v/>
      </c>
      <c r="T167" t="str">
        <f t="shared" si="29"/>
        <v/>
      </c>
      <c r="U167" t="str">
        <f t="shared" si="30"/>
        <v/>
      </c>
      <c r="V167" t="str">
        <f t="shared" si="31"/>
        <v/>
      </c>
      <c r="W167" t="str">
        <f t="shared" si="32"/>
        <v/>
      </c>
      <c r="X167" t="str">
        <f t="shared" si="33"/>
        <v/>
      </c>
      <c r="Y167" t="str">
        <f t="shared" si="34"/>
        <v/>
      </c>
      <c r="Z167" t="str">
        <f t="shared" si="35"/>
        <v/>
      </c>
      <c r="AA167">
        <f t="shared" si="36"/>
        <v>0</v>
      </c>
      <c r="AB167" t="str">
        <f>IFERROR(V144+MATCH(AA167,V167:Z167,0)-1,"")</f>
        <v/>
      </c>
      <c r="AC167" t="str">
        <f t="shared" si="37"/>
        <v/>
      </c>
      <c r="AE167" t="str">
        <f>IF(ISNUMBER(MATCH("N/A",J167:N167,0)),"",IFERROR((5 * SUMPRODUCT(J144:N144,J167:N167) - PRODUCT(SUM(J144:N144),SUM(J167:N167))) / ((5 * SUM((J144^2)+(K144^2)+(L144^2)+(M144^2)+(N144^2))) - SUM(J144:N144)^2),""))</f>
        <v/>
      </c>
      <c r="AF167" t="str">
        <f>IFERROR(CORREL(J144:N144,J167:N167),"")</f>
        <v/>
      </c>
      <c r="AZ167">
        <f t="shared" si="38"/>
        <v>0</v>
      </c>
      <c r="BA167" t="str">
        <f>IF(AZ167=1,IF(Q167="","",IF(Q167=N144,"Yes","No")),"")</f>
        <v/>
      </c>
      <c r="BB167" t="str">
        <f t="shared" si="39"/>
        <v/>
      </c>
      <c r="BC167" t="str">
        <f>IF(AZ167=1,IF(S167="","",IF(S167=N144,"Yes","No")),"")</f>
        <v/>
      </c>
      <c r="BD167" t="str">
        <f t="shared" si="40"/>
        <v/>
      </c>
      <c r="BE167" t="str">
        <f t="shared" si="41"/>
        <v/>
      </c>
      <c r="BF167" t="str">
        <f t="shared" si="42"/>
        <v>No</v>
      </c>
      <c r="BG167" t="str">
        <f t="shared" si="43"/>
        <v>No</v>
      </c>
      <c r="BH167" t="str">
        <f t="shared" si="44"/>
        <v/>
      </c>
    </row>
    <row r="168" spans="9:60" x14ac:dyDescent="0.3">
      <c r="I168" t="str">
        <f t="shared" si="46"/>
        <v>N/A</v>
      </c>
      <c r="J168" t="str">
        <f t="shared" si="47"/>
        <v>N/A</v>
      </c>
      <c r="K168" t="str">
        <f t="shared" si="48"/>
        <v>N/A</v>
      </c>
      <c r="L168" t="str">
        <f t="shared" si="49"/>
        <v>N/A</v>
      </c>
      <c r="M168" t="str">
        <f t="shared" si="50"/>
        <v>N/A</v>
      </c>
      <c r="N168" t="str">
        <f t="shared" si="51"/>
        <v>N/A</v>
      </c>
      <c r="P168">
        <f t="shared" si="27"/>
        <v>0</v>
      </c>
      <c r="Q168" t="str">
        <f>IFERROR(J144+MATCH(P168,J168:N168,0)-1,"")</f>
        <v/>
      </c>
      <c r="R168" t="str">
        <f t="shared" si="28"/>
        <v/>
      </c>
      <c r="S168" t="str">
        <f>IFERROR(J144+MATCH(R168,J168:N168,0)-1,"")</f>
        <v/>
      </c>
      <c r="T168" t="str">
        <f t="shared" si="29"/>
        <v/>
      </c>
      <c r="U168" t="str">
        <f t="shared" si="30"/>
        <v/>
      </c>
      <c r="V168" t="str">
        <f t="shared" si="31"/>
        <v/>
      </c>
      <c r="W168" t="str">
        <f t="shared" si="32"/>
        <v/>
      </c>
      <c r="X168" t="str">
        <f t="shared" si="33"/>
        <v/>
      </c>
      <c r="Y168" t="str">
        <f t="shared" si="34"/>
        <v/>
      </c>
      <c r="Z168" t="str">
        <f t="shared" si="35"/>
        <v/>
      </c>
      <c r="AA168">
        <f t="shared" si="36"/>
        <v>0</v>
      </c>
      <c r="AB168" t="str">
        <f>IFERROR(V144+MATCH(AA168,V168:Z168,0)-1,"")</f>
        <v/>
      </c>
      <c r="AC168" t="str">
        <f t="shared" si="37"/>
        <v/>
      </c>
      <c r="AE168" t="str">
        <f>IF(ISNUMBER(MATCH("N/A",J168:N168,0)),"",IFERROR((5 * SUMPRODUCT(J144:N144,J168:N168) - PRODUCT(SUM(J144:N144),SUM(J168:N168))) / ((5 * SUM((J144^2)+(K144^2)+(L144^2)+(M144^2)+(N144^2))) - SUM(J144:N144)^2),""))</f>
        <v/>
      </c>
      <c r="AF168" t="str">
        <f>IFERROR(CORREL(J144:N144,J168:N168),"")</f>
        <v/>
      </c>
      <c r="AZ168">
        <f t="shared" si="38"/>
        <v>0</v>
      </c>
      <c r="BA168" t="str">
        <f>IF(AZ168=1,IF(Q168="","",IF(Q168=N144,"Yes","No")),"")</f>
        <v/>
      </c>
      <c r="BB168" t="str">
        <f t="shared" si="39"/>
        <v/>
      </c>
      <c r="BC168" t="str">
        <f>IF(AZ168=1,IF(S168="","",IF(S168=N144,"Yes","No")),"")</f>
        <v/>
      </c>
      <c r="BD168" t="str">
        <f t="shared" si="40"/>
        <v/>
      </c>
      <c r="BE168" t="str">
        <f t="shared" si="41"/>
        <v/>
      </c>
      <c r="BF168" t="str">
        <f t="shared" si="42"/>
        <v>No</v>
      </c>
      <c r="BG168" t="str">
        <f t="shared" si="43"/>
        <v>No</v>
      </c>
      <c r="BH168" t="str">
        <f t="shared" si="44"/>
        <v/>
      </c>
    </row>
    <row r="169" spans="9:60" x14ac:dyDescent="0.3">
      <c r="I169" t="str">
        <f t="shared" si="46"/>
        <v>N/A</v>
      </c>
      <c r="J169" t="str">
        <f t="shared" si="47"/>
        <v>N/A</v>
      </c>
      <c r="K169" t="str">
        <f t="shared" si="48"/>
        <v>N/A</v>
      </c>
      <c r="L169" t="str">
        <f t="shared" si="49"/>
        <v>N/A</v>
      </c>
      <c r="M169" t="str">
        <f t="shared" si="50"/>
        <v>N/A</v>
      </c>
      <c r="N169" t="str">
        <f t="shared" si="51"/>
        <v>N/A</v>
      </c>
      <c r="P169">
        <f t="shared" si="27"/>
        <v>0</v>
      </c>
      <c r="Q169" t="str">
        <f>IFERROR(J144+MATCH(P169,J169:N169,0)-1,"")</f>
        <v/>
      </c>
      <c r="R169" t="str">
        <f t="shared" si="28"/>
        <v/>
      </c>
      <c r="S169" t="str">
        <f>IFERROR(J144+MATCH(R169,J169:N169,0)-1,"")</f>
        <v/>
      </c>
      <c r="T169" t="str">
        <f t="shared" si="29"/>
        <v/>
      </c>
      <c r="U169" t="str">
        <f t="shared" si="30"/>
        <v/>
      </c>
      <c r="V169" t="str">
        <f t="shared" si="31"/>
        <v/>
      </c>
      <c r="W169" t="str">
        <f t="shared" si="32"/>
        <v/>
      </c>
      <c r="X169" t="str">
        <f t="shared" si="33"/>
        <v/>
      </c>
      <c r="Y169" t="str">
        <f t="shared" si="34"/>
        <v/>
      </c>
      <c r="Z169" t="str">
        <f t="shared" si="35"/>
        <v/>
      </c>
      <c r="AA169">
        <f t="shared" si="36"/>
        <v>0</v>
      </c>
      <c r="AB169" t="str">
        <f>IFERROR(V144+MATCH(AA169,V169:Z169,0)-1,"")</f>
        <v/>
      </c>
      <c r="AC169" t="str">
        <f t="shared" si="37"/>
        <v/>
      </c>
      <c r="AE169" t="str">
        <f>IF(ISNUMBER(MATCH("N/A",J169:N169,0)),"",IFERROR((5 * SUMPRODUCT(J144:N144,J169:N169) - PRODUCT(SUM(J144:N144),SUM(J169:N169))) / ((5 * SUM((J144^2)+(K144^2)+(L144^2)+(M144^2)+(N144^2))) - SUM(J144:N144)^2),""))</f>
        <v/>
      </c>
      <c r="AF169" t="str">
        <f>IFERROR(CORREL(J144:N144,J169:N169),"")</f>
        <v/>
      </c>
      <c r="AZ169">
        <f t="shared" si="38"/>
        <v>0</v>
      </c>
      <c r="BA169" t="str">
        <f>IF(AZ169=1,IF(Q169="","",IF(Q169=N144,"Yes","No")),"")</f>
        <v/>
      </c>
      <c r="BB169" t="str">
        <f t="shared" si="39"/>
        <v/>
      </c>
      <c r="BC169" t="str">
        <f>IF(AZ169=1,IF(S169="","",IF(S169=N144,"Yes","No")),"")</f>
        <v/>
      </c>
      <c r="BD169" t="str">
        <f t="shared" si="40"/>
        <v/>
      </c>
      <c r="BE169" t="str">
        <f t="shared" si="41"/>
        <v/>
      </c>
      <c r="BF169" t="str">
        <f t="shared" si="42"/>
        <v>No</v>
      </c>
      <c r="BG169" t="str">
        <f t="shared" si="43"/>
        <v>No</v>
      </c>
      <c r="BH169" t="str">
        <f t="shared" si="44"/>
        <v/>
      </c>
    </row>
    <row r="170" spans="9:60" x14ac:dyDescent="0.3">
      <c r="I170" t="str">
        <f t="shared" si="46"/>
        <v>N/A</v>
      </c>
      <c r="J170" t="str">
        <f t="shared" si="47"/>
        <v>N/A</v>
      </c>
      <c r="K170" t="str">
        <f t="shared" si="48"/>
        <v>N/A</v>
      </c>
      <c r="L170" t="str">
        <f t="shared" si="49"/>
        <v>N/A</v>
      </c>
      <c r="M170" t="str">
        <f t="shared" si="50"/>
        <v>N/A</v>
      </c>
      <c r="N170" t="str">
        <f t="shared" si="51"/>
        <v>N/A</v>
      </c>
      <c r="P170">
        <f t="shared" si="27"/>
        <v>0</v>
      </c>
      <c r="Q170" t="str">
        <f>IFERROR(J144+MATCH(P170,J170:N170,0)-1,"")</f>
        <v/>
      </c>
      <c r="R170" t="str">
        <f t="shared" si="28"/>
        <v/>
      </c>
      <c r="S170" t="str">
        <f>IFERROR(J144+MATCH(R170,J170:N170,0)-1,"")</f>
        <v/>
      </c>
      <c r="T170" t="str">
        <f t="shared" si="29"/>
        <v/>
      </c>
      <c r="U170" t="str">
        <f t="shared" si="30"/>
        <v/>
      </c>
      <c r="V170" t="str">
        <f t="shared" si="31"/>
        <v/>
      </c>
      <c r="W170" t="str">
        <f t="shared" si="32"/>
        <v/>
      </c>
      <c r="X170" t="str">
        <f t="shared" si="33"/>
        <v/>
      </c>
      <c r="Y170" t="str">
        <f t="shared" si="34"/>
        <v/>
      </c>
      <c r="Z170" t="str">
        <f t="shared" si="35"/>
        <v/>
      </c>
      <c r="AA170">
        <f t="shared" si="36"/>
        <v>0</v>
      </c>
      <c r="AB170" t="str">
        <f>IFERROR(V144+MATCH(AA170,V170:Z170,0)-1,"")</f>
        <v/>
      </c>
      <c r="AC170" t="str">
        <f t="shared" si="37"/>
        <v/>
      </c>
      <c r="AE170" t="str">
        <f>IF(ISNUMBER(MATCH("N/A",J170:N170,0)),"",IFERROR((5 * SUMPRODUCT(J144:N144,J170:N170) - PRODUCT(SUM(J144:N144),SUM(J170:N170))) / ((5 * SUM((J144^2)+(K144^2)+(L144^2)+(M144^2)+(N144^2))) - SUM(J144:N144)^2),""))</f>
        <v/>
      </c>
      <c r="AF170" t="str">
        <f>IFERROR(CORREL(J144:N144,J170:N170),"")</f>
        <v/>
      </c>
      <c r="AZ170">
        <f t="shared" si="38"/>
        <v>0</v>
      </c>
      <c r="BA170" t="str">
        <f>IF(AZ170=1,IF(Q170="","",IF(Q170=N144,"Yes","No")),"")</f>
        <v/>
      </c>
      <c r="BB170" t="str">
        <f t="shared" si="39"/>
        <v/>
      </c>
      <c r="BC170" t="str">
        <f>IF(AZ170=1,IF(S170="","",IF(S170=N144,"Yes","No")),"")</f>
        <v/>
      </c>
      <c r="BD170" t="str">
        <f t="shared" si="40"/>
        <v/>
      </c>
      <c r="BE170" t="str">
        <f t="shared" si="41"/>
        <v/>
      </c>
      <c r="BF170" t="str">
        <f t="shared" si="42"/>
        <v>No</v>
      </c>
      <c r="BG170" t="str">
        <f t="shared" si="43"/>
        <v>No</v>
      </c>
      <c r="BH170" t="str">
        <f t="shared" si="44"/>
        <v/>
      </c>
    </row>
    <row r="171" spans="9:60" x14ac:dyDescent="0.3">
      <c r="I171" t="str">
        <f t="shared" si="46"/>
        <v>N/A</v>
      </c>
      <c r="J171" t="str">
        <f t="shared" si="47"/>
        <v>N/A</v>
      </c>
      <c r="K171" t="str">
        <f t="shared" si="48"/>
        <v>N/A</v>
      </c>
      <c r="L171" t="str">
        <f t="shared" si="49"/>
        <v>N/A</v>
      </c>
      <c r="M171" t="str">
        <f t="shared" si="50"/>
        <v>N/A</v>
      </c>
      <c r="N171" t="str">
        <f t="shared" si="51"/>
        <v>N/A</v>
      </c>
      <c r="P171">
        <f t="shared" si="27"/>
        <v>0</v>
      </c>
      <c r="Q171" t="str">
        <f>IFERROR(J144+MATCH(P171,J171:N171,0)-1,"")</f>
        <v/>
      </c>
      <c r="R171" t="str">
        <f t="shared" si="28"/>
        <v/>
      </c>
      <c r="S171" t="str">
        <f>IFERROR(J144+MATCH(R171,J171:N171,0)-1,"")</f>
        <v/>
      </c>
      <c r="T171" t="str">
        <f t="shared" si="29"/>
        <v/>
      </c>
      <c r="U171" t="str">
        <f t="shared" si="30"/>
        <v/>
      </c>
      <c r="V171" t="str">
        <f t="shared" si="31"/>
        <v/>
      </c>
      <c r="W171" t="str">
        <f t="shared" si="32"/>
        <v/>
      </c>
      <c r="X171" t="str">
        <f t="shared" si="33"/>
        <v/>
      </c>
      <c r="Y171" t="str">
        <f t="shared" si="34"/>
        <v/>
      </c>
      <c r="Z171" t="str">
        <f t="shared" si="35"/>
        <v/>
      </c>
      <c r="AA171">
        <f t="shared" si="36"/>
        <v>0</v>
      </c>
      <c r="AB171" t="str">
        <f>IFERROR(V144+MATCH(AA171,V171:Z171,0)-1,"")</f>
        <v/>
      </c>
      <c r="AC171" t="str">
        <f t="shared" si="37"/>
        <v/>
      </c>
      <c r="AE171" t="str">
        <f>IF(ISNUMBER(MATCH("N/A",J171:N171,0)),"",IFERROR((5 * SUMPRODUCT(J144:N144,J171:N171) - PRODUCT(SUM(J144:N144),SUM(J171:N171))) / ((5 * SUM((J144^2)+(K144^2)+(L144^2)+(M144^2)+(N144^2))) - SUM(J144:N144)^2),""))</f>
        <v/>
      </c>
      <c r="AF171" t="str">
        <f>IFERROR(CORREL(J144:N144,J171:N171),"")</f>
        <v/>
      </c>
      <c r="AZ171">
        <f t="shared" si="38"/>
        <v>0</v>
      </c>
      <c r="BA171" t="str">
        <f>IF(AZ171=1,IF(Q171="","",IF(Q171=N144,"Yes","No")),"")</f>
        <v/>
      </c>
      <c r="BB171" t="str">
        <f t="shared" si="39"/>
        <v/>
      </c>
      <c r="BC171" t="str">
        <f>IF(AZ171=1,IF(S171="","",IF(S171=N144,"Yes","No")),"")</f>
        <v/>
      </c>
      <c r="BD171" t="str">
        <f t="shared" si="40"/>
        <v/>
      </c>
      <c r="BE171" t="str">
        <f t="shared" si="41"/>
        <v/>
      </c>
      <c r="BF171" t="str">
        <f t="shared" si="42"/>
        <v>No</v>
      </c>
      <c r="BG171" t="str">
        <f t="shared" si="43"/>
        <v>No</v>
      </c>
      <c r="BH171" t="str">
        <f t="shared" si="44"/>
        <v/>
      </c>
    </row>
    <row r="172" spans="9:60" x14ac:dyDescent="0.3">
      <c r="I172" t="str">
        <f t="shared" si="46"/>
        <v>N/A</v>
      </c>
      <c r="J172" t="str">
        <f t="shared" si="47"/>
        <v>N/A</v>
      </c>
      <c r="K172" t="str">
        <f t="shared" si="48"/>
        <v>N/A</v>
      </c>
      <c r="L172" t="str">
        <f t="shared" si="49"/>
        <v>N/A</v>
      </c>
      <c r="M172" t="str">
        <f t="shared" si="50"/>
        <v>N/A</v>
      </c>
      <c r="N172" t="str">
        <f t="shared" si="51"/>
        <v>N/A</v>
      </c>
      <c r="P172">
        <f t="shared" si="27"/>
        <v>0</v>
      </c>
      <c r="Q172" t="str">
        <f>IFERROR(J144+MATCH(P172,J172:N172,0)-1,"")</f>
        <v/>
      </c>
      <c r="R172" t="str">
        <f t="shared" si="28"/>
        <v/>
      </c>
      <c r="S172" t="str">
        <f>IFERROR(J144+MATCH(R172,J172:N172,0)-1,"")</f>
        <v/>
      </c>
      <c r="T172" t="str">
        <f t="shared" si="29"/>
        <v/>
      </c>
      <c r="U172" t="str">
        <f t="shared" si="30"/>
        <v/>
      </c>
      <c r="V172" t="str">
        <f t="shared" si="31"/>
        <v/>
      </c>
      <c r="W172" t="str">
        <f t="shared" si="32"/>
        <v/>
      </c>
      <c r="X172" t="str">
        <f t="shared" si="33"/>
        <v/>
      </c>
      <c r="Y172" t="str">
        <f t="shared" si="34"/>
        <v/>
      </c>
      <c r="Z172" t="str">
        <f t="shared" si="35"/>
        <v/>
      </c>
      <c r="AA172">
        <f t="shared" si="36"/>
        <v>0</v>
      </c>
      <c r="AB172" t="str">
        <f>IFERROR(V144+MATCH(AA172,V172:Z172,0)-1,"")</f>
        <v/>
      </c>
      <c r="AC172" t="str">
        <f t="shared" si="37"/>
        <v/>
      </c>
      <c r="AE172" t="str">
        <f>IF(ISNUMBER(MATCH("N/A",J172:N172,0)),"",IFERROR((5 * SUMPRODUCT(J144:N144,J172:N172) - PRODUCT(SUM(J144:N144),SUM(J172:N172))) / ((5 * SUM((J144^2)+(K144^2)+(L144^2)+(M144^2)+(N144^2))) - SUM(J144:N144)^2),""))</f>
        <v/>
      </c>
      <c r="AF172" t="str">
        <f>IFERROR(CORREL(J144:N144,J172:N172),"")</f>
        <v/>
      </c>
      <c r="AZ172">
        <f t="shared" si="38"/>
        <v>0</v>
      </c>
      <c r="BA172" t="str">
        <f>IF(AZ172=1,IF(Q172="","",IF(Q172=N144,"Yes","No")),"")</f>
        <v/>
      </c>
      <c r="BB172" t="str">
        <f t="shared" si="39"/>
        <v/>
      </c>
      <c r="BC172" t="str">
        <f>IF(AZ172=1,IF(S172="","",IF(S172=N144,"Yes","No")),"")</f>
        <v/>
      </c>
      <c r="BD172" t="str">
        <f t="shared" si="40"/>
        <v/>
      </c>
      <c r="BE172" t="str">
        <f t="shared" si="41"/>
        <v/>
      </c>
      <c r="BF172" t="str">
        <f t="shared" si="42"/>
        <v>No</v>
      </c>
      <c r="BG172" t="str">
        <f t="shared" si="43"/>
        <v>No</v>
      </c>
      <c r="BH172" t="str">
        <f t="shared" si="44"/>
        <v/>
      </c>
    </row>
    <row r="173" spans="9:60" x14ac:dyDescent="0.3">
      <c r="I173" t="str">
        <f t="shared" si="46"/>
        <v>N/A</v>
      </c>
      <c r="J173" t="str">
        <f t="shared" si="47"/>
        <v>N/A</v>
      </c>
      <c r="K173" t="str">
        <f t="shared" si="48"/>
        <v>N/A</v>
      </c>
      <c r="L173" t="str">
        <f t="shared" si="49"/>
        <v>N/A</v>
      </c>
      <c r="M173" t="str">
        <f t="shared" si="50"/>
        <v>N/A</v>
      </c>
      <c r="N173" t="str">
        <f t="shared" si="51"/>
        <v>N/A</v>
      </c>
      <c r="P173">
        <f t="shared" si="27"/>
        <v>0</v>
      </c>
      <c r="Q173" t="str">
        <f>IFERROR(J144+MATCH(P173,J173:N173,0)-1,"")</f>
        <v/>
      </c>
      <c r="R173" t="str">
        <f t="shared" si="28"/>
        <v/>
      </c>
      <c r="S173" t="str">
        <f>IFERROR(J144+MATCH(R173,J173:N173,0)-1,"")</f>
        <v/>
      </c>
      <c r="T173" t="str">
        <f t="shared" si="29"/>
        <v/>
      </c>
      <c r="U173" t="str">
        <f t="shared" si="30"/>
        <v/>
      </c>
      <c r="V173" t="str">
        <f t="shared" si="31"/>
        <v/>
      </c>
      <c r="W173" t="str">
        <f t="shared" si="32"/>
        <v/>
      </c>
      <c r="X173" t="str">
        <f t="shared" si="33"/>
        <v/>
      </c>
      <c r="Y173" t="str">
        <f t="shared" si="34"/>
        <v/>
      </c>
      <c r="Z173" t="str">
        <f t="shared" si="35"/>
        <v/>
      </c>
      <c r="AA173">
        <f t="shared" si="36"/>
        <v>0</v>
      </c>
      <c r="AB173" t="str">
        <f>IFERROR(V144+MATCH(AA173,V173:Z173,0)-1,"")</f>
        <v/>
      </c>
      <c r="AC173" t="str">
        <f t="shared" si="37"/>
        <v/>
      </c>
      <c r="AE173" t="str">
        <f>IF(ISNUMBER(MATCH("N/A",J173:N173,0)),"",IFERROR((5 * SUMPRODUCT(J144:N144,J173:N173) - PRODUCT(SUM(J144:N144),SUM(J173:N173))) / ((5 * SUM((J144^2)+(K144^2)+(L144^2)+(M144^2)+(N144^2))) - SUM(J144:N144)^2),""))</f>
        <v/>
      </c>
      <c r="AF173" t="str">
        <f>IFERROR(CORREL(J144:N144,J173:N173),"")</f>
        <v/>
      </c>
      <c r="AZ173">
        <f t="shared" si="38"/>
        <v>0</v>
      </c>
      <c r="BA173" t="str">
        <f>IF(AZ173=1,IF(Q173="","",IF(Q173=N144,"Yes","No")),"")</f>
        <v/>
      </c>
      <c r="BB173" t="str">
        <f t="shared" si="39"/>
        <v/>
      </c>
      <c r="BC173" t="str">
        <f>IF(AZ173=1,IF(S173="","",IF(S173=N144,"Yes","No")),"")</f>
        <v/>
      </c>
      <c r="BD173" t="str">
        <f t="shared" si="40"/>
        <v/>
      </c>
      <c r="BE173" t="str">
        <f t="shared" si="41"/>
        <v/>
      </c>
      <c r="BF173" t="str">
        <f t="shared" si="42"/>
        <v>No</v>
      </c>
      <c r="BG173" t="str">
        <f t="shared" si="43"/>
        <v>No</v>
      </c>
      <c r="BH173" t="str">
        <f t="shared" si="44"/>
        <v/>
      </c>
    </row>
    <row r="174" spans="9:60" x14ac:dyDescent="0.3">
      <c r="I174" t="str">
        <f t="shared" si="46"/>
        <v>N/A</v>
      </c>
      <c r="J174" t="str">
        <f t="shared" si="47"/>
        <v>N/A</v>
      </c>
      <c r="K174" t="str">
        <f t="shared" si="48"/>
        <v>N/A</v>
      </c>
      <c r="L174" t="str">
        <f t="shared" si="49"/>
        <v>N/A</v>
      </c>
      <c r="M174" t="str">
        <f t="shared" si="50"/>
        <v>N/A</v>
      </c>
      <c r="N174" t="str">
        <f t="shared" si="51"/>
        <v>N/A</v>
      </c>
      <c r="P174">
        <f t="shared" si="27"/>
        <v>0</v>
      </c>
      <c r="Q174" t="str">
        <f>IFERROR(J144+MATCH(P174,J174:N174,0)-1,"")</f>
        <v/>
      </c>
      <c r="R174" t="str">
        <f t="shared" si="28"/>
        <v/>
      </c>
      <c r="S174" t="str">
        <f>IFERROR(J144+MATCH(R174,J174:N174,0)-1,"")</f>
        <v/>
      </c>
      <c r="T174" t="str">
        <f t="shared" si="29"/>
        <v/>
      </c>
      <c r="U174" t="str">
        <f t="shared" si="30"/>
        <v/>
      </c>
      <c r="V174" t="str">
        <f t="shared" si="31"/>
        <v/>
      </c>
      <c r="W174" t="str">
        <f t="shared" si="32"/>
        <v/>
      </c>
      <c r="X174" t="str">
        <f t="shared" si="33"/>
        <v/>
      </c>
      <c r="Y174" t="str">
        <f t="shared" si="34"/>
        <v/>
      </c>
      <c r="Z174" t="str">
        <f t="shared" si="35"/>
        <v/>
      </c>
      <c r="AA174">
        <f t="shared" si="36"/>
        <v>0</v>
      </c>
      <c r="AB174" t="str">
        <f>IFERROR(V144+MATCH(AA174,V174:Z174,0)-1,"")</f>
        <v/>
      </c>
      <c r="AC174" t="str">
        <f t="shared" si="37"/>
        <v/>
      </c>
      <c r="AE174" t="str">
        <f>IF(ISNUMBER(MATCH("N/A",J174:N174,0)),"",IFERROR((5 * SUMPRODUCT(J144:N144,J174:N174) - PRODUCT(SUM(J144:N144),SUM(J174:N174))) / ((5 * SUM((J144^2)+(K144^2)+(L144^2)+(M144^2)+(N144^2))) - SUM(J144:N144)^2),""))</f>
        <v/>
      </c>
      <c r="AF174" t="str">
        <f>IFERROR(CORREL(J144:N144,J174:N174),"")</f>
        <v/>
      </c>
      <c r="AZ174">
        <f t="shared" si="38"/>
        <v>0</v>
      </c>
      <c r="BA174" t="str">
        <f>IF(AZ174=1,IF(Q174="","",IF(Q174=N144,"Yes","No")),"")</f>
        <v/>
      </c>
      <c r="BB174" t="str">
        <f t="shared" si="39"/>
        <v/>
      </c>
      <c r="BC174" t="str">
        <f>IF(AZ174=1,IF(S174="","",IF(S174=N144,"Yes","No")),"")</f>
        <v/>
      </c>
      <c r="BD174" t="str">
        <f t="shared" si="40"/>
        <v/>
      </c>
      <c r="BE174" t="str">
        <f t="shared" si="41"/>
        <v/>
      </c>
      <c r="BF174" t="str">
        <f t="shared" si="42"/>
        <v>No</v>
      </c>
      <c r="BG174" t="str">
        <f t="shared" si="43"/>
        <v>No</v>
      </c>
      <c r="BH174" t="str">
        <f t="shared" si="44"/>
        <v/>
      </c>
    </row>
    <row r="175" spans="9:60" x14ac:dyDescent="0.3">
      <c r="I175" t="str">
        <f t="shared" si="46"/>
        <v>N/A</v>
      </c>
      <c r="J175" t="str">
        <f t="shared" si="47"/>
        <v>N/A</v>
      </c>
      <c r="K175" t="str">
        <f t="shared" si="48"/>
        <v>N/A</v>
      </c>
      <c r="L175" t="str">
        <f t="shared" si="49"/>
        <v>N/A</v>
      </c>
      <c r="M175" t="str">
        <f t="shared" si="50"/>
        <v>N/A</v>
      </c>
      <c r="N175" t="str">
        <f t="shared" si="51"/>
        <v>N/A</v>
      </c>
      <c r="P175">
        <f t="shared" si="27"/>
        <v>0</v>
      </c>
      <c r="Q175" t="str">
        <f>IFERROR(J144+MATCH(P175,J175:N175,0)-1,"")</f>
        <v/>
      </c>
      <c r="R175" t="str">
        <f t="shared" si="28"/>
        <v/>
      </c>
      <c r="S175" t="str">
        <f>IFERROR(J144+MATCH(R175,J175:N175,0)-1,"")</f>
        <v/>
      </c>
      <c r="T175" t="str">
        <f t="shared" si="29"/>
        <v/>
      </c>
      <c r="U175" t="str">
        <f t="shared" si="30"/>
        <v/>
      </c>
      <c r="V175" t="str">
        <f t="shared" si="31"/>
        <v/>
      </c>
      <c r="W175" t="str">
        <f t="shared" si="32"/>
        <v/>
      </c>
      <c r="X175" t="str">
        <f t="shared" si="33"/>
        <v/>
      </c>
      <c r="Y175" t="str">
        <f t="shared" si="34"/>
        <v/>
      </c>
      <c r="Z175" t="str">
        <f t="shared" si="35"/>
        <v/>
      </c>
      <c r="AA175">
        <f t="shared" si="36"/>
        <v>0</v>
      </c>
      <c r="AB175" t="str">
        <f>IFERROR(V144+MATCH(AA175,V175:Z175,0)-1,"")</f>
        <v/>
      </c>
      <c r="AC175" t="str">
        <f t="shared" si="37"/>
        <v/>
      </c>
      <c r="AE175" t="str">
        <f>IF(ISNUMBER(MATCH("N/A",J175:N175,0)),"",IFERROR((5 * SUMPRODUCT(J144:N144,J175:N175) - PRODUCT(SUM(J144:N144),SUM(J175:N175))) / ((5 * SUM((J144^2)+(K144^2)+(L144^2)+(M144^2)+(N144^2))) - SUM(J144:N144)^2),""))</f>
        <v/>
      </c>
      <c r="AF175" t="str">
        <f>IFERROR(CORREL(J144:N144,J175:N175),"")</f>
        <v/>
      </c>
      <c r="AZ175">
        <f t="shared" si="38"/>
        <v>0</v>
      </c>
      <c r="BA175" t="str">
        <f>IF(AZ175=1,IF(Q175="","",IF(Q175=N144,"Yes","No")),"")</f>
        <v/>
      </c>
      <c r="BB175" t="str">
        <f t="shared" si="39"/>
        <v/>
      </c>
      <c r="BC175" t="str">
        <f>IF(AZ175=1,IF(S175="","",IF(S175=N144,"Yes","No")),"")</f>
        <v/>
      </c>
      <c r="BD175" t="str">
        <f t="shared" si="40"/>
        <v/>
      </c>
      <c r="BE175" t="str">
        <f t="shared" si="41"/>
        <v/>
      </c>
      <c r="BF175" t="str">
        <f t="shared" si="42"/>
        <v>No</v>
      </c>
      <c r="BG175" t="str">
        <f t="shared" si="43"/>
        <v>No</v>
      </c>
      <c r="BH175" t="str">
        <f t="shared" si="44"/>
        <v/>
      </c>
    </row>
    <row r="176" spans="9:60" x14ac:dyDescent="0.3">
      <c r="I176" t="str">
        <f t="shared" si="46"/>
        <v>N/A</v>
      </c>
      <c r="J176" t="str">
        <f t="shared" si="47"/>
        <v>N/A</v>
      </c>
      <c r="K176" t="str">
        <f t="shared" si="48"/>
        <v>N/A</v>
      </c>
      <c r="L176" t="str">
        <f t="shared" si="49"/>
        <v>N/A</v>
      </c>
      <c r="M176" t="str">
        <f t="shared" si="50"/>
        <v>N/A</v>
      </c>
      <c r="N176" t="str">
        <f t="shared" si="51"/>
        <v>N/A</v>
      </c>
      <c r="P176">
        <f t="shared" si="27"/>
        <v>0</v>
      </c>
      <c r="Q176" t="str">
        <f>IFERROR(J144+MATCH(P176,J176:N176,0)-1,"")</f>
        <v/>
      </c>
      <c r="R176" t="str">
        <f t="shared" si="28"/>
        <v/>
      </c>
      <c r="S176" t="str">
        <f>IFERROR(J144+MATCH(R176,J176:N176,0)-1,"")</f>
        <v/>
      </c>
      <c r="T176" t="str">
        <f t="shared" si="29"/>
        <v/>
      </c>
      <c r="U176" t="str">
        <f t="shared" si="30"/>
        <v/>
      </c>
      <c r="V176" t="str">
        <f t="shared" si="31"/>
        <v/>
      </c>
      <c r="W176" t="str">
        <f t="shared" si="32"/>
        <v/>
      </c>
      <c r="X176" t="str">
        <f t="shared" si="33"/>
        <v/>
      </c>
      <c r="Y176" t="str">
        <f t="shared" si="34"/>
        <v/>
      </c>
      <c r="Z176" t="str">
        <f t="shared" si="35"/>
        <v/>
      </c>
      <c r="AA176">
        <f t="shared" si="36"/>
        <v>0</v>
      </c>
      <c r="AB176" t="str">
        <f>IFERROR(V144+MATCH(AA176,V176:Z176,0)-1,"")</f>
        <v/>
      </c>
      <c r="AC176" t="str">
        <f t="shared" si="37"/>
        <v/>
      </c>
      <c r="AE176" t="str">
        <f>IF(ISNUMBER(MATCH("N/A",J176:N176,0)),"",IFERROR((5 * SUMPRODUCT(J144:N144,J176:N176) - PRODUCT(SUM(J144:N144),SUM(J176:N176))) / ((5 * SUM((J144^2)+(K144^2)+(L144^2)+(M144^2)+(N144^2))) - SUM(J144:N144)^2),""))</f>
        <v/>
      </c>
      <c r="AF176" t="str">
        <f>IFERROR(CORREL(J144:N144,J176:N176),"")</f>
        <v/>
      </c>
      <c r="AZ176">
        <f t="shared" si="38"/>
        <v>0</v>
      </c>
      <c r="BA176" t="str">
        <f>IF(AZ176=1,IF(Q176="","",IF(Q176=N144,"Yes","No")),"")</f>
        <v/>
      </c>
      <c r="BB176" t="str">
        <f t="shared" si="39"/>
        <v/>
      </c>
      <c r="BC176" t="str">
        <f>IF(AZ176=1,IF(S176="","",IF(S176=N144,"Yes","No")),"")</f>
        <v/>
      </c>
      <c r="BD176" t="str">
        <f t="shared" si="40"/>
        <v/>
      </c>
      <c r="BE176" t="str">
        <f t="shared" si="41"/>
        <v/>
      </c>
      <c r="BF176" t="str">
        <f t="shared" si="42"/>
        <v>No</v>
      </c>
      <c r="BG176" t="str">
        <f t="shared" si="43"/>
        <v>No</v>
      </c>
      <c r="BH176" t="str">
        <f t="shared" si="44"/>
        <v/>
      </c>
    </row>
    <row r="177" spans="9:60" x14ac:dyDescent="0.3">
      <c r="I177" t="str">
        <f t="shared" si="46"/>
        <v>N/A</v>
      </c>
      <c r="J177" t="str">
        <f t="shared" si="47"/>
        <v>N/A</v>
      </c>
      <c r="K177" t="str">
        <f t="shared" si="48"/>
        <v>N/A</v>
      </c>
      <c r="L177" t="str">
        <f t="shared" si="49"/>
        <v>N/A</v>
      </c>
      <c r="M177" t="str">
        <f t="shared" si="50"/>
        <v>N/A</v>
      </c>
      <c r="N177" t="str">
        <f t="shared" si="51"/>
        <v>N/A</v>
      </c>
      <c r="P177">
        <f t="shared" si="27"/>
        <v>0</v>
      </c>
      <c r="Q177" t="str">
        <f>IFERROR(J144+MATCH(P177,J177:N177,0)-1,"")</f>
        <v/>
      </c>
      <c r="R177" t="str">
        <f t="shared" si="28"/>
        <v/>
      </c>
      <c r="S177" t="str">
        <f>IFERROR(J144+MATCH(R177,J177:N177,0)-1,"")</f>
        <v/>
      </c>
      <c r="T177" t="str">
        <f t="shared" si="29"/>
        <v/>
      </c>
      <c r="U177" t="str">
        <f t="shared" si="30"/>
        <v/>
      </c>
      <c r="V177" t="str">
        <f t="shared" si="31"/>
        <v/>
      </c>
      <c r="W177" t="str">
        <f t="shared" si="32"/>
        <v/>
      </c>
      <c r="X177" t="str">
        <f t="shared" si="33"/>
        <v/>
      </c>
      <c r="Y177" t="str">
        <f t="shared" si="34"/>
        <v/>
      </c>
      <c r="Z177" t="str">
        <f t="shared" si="35"/>
        <v/>
      </c>
      <c r="AA177">
        <f t="shared" si="36"/>
        <v>0</v>
      </c>
      <c r="AB177" t="str">
        <f>IFERROR(V144+MATCH(AA177,V177:Z177,0)-1,"")</f>
        <v/>
      </c>
      <c r="AC177" t="str">
        <f t="shared" si="37"/>
        <v/>
      </c>
      <c r="AE177" t="str">
        <f>IF(ISNUMBER(MATCH("N/A",J177:N177,0)),"",IFERROR((5 * SUMPRODUCT(J144:N144,J177:N177) - PRODUCT(SUM(J144:N144),SUM(J177:N177))) / ((5 * SUM((J144^2)+(K144^2)+(L144^2)+(M144^2)+(N144^2))) - SUM(J144:N144)^2),""))</f>
        <v/>
      </c>
      <c r="AF177" t="str">
        <f>IFERROR(CORREL(J144:N144,J177:N177),"")</f>
        <v/>
      </c>
      <c r="AZ177">
        <f t="shared" si="38"/>
        <v>0</v>
      </c>
      <c r="BA177" t="str">
        <f>IF(AZ177=1,IF(Q177="","",IF(Q177=N144,"Yes","No")),"")</f>
        <v/>
      </c>
      <c r="BB177" t="str">
        <f t="shared" si="39"/>
        <v/>
      </c>
      <c r="BC177" t="str">
        <f>IF(AZ177=1,IF(S177="","",IF(S177=N144,"Yes","No")),"")</f>
        <v/>
      </c>
      <c r="BD177" t="str">
        <f t="shared" si="40"/>
        <v/>
      </c>
      <c r="BE177" t="str">
        <f t="shared" si="41"/>
        <v/>
      </c>
      <c r="BF177" t="str">
        <f t="shared" si="42"/>
        <v>No</v>
      </c>
      <c r="BG177" t="str">
        <f t="shared" si="43"/>
        <v>No</v>
      </c>
      <c r="BH177" t="str">
        <f t="shared" si="44"/>
        <v/>
      </c>
    </row>
    <row r="178" spans="9:60" x14ac:dyDescent="0.3">
      <c r="I178" t="str">
        <f t="shared" si="46"/>
        <v>N/A</v>
      </c>
      <c r="J178" t="str">
        <f t="shared" si="47"/>
        <v>N/A</v>
      </c>
      <c r="K178" t="str">
        <f t="shared" si="48"/>
        <v>N/A</v>
      </c>
      <c r="L178" t="str">
        <f t="shared" si="49"/>
        <v>N/A</v>
      </c>
      <c r="M178" t="str">
        <f t="shared" si="50"/>
        <v>N/A</v>
      </c>
      <c r="N178" t="str">
        <f t="shared" si="51"/>
        <v>N/A</v>
      </c>
      <c r="P178">
        <f t="shared" si="27"/>
        <v>0</v>
      </c>
      <c r="Q178" t="str">
        <f>IFERROR(J144+MATCH(P178,J178:N178,0)-1,"")</f>
        <v/>
      </c>
      <c r="R178" t="str">
        <f t="shared" si="28"/>
        <v/>
      </c>
      <c r="S178" t="str">
        <f>IFERROR(J144+MATCH(R178,J178:N178,0)-1,"")</f>
        <v/>
      </c>
      <c r="T178" t="str">
        <f t="shared" si="29"/>
        <v/>
      </c>
      <c r="U178" t="str">
        <f t="shared" si="30"/>
        <v/>
      </c>
      <c r="V178" t="str">
        <f t="shared" si="31"/>
        <v/>
      </c>
      <c r="W178" t="str">
        <f t="shared" si="32"/>
        <v/>
      </c>
      <c r="X178" t="str">
        <f t="shared" si="33"/>
        <v/>
      </c>
      <c r="Y178" t="str">
        <f t="shared" si="34"/>
        <v/>
      </c>
      <c r="Z178" t="str">
        <f t="shared" si="35"/>
        <v/>
      </c>
      <c r="AA178">
        <f t="shared" si="36"/>
        <v>0</v>
      </c>
      <c r="AB178" t="str">
        <f>IFERROR(V144+MATCH(AA178,V178:Z178,0)-1,"")</f>
        <v/>
      </c>
      <c r="AC178" t="str">
        <f t="shared" si="37"/>
        <v/>
      </c>
      <c r="AE178" t="str">
        <f>IF(ISNUMBER(MATCH("N/A",J178:N178,0)),"",IFERROR((5 * SUMPRODUCT(J144:N144,J178:N178) - PRODUCT(SUM(J144:N144),SUM(J178:N178))) / ((5 * SUM((J144^2)+(K144^2)+(L144^2)+(M144^2)+(N144^2))) - SUM(J144:N144)^2),""))</f>
        <v/>
      </c>
      <c r="AF178" t="str">
        <f>IFERROR(CORREL(J144:N144,J178:N178),"")</f>
        <v/>
      </c>
      <c r="AZ178">
        <f t="shared" si="38"/>
        <v>0</v>
      </c>
      <c r="BA178" t="str">
        <f>IF(AZ178=1,IF(Q178="","",IF(Q178=N144,"Yes","No")),"")</f>
        <v/>
      </c>
      <c r="BB178" t="str">
        <f t="shared" si="39"/>
        <v/>
      </c>
      <c r="BC178" t="str">
        <f>IF(AZ178=1,IF(S178="","",IF(S178=N144,"Yes","No")),"")</f>
        <v/>
      </c>
      <c r="BD178" t="str">
        <f t="shared" si="40"/>
        <v/>
      </c>
      <c r="BE178" t="str">
        <f t="shared" si="41"/>
        <v/>
      </c>
      <c r="BF178" t="str">
        <f t="shared" si="42"/>
        <v>No</v>
      </c>
      <c r="BG178" t="str">
        <f t="shared" si="43"/>
        <v>No</v>
      </c>
      <c r="BH178" t="str">
        <f t="shared" si="44"/>
        <v/>
      </c>
    </row>
    <row r="179" spans="9:60" x14ac:dyDescent="0.3">
      <c r="I179" t="str">
        <f t="shared" si="46"/>
        <v>N/A</v>
      </c>
      <c r="J179" t="str">
        <f t="shared" si="47"/>
        <v>N/A</v>
      </c>
      <c r="K179" t="str">
        <f t="shared" si="48"/>
        <v>N/A</v>
      </c>
      <c r="L179" t="str">
        <f t="shared" si="49"/>
        <v>N/A</v>
      </c>
      <c r="M179" t="str">
        <f t="shared" si="50"/>
        <v>N/A</v>
      </c>
      <c r="N179" t="str">
        <f t="shared" si="51"/>
        <v>N/A</v>
      </c>
      <c r="P179">
        <f t="shared" si="27"/>
        <v>0</v>
      </c>
      <c r="Q179" t="str">
        <f>IFERROR(J144+MATCH(P179,J179:N179,0)-1,"")</f>
        <v/>
      </c>
      <c r="R179" t="str">
        <f t="shared" si="28"/>
        <v/>
      </c>
      <c r="S179" t="str">
        <f>IFERROR(J144+MATCH(R179,J179:N179,0)-1,"")</f>
        <v/>
      </c>
      <c r="T179" t="str">
        <f t="shared" si="29"/>
        <v/>
      </c>
      <c r="U179" t="str">
        <f t="shared" si="30"/>
        <v/>
      </c>
      <c r="V179" t="str">
        <f t="shared" si="31"/>
        <v/>
      </c>
      <c r="W179" t="str">
        <f t="shared" si="32"/>
        <v/>
      </c>
      <c r="X179" t="str">
        <f t="shared" si="33"/>
        <v/>
      </c>
      <c r="Y179" t="str">
        <f t="shared" si="34"/>
        <v/>
      </c>
      <c r="Z179" t="str">
        <f t="shared" si="35"/>
        <v/>
      </c>
      <c r="AA179">
        <f t="shared" si="36"/>
        <v>0</v>
      </c>
      <c r="AB179" t="str">
        <f>IFERROR(V144+MATCH(AA179,V179:Z179,0)-1,"")</f>
        <v/>
      </c>
      <c r="AC179" t="str">
        <f t="shared" si="37"/>
        <v/>
      </c>
      <c r="AE179" t="str">
        <f>IF(ISNUMBER(MATCH("N/A",J179:N179,0)),"",IFERROR((5 * SUMPRODUCT(J144:N144,J179:N179) - PRODUCT(SUM(J144:N144),SUM(J179:N179))) / ((5 * SUM((J144^2)+(K144^2)+(L144^2)+(M144^2)+(N144^2))) - SUM(J144:N144)^2),""))</f>
        <v/>
      </c>
      <c r="AF179" t="str">
        <f>IFERROR(CORREL(J144:N144,J179:N179),"")</f>
        <v/>
      </c>
      <c r="AZ179">
        <f t="shared" si="38"/>
        <v>0</v>
      </c>
      <c r="BA179" t="str">
        <f>IF(AZ179=1,IF(Q179="","",IF(Q179=N144,"Yes","No")),"")</f>
        <v/>
      </c>
      <c r="BB179" t="str">
        <f t="shared" si="39"/>
        <v/>
      </c>
      <c r="BC179" t="str">
        <f>IF(AZ179=1,IF(S179="","",IF(S179=N144,"Yes","No")),"")</f>
        <v/>
      </c>
      <c r="BD179" t="str">
        <f t="shared" si="40"/>
        <v/>
      </c>
      <c r="BE179" t="str">
        <f t="shared" si="41"/>
        <v/>
      </c>
      <c r="BF179" t="str">
        <f t="shared" si="42"/>
        <v>No</v>
      </c>
      <c r="BG179" t="str">
        <f t="shared" si="43"/>
        <v>No</v>
      </c>
      <c r="BH179" t="str">
        <f t="shared" si="44"/>
        <v/>
      </c>
    </row>
    <row r="180" spans="9:60" x14ac:dyDescent="0.3">
      <c r="I180" t="str">
        <f t="shared" si="46"/>
        <v>N/A</v>
      </c>
      <c r="J180" t="str">
        <f t="shared" si="47"/>
        <v>N/A</v>
      </c>
      <c r="K180" t="str">
        <f t="shared" si="48"/>
        <v>N/A</v>
      </c>
      <c r="L180" t="str">
        <f t="shared" si="49"/>
        <v>N/A</v>
      </c>
      <c r="M180" t="str">
        <f t="shared" si="50"/>
        <v>N/A</v>
      </c>
      <c r="N180" t="str">
        <f t="shared" si="51"/>
        <v>N/A</v>
      </c>
      <c r="P180">
        <f t="shared" si="27"/>
        <v>0</v>
      </c>
      <c r="Q180" t="str">
        <f>IFERROR(J144+MATCH(P180,J180:N180,0)-1,"")</f>
        <v/>
      </c>
      <c r="R180" t="str">
        <f t="shared" si="28"/>
        <v/>
      </c>
      <c r="S180" t="str">
        <f>IFERROR(J144+MATCH(R180,J180:N180,0)-1,"")</f>
        <v/>
      </c>
      <c r="T180" t="str">
        <f t="shared" si="29"/>
        <v/>
      </c>
      <c r="U180" t="str">
        <f t="shared" si="30"/>
        <v/>
      </c>
      <c r="V180" t="str">
        <f t="shared" si="31"/>
        <v/>
      </c>
      <c r="W180" t="str">
        <f t="shared" si="32"/>
        <v/>
      </c>
      <c r="X180" t="str">
        <f t="shared" si="33"/>
        <v/>
      </c>
      <c r="Y180" t="str">
        <f t="shared" si="34"/>
        <v/>
      </c>
      <c r="Z180" t="str">
        <f t="shared" si="35"/>
        <v/>
      </c>
      <c r="AA180">
        <f t="shared" si="36"/>
        <v>0</v>
      </c>
      <c r="AB180" t="str">
        <f>IFERROR(V144+MATCH(AA180,V180:Z180,0)-1,"")</f>
        <v/>
      </c>
      <c r="AC180" t="str">
        <f t="shared" si="37"/>
        <v/>
      </c>
      <c r="AE180" t="str">
        <f>IF(ISNUMBER(MATCH("N/A",J180:N180,0)),"",IFERROR((5 * SUMPRODUCT(J144:N144,J180:N180) - PRODUCT(SUM(J144:N144),SUM(J180:N180))) / ((5 * SUM((J144^2)+(K144^2)+(L144^2)+(M144^2)+(N144^2))) - SUM(J144:N144)^2),""))</f>
        <v/>
      </c>
      <c r="AF180" t="str">
        <f>IFERROR(CORREL(J144:N144,J180:N180),"")</f>
        <v/>
      </c>
      <c r="AZ180">
        <f t="shared" si="38"/>
        <v>0</v>
      </c>
      <c r="BA180" t="str">
        <f>IF(AZ180=1,IF(Q180="","",IF(Q180=N144,"Yes","No")),"")</f>
        <v/>
      </c>
      <c r="BB180" t="str">
        <f t="shared" si="39"/>
        <v/>
      </c>
      <c r="BC180" t="str">
        <f>IF(AZ180=1,IF(S180="","",IF(S180=N144,"Yes","No")),"")</f>
        <v/>
      </c>
      <c r="BD180" t="str">
        <f t="shared" si="40"/>
        <v/>
      </c>
      <c r="BE180" t="str">
        <f t="shared" si="41"/>
        <v/>
      </c>
      <c r="BF180" t="str">
        <f t="shared" si="42"/>
        <v>No</v>
      </c>
      <c r="BG180" t="str">
        <f t="shared" si="43"/>
        <v>No</v>
      </c>
      <c r="BH180" t="str">
        <f t="shared" si="44"/>
        <v/>
      </c>
    </row>
    <row r="181" spans="9:60" x14ac:dyDescent="0.3">
      <c r="I181" t="str">
        <f t="shared" si="46"/>
        <v>N/A</v>
      </c>
      <c r="J181" t="str">
        <f t="shared" si="47"/>
        <v>N/A</v>
      </c>
      <c r="K181" t="str">
        <f t="shared" si="48"/>
        <v>N/A</v>
      </c>
      <c r="L181" t="str">
        <f t="shared" si="49"/>
        <v>N/A</v>
      </c>
      <c r="M181" t="str">
        <f t="shared" si="50"/>
        <v>N/A</v>
      </c>
      <c r="N181" t="str">
        <f t="shared" si="51"/>
        <v>N/A</v>
      </c>
      <c r="P181">
        <f t="shared" si="27"/>
        <v>0</v>
      </c>
      <c r="Q181" t="str">
        <f>IFERROR(J144+MATCH(P181,J181:N181,0)-1,"")</f>
        <v/>
      </c>
      <c r="R181" t="str">
        <f t="shared" si="28"/>
        <v/>
      </c>
      <c r="S181" t="str">
        <f>IFERROR(J144+MATCH(R181,J181:N181,0)-1,"")</f>
        <v/>
      </c>
      <c r="T181" t="str">
        <f t="shared" si="29"/>
        <v/>
      </c>
      <c r="U181" t="str">
        <f t="shared" si="30"/>
        <v/>
      </c>
      <c r="V181" t="str">
        <f t="shared" si="31"/>
        <v/>
      </c>
      <c r="W181" t="str">
        <f t="shared" si="32"/>
        <v/>
      </c>
      <c r="X181" t="str">
        <f t="shared" si="33"/>
        <v/>
      </c>
      <c r="Y181" t="str">
        <f t="shared" si="34"/>
        <v/>
      </c>
      <c r="Z181" t="str">
        <f t="shared" si="35"/>
        <v/>
      </c>
      <c r="AA181">
        <f t="shared" si="36"/>
        <v>0</v>
      </c>
      <c r="AB181" t="str">
        <f>IFERROR(V144+MATCH(AA181,V181:Z181,0)-1,"")</f>
        <v/>
      </c>
      <c r="AC181" t="str">
        <f t="shared" si="37"/>
        <v/>
      </c>
      <c r="AE181" t="str">
        <f>IF(ISNUMBER(MATCH("N/A",J181:N181,0)),"",IFERROR((5 * SUMPRODUCT(J144:N144,J181:N181) - PRODUCT(SUM(J144:N144),SUM(J181:N181))) / ((5 * SUM((J144^2)+(K144^2)+(L144^2)+(M144^2)+(N144^2))) - SUM(J144:N144)^2),""))</f>
        <v/>
      </c>
      <c r="AF181" t="str">
        <f>IFERROR(CORREL(J144:N144,J181:N181),"")</f>
        <v/>
      </c>
      <c r="AZ181">
        <f t="shared" si="38"/>
        <v>0</v>
      </c>
      <c r="BA181" t="str">
        <f>IF(AZ181=1,IF(Q181="","",IF(Q181=N144,"Yes","No")),"")</f>
        <v/>
      </c>
      <c r="BB181" t="str">
        <f t="shared" si="39"/>
        <v/>
      </c>
      <c r="BC181" t="str">
        <f>IF(AZ181=1,IF(S181="","",IF(S181=N144,"Yes","No")),"")</f>
        <v/>
      </c>
      <c r="BD181" t="str">
        <f t="shared" si="40"/>
        <v/>
      </c>
      <c r="BE181" t="str">
        <f t="shared" si="41"/>
        <v/>
      </c>
      <c r="BF181" t="str">
        <f t="shared" si="42"/>
        <v>No</v>
      </c>
      <c r="BG181" t="str">
        <f t="shared" si="43"/>
        <v>No</v>
      </c>
      <c r="BH181" t="str">
        <f t="shared" si="44"/>
        <v/>
      </c>
    </row>
    <row r="182" spans="9:60" x14ac:dyDescent="0.3">
      <c r="I182" t="str">
        <f t="shared" si="46"/>
        <v>N/A</v>
      </c>
      <c r="J182" t="str">
        <f t="shared" si="47"/>
        <v>N/A</v>
      </c>
      <c r="K182" t="str">
        <f t="shared" si="48"/>
        <v>N/A</v>
      </c>
      <c r="L182" t="str">
        <f t="shared" si="49"/>
        <v>N/A</v>
      </c>
      <c r="M182" t="str">
        <f t="shared" si="50"/>
        <v>N/A</v>
      </c>
      <c r="N182" t="str">
        <f t="shared" si="51"/>
        <v>N/A</v>
      </c>
      <c r="P182">
        <f t="shared" si="27"/>
        <v>0</v>
      </c>
      <c r="Q182" t="str">
        <f>IFERROR(J144+MATCH(P182,J182:N182,0)-1,"")</f>
        <v/>
      </c>
      <c r="R182" t="str">
        <f t="shared" si="28"/>
        <v/>
      </c>
      <c r="S182" t="str">
        <f>IFERROR(J144+MATCH(R182,J182:N182,0)-1,"")</f>
        <v/>
      </c>
      <c r="T182" t="str">
        <f t="shared" si="29"/>
        <v/>
      </c>
      <c r="U182" t="str">
        <f t="shared" si="30"/>
        <v/>
      </c>
      <c r="V182" t="str">
        <f t="shared" si="31"/>
        <v/>
      </c>
      <c r="W182" t="str">
        <f t="shared" si="32"/>
        <v/>
      </c>
      <c r="X182" t="str">
        <f t="shared" si="33"/>
        <v/>
      </c>
      <c r="Y182" t="str">
        <f t="shared" si="34"/>
        <v/>
      </c>
      <c r="Z182" t="str">
        <f t="shared" si="35"/>
        <v/>
      </c>
      <c r="AA182">
        <f t="shared" si="36"/>
        <v>0</v>
      </c>
      <c r="AB182" t="str">
        <f>IFERROR(V144+MATCH(AA182,V182:Z182,0)-1,"")</f>
        <v/>
      </c>
      <c r="AC182" t="str">
        <f t="shared" si="37"/>
        <v/>
      </c>
      <c r="AE182" t="str">
        <f>IF(ISNUMBER(MATCH("N/A",J182:N182,0)),"",IFERROR((5 * SUMPRODUCT(J144:N144,J182:N182) - PRODUCT(SUM(J144:N144),SUM(J182:N182))) / ((5 * SUM((J144^2)+(K144^2)+(L144^2)+(M144^2)+(N144^2))) - SUM(J144:N144)^2),""))</f>
        <v/>
      </c>
      <c r="AF182" t="str">
        <f>IFERROR(CORREL(J144:N144,J182:N182),"")</f>
        <v/>
      </c>
      <c r="AZ182">
        <f t="shared" si="38"/>
        <v>0</v>
      </c>
      <c r="BA182" t="str">
        <f>IF(AZ182=1,IF(Q182="","",IF(Q182=N144,"Yes","No")),"")</f>
        <v/>
      </c>
      <c r="BB182" t="str">
        <f t="shared" si="39"/>
        <v/>
      </c>
      <c r="BC182" t="str">
        <f>IF(AZ182=1,IF(S182="","",IF(S182=N144,"Yes","No")),"")</f>
        <v/>
      </c>
      <c r="BD182" t="str">
        <f t="shared" si="40"/>
        <v/>
      </c>
      <c r="BE182" t="str">
        <f t="shared" si="41"/>
        <v/>
      </c>
      <c r="BF182" t="str">
        <f t="shared" si="42"/>
        <v>No</v>
      </c>
      <c r="BG182" t="str">
        <f t="shared" si="43"/>
        <v>No</v>
      </c>
      <c r="BH182" t="str">
        <f t="shared" si="44"/>
        <v/>
      </c>
    </row>
    <row r="183" spans="9:60" x14ac:dyDescent="0.3">
      <c r="I183" t="str">
        <f t="shared" si="46"/>
        <v>N/A</v>
      </c>
      <c r="J183" t="str">
        <f t="shared" si="47"/>
        <v>N/A</v>
      </c>
      <c r="K183" t="str">
        <f t="shared" si="48"/>
        <v>N/A</v>
      </c>
      <c r="L183" t="str">
        <f t="shared" si="49"/>
        <v>N/A</v>
      </c>
      <c r="M183" t="str">
        <f t="shared" si="50"/>
        <v>N/A</v>
      </c>
      <c r="N183" t="str">
        <f t="shared" si="51"/>
        <v>N/A</v>
      </c>
      <c r="P183">
        <f t="shared" si="27"/>
        <v>0</v>
      </c>
      <c r="Q183" t="str">
        <f>IFERROR(J144+MATCH(P183,J183:N183,0)-1,"")</f>
        <v/>
      </c>
      <c r="R183" t="str">
        <f t="shared" si="28"/>
        <v/>
      </c>
      <c r="S183" t="str">
        <f>IFERROR(J144+MATCH(R183,J183:N183,0)-1,"")</f>
        <v/>
      </c>
      <c r="T183" t="str">
        <f t="shared" si="29"/>
        <v/>
      </c>
      <c r="U183" t="str">
        <f t="shared" si="30"/>
        <v/>
      </c>
      <c r="V183" t="str">
        <f t="shared" si="31"/>
        <v/>
      </c>
      <c r="W183" t="str">
        <f t="shared" si="32"/>
        <v/>
      </c>
      <c r="X183" t="str">
        <f t="shared" si="33"/>
        <v/>
      </c>
      <c r="Y183" t="str">
        <f t="shared" si="34"/>
        <v/>
      </c>
      <c r="Z183" t="str">
        <f t="shared" si="35"/>
        <v/>
      </c>
      <c r="AA183">
        <f t="shared" si="36"/>
        <v>0</v>
      </c>
      <c r="AB183" t="str">
        <f>IFERROR(V144+MATCH(AA183,V183:Z183,0)-1,"")</f>
        <v/>
      </c>
      <c r="AC183" t="str">
        <f t="shared" si="37"/>
        <v/>
      </c>
      <c r="AE183" t="str">
        <f>IF(ISNUMBER(MATCH("N/A",J183:N183,0)),"",IFERROR((5 * SUMPRODUCT(J144:N144,J183:N183) - PRODUCT(SUM(J144:N144),SUM(J183:N183))) / ((5 * SUM((J144^2)+(K144^2)+(L144^2)+(M144^2)+(N144^2))) - SUM(J144:N144)^2),""))</f>
        <v/>
      </c>
      <c r="AF183" t="str">
        <f>IFERROR(CORREL(J144:N144,J183:N183),"")</f>
        <v/>
      </c>
      <c r="AZ183">
        <f t="shared" si="38"/>
        <v>0</v>
      </c>
      <c r="BA183" t="str">
        <f>IF(AZ183=1,IF(Q183="","",IF(Q183=N144,"Yes","No")),"")</f>
        <v/>
      </c>
      <c r="BB183" t="str">
        <f t="shared" si="39"/>
        <v/>
      </c>
      <c r="BC183" t="str">
        <f>IF(AZ183=1,IF(S183="","",IF(S183=N144,"Yes","No")),"")</f>
        <v/>
      </c>
      <c r="BD183" t="str">
        <f t="shared" si="40"/>
        <v/>
      </c>
      <c r="BE183" t="str">
        <f t="shared" si="41"/>
        <v/>
      </c>
      <c r="BF183" t="str">
        <f t="shared" si="42"/>
        <v>No</v>
      </c>
      <c r="BG183" t="str">
        <f t="shared" si="43"/>
        <v>No</v>
      </c>
      <c r="BH183" t="str">
        <f t="shared" si="44"/>
        <v/>
      </c>
    </row>
    <row r="184" spans="9:60" x14ac:dyDescent="0.3">
      <c r="I184" t="str">
        <f t="shared" si="46"/>
        <v>N/A</v>
      </c>
      <c r="J184" t="str">
        <f t="shared" si="47"/>
        <v>N/A</v>
      </c>
      <c r="K184" t="str">
        <f t="shared" si="48"/>
        <v>N/A</v>
      </c>
      <c r="L184" t="str">
        <f t="shared" si="49"/>
        <v>N/A</v>
      </c>
      <c r="M184" t="str">
        <f t="shared" si="50"/>
        <v>N/A</v>
      </c>
      <c r="N184" t="str">
        <f t="shared" si="51"/>
        <v>N/A</v>
      </c>
      <c r="P184">
        <f t="shared" si="27"/>
        <v>0</v>
      </c>
      <c r="Q184" t="str">
        <f>IFERROR(J144+MATCH(P184,J184:N184,0)-1,"")</f>
        <v/>
      </c>
      <c r="R184" t="str">
        <f t="shared" si="28"/>
        <v/>
      </c>
      <c r="S184" t="str">
        <f>IFERROR(J144+MATCH(R184,J184:N184,0)-1,"")</f>
        <v/>
      </c>
      <c r="T184" t="str">
        <f t="shared" si="29"/>
        <v/>
      </c>
      <c r="U184" t="str">
        <f t="shared" si="30"/>
        <v/>
      </c>
      <c r="V184" t="str">
        <f t="shared" si="31"/>
        <v/>
      </c>
      <c r="W184" t="str">
        <f t="shared" si="32"/>
        <v/>
      </c>
      <c r="X184" t="str">
        <f t="shared" si="33"/>
        <v/>
      </c>
      <c r="Y184" t="str">
        <f t="shared" si="34"/>
        <v/>
      </c>
      <c r="Z184" t="str">
        <f t="shared" si="35"/>
        <v/>
      </c>
      <c r="AA184">
        <f t="shared" si="36"/>
        <v>0</v>
      </c>
      <c r="AB184" t="str">
        <f>IFERROR(V144+MATCH(AA184,V184:Z184,0)-1,"")</f>
        <v/>
      </c>
      <c r="AC184" t="str">
        <f t="shared" si="37"/>
        <v/>
      </c>
      <c r="AE184" t="str">
        <f>IF(ISNUMBER(MATCH("N/A",J184:N184,0)),"",IFERROR((5 * SUMPRODUCT(J144:N144,J184:N184) - PRODUCT(SUM(J144:N144),SUM(J184:N184))) / ((5 * SUM((J144^2)+(K144^2)+(L144^2)+(M144^2)+(N144^2))) - SUM(J144:N144)^2),""))</f>
        <v/>
      </c>
      <c r="AF184" t="str">
        <f>IFERROR(CORREL(J144:N144,J184:N184),"")</f>
        <v/>
      </c>
      <c r="AZ184">
        <f t="shared" si="38"/>
        <v>0</v>
      </c>
      <c r="BA184" t="str">
        <f>IF(AZ184=1,IF(Q184="","",IF(Q184=N144,"Yes","No")),"")</f>
        <v/>
      </c>
      <c r="BB184" t="str">
        <f t="shared" si="39"/>
        <v/>
      </c>
      <c r="BC184" t="str">
        <f>IF(AZ184=1,IF(S184="","",IF(S184=N144,"Yes","No")),"")</f>
        <v/>
      </c>
      <c r="BD184" t="str">
        <f t="shared" si="40"/>
        <v/>
      </c>
      <c r="BE184" t="str">
        <f t="shared" si="41"/>
        <v/>
      </c>
      <c r="BF184" t="str">
        <f t="shared" si="42"/>
        <v>No</v>
      </c>
      <c r="BG184" t="str">
        <f t="shared" si="43"/>
        <v>No</v>
      </c>
      <c r="BH184" t="str">
        <f t="shared" si="44"/>
        <v/>
      </c>
    </row>
    <row r="185" spans="9:60" x14ac:dyDescent="0.3">
      <c r="I185" t="str">
        <f t="shared" si="46"/>
        <v>N/A</v>
      </c>
      <c r="J185" t="str">
        <f t="shared" si="47"/>
        <v>N/A</v>
      </c>
      <c r="K185" t="str">
        <f t="shared" si="48"/>
        <v>N/A</v>
      </c>
      <c r="L185" t="str">
        <f t="shared" si="49"/>
        <v>N/A</v>
      </c>
      <c r="M185" t="str">
        <f t="shared" si="50"/>
        <v>N/A</v>
      </c>
      <c r="N185" t="str">
        <f t="shared" si="51"/>
        <v>N/A</v>
      </c>
      <c r="P185">
        <f t="shared" si="27"/>
        <v>0</v>
      </c>
      <c r="Q185" t="str">
        <f>IFERROR(J144+MATCH(P185,J185:N185,0)-1,"")</f>
        <v/>
      </c>
      <c r="R185" t="str">
        <f t="shared" si="28"/>
        <v/>
      </c>
      <c r="S185" t="str">
        <f>IFERROR(J144+MATCH(R185,J185:N185,0)-1,"")</f>
        <v/>
      </c>
      <c r="T185" t="str">
        <f t="shared" si="29"/>
        <v/>
      </c>
      <c r="U185" t="str">
        <f t="shared" si="30"/>
        <v/>
      </c>
      <c r="V185" t="str">
        <f t="shared" si="31"/>
        <v/>
      </c>
      <c r="W185" t="str">
        <f t="shared" si="32"/>
        <v/>
      </c>
      <c r="X185" t="str">
        <f t="shared" si="33"/>
        <v/>
      </c>
      <c r="Y185" t="str">
        <f t="shared" si="34"/>
        <v/>
      </c>
      <c r="Z185" t="str">
        <f t="shared" si="35"/>
        <v/>
      </c>
      <c r="AA185">
        <f t="shared" si="36"/>
        <v>0</v>
      </c>
      <c r="AB185" t="str">
        <f>IFERROR(V144+MATCH(AA185,V185:Z185,0)-1,"")</f>
        <v/>
      </c>
      <c r="AC185" t="str">
        <f t="shared" si="37"/>
        <v/>
      </c>
      <c r="AE185" t="str">
        <f>IF(ISNUMBER(MATCH("N/A",J185:N185,0)),"",IFERROR((5 * SUMPRODUCT(J144:N144,J185:N185) - PRODUCT(SUM(J144:N144),SUM(J185:N185))) / ((5 * SUM((J144^2)+(K144^2)+(L144^2)+(M144^2)+(N144^2))) - SUM(J144:N144)^2),""))</f>
        <v/>
      </c>
      <c r="AF185" t="str">
        <f>IFERROR(CORREL(J144:N144,J185:N185),"")</f>
        <v/>
      </c>
      <c r="AZ185">
        <f t="shared" si="38"/>
        <v>0</v>
      </c>
      <c r="BA185" t="str">
        <f>IF(AZ185=1,IF(Q185="","",IF(Q185=N144,"Yes","No")),"")</f>
        <v/>
      </c>
      <c r="BB185" t="str">
        <f t="shared" si="39"/>
        <v/>
      </c>
      <c r="BC185" t="str">
        <f>IF(AZ185=1,IF(S185="","",IF(S185=N144,"Yes","No")),"")</f>
        <v/>
      </c>
      <c r="BD185" t="str">
        <f t="shared" si="40"/>
        <v/>
      </c>
      <c r="BE185" t="str">
        <f t="shared" si="41"/>
        <v/>
      </c>
      <c r="BF185" t="str">
        <f t="shared" si="42"/>
        <v>No</v>
      </c>
      <c r="BG185" t="str">
        <f t="shared" si="43"/>
        <v>No</v>
      </c>
      <c r="BH185" t="str">
        <f t="shared" si="44"/>
        <v/>
      </c>
    </row>
    <row r="186" spans="9:60" x14ac:dyDescent="0.3">
      <c r="I186" t="str">
        <f t="shared" si="46"/>
        <v>N/A</v>
      </c>
      <c r="J186" t="str">
        <f t="shared" si="47"/>
        <v>N/A</v>
      </c>
      <c r="K186" t="str">
        <f t="shared" si="48"/>
        <v>N/A</v>
      </c>
      <c r="L186" t="str">
        <f t="shared" si="49"/>
        <v>N/A</v>
      </c>
      <c r="M186" t="str">
        <f t="shared" si="50"/>
        <v>N/A</v>
      </c>
      <c r="N186" t="str">
        <f t="shared" si="51"/>
        <v>N/A</v>
      </c>
      <c r="P186">
        <f t="shared" si="27"/>
        <v>0</v>
      </c>
      <c r="Q186" t="str">
        <f>IFERROR(J144+MATCH(P186,J186:N186,0)-1,"")</f>
        <v/>
      </c>
      <c r="R186" t="str">
        <f t="shared" si="28"/>
        <v/>
      </c>
      <c r="S186" t="str">
        <f>IFERROR(J144+MATCH(R186,J186:N186,0)-1,"")</f>
        <v/>
      </c>
      <c r="T186" t="str">
        <f t="shared" si="29"/>
        <v/>
      </c>
      <c r="U186" t="str">
        <f t="shared" si="30"/>
        <v/>
      </c>
      <c r="V186" t="str">
        <f t="shared" si="31"/>
        <v/>
      </c>
      <c r="W186" t="str">
        <f t="shared" si="32"/>
        <v/>
      </c>
      <c r="X186" t="str">
        <f t="shared" si="33"/>
        <v/>
      </c>
      <c r="Y186" t="str">
        <f t="shared" si="34"/>
        <v/>
      </c>
      <c r="Z186" t="str">
        <f t="shared" si="35"/>
        <v/>
      </c>
      <c r="AA186">
        <f t="shared" si="36"/>
        <v>0</v>
      </c>
      <c r="AB186" t="str">
        <f>IFERROR(V144+MATCH(AA186,V186:Z186,0)-1,"")</f>
        <v/>
      </c>
      <c r="AC186" t="str">
        <f t="shared" si="37"/>
        <v/>
      </c>
      <c r="AE186" t="str">
        <f>IF(ISNUMBER(MATCH("N/A",J186:N186,0)),"",IFERROR((5 * SUMPRODUCT(J144:N144,J186:N186) - PRODUCT(SUM(J144:N144),SUM(J186:N186))) / ((5 * SUM((J144^2)+(K144^2)+(L144^2)+(M144^2)+(N144^2))) - SUM(J144:N144)^2),""))</f>
        <v/>
      </c>
      <c r="AF186" t="str">
        <f>IFERROR(CORREL(J144:N144,J186:N186),"")</f>
        <v/>
      </c>
      <c r="AZ186">
        <f t="shared" si="38"/>
        <v>0</v>
      </c>
      <c r="BA186" t="str">
        <f>IF(AZ186=1,IF(Q186="","",IF(Q186=N144,"Yes","No")),"")</f>
        <v/>
      </c>
      <c r="BB186" t="str">
        <f t="shared" si="39"/>
        <v/>
      </c>
      <c r="BC186" t="str">
        <f>IF(AZ186=1,IF(S186="","",IF(S186=N144,"Yes","No")),"")</f>
        <v/>
      </c>
      <c r="BD186" t="str">
        <f t="shared" si="40"/>
        <v/>
      </c>
      <c r="BE186" t="str">
        <f t="shared" si="41"/>
        <v/>
      </c>
      <c r="BF186" t="str">
        <f t="shared" si="42"/>
        <v>No</v>
      </c>
      <c r="BG186" t="str">
        <f t="shared" si="43"/>
        <v>No</v>
      </c>
      <c r="BH186" t="str">
        <f t="shared" si="44"/>
        <v/>
      </c>
    </row>
    <row r="187" spans="9:60" x14ac:dyDescent="0.3">
      <c r="I187" t="str">
        <f t="shared" si="46"/>
        <v>N/A</v>
      </c>
      <c r="J187" t="str">
        <f t="shared" si="47"/>
        <v>N/A</v>
      </c>
      <c r="K187" t="str">
        <f t="shared" si="48"/>
        <v>N/A</v>
      </c>
      <c r="L187" t="str">
        <f t="shared" si="49"/>
        <v>N/A</v>
      </c>
      <c r="M187" t="str">
        <f t="shared" si="50"/>
        <v>N/A</v>
      </c>
      <c r="N187" t="str">
        <f t="shared" si="51"/>
        <v>N/A</v>
      </c>
      <c r="P187">
        <f t="shared" si="27"/>
        <v>0</v>
      </c>
      <c r="Q187" t="str">
        <f>IFERROR(J144+MATCH(P187,J187:N187,0)-1,"")</f>
        <v/>
      </c>
      <c r="R187" t="str">
        <f t="shared" si="28"/>
        <v/>
      </c>
      <c r="S187" t="str">
        <f>IFERROR(J144+MATCH(R187,J187:N187,0)-1,"")</f>
        <v/>
      </c>
      <c r="T187" t="str">
        <f t="shared" si="29"/>
        <v/>
      </c>
      <c r="U187" t="str">
        <f t="shared" si="30"/>
        <v/>
      </c>
      <c r="V187" t="str">
        <f t="shared" si="31"/>
        <v/>
      </c>
      <c r="W187" t="str">
        <f t="shared" si="32"/>
        <v/>
      </c>
      <c r="X187" t="str">
        <f t="shared" si="33"/>
        <v/>
      </c>
      <c r="Y187" t="str">
        <f t="shared" si="34"/>
        <v/>
      </c>
      <c r="Z187" t="str">
        <f t="shared" si="35"/>
        <v/>
      </c>
      <c r="AA187">
        <f t="shared" si="36"/>
        <v>0</v>
      </c>
      <c r="AB187" t="str">
        <f>IFERROR(V144+MATCH(AA187,V187:Z187,0)-1,"")</f>
        <v/>
      </c>
      <c r="AC187" t="str">
        <f t="shared" si="37"/>
        <v/>
      </c>
      <c r="AE187" t="str">
        <f>IF(ISNUMBER(MATCH("N/A",J187:N187,0)),"",IFERROR((5 * SUMPRODUCT(J144:N144,J187:N187) - PRODUCT(SUM(J144:N144),SUM(J187:N187))) / ((5 * SUM((J144^2)+(K144^2)+(L144^2)+(M144^2)+(N144^2))) - SUM(J144:N144)^2),""))</f>
        <v/>
      </c>
      <c r="AF187" t="str">
        <f>IFERROR(CORREL(J144:N144,J187:N187),"")</f>
        <v/>
      </c>
      <c r="AZ187">
        <f t="shared" si="38"/>
        <v>0</v>
      </c>
      <c r="BA187" t="str">
        <f>IF(AZ187=1,IF(Q187="","",IF(Q187=N144,"Yes","No")),"")</f>
        <v/>
      </c>
      <c r="BB187" t="str">
        <f t="shared" si="39"/>
        <v/>
      </c>
      <c r="BC187" t="str">
        <f>IF(AZ187=1,IF(S187="","",IF(S187=N144,"Yes","No")),"")</f>
        <v/>
      </c>
      <c r="BD187" t="str">
        <f t="shared" si="40"/>
        <v/>
      </c>
      <c r="BE187" t="str">
        <f t="shared" si="41"/>
        <v/>
      </c>
      <c r="BF187" t="str">
        <f t="shared" si="42"/>
        <v>No</v>
      </c>
      <c r="BG187" t="str">
        <f t="shared" si="43"/>
        <v>No</v>
      </c>
      <c r="BH187" t="str">
        <f t="shared" si="44"/>
        <v/>
      </c>
    </row>
    <row r="188" spans="9:60" x14ac:dyDescent="0.3">
      <c r="I188" t="str">
        <f t="shared" si="46"/>
        <v>N/A</v>
      </c>
      <c r="J188" t="str">
        <f t="shared" si="47"/>
        <v>N/A</v>
      </c>
      <c r="K188" t="str">
        <f t="shared" si="48"/>
        <v>N/A</v>
      </c>
      <c r="L188" t="str">
        <f t="shared" si="49"/>
        <v>N/A</v>
      </c>
      <c r="M188" t="str">
        <f t="shared" si="50"/>
        <v>N/A</v>
      </c>
      <c r="N188" t="str">
        <f t="shared" si="51"/>
        <v>N/A</v>
      </c>
      <c r="P188">
        <f t="shared" si="27"/>
        <v>0</v>
      </c>
      <c r="Q188" t="str">
        <f>IFERROR(J144+MATCH(P188,J188:N188,0)-1,"")</f>
        <v/>
      </c>
      <c r="R188" t="str">
        <f t="shared" si="28"/>
        <v/>
      </c>
      <c r="S188" t="str">
        <f>IFERROR(J144+MATCH(R188,J188:N188,0)-1,"")</f>
        <v/>
      </c>
      <c r="T188" t="str">
        <f t="shared" si="29"/>
        <v/>
      </c>
      <c r="U188" t="str">
        <f t="shared" si="30"/>
        <v/>
      </c>
      <c r="V188" t="str">
        <f t="shared" si="31"/>
        <v/>
      </c>
      <c r="W188" t="str">
        <f t="shared" si="32"/>
        <v/>
      </c>
      <c r="X188" t="str">
        <f t="shared" si="33"/>
        <v/>
      </c>
      <c r="Y188" t="str">
        <f t="shared" si="34"/>
        <v/>
      </c>
      <c r="Z188" t="str">
        <f t="shared" si="35"/>
        <v/>
      </c>
      <c r="AA188">
        <f t="shared" si="36"/>
        <v>0</v>
      </c>
      <c r="AB188" t="str">
        <f>IFERROR(V144+MATCH(AA188,V188:Z188,0)-1,"")</f>
        <v/>
      </c>
      <c r="AC188" t="str">
        <f t="shared" si="37"/>
        <v/>
      </c>
      <c r="AE188" t="str">
        <f>IF(ISNUMBER(MATCH("N/A",J188:N188,0)),"",IFERROR((5 * SUMPRODUCT(J144:N144,J188:N188) - PRODUCT(SUM(J144:N144),SUM(J188:N188))) / ((5 * SUM((J144^2)+(K144^2)+(L144^2)+(M144^2)+(N144^2))) - SUM(J144:N144)^2),""))</f>
        <v/>
      </c>
      <c r="AF188" t="str">
        <f>IFERROR(CORREL(J144:N144,J188:N188),"")</f>
        <v/>
      </c>
      <c r="AZ188">
        <f t="shared" si="38"/>
        <v>0</v>
      </c>
      <c r="BA188" t="str">
        <f>IF(AZ188=1,IF(Q188="","",IF(Q188=N144,"Yes","No")),"")</f>
        <v/>
      </c>
      <c r="BB188" t="str">
        <f t="shared" si="39"/>
        <v/>
      </c>
      <c r="BC188" t="str">
        <f>IF(AZ188=1,IF(S188="","",IF(S188=N144,"Yes","No")),"")</f>
        <v/>
      </c>
      <c r="BD188" t="str">
        <f t="shared" si="40"/>
        <v/>
      </c>
      <c r="BE188" t="str">
        <f t="shared" si="41"/>
        <v/>
      </c>
      <c r="BF188" t="str">
        <f t="shared" si="42"/>
        <v>No</v>
      </c>
      <c r="BG188" t="str">
        <f t="shared" si="43"/>
        <v>No</v>
      </c>
      <c r="BH188" t="str">
        <f t="shared" si="44"/>
        <v/>
      </c>
    </row>
    <row r="189" spans="9:60" x14ac:dyDescent="0.3">
      <c r="I189" t="str">
        <f t="shared" si="46"/>
        <v>N/A</v>
      </c>
      <c r="J189" t="str">
        <f t="shared" si="47"/>
        <v>N/A</v>
      </c>
      <c r="K189" t="str">
        <f t="shared" si="48"/>
        <v>N/A</v>
      </c>
      <c r="L189" t="str">
        <f t="shared" si="49"/>
        <v>N/A</v>
      </c>
      <c r="M189" t="str">
        <f t="shared" si="50"/>
        <v>N/A</v>
      </c>
      <c r="N189" t="str">
        <f t="shared" si="51"/>
        <v>N/A</v>
      </c>
      <c r="P189">
        <f t="shared" si="27"/>
        <v>0</v>
      </c>
      <c r="Q189" t="str">
        <f>IFERROR(J144+MATCH(P189,J189:N189,0)-1,"")</f>
        <v/>
      </c>
      <c r="R189" t="str">
        <f t="shared" si="28"/>
        <v/>
      </c>
      <c r="S189" t="str">
        <f>IFERROR(J144+MATCH(R189,J189:N189,0)-1,"")</f>
        <v/>
      </c>
      <c r="T189" t="str">
        <f t="shared" si="29"/>
        <v/>
      </c>
      <c r="U189" t="str">
        <f t="shared" si="30"/>
        <v/>
      </c>
      <c r="V189" t="str">
        <f t="shared" si="31"/>
        <v/>
      </c>
      <c r="W189" t="str">
        <f t="shared" si="32"/>
        <v/>
      </c>
      <c r="X189" t="str">
        <f t="shared" si="33"/>
        <v/>
      </c>
      <c r="Y189" t="str">
        <f t="shared" si="34"/>
        <v/>
      </c>
      <c r="Z189" t="str">
        <f t="shared" si="35"/>
        <v/>
      </c>
      <c r="AA189">
        <f t="shared" si="36"/>
        <v>0</v>
      </c>
      <c r="AB189" t="str">
        <f>IFERROR(V144+MATCH(AA189,V189:Z189,0)-1,"")</f>
        <v/>
      </c>
      <c r="AC189" t="str">
        <f t="shared" si="37"/>
        <v/>
      </c>
      <c r="AE189" t="str">
        <f>IF(ISNUMBER(MATCH("N/A",J189:N189,0)),"",IFERROR((5 * SUMPRODUCT(J144:N144,J189:N189) - PRODUCT(SUM(J144:N144),SUM(J189:N189))) / ((5 * SUM((J144^2)+(K144^2)+(L144^2)+(M144^2)+(N144^2))) - SUM(J144:N144)^2),""))</f>
        <v/>
      </c>
      <c r="AF189" t="str">
        <f>IFERROR(CORREL(J144:N144,J189:N189),"")</f>
        <v/>
      </c>
      <c r="AZ189">
        <f t="shared" si="38"/>
        <v>0</v>
      </c>
      <c r="BA189" t="str">
        <f>IF(AZ189=1,IF(Q189="","",IF(Q189=N144,"Yes","No")),"")</f>
        <v/>
      </c>
      <c r="BB189" t="str">
        <f t="shared" si="39"/>
        <v/>
      </c>
      <c r="BC189" t="str">
        <f>IF(AZ189=1,IF(S189="","",IF(S189=N144,"Yes","No")),"")</f>
        <v/>
      </c>
      <c r="BD189" t="str">
        <f t="shared" si="40"/>
        <v/>
      </c>
      <c r="BE189" t="str">
        <f t="shared" si="41"/>
        <v/>
      </c>
      <c r="BF189" t="str">
        <f t="shared" si="42"/>
        <v>No</v>
      </c>
      <c r="BG189" t="str">
        <f t="shared" si="43"/>
        <v>No</v>
      </c>
      <c r="BH189" t="str">
        <f t="shared" si="44"/>
        <v/>
      </c>
    </row>
    <row r="190" spans="9:60" x14ac:dyDescent="0.3">
      <c r="I190" t="str">
        <f t="shared" si="46"/>
        <v>N/A</v>
      </c>
      <c r="J190" t="str">
        <f t="shared" si="47"/>
        <v>N/A</v>
      </c>
      <c r="K190" t="str">
        <f t="shared" si="48"/>
        <v>N/A</v>
      </c>
      <c r="L190" t="str">
        <f t="shared" si="49"/>
        <v>N/A</v>
      </c>
      <c r="M190" t="str">
        <f t="shared" si="50"/>
        <v>N/A</v>
      </c>
      <c r="N190" t="str">
        <f t="shared" si="51"/>
        <v>N/A</v>
      </c>
      <c r="P190">
        <f t="shared" si="27"/>
        <v>0</v>
      </c>
      <c r="Q190" t="str">
        <f>IFERROR(J144+MATCH(P190,J190:N190,0)-1,"")</f>
        <v/>
      </c>
      <c r="R190" t="str">
        <f t="shared" si="28"/>
        <v/>
      </c>
      <c r="S190" t="str">
        <f>IFERROR(J144+MATCH(R190,J190:N190,0)-1,"")</f>
        <v/>
      </c>
      <c r="T190" t="str">
        <f t="shared" si="29"/>
        <v/>
      </c>
      <c r="U190" t="str">
        <f t="shared" si="30"/>
        <v/>
      </c>
      <c r="V190" t="str">
        <f t="shared" si="31"/>
        <v/>
      </c>
      <c r="W190" t="str">
        <f t="shared" si="32"/>
        <v/>
      </c>
      <c r="X190" t="str">
        <f t="shared" si="33"/>
        <v/>
      </c>
      <c r="Y190" t="str">
        <f t="shared" si="34"/>
        <v/>
      </c>
      <c r="Z190" t="str">
        <f t="shared" si="35"/>
        <v/>
      </c>
      <c r="AA190">
        <f t="shared" si="36"/>
        <v>0</v>
      </c>
      <c r="AB190" t="str">
        <f>IFERROR(V144+MATCH(AA190,V190:Z190,0)-1,"")</f>
        <v/>
      </c>
      <c r="AC190" t="str">
        <f t="shared" si="37"/>
        <v/>
      </c>
      <c r="AE190" t="str">
        <f>IF(ISNUMBER(MATCH("N/A",J190:N190,0)),"",IFERROR((5 * SUMPRODUCT(J144:N144,J190:N190) - PRODUCT(SUM(J144:N144),SUM(J190:N190))) / ((5 * SUM((J144^2)+(K144^2)+(L144^2)+(M144^2)+(N144^2))) - SUM(J144:N144)^2),""))</f>
        <v/>
      </c>
      <c r="AF190" t="str">
        <f>IFERROR(CORREL(J144:N144,J190:N190),"")</f>
        <v/>
      </c>
      <c r="AZ190">
        <f t="shared" si="38"/>
        <v>0</v>
      </c>
      <c r="BA190" t="str">
        <f>IF(AZ190=1,IF(Q190="","",IF(Q190=N144,"Yes","No")),"")</f>
        <v/>
      </c>
      <c r="BB190" t="str">
        <f t="shared" si="39"/>
        <v/>
      </c>
      <c r="BC190" t="str">
        <f>IF(AZ190=1,IF(S190="","",IF(S190=N144,"Yes","No")),"")</f>
        <v/>
      </c>
      <c r="BD190" t="str">
        <f t="shared" si="40"/>
        <v/>
      </c>
      <c r="BE190" t="str">
        <f t="shared" si="41"/>
        <v/>
      </c>
      <c r="BF190" t="str">
        <f t="shared" si="42"/>
        <v>No</v>
      </c>
      <c r="BG190" t="str">
        <f t="shared" si="43"/>
        <v>No</v>
      </c>
      <c r="BH190" t="str">
        <f t="shared" si="44"/>
        <v/>
      </c>
    </row>
    <row r="191" spans="9:60" x14ac:dyDescent="0.3">
      <c r="I191" t="str">
        <f t="shared" si="46"/>
        <v>N/A</v>
      </c>
      <c r="J191" t="str">
        <f t="shared" si="47"/>
        <v>N/A</v>
      </c>
      <c r="K191" t="str">
        <f t="shared" si="48"/>
        <v>N/A</v>
      </c>
      <c r="L191" t="str">
        <f t="shared" si="49"/>
        <v>N/A</v>
      </c>
      <c r="M191" t="str">
        <f t="shared" si="50"/>
        <v>N/A</v>
      </c>
      <c r="N191" t="str">
        <f t="shared" si="51"/>
        <v>N/A</v>
      </c>
      <c r="P191">
        <f t="shared" si="27"/>
        <v>0</v>
      </c>
      <c r="Q191" t="str">
        <f>IFERROR(J144+MATCH(P191,J191:N191,0)-1,"")</f>
        <v/>
      </c>
      <c r="R191" t="str">
        <f t="shared" si="28"/>
        <v/>
      </c>
      <c r="S191" t="str">
        <f>IFERROR(J144+MATCH(R191,J191:N191,0)-1,"")</f>
        <v/>
      </c>
      <c r="T191" t="str">
        <f t="shared" si="29"/>
        <v/>
      </c>
      <c r="U191" t="str">
        <f t="shared" si="30"/>
        <v/>
      </c>
      <c r="V191" t="str">
        <f t="shared" si="31"/>
        <v/>
      </c>
      <c r="W191" t="str">
        <f t="shared" si="32"/>
        <v/>
      </c>
      <c r="X191" t="str">
        <f t="shared" si="33"/>
        <v/>
      </c>
      <c r="Y191" t="str">
        <f t="shared" si="34"/>
        <v/>
      </c>
      <c r="Z191" t="str">
        <f t="shared" si="35"/>
        <v/>
      </c>
      <c r="AA191">
        <f t="shared" si="36"/>
        <v>0</v>
      </c>
      <c r="AB191" t="str">
        <f>IFERROR(V144+MATCH(AA191,V191:Z191,0)-1,"")</f>
        <v/>
      </c>
      <c r="AC191" t="str">
        <f t="shared" si="37"/>
        <v/>
      </c>
      <c r="AE191" t="str">
        <f>IF(ISNUMBER(MATCH("N/A",J191:N191,0)),"",IFERROR((5 * SUMPRODUCT(J144:N144,J191:N191) - PRODUCT(SUM(J144:N144),SUM(J191:N191))) / ((5 * SUM((J144^2)+(K144^2)+(L144^2)+(M144^2)+(N144^2))) - SUM(J144:N144)^2),""))</f>
        <v/>
      </c>
      <c r="AF191" t="str">
        <f>IFERROR(CORREL(J144:N144,J191:N191),"")</f>
        <v/>
      </c>
      <c r="AZ191">
        <f t="shared" si="38"/>
        <v>0</v>
      </c>
      <c r="BA191" t="str">
        <f>IF(AZ191=1,IF(Q191="","",IF(Q191=N144,"Yes","No")),"")</f>
        <v/>
      </c>
      <c r="BB191" t="str">
        <f t="shared" si="39"/>
        <v/>
      </c>
      <c r="BC191" t="str">
        <f>IF(AZ191=1,IF(S191="","",IF(S191=N144,"Yes","No")),"")</f>
        <v/>
      </c>
      <c r="BD191" t="str">
        <f t="shared" si="40"/>
        <v/>
      </c>
      <c r="BE191" t="str">
        <f t="shared" si="41"/>
        <v/>
      </c>
      <c r="BF191" t="str">
        <f t="shared" si="42"/>
        <v>No</v>
      </c>
      <c r="BG191" t="str">
        <f t="shared" si="43"/>
        <v>No</v>
      </c>
      <c r="BH191" t="str">
        <f t="shared" si="44"/>
        <v/>
      </c>
    </row>
    <row r="192" spans="9:60" x14ac:dyDescent="0.3">
      <c r="I192" t="str">
        <f t="shared" si="46"/>
        <v>N/A</v>
      </c>
      <c r="J192" t="str">
        <f t="shared" si="47"/>
        <v>N/A</v>
      </c>
      <c r="K192" t="str">
        <f t="shared" si="48"/>
        <v>N/A</v>
      </c>
      <c r="L192" t="str">
        <f t="shared" si="49"/>
        <v>N/A</v>
      </c>
      <c r="M192" t="str">
        <f t="shared" si="50"/>
        <v>N/A</v>
      </c>
      <c r="N192" t="str">
        <f t="shared" si="51"/>
        <v>N/A</v>
      </c>
      <c r="P192">
        <f t="shared" si="27"/>
        <v>0</v>
      </c>
      <c r="Q192" t="str">
        <f>IFERROR(J144+MATCH(P192,J192:N192,0)-1,"")</f>
        <v/>
      </c>
      <c r="R192" t="str">
        <f t="shared" si="28"/>
        <v/>
      </c>
      <c r="S192" t="str">
        <f>IFERROR(J144+MATCH(R192,J192:N192,0)-1,"")</f>
        <v/>
      </c>
      <c r="T192" t="str">
        <f t="shared" si="29"/>
        <v/>
      </c>
      <c r="U192" t="str">
        <f t="shared" si="30"/>
        <v/>
      </c>
      <c r="V192" t="str">
        <f t="shared" si="31"/>
        <v/>
      </c>
      <c r="W192" t="str">
        <f t="shared" si="32"/>
        <v/>
      </c>
      <c r="X192" t="str">
        <f t="shared" si="33"/>
        <v/>
      </c>
      <c r="Y192" t="str">
        <f t="shared" si="34"/>
        <v/>
      </c>
      <c r="Z192" t="str">
        <f t="shared" si="35"/>
        <v/>
      </c>
      <c r="AA192">
        <f t="shared" si="36"/>
        <v>0</v>
      </c>
      <c r="AB192" t="str">
        <f>IFERROR(V144+MATCH(AA192,V192:Z192,0)-1,"")</f>
        <v/>
      </c>
      <c r="AC192" t="str">
        <f t="shared" si="37"/>
        <v/>
      </c>
      <c r="AE192" t="str">
        <f>IF(ISNUMBER(MATCH("N/A",J192:N192,0)),"",IFERROR((5 * SUMPRODUCT(J144:N144,J192:N192) - PRODUCT(SUM(J144:N144),SUM(J192:N192))) / ((5 * SUM((J144^2)+(K144^2)+(L144^2)+(M144^2)+(N144^2))) - SUM(J144:N144)^2),""))</f>
        <v/>
      </c>
      <c r="AF192" t="str">
        <f>IFERROR(CORREL(J144:N144,J192:N192),"")</f>
        <v/>
      </c>
      <c r="AZ192">
        <f t="shared" si="38"/>
        <v>0</v>
      </c>
      <c r="BA192" t="str">
        <f>IF(AZ192=1,IF(Q192="","",IF(Q192=N144,"Yes","No")),"")</f>
        <v/>
      </c>
      <c r="BB192" t="str">
        <f t="shared" si="39"/>
        <v/>
      </c>
      <c r="BC192" t="str">
        <f>IF(AZ192=1,IF(S192="","",IF(S192=N144,"Yes","No")),"")</f>
        <v/>
      </c>
      <c r="BD192" t="str">
        <f t="shared" si="40"/>
        <v/>
      </c>
      <c r="BE192" t="str">
        <f t="shared" si="41"/>
        <v/>
      </c>
      <c r="BF192" t="str">
        <f t="shared" si="42"/>
        <v>No</v>
      </c>
      <c r="BG192" t="str">
        <f t="shared" si="43"/>
        <v>No</v>
      </c>
      <c r="BH192" t="str">
        <f t="shared" si="44"/>
        <v/>
      </c>
    </row>
    <row r="193" spans="9:60" x14ac:dyDescent="0.3">
      <c r="I193" t="str">
        <f t="shared" si="46"/>
        <v>N/A</v>
      </c>
      <c r="J193" t="str">
        <f t="shared" si="47"/>
        <v>N/A</v>
      </c>
      <c r="K193" t="str">
        <f t="shared" si="48"/>
        <v>N/A</v>
      </c>
      <c r="L193" t="str">
        <f t="shared" si="49"/>
        <v>N/A</v>
      </c>
      <c r="M193" t="str">
        <f t="shared" si="50"/>
        <v>N/A</v>
      </c>
      <c r="N193" t="str">
        <f t="shared" si="51"/>
        <v>N/A</v>
      </c>
      <c r="P193">
        <f t="shared" si="27"/>
        <v>0</v>
      </c>
      <c r="Q193" t="str">
        <f>IFERROR(J144+MATCH(P193,J193:N193,0)-1,"")</f>
        <v/>
      </c>
      <c r="R193" t="str">
        <f t="shared" si="28"/>
        <v/>
      </c>
      <c r="S193" t="str">
        <f>IFERROR(J144+MATCH(R193,J193:N193,0)-1,"")</f>
        <v/>
      </c>
      <c r="T193" t="str">
        <f t="shared" si="29"/>
        <v/>
      </c>
      <c r="U193" t="str">
        <f t="shared" si="30"/>
        <v/>
      </c>
      <c r="V193" t="str">
        <f t="shared" si="31"/>
        <v/>
      </c>
      <c r="W193" t="str">
        <f t="shared" si="32"/>
        <v/>
      </c>
      <c r="X193" t="str">
        <f t="shared" si="33"/>
        <v/>
      </c>
      <c r="Y193" t="str">
        <f t="shared" si="34"/>
        <v/>
      </c>
      <c r="Z193" t="str">
        <f t="shared" si="35"/>
        <v/>
      </c>
      <c r="AA193">
        <f t="shared" si="36"/>
        <v>0</v>
      </c>
      <c r="AB193" t="str">
        <f>IFERROR(V144+MATCH(AA193,V193:Z193,0)-1,"")</f>
        <v/>
      </c>
      <c r="AC193" t="str">
        <f t="shared" si="37"/>
        <v/>
      </c>
      <c r="AE193" t="str">
        <f>IF(ISNUMBER(MATCH("N/A",J193:N193,0)),"",IFERROR((5 * SUMPRODUCT(J144:N144,J193:N193) - PRODUCT(SUM(J144:N144),SUM(J193:N193))) / ((5 * SUM((J144^2)+(K144^2)+(L144^2)+(M144^2)+(N144^2))) - SUM(J144:N144)^2),""))</f>
        <v/>
      </c>
      <c r="AF193" t="str">
        <f>IFERROR(CORREL(J144:N144,J193:N193),"")</f>
        <v/>
      </c>
      <c r="AZ193">
        <f t="shared" si="38"/>
        <v>0</v>
      </c>
      <c r="BA193" t="str">
        <f>IF(AZ193=1,IF(Q193="","",IF(Q193=N144,"Yes","No")),"")</f>
        <v/>
      </c>
      <c r="BB193" t="str">
        <f t="shared" si="39"/>
        <v/>
      </c>
      <c r="BC193" t="str">
        <f>IF(AZ193=1,IF(S193="","",IF(S193=N144,"Yes","No")),"")</f>
        <v/>
      </c>
      <c r="BD193" t="str">
        <f t="shared" si="40"/>
        <v/>
      </c>
      <c r="BE193" t="str">
        <f t="shared" si="41"/>
        <v/>
      </c>
      <c r="BF193" t="str">
        <f t="shared" si="42"/>
        <v>No</v>
      </c>
      <c r="BG193" t="str">
        <f t="shared" si="43"/>
        <v>No</v>
      </c>
      <c r="BH193" t="str">
        <f t="shared" si="44"/>
        <v/>
      </c>
    </row>
    <row r="194" spans="9:60" x14ac:dyDescent="0.3">
      <c r="I194" t="str">
        <f t="shared" si="46"/>
        <v>N/A</v>
      </c>
      <c r="J194" t="str">
        <f t="shared" si="47"/>
        <v>N/A</v>
      </c>
      <c r="K194" t="str">
        <f t="shared" si="48"/>
        <v>N/A</v>
      </c>
      <c r="L194" t="str">
        <f t="shared" si="49"/>
        <v>N/A</v>
      </c>
      <c r="M194" t="str">
        <f t="shared" si="50"/>
        <v>N/A</v>
      </c>
      <c r="N194" t="str">
        <f t="shared" si="51"/>
        <v>N/A</v>
      </c>
      <c r="P194">
        <f t="shared" si="27"/>
        <v>0</v>
      </c>
      <c r="Q194" t="str">
        <f>IFERROR(J144+MATCH(P194,J194:N194,0)-1,"")</f>
        <v/>
      </c>
      <c r="R194" t="str">
        <f t="shared" si="28"/>
        <v/>
      </c>
      <c r="S194" t="str">
        <f>IFERROR(J144+MATCH(R194,J194:N194,0)-1,"")</f>
        <v/>
      </c>
      <c r="T194" t="str">
        <f t="shared" si="29"/>
        <v/>
      </c>
      <c r="U194" t="str">
        <f t="shared" si="30"/>
        <v/>
      </c>
      <c r="V194" t="str">
        <f t="shared" si="31"/>
        <v/>
      </c>
      <c r="W194" t="str">
        <f t="shared" si="32"/>
        <v/>
      </c>
      <c r="X194" t="str">
        <f t="shared" si="33"/>
        <v/>
      </c>
      <c r="Y194" t="str">
        <f t="shared" si="34"/>
        <v/>
      </c>
      <c r="Z194" t="str">
        <f t="shared" si="35"/>
        <v/>
      </c>
      <c r="AA194">
        <f t="shared" si="36"/>
        <v>0</v>
      </c>
      <c r="AB194" t="str">
        <f>IFERROR(V144+MATCH(AA194,V194:Z194,0)-1,"")</f>
        <v/>
      </c>
      <c r="AC194" t="str">
        <f t="shared" si="37"/>
        <v/>
      </c>
      <c r="AE194" t="str">
        <f>IF(ISNUMBER(MATCH("N/A",J194:N194,0)),"",IFERROR((5 * SUMPRODUCT(J144:N144,J194:N194) - PRODUCT(SUM(J144:N144),SUM(J194:N194))) / ((5 * SUM((J144^2)+(K144^2)+(L144^2)+(M144^2)+(N144^2))) - SUM(J144:N144)^2),""))</f>
        <v/>
      </c>
      <c r="AF194" t="str">
        <f>IFERROR(CORREL(J144:N144,J194:N194),"")</f>
        <v/>
      </c>
      <c r="AZ194">
        <f t="shared" si="38"/>
        <v>0</v>
      </c>
      <c r="BA194" t="str">
        <f>IF(AZ194=1,IF(Q194="","",IF(Q194=N144,"Yes","No")),"")</f>
        <v/>
      </c>
      <c r="BB194" t="str">
        <f t="shared" si="39"/>
        <v/>
      </c>
      <c r="BC194" t="str">
        <f>IF(AZ194=1,IF(S194="","",IF(S194=N144,"Yes","No")),"")</f>
        <v/>
      </c>
      <c r="BD194" t="str">
        <f t="shared" si="40"/>
        <v/>
      </c>
      <c r="BE194" t="str">
        <f t="shared" si="41"/>
        <v/>
      </c>
      <c r="BF194" t="str">
        <f t="shared" si="42"/>
        <v>No</v>
      </c>
      <c r="BG194" t="str">
        <f t="shared" si="43"/>
        <v>No</v>
      </c>
      <c r="BH194" t="str">
        <f t="shared" si="44"/>
        <v/>
      </c>
    </row>
    <row r="195" spans="9:60" x14ac:dyDescent="0.3">
      <c r="I195" t="str">
        <f t="shared" si="46"/>
        <v>N/A</v>
      </c>
      <c r="J195" t="str">
        <f t="shared" si="47"/>
        <v>N/A</v>
      </c>
      <c r="K195" t="str">
        <f t="shared" si="48"/>
        <v>N/A</v>
      </c>
      <c r="L195" t="str">
        <f t="shared" si="49"/>
        <v>N/A</v>
      </c>
      <c r="M195" t="str">
        <f t="shared" si="50"/>
        <v>N/A</v>
      </c>
      <c r="N195" t="str">
        <f t="shared" si="51"/>
        <v>N/A</v>
      </c>
      <c r="P195">
        <f t="shared" si="27"/>
        <v>0</v>
      </c>
      <c r="Q195" t="str">
        <f>IFERROR(J144+MATCH(P195,J195:N195,0)-1,"")</f>
        <v/>
      </c>
      <c r="R195" t="str">
        <f t="shared" si="28"/>
        <v/>
      </c>
      <c r="S195" t="str">
        <f>IFERROR(J144+MATCH(R195,J195:N195,0)-1,"")</f>
        <v/>
      </c>
      <c r="T195" t="str">
        <f t="shared" si="29"/>
        <v/>
      </c>
      <c r="U195" t="str">
        <f t="shared" si="30"/>
        <v/>
      </c>
      <c r="V195" t="str">
        <f t="shared" si="31"/>
        <v/>
      </c>
      <c r="W195" t="str">
        <f t="shared" si="32"/>
        <v/>
      </c>
      <c r="X195" t="str">
        <f t="shared" si="33"/>
        <v/>
      </c>
      <c r="Y195" t="str">
        <f t="shared" si="34"/>
        <v/>
      </c>
      <c r="Z195" t="str">
        <f t="shared" si="35"/>
        <v/>
      </c>
      <c r="AA195">
        <f t="shared" si="36"/>
        <v>0</v>
      </c>
      <c r="AB195" t="str">
        <f>IFERROR(V144+MATCH(AA195,V195:Z195,0)-1,"")</f>
        <v/>
      </c>
      <c r="AC195" t="str">
        <f t="shared" si="37"/>
        <v/>
      </c>
      <c r="AE195" t="str">
        <f>IF(ISNUMBER(MATCH("N/A",J195:N195,0)),"",IFERROR((5 * SUMPRODUCT(J144:N144,J195:N195) - PRODUCT(SUM(J144:N144),SUM(J195:N195))) / ((5 * SUM((J144^2)+(K144^2)+(L144^2)+(M144^2)+(N144^2))) - SUM(J144:N144)^2),""))</f>
        <v/>
      </c>
      <c r="AF195" t="str">
        <f>IFERROR(CORREL(J144:N144,J195:N195),"")</f>
        <v/>
      </c>
      <c r="AZ195">
        <f t="shared" si="38"/>
        <v>0</v>
      </c>
      <c r="BA195" t="str">
        <f>IF(AZ195=1,IF(Q195="","",IF(Q195=N144,"Yes","No")),"")</f>
        <v/>
      </c>
      <c r="BB195" t="str">
        <f t="shared" si="39"/>
        <v/>
      </c>
      <c r="BC195" t="str">
        <f>IF(AZ195=1,IF(S195="","",IF(S195=N144,"Yes","No")),"")</f>
        <v/>
      </c>
      <c r="BD195" t="str">
        <f t="shared" si="40"/>
        <v/>
      </c>
      <c r="BE195" t="str">
        <f t="shared" si="41"/>
        <v/>
      </c>
      <c r="BF195" t="str">
        <f t="shared" si="42"/>
        <v>No</v>
      </c>
      <c r="BG195" t="str">
        <f t="shared" si="43"/>
        <v>No</v>
      </c>
      <c r="BH195" t="str">
        <f t="shared" si="44"/>
        <v/>
      </c>
    </row>
    <row r="196" spans="9:60" x14ac:dyDescent="0.3">
      <c r="I196" t="str">
        <f t="shared" si="46"/>
        <v>N/A</v>
      </c>
      <c r="J196" t="str">
        <f t="shared" si="47"/>
        <v>N/A</v>
      </c>
      <c r="K196" t="str">
        <f t="shared" si="48"/>
        <v>N/A</v>
      </c>
      <c r="L196" t="str">
        <f t="shared" si="49"/>
        <v>N/A</v>
      </c>
      <c r="M196" t="str">
        <f t="shared" si="50"/>
        <v>N/A</v>
      </c>
      <c r="N196" t="str">
        <f t="shared" si="51"/>
        <v>N/A</v>
      </c>
      <c r="P196">
        <f t="shared" si="27"/>
        <v>0</v>
      </c>
      <c r="Q196" t="str">
        <f>IFERROR(J144+MATCH(P196,J196:N196,0)-1,"")</f>
        <v/>
      </c>
      <c r="R196" t="str">
        <f t="shared" si="28"/>
        <v/>
      </c>
      <c r="S196" t="str">
        <f>IFERROR(J144+MATCH(R196,J196:N196,0)-1,"")</f>
        <v/>
      </c>
      <c r="T196" t="str">
        <f t="shared" si="29"/>
        <v/>
      </c>
      <c r="U196" t="str">
        <f t="shared" si="30"/>
        <v/>
      </c>
      <c r="V196" t="str">
        <f t="shared" si="31"/>
        <v/>
      </c>
      <c r="W196" t="str">
        <f t="shared" si="32"/>
        <v/>
      </c>
      <c r="X196" t="str">
        <f t="shared" si="33"/>
        <v/>
      </c>
      <c r="Y196" t="str">
        <f t="shared" si="34"/>
        <v/>
      </c>
      <c r="Z196" t="str">
        <f t="shared" si="35"/>
        <v/>
      </c>
      <c r="AA196">
        <f t="shared" si="36"/>
        <v>0</v>
      </c>
      <c r="AB196" t="str">
        <f>IFERROR(V144+MATCH(AA196,V196:Z196,0)-1,"")</f>
        <v/>
      </c>
      <c r="AC196" t="str">
        <f t="shared" si="37"/>
        <v/>
      </c>
      <c r="AE196" t="str">
        <f>IF(ISNUMBER(MATCH("N/A",J196:N196,0)),"",IFERROR((5 * SUMPRODUCT(J144:N144,J196:N196) - PRODUCT(SUM(J144:N144),SUM(J196:N196))) / ((5 * SUM((J144^2)+(K144^2)+(L144^2)+(M144^2)+(N144^2))) - SUM(J144:N144)^2),""))</f>
        <v/>
      </c>
      <c r="AF196" t="str">
        <f>IFERROR(CORREL(J144:N144,J196:N196),"")</f>
        <v/>
      </c>
      <c r="AZ196">
        <f t="shared" si="38"/>
        <v>0</v>
      </c>
      <c r="BA196" t="str">
        <f>IF(AZ196=1,IF(Q196="","",IF(Q196=N144,"Yes","No")),"")</f>
        <v/>
      </c>
      <c r="BB196" t="str">
        <f t="shared" si="39"/>
        <v/>
      </c>
      <c r="BC196" t="str">
        <f>IF(AZ196=1,IF(S196="","",IF(S196=N144,"Yes","No")),"")</f>
        <v/>
      </c>
      <c r="BD196" t="str">
        <f t="shared" si="40"/>
        <v/>
      </c>
      <c r="BE196" t="str">
        <f t="shared" si="41"/>
        <v/>
      </c>
      <c r="BF196" t="str">
        <f t="shared" si="42"/>
        <v>No</v>
      </c>
      <c r="BG196" t="str">
        <f t="shared" si="43"/>
        <v>No</v>
      </c>
      <c r="BH196" t="str">
        <f t="shared" si="44"/>
        <v/>
      </c>
    </row>
    <row r="197" spans="9:60" x14ac:dyDescent="0.3">
      <c r="I197" t="str">
        <f t="shared" si="46"/>
        <v>N/A</v>
      </c>
      <c r="J197" t="str">
        <f t="shared" si="47"/>
        <v>N/A</v>
      </c>
      <c r="K197" t="str">
        <f t="shared" si="48"/>
        <v>N/A</v>
      </c>
      <c r="L197" t="str">
        <f t="shared" si="49"/>
        <v>N/A</v>
      </c>
      <c r="M197" t="str">
        <f t="shared" si="50"/>
        <v>N/A</v>
      </c>
      <c r="N197" t="str">
        <f t="shared" si="51"/>
        <v>N/A</v>
      </c>
      <c r="P197">
        <f t="shared" si="27"/>
        <v>0</v>
      </c>
      <c r="Q197" t="str">
        <f>IFERROR(J144+MATCH(P197,J197:N197,0)-1,"")</f>
        <v/>
      </c>
      <c r="R197" t="str">
        <f t="shared" si="28"/>
        <v/>
      </c>
      <c r="S197" t="str">
        <f>IFERROR(J144+MATCH(R197,J197:N197,0)-1,"")</f>
        <v/>
      </c>
      <c r="T197" t="str">
        <f t="shared" si="29"/>
        <v/>
      </c>
      <c r="U197" t="str">
        <f t="shared" si="30"/>
        <v/>
      </c>
      <c r="V197" t="str">
        <f t="shared" si="31"/>
        <v/>
      </c>
      <c r="W197" t="str">
        <f t="shared" si="32"/>
        <v/>
      </c>
      <c r="X197" t="str">
        <f t="shared" si="33"/>
        <v/>
      </c>
      <c r="Y197" t="str">
        <f t="shared" si="34"/>
        <v/>
      </c>
      <c r="Z197" t="str">
        <f t="shared" si="35"/>
        <v/>
      </c>
      <c r="AA197">
        <f t="shared" si="36"/>
        <v>0</v>
      </c>
      <c r="AB197" t="str">
        <f>IFERROR(V144+MATCH(AA197,V197:Z197,0)-1,"")</f>
        <v/>
      </c>
      <c r="AC197" t="str">
        <f t="shared" si="37"/>
        <v/>
      </c>
      <c r="AE197" t="str">
        <f>IF(ISNUMBER(MATCH("N/A",J197:N197,0)),"",IFERROR((5 * SUMPRODUCT(J144:N144,J197:N197) - PRODUCT(SUM(J144:N144),SUM(J197:N197))) / ((5 * SUM((J144^2)+(K144^2)+(L144^2)+(M144^2)+(N144^2))) - SUM(J144:N144)^2),""))</f>
        <v/>
      </c>
      <c r="AF197" t="str">
        <f>IFERROR(CORREL(J144:N144,J197:N197),"")</f>
        <v/>
      </c>
      <c r="AZ197">
        <f t="shared" si="38"/>
        <v>0</v>
      </c>
      <c r="BA197" t="str">
        <f>IF(AZ197=1,IF(Q197="","",IF(Q197=N144,"Yes","No")),"")</f>
        <v/>
      </c>
      <c r="BB197" t="str">
        <f t="shared" si="39"/>
        <v/>
      </c>
      <c r="BC197" t="str">
        <f>IF(AZ197=1,IF(S197="","",IF(S197=N144,"Yes","No")),"")</f>
        <v/>
      </c>
      <c r="BD197" t="str">
        <f t="shared" si="40"/>
        <v/>
      </c>
      <c r="BE197" t="str">
        <f t="shared" si="41"/>
        <v/>
      </c>
      <c r="BF197" t="str">
        <f t="shared" si="42"/>
        <v>No</v>
      </c>
      <c r="BG197" t="str">
        <f t="shared" si="43"/>
        <v>No</v>
      </c>
      <c r="BH197" t="str">
        <f t="shared" si="44"/>
        <v/>
      </c>
    </row>
    <row r="198" spans="9:60" x14ac:dyDescent="0.3">
      <c r="I198" t="str">
        <f t="shared" si="46"/>
        <v>N/A</v>
      </c>
      <c r="J198" t="str">
        <f t="shared" si="47"/>
        <v>N/A</v>
      </c>
      <c r="K198" t="str">
        <f t="shared" si="48"/>
        <v>N/A</v>
      </c>
      <c r="L198" t="str">
        <f t="shared" si="49"/>
        <v>N/A</v>
      </c>
      <c r="M198" t="str">
        <f t="shared" si="50"/>
        <v>N/A</v>
      </c>
      <c r="N198" t="str">
        <f t="shared" si="51"/>
        <v>N/A</v>
      </c>
      <c r="P198">
        <f t="shared" si="27"/>
        <v>0</v>
      </c>
      <c r="Q198" t="str">
        <f>IFERROR(J144+MATCH(P198,J198:N198,0)-1,"")</f>
        <v/>
      </c>
      <c r="R198" t="str">
        <f t="shared" si="28"/>
        <v/>
      </c>
      <c r="S198" t="str">
        <f>IFERROR(J144+MATCH(R198,J198:N198,0)-1,"")</f>
        <v/>
      </c>
      <c r="T198" t="str">
        <f t="shared" si="29"/>
        <v/>
      </c>
      <c r="U198" t="str">
        <f t="shared" si="30"/>
        <v/>
      </c>
      <c r="V198" t="str">
        <f t="shared" si="31"/>
        <v/>
      </c>
      <c r="W198" t="str">
        <f t="shared" si="32"/>
        <v/>
      </c>
      <c r="X198" t="str">
        <f t="shared" si="33"/>
        <v/>
      </c>
      <c r="Y198" t="str">
        <f t="shared" si="34"/>
        <v/>
      </c>
      <c r="Z198" t="str">
        <f t="shared" si="35"/>
        <v/>
      </c>
      <c r="AA198">
        <f t="shared" si="36"/>
        <v>0</v>
      </c>
      <c r="AB198" t="str">
        <f>IFERROR(V144+MATCH(AA198,V198:Z198,0)-1,"")</f>
        <v/>
      </c>
      <c r="AC198" t="str">
        <f t="shared" si="37"/>
        <v/>
      </c>
      <c r="AE198" t="str">
        <f>IF(ISNUMBER(MATCH("N/A",J198:N198,0)),"",IFERROR((5 * SUMPRODUCT(J144:N144,J198:N198) - PRODUCT(SUM(J144:N144),SUM(J198:N198))) / ((5 * SUM((J144^2)+(K144^2)+(L144^2)+(M144^2)+(N144^2))) - SUM(J144:N144)^2),""))</f>
        <v/>
      </c>
      <c r="AF198" t="str">
        <f>IFERROR(CORREL(J144:N144,J198:N198),"")</f>
        <v/>
      </c>
      <c r="AZ198">
        <f t="shared" si="38"/>
        <v>0</v>
      </c>
      <c r="BA198" t="str">
        <f>IF(AZ198=1,IF(Q198="","",IF(Q198=N144,"Yes","No")),"")</f>
        <v/>
      </c>
      <c r="BB198" t="str">
        <f t="shared" si="39"/>
        <v/>
      </c>
      <c r="BC198" t="str">
        <f>IF(AZ198=1,IF(S198="","",IF(S198=N144,"Yes","No")),"")</f>
        <v/>
      </c>
      <c r="BD198" t="str">
        <f t="shared" si="40"/>
        <v/>
      </c>
      <c r="BE198" t="str">
        <f t="shared" si="41"/>
        <v/>
      </c>
      <c r="BF198" t="str">
        <f t="shared" si="42"/>
        <v>No</v>
      </c>
      <c r="BG198" t="str">
        <f t="shared" si="43"/>
        <v>No</v>
      </c>
      <c r="BH198" t="str">
        <f t="shared" si="44"/>
        <v/>
      </c>
    </row>
    <row r="199" spans="9:60" x14ac:dyDescent="0.3">
      <c r="I199" t="str">
        <f t="shared" si="46"/>
        <v>N/A</v>
      </c>
      <c r="J199" t="str">
        <f t="shared" si="47"/>
        <v>N/A</v>
      </c>
      <c r="K199" t="str">
        <f t="shared" si="48"/>
        <v>N/A</v>
      </c>
      <c r="L199" t="str">
        <f t="shared" si="49"/>
        <v>N/A</v>
      </c>
      <c r="M199" t="str">
        <f t="shared" si="50"/>
        <v>N/A</v>
      </c>
      <c r="N199" t="str">
        <f t="shared" si="51"/>
        <v>N/A</v>
      </c>
      <c r="P199">
        <f t="shared" si="27"/>
        <v>0</v>
      </c>
      <c r="Q199" t="str">
        <f>IFERROR(J144+MATCH(P199,J199:N199,0)-1,"")</f>
        <v/>
      </c>
      <c r="R199" t="str">
        <f t="shared" si="28"/>
        <v/>
      </c>
      <c r="S199" t="str">
        <f>IFERROR(J144+MATCH(R199,J199:N199,0)-1,"")</f>
        <v/>
      </c>
      <c r="T199" t="str">
        <f t="shared" si="29"/>
        <v/>
      </c>
      <c r="U199" t="str">
        <f t="shared" si="30"/>
        <v/>
      </c>
      <c r="V199" t="str">
        <f t="shared" si="31"/>
        <v/>
      </c>
      <c r="W199" t="str">
        <f t="shared" si="32"/>
        <v/>
      </c>
      <c r="X199" t="str">
        <f t="shared" si="33"/>
        <v/>
      </c>
      <c r="Y199" t="str">
        <f t="shared" si="34"/>
        <v/>
      </c>
      <c r="Z199" t="str">
        <f t="shared" si="35"/>
        <v/>
      </c>
      <c r="AA199">
        <f t="shared" si="36"/>
        <v>0</v>
      </c>
      <c r="AB199" t="str">
        <f>IFERROR(V144+MATCH(AA199,V199:Z199,0)-1,"")</f>
        <v/>
      </c>
      <c r="AC199" t="str">
        <f t="shared" si="37"/>
        <v/>
      </c>
      <c r="AE199" t="str">
        <f>IF(ISNUMBER(MATCH("N/A",J199:N199,0)),"",IFERROR((5 * SUMPRODUCT(J144:N144,J199:N199) - PRODUCT(SUM(J144:N144),SUM(J199:N199))) / ((5 * SUM((J144^2)+(K144^2)+(L144^2)+(M144^2)+(N144^2))) - SUM(J144:N144)^2),""))</f>
        <v/>
      </c>
      <c r="AF199" t="str">
        <f>IFERROR(CORREL(J144:N144,J199:N199),"")</f>
        <v/>
      </c>
      <c r="AZ199">
        <f t="shared" si="38"/>
        <v>0</v>
      </c>
      <c r="BA199" t="str">
        <f>IF(AZ199=1,IF(Q199="","",IF(Q199=N144,"Yes","No")),"")</f>
        <v/>
      </c>
      <c r="BB199" t="str">
        <f t="shared" si="39"/>
        <v/>
      </c>
      <c r="BC199" t="str">
        <f>IF(AZ199=1,IF(S199="","",IF(S199=N144,"Yes","No")),"")</f>
        <v/>
      </c>
      <c r="BD199" t="str">
        <f t="shared" si="40"/>
        <v/>
      </c>
      <c r="BE199" t="str">
        <f t="shared" si="41"/>
        <v/>
      </c>
      <c r="BF199" t="str">
        <f t="shared" si="42"/>
        <v>No</v>
      </c>
      <c r="BG199" t="str">
        <f t="shared" si="43"/>
        <v>No</v>
      </c>
      <c r="BH199" t="str">
        <f t="shared" si="44"/>
        <v/>
      </c>
    </row>
    <row r="200" spans="9:60" x14ac:dyDescent="0.3">
      <c r="I200" t="str">
        <f t="shared" si="46"/>
        <v>N/A</v>
      </c>
      <c r="J200" t="str">
        <f t="shared" si="47"/>
        <v>N/A</v>
      </c>
      <c r="K200" t="str">
        <f t="shared" si="48"/>
        <v>N/A</v>
      </c>
      <c r="L200" t="str">
        <f t="shared" si="49"/>
        <v>N/A</v>
      </c>
      <c r="M200" t="str">
        <f t="shared" si="50"/>
        <v>N/A</v>
      </c>
      <c r="N200" t="str">
        <f t="shared" si="51"/>
        <v>N/A</v>
      </c>
      <c r="P200">
        <f t="shared" si="27"/>
        <v>0</v>
      </c>
      <c r="Q200" t="str">
        <f>IFERROR(J144+MATCH(P200,J200:N200,0)-1,"")</f>
        <v/>
      </c>
      <c r="R200" t="str">
        <f t="shared" si="28"/>
        <v/>
      </c>
      <c r="S200" t="str">
        <f>IFERROR(J144+MATCH(R200,J200:N200,0)-1,"")</f>
        <v/>
      </c>
      <c r="T200" t="str">
        <f t="shared" si="29"/>
        <v/>
      </c>
      <c r="U200" t="str">
        <f t="shared" si="30"/>
        <v/>
      </c>
      <c r="V200" t="str">
        <f t="shared" si="31"/>
        <v/>
      </c>
      <c r="W200" t="str">
        <f t="shared" si="32"/>
        <v/>
      </c>
      <c r="X200" t="str">
        <f t="shared" si="33"/>
        <v/>
      </c>
      <c r="Y200" t="str">
        <f t="shared" si="34"/>
        <v/>
      </c>
      <c r="Z200" t="str">
        <f t="shared" si="35"/>
        <v/>
      </c>
      <c r="AA200">
        <f t="shared" si="36"/>
        <v>0</v>
      </c>
      <c r="AB200" t="str">
        <f>IFERROR(V144+MATCH(AA200,V200:Z200,0)-1,"")</f>
        <v/>
      </c>
      <c r="AC200" t="str">
        <f t="shared" si="37"/>
        <v/>
      </c>
      <c r="AE200" t="str">
        <f>IF(ISNUMBER(MATCH("N/A",J200:N200,0)),"",IFERROR((5 * SUMPRODUCT(J144:N144,J200:N200) - PRODUCT(SUM(J144:N144),SUM(J200:N200))) / ((5 * SUM((J144^2)+(K144^2)+(L144^2)+(M144^2)+(N144^2))) - SUM(J144:N144)^2),""))</f>
        <v/>
      </c>
      <c r="AF200" t="str">
        <f>IFERROR(CORREL(J144:N144,J200:N200),"")</f>
        <v/>
      </c>
      <c r="AZ200">
        <f t="shared" si="38"/>
        <v>0</v>
      </c>
      <c r="BA200" t="str">
        <f>IF(AZ200=1,IF(Q200="","",IF(Q200=N144,"Yes","No")),"")</f>
        <v/>
      </c>
      <c r="BB200" t="str">
        <f t="shared" si="39"/>
        <v/>
      </c>
      <c r="BC200" t="str">
        <f>IF(AZ200=1,IF(S200="","",IF(S200=N144,"Yes","No")),"")</f>
        <v/>
      </c>
      <c r="BD200" t="str">
        <f t="shared" si="40"/>
        <v/>
      </c>
      <c r="BE200" t="str">
        <f t="shared" si="41"/>
        <v/>
      </c>
      <c r="BF200" t="str">
        <f t="shared" si="42"/>
        <v>No</v>
      </c>
      <c r="BG200" t="str">
        <f t="shared" si="43"/>
        <v>No</v>
      </c>
      <c r="BH200" t="str">
        <f t="shared" si="44"/>
        <v/>
      </c>
    </row>
    <row r="201" spans="9:60" x14ac:dyDescent="0.3">
      <c r="I201" t="str">
        <f t="shared" si="46"/>
        <v>N/A</v>
      </c>
      <c r="J201" t="str">
        <f t="shared" si="47"/>
        <v>N/A</v>
      </c>
      <c r="K201" t="str">
        <f t="shared" si="48"/>
        <v>N/A</v>
      </c>
      <c r="L201" t="str">
        <f t="shared" si="49"/>
        <v>N/A</v>
      </c>
      <c r="M201" t="str">
        <f t="shared" si="50"/>
        <v>N/A</v>
      </c>
      <c r="N201" t="str">
        <f t="shared" si="51"/>
        <v>N/A</v>
      </c>
      <c r="P201">
        <f t="shared" si="27"/>
        <v>0</v>
      </c>
      <c r="Q201" t="str">
        <f>IFERROR(J144+MATCH(P201,J201:N201,0)-1,"")</f>
        <v/>
      </c>
      <c r="R201" t="str">
        <f t="shared" si="28"/>
        <v/>
      </c>
      <c r="S201" t="str">
        <f>IFERROR(J144+MATCH(R201,J201:N201,0)-1,"")</f>
        <v/>
      </c>
      <c r="T201" t="str">
        <f t="shared" si="29"/>
        <v/>
      </c>
      <c r="U201" t="str">
        <f t="shared" si="30"/>
        <v/>
      </c>
      <c r="V201" t="str">
        <f t="shared" si="31"/>
        <v/>
      </c>
      <c r="W201" t="str">
        <f t="shared" si="32"/>
        <v/>
      </c>
      <c r="X201" t="str">
        <f t="shared" si="33"/>
        <v/>
      </c>
      <c r="Y201" t="str">
        <f t="shared" si="34"/>
        <v/>
      </c>
      <c r="Z201" t="str">
        <f t="shared" si="35"/>
        <v/>
      </c>
      <c r="AA201">
        <f t="shared" si="36"/>
        <v>0</v>
      </c>
      <c r="AB201" t="str">
        <f>IFERROR(V144+MATCH(AA201,V201:Z201,0)-1,"")</f>
        <v/>
      </c>
      <c r="AC201" t="str">
        <f t="shared" si="37"/>
        <v/>
      </c>
      <c r="AE201" t="str">
        <f>IF(ISNUMBER(MATCH("N/A",J201:N201,0)),"",IFERROR((5 * SUMPRODUCT(J144:N144,J201:N201) - PRODUCT(SUM(J144:N144),SUM(J201:N201))) / ((5 * SUM((J144^2)+(K144^2)+(L144^2)+(M144^2)+(N144^2))) - SUM(J144:N144)^2),""))</f>
        <v/>
      </c>
      <c r="AF201" t="str">
        <f>IFERROR(CORREL(J144:N144,J201:N201),"")</f>
        <v/>
      </c>
      <c r="AZ201">
        <f t="shared" si="38"/>
        <v>0</v>
      </c>
      <c r="BA201" t="str">
        <f>IF(AZ201=1,IF(Q201="","",IF(Q201=N144,"Yes","No")),"")</f>
        <v/>
      </c>
      <c r="BB201" t="str">
        <f t="shared" si="39"/>
        <v/>
      </c>
      <c r="BC201" t="str">
        <f>IF(AZ201=1,IF(S201="","",IF(S201=N144,"Yes","No")),"")</f>
        <v/>
      </c>
      <c r="BD201" t="str">
        <f t="shared" si="40"/>
        <v/>
      </c>
      <c r="BE201" t="str">
        <f t="shared" si="41"/>
        <v/>
      </c>
      <c r="BF201" t="str">
        <f t="shared" si="42"/>
        <v>No</v>
      </c>
      <c r="BG201" t="str">
        <f t="shared" si="43"/>
        <v>No</v>
      </c>
      <c r="BH201" t="str">
        <f t="shared" si="44"/>
        <v/>
      </c>
    </row>
    <row r="202" spans="9:60" x14ac:dyDescent="0.3">
      <c r="I202" t="str">
        <f t="shared" si="46"/>
        <v>N/A</v>
      </c>
      <c r="J202" t="str">
        <f t="shared" si="47"/>
        <v>N/A</v>
      </c>
      <c r="K202" t="str">
        <f t="shared" si="48"/>
        <v>N/A</v>
      </c>
      <c r="L202" t="str">
        <f t="shared" si="49"/>
        <v>N/A</v>
      </c>
      <c r="M202" t="str">
        <f t="shared" si="50"/>
        <v>N/A</v>
      </c>
      <c r="N202" t="str">
        <f t="shared" si="51"/>
        <v>N/A</v>
      </c>
      <c r="P202">
        <f t="shared" si="27"/>
        <v>0</v>
      </c>
      <c r="Q202" t="str">
        <f>IFERROR(J144+MATCH(P202,J202:N202,0)-1,"")</f>
        <v/>
      </c>
      <c r="R202" t="str">
        <f t="shared" si="28"/>
        <v/>
      </c>
      <c r="S202" t="str">
        <f>IFERROR(J144+MATCH(R202,J202:N202,0)-1,"")</f>
        <v/>
      </c>
      <c r="T202" t="str">
        <f t="shared" si="29"/>
        <v/>
      </c>
      <c r="U202" t="str">
        <f t="shared" si="30"/>
        <v/>
      </c>
      <c r="V202" t="str">
        <f t="shared" si="31"/>
        <v/>
      </c>
      <c r="W202" t="str">
        <f t="shared" si="32"/>
        <v/>
      </c>
      <c r="X202" t="str">
        <f t="shared" si="33"/>
        <v/>
      </c>
      <c r="Y202" t="str">
        <f t="shared" si="34"/>
        <v/>
      </c>
      <c r="Z202" t="str">
        <f t="shared" si="35"/>
        <v/>
      </c>
      <c r="AA202">
        <f t="shared" si="36"/>
        <v>0</v>
      </c>
      <c r="AB202" t="str">
        <f>IFERROR(V144+MATCH(AA202,V202:Z202,0)-1,"")</f>
        <v/>
      </c>
      <c r="AC202" t="str">
        <f t="shared" si="37"/>
        <v/>
      </c>
      <c r="AE202" t="str">
        <f>IF(ISNUMBER(MATCH("N/A",J202:N202,0)),"",IFERROR((5 * SUMPRODUCT(J144:N144,J202:N202) - PRODUCT(SUM(J144:N144),SUM(J202:N202))) / ((5 * SUM((J144^2)+(K144^2)+(L144^2)+(M144^2)+(N144^2))) - SUM(J144:N144)^2),""))</f>
        <v/>
      </c>
      <c r="AF202" t="str">
        <f>IFERROR(CORREL(J144:N144,J202:N202),"")</f>
        <v/>
      </c>
      <c r="AZ202">
        <f t="shared" si="38"/>
        <v>0</v>
      </c>
      <c r="BA202" t="str">
        <f>IF(AZ202=1,IF(Q202="","",IF(Q202=N144,"Yes","No")),"")</f>
        <v/>
      </c>
      <c r="BB202" t="str">
        <f t="shared" si="39"/>
        <v/>
      </c>
      <c r="BC202" t="str">
        <f>IF(AZ202=1,IF(S202="","",IF(S202=N144,"Yes","No")),"")</f>
        <v/>
      </c>
      <c r="BD202" t="str">
        <f t="shared" si="40"/>
        <v/>
      </c>
      <c r="BE202" t="str">
        <f t="shared" si="41"/>
        <v/>
      </c>
      <c r="BF202" t="str">
        <f t="shared" si="42"/>
        <v>No</v>
      </c>
      <c r="BG202" t="str">
        <f t="shared" si="43"/>
        <v>No</v>
      </c>
      <c r="BH202" t="str">
        <f t="shared" si="44"/>
        <v/>
      </c>
    </row>
    <row r="203" spans="9:60" x14ac:dyDescent="0.3">
      <c r="I203" t="str">
        <f t="shared" si="46"/>
        <v>N/A</v>
      </c>
      <c r="J203" t="str">
        <f t="shared" si="47"/>
        <v>N/A</v>
      </c>
      <c r="K203" t="str">
        <f t="shared" si="48"/>
        <v>N/A</v>
      </c>
      <c r="L203" t="str">
        <f t="shared" si="49"/>
        <v>N/A</v>
      </c>
      <c r="M203" t="str">
        <f t="shared" si="50"/>
        <v>N/A</v>
      </c>
      <c r="N203" t="str">
        <f t="shared" si="51"/>
        <v>N/A</v>
      </c>
      <c r="P203">
        <f t="shared" si="27"/>
        <v>0</v>
      </c>
      <c r="Q203" t="str">
        <f>IFERROR(J144+MATCH(P203,J203:N203,0)-1,"")</f>
        <v/>
      </c>
      <c r="R203" t="str">
        <f t="shared" si="28"/>
        <v/>
      </c>
      <c r="S203" t="str">
        <f>IFERROR(J144+MATCH(R203,J203:N203,0)-1,"")</f>
        <v/>
      </c>
      <c r="T203" t="str">
        <f t="shared" si="29"/>
        <v/>
      </c>
      <c r="U203" t="str">
        <f t="shared" si="30"/>
        <v/>
      </c>
      <c r="V203" t="str">
        <f t="shared" si="31"/>
        <v/>
      </c>
      <c r="W203" t="str">
        <f t="shared" si="32"/>
        <v/>
      </c>
      <c r="X203" t="str">
        <f t="shared" si="33"/>
        <v/>
      </c>
      <c r="Y203" t="str">
        <f t="shared" si="34"/>
        <v/>
      </c>
      <c r="Z203" t="str">
        <f t="shared" si="35"/>
        <v/>
      </c>
      <c r="AA203">
        <f t="shared" si="36"/>
        <v>0</v>
      </c>
      <c r="AB203" t="str">
        <f>IFERROR(V144+MATCH(AA203,V203:Z203,0)-1,"")</f>
        <v/>
      </c>
      <c r="AC203" t="str">
        <f t="shared" si="37"/>
        <v/>
      </c>
      <c r="AE203" t="str">
        <f>IF(ISNUMBER(MATCH("N/A",J203:N203,0)),"",IFERROR((5 * SUMPRODUCT(J144:N144,J203:N203) - PRODUCT(SUM(J144:N144),SUM(J203:N203))) / ((5 * SUM((J144^2)+(K144^2)+(L144^2)+(M144^2)+(N144^2))) - SUM(J144:N144)^2),""))</f>
        <v/>
      </c>
      <c r="AF203" t="str">
        <f>IFERROR(CORREL(J144:N144,J203:N203),"")</f>
        <v/>
      </c>
      <c r="AZ203">
        <f t="shared" si="38"/>
        <v>0</v>
      </c>
      <c r="BA203" t="str">
        <f>IF(AZ203=1,IF(Q203="","",IF(Q203=N144,"Yes","No")),"")</f>
        <v/>
      </c>
      <c r="BB203" t="str">
        <f t="shared" si="39"/>
        <v/>
      </c>
      <c r="BC203" t="str">
        <f>IF(AZ203=1,IF(S203="","",IF(S203=N144,"Yes","No")),"")</f>
        <v/>
      </c>
      <c r="BD203" t="str">
        <f t="shared" si="40"/>
        <v/>
      </c>
      <c r="BE203" t="str">
        <f t="shared" si="41"/>
        <v/>
      </c>
      <c r="BF203" t="str">
        <f t="shared" si="42"/>
        <v>No</v>
      </c>
      <c r="BG203" t="str">
        <f t="shared" si="43"/>
        <v>No</v>
      </c>
      <c r="BH203" t="str">
        <f t="shared" si="44"/>
        <v/>
      </c>
    </row>
    <row r="204" spans="9:60" x14ac:dyDescent="0.3">
      <c r="I204" t="str">
        <f t="shared" si="46"/>
        <v>N/A</v>
      </c>
      <c r="J204" t="str">
        <f t="shared" si="47"/>
        <v>N/A</v>
      </c>
      <c r="K204" t="str">
        <f t="shared" si="48"/>
        <v>N/A</v>
      </c>
      <c r="L204" t="str">
        <f t="shared" si="49"/>
        <v>N/A</v>
      </c>
      <c r="M204" t="str">
        <f t="shared" si="50"/>
        <v>N/A</v>
      </c>
      <c r="N204" t="str">
        <f t="shared" si="51"/>
        <v>N/A</v>
      </c>
      <c r="P204">
        <f t="shared" si="27"/>
        <v>0</v>
      </c>
      <c r="Q204" t="str">
        <f>IFERROR(J144+MATCH(P204,J204:N204,0)-1,"")</f>
        <v/>
      </c>
      <c r="R204" t="str">
        <f t="shared" si="28"/>
        <v/>
      </c>
      <c r="S204" t="str">
        <f>IFERROR(J144+MATCH(R204,J204:N204,0)-1,"")</f>
        <v/>
      </c>
      <c r="T204" t="str">
        <f t="shared" si="29"/>
        <v/>
      </c>
      <c r="U204" t="str">
        <f t="shared" si="30"/>
        <v/>
      </c>
      <c r="V204" t="str">
        <f t="shared" si="31"/>
        <v/>
      </c>
      <c r="W204" t="str">
        <f t="shared" si="32"/>
        <v/>
      </c>
      <c r="X204" t="str">
        <f t="shared" si="33"/>
        <v/>
      </c>
      <c r="Y204" t="str">
        <f t="shared" si="34"/>
        <v/>
      </c>
      <c r="Z204" t="str">
        <f t="shared" si="35"/>
        <v/>
      </c>
      <c r="AA204">
        <f t="shared" si="36"/>
        <v>0</v>
      </c>
      <c r="AB204" t="str">
        <f>IFERROR(V144+MATCH(AA204,V204:Z204,0)-1,"")</f>
        <v/>
      </c>
      <c r="AC204" t="str">
        <f t="shared" si="37"/>
        <v/>
      </c>
      <c r="AE204" t="str">
        <f>IF(ISNUMBER(MATCH("N/A",J204:N204,0)),"",IFERROR((5 * SUMPRODUCT(J144:N144,J204:N204) - PRODUCT(SUM(J144:N144),SUM(J204:N204))) / ((5 * SUM((J144^2)+(K144^2)+(L144^2)+(M144^2)+(N144^2))) - SUM(J144:N144)^2),""))</f>
        <v/>
      </c>
      <c r="AF204" t="str">
        <f>IFERROR(CORREL(J144:N144,J204:N204),"")</f>
        <v/>
      </c>
      <c r="AZ204">
        <f t="shared" si="38"/>
        <v>0</v>
      </c>
      <c r="BA204" t="str">
        <f>IF(AZ204=1,IF(Q204="","",IF(Q204=N144,"Yes","No")),"")</f>
        <v/>
      </c>
      <c r="BB204" t="str">
        <f t="shared" si="39"/>
        <v/>
      </c>
      <c r="BC204" t="str">
        <f>IF(AZ204=1,IF(S204="","",IF(S204=N144,"Yes","No")),"")</f>
        <v/>
      </c>
      <c r="BD204" t="str">
        <f t="shared" si="40"/>
        <v/>
      </c>
      <c r="BE204" t="str">
        <f t="shared" si="41"/>
        <v/>
      </c>
      <c r="BF204" t="str">
        <f t="shared" si="42"/>
        <v>No</v>
      </c>
      <c r="BG204" t="str">
        <f t="shared" si="43"/>
        <v>No</v>
      </c>
      <c r="BH204" t="str">
        <f t="shared" si="44"/>
        <v/>
      </c>
    </row>
    <row r="205" spans="9:60" x14ac:dyDescent="0.3">
      <c r="P205">
        <f t="shared" si="27"/>
        <v>0</v>
      </c>
      <c r="Q205" t="str">
        <f>IFERROR(J144+MATCH(P205,J205:N205,0)-1,"")</f>
        <v/>
      </c>
      <c r="R205" t="str">
        <f t="shared" si="28"/>
        <v/>
      </c>
      <c r="S205" t="str">
        <f>IFERROR(J144+MATCH(R205,J205:N205,0)-1,"")</f>
        <v/>
      </c>
      <c r="T205" t="str">
        <f t="shared" si="29"/>
        <v/>
      </c>
      <c r="U205" t="str">
        <f t="shared" si="30"/>
        <v/>
      </c>
      <c r="V205" t="str">
        <f t="shared" si="31"/>
        <v/>
      </c>
      <c r="W205" t="str">
        <f t="shared" si="32"/>
        <v/>
      </c>
      <c r="X205" t="str">
        <f t="shared" si="33"/>
        <v/>
      </c>
      <c r="Y205" t="str">
        <f t="shared" si="34"/>
        <v/>
      </c>
      <c r="Z205" t="str">
        <f t="shared" si="35"/>
        <v/>
      </c>
      <c r="AA205">
        <f t="shared" si="36"/>
        <v>0</v>
      </c>
      <c r="AB205" t="str">
        <f>IFERROR(V144+MATCH(AA205,V205:Z205,0)-1,"")</f>
        <v/>
      </c>
      <c r="AC205" t="str">
        <f t="shared" si="37"/>
        <v/>
      </c>
      <c r="AE205" t="str">
        <f>IF(ISNUMBER(MATCH("N/A",J205:N205,0)),"",IFERROR((5 * SUMPRODUCT(J144:N144,J205:N205) - PRODUCT(SUM(J144:N144),SUM(J205:N205))) / ((5 * SUM((J144^2)+(K144^2)+(L144^2)+(M144^2)+(N144^2))) - SUM(J144:N144)^2),""))</f>
        <v/>
      </c>
      <c r="AF205" t="str">
        <f>IFERROR(CORREL(J144:N144,J205:N205),"")</f>
        <v/>
      </c>
      <c r="AZ205">
        <f t="shared" si="38"/>
        <v>0</v>
      </c>
      <c r="BA205" t="str">
        <f>IF(AZ205=1,IF(Q205="","",IF(Q205=N144,"Yes","No")),"")</f>
        <v/>
      </c>
      <c r="BB205" t="str">
        <f t="shared" si="39"/>
        <v/>
      </c>
      <c r="BC205" t="str">
        <f>IF(AZ205=1,IF(S205="","",IF(S205=N144,"Yes","No")),"")</f>
        <v/>
      </c>
      <c r="BD205" t="str">
        <f t="shared" si="40"/>
        <v/>
      </c>
      <c r="BE205" t="str">
        <f t="shared" si="41"/>
        <v/>
      </c>
      <c r="BF205" t="str">
        <f t="shared" si="42"/>
        <v>No</v>
      </c>
      <c r="BG205" t="str">
        <f t="shared" si="43"/>
        <v>No</v>
      </c>
      <c r="BH205" t="str">
        <f t="shared" si="44"/>
        <v/>
      </c>
    </row>
    <row r="206" spans="9:60" x14ac:dyDescent="0.3">
      <c r="I206" t="str">
        <f t="shared" ref="I206:I226" si="52">IF(AND(K206&gt; J206, L206&gt; K206, M206&gt; L206, N206&gt; M206), "pos_trend", IF(AND(K206&lt; J206, L206&lt; K206, M206&lt; L206, N206&lt; M206), "neg_trend", "N/A"))</f>
        <v>N/A</v>
      </c>
      <c r="J206" t="str">
        <f t="shared" ref="J206:J226" si="53">IFERROR(IF(TRIM(C206)="-", "N/A", IF(RIGHT(C206,1)=")",IF(RIGHT(C206,2)="T)",-1000000000000*VALUE(MID(C206,2,LEN(C206)-3)),IF(RIGHT(C206,2)="M)",-1000000*VALUE(MID(C206,2,LEN(C206)-3)),IF(RIGHT(C206,2)="B)",-1000000000*VALUE(MID(C206,2,LEN(C206)-3)),IF(RIGHT(C206,2)="k)",-1000*VALUE(MID(C206,2,LEN(C206)-3)),VALUE(SUBSTITUTE(C206,",","")))))),IF(RIGHT(C206,1)="T",1000000000000*VALUE(LEFT(C206,LEN(C206)-1)),IF(RIGHT(C206,1)="M",1000000*VALUE(LEFT(C206,LEN(C206)-1)),IF(RIGHT(C206,1)="B",1000000000*VALUE(LEFT(C206,LEN(C206)-1)),IF(RIGHT(C206,1)="%",0.01*VALUE(LEFT(C206,LEN(C206)-1)),IF(RIGHT(C206,1)="k",1000*VALUE(LEFT(C206,LEN(C206)-1)),VALUE(SUBSTITUTE(C206,",",""))))))))),"N/A")</f>
        <v>N/A</v>
      </c>
      <c r="K206" t="str">
        <f t="shared" ref="K206:K226" si="54">IFERROR(IF(TRIM(D206)="-", "N/A", IF(RIGHT(D206,1)=")",IF(RIGHT(D206,2)="T)",-1000000000000*VALUE(MID(D206,2,LEN(D206)-3)),IF(RIGHT(D206,2)="M)",-1000000*VALUE(MID(D206,2,LEN(D206)-3)),IF(RIGHT(D206,2)="B)",-1000000000*VALUE(MID(D206,2,LEN(D206)-3)),IF(RIGHT(D206,2)="k)",-1000*VALUE(MID(D206,2,LEN(D206)-3)),VALUE(SUBSTITUTE(D206,",","")))))),IF(RIGHT(D206,1)="T",1000000000000*VALUE(LEFT(D206,LEN(D206)-1)),IF(RIGHT(D206,1)="M",1000000*VALUE(LEFT(D206,LEN(D206)-1)),IF(RIGHT(D206,1)="B",1000000000*VALUE(LEFT(D206,LEN(D206)-1)),IF(RIGHT(D206,1)="%",0.01*VALUE(LEFT(D206,LEN(D206)-1)),IF(RIGHT(D206,1)="k",1000*VALUE(LEFT(D206,LEN(D206)-1)),VALUE(SUBSTITUTE(D206,",",""))))))))),"N/A")</f>
        <v>N/A</v>
      </c>
      <c r="L206" t="str">
        <f t="shared" ref="L206:L226" si="55">IFERROR(IF(TRIM(E206)="-", "N/A", IF(RIGHT(E206,1)=")",IF(RIGHT(E206,2)="T)",-1000000000000*VALUE(MID(E206,2,LEN(E206)-3)),IF(RIGHT(E206,2)="M)",-1000000*VALUE(MID(E206,2,LEN(E206)-3)),IF(RIGHT(E206,2)="B)",-1000000000*VALUE(MID(E206,2,LEN(E206)-3)),IF(RIGHT(E206,2)="k)",-1000*VALUE(MID(E206,2,LEN(E206)-3)),VALUE(SUBSTITUTE(E206,",","")))))),IF(RIGHT(E206,1)="T",1000000000000*VALUE(LEFT(E206,LEN(E206)-1)),IF(RIGHT(E206,1)="M",1000000*VALUE(LEFT(E206,LEN(E206)-1)),IF(RIGHT(E206,1)="B",1000000000*VALUE(LEFT(E206,LEN(E206)-1)),IF(RIGHT(E206,1)="%",0.01*VALUE(LEFT(E206,LEN(E206)-1)),IF(RIGHT(E206,1)="k",1000*VALUE(LEFT(E206,LEN(E206)-1)),VALUE(SUBSTITUTE(E206,",",""))))))))),"N/A")</f>
        <v>N/A</v>
      </c>
      <c r="M206" t="str">
        <f t="shared" ref="M206:M226" si="56">IFERROR(IF(TRIM(F206)="-", "N/A", IF(RIGHT(F206,1)=")",IF(RIGHT(F206,2)="T)",-1000000000000*VALUE(MID(F206,2,LEN(F206)-3)),IF(RIGHT(F206,2)="M)",-1000000*VALUE(MID(F206,2,LEN(F206)-3)),IF(RIGHT(F206,2)="B)",-1000000000*VALUE(MID(F206,2,LEN(F206)-3)),IF(RIGHT(F206,2)="k)",-1000*VALUE(MID(F206,2,LEN(F206)-3)),VALUE(SUBSTITUTE(F206,",","")))))),IF(RIGHT(F206,1)="T",1000000000000*VALUE(LEFT(F206,LEN(F206)-1)),IF(RIGHT(F206,1)="M",1000000*VALUE(LEFT(F206,LEN(F206)-1)),IF(RIGHT(F206,1)="B",1000000000*VALUE(LEFT(F206,LEN(F206)-1)),IF(RIGHT(F206,1)="%",0.01*VALUE(LEFT(F206,LEN(F206)-1)),IF(RIGHT(F206,1)="k",1000*VALUE(LEFT(F206,LEN(F206)-1)),VALUE(SUBSTITUTE(F206,",",""))))))))),"N/A")</f>
        <v>N/A</v>
      </c>
      <c r="N206" t="str">
        <f t="shared" ref="N206:N226" si="57">IFERROR(IF(TRIM(G206)="-", "N/A", IF(RIGHT(G206,1)=")",IF(RIGHT(G206,2)="T)",-1000000000000*VALUE(MID(G206,2,LEN(G206)-3)),IF(RIGHT(G206,2)="M)",-1000000*VALUE(MID(G206,2,LEN(G206)-3)),IF(RIGHT(G206,2)="B)",-1000000000*VALUE(MID(G206,2,LEN(G206)-3)),IF(RIGHT(G206,2)="k)",-1000*VALUE(MID(G206,2,LEN(G206)-3)),VALUE(SUBSTITUTE(G206,",","")))))),IF(RIGHT(G206,1)="T",1000000000000*VALUE(LEFT(G206,LEN(G206)-1)),IF(RIGHT(G206,1)="M",1000000*VALUE(LEFT(G206,LEN(G206)-1)),IF(RIGHT(G206,1)="B",1000000000*VALUE(LEFT(G206,LEN(G206)-1)),IF(RIGHT(G206,1)="%",0.01*VALUE(LEFT(G206,LEN(G206)-1)),IF(RIGHT(G206,1)="k",1000*VALUE(LEFT(G206,LEN(G206)-1)),VALUE(SUBSTITUTE(G206,",",""))))))))),"N/A")</f>
        <v>N/A</v>
      </c>
      <c r="P206">
        <f t="shared" si="27"/>
        <v>0</v>
      </c>
      <c r="Q206" t="str">
        <f>IFERROR(J144+MATCH(P206,J206:N206,0)-1,"")</f>
        <v/>
      </c>
      <c r="R206" t="str">
        <f t="shared" si="28"/>
        <v/>
      </c>
      <c r="S206" t="str">
        <f>IFERROR(J144+MATCH(R206,J206:N206,0)-1,"")</f>
        <v/>
      </c>
      <c r="T206" t="str">
        <f t="shared" si="29"/>
        <v/>
      </c>
      <c r="U206" t="str">
        <f t="shared" si="30"/>
        <v/>
      </c>
      <c r="V206" t="str">
        <f t="shared" si="31"/>
        <v/>
      </c>
      <c r="W206" t="str">
        <f t="shared" si="32"/>
        <v/>
      </c>
      <c r="X206" t="str">
        <f t="shared" si="33"/>
        <v/>
      </c>
      <c r="Y206" t="str">
        <f t="shared" si="34"/>
        <v/>
      </c>
      <c r="Z206" t="str">
        <f t="shared" si="35"/>
        <v/>
      </c>
      <c r="AA206">
        <f t="shared" si="36"/>
        <v>0</v>
      </c>
      <c r="AB206" t="str">
        <f>IFERROR(V144+MATCH(AA206,V206:Z206,0)-1,"")</f>
        <v/>
      </c>
      <c r="AC206" t="str">
        <f t="shared" si="37"/>
        <v/>
      </c>
      <c r="AE206" t="str">
        <f>IF(ISNUMBER(MATCH("N/A",J206:N206,0)),"",IFERROR((5 * SUMPRODUCT(J144:N144,J206:N206) - PRODUCT(SUM(J144:N144),SUM(J206:N206))) / ((5 * SUM((J144^2)+(K144^2)+(L144^2)+(M144^2)+(N144^2))) - SUM(J144:N144)^2),""))</f>
        <v/>
      </c>
      <c r="AF206" t="str">
        <f>IFERROR(CORREL(J144:N144,J206:N206),"")</f>
        <v/>
      </c>
      <c r="AZ206">
        <f t="shared" si="38"/>
        <v>0</v>
      </c>
      <c r="BA206" t="str">
        <f>IF(AZ206=1,IF(Q206="","",IF(Q206=N144,"Yes","No")),"")</f>
        <v/>
      </c>
      <c r="BB206" t="str">
        <f t="shared" si="39"/>
        <v/>
      </c>
      <c r="BC206" t="str">
        <f>IF(AZ206=1,IF(S206="","",IF(S206=N144,"Yes","No")),"")</f>
        <v/>
      </c>
      <c r="BD206" t="str">
        <f t="shared" si="40"/>
        <v/>
      </c>
      <c r="BE206" t="str">
        <f t="shared" si="41"/>
        <v/>
      </c>
      <c r="BF206" t="str">
        <f t="shared" si="42"/>
        <v>No</v>
      </c>
      <c r="BG206" t="str">
        <f t="shared" si="43"/>
        <v>No</v>
      </c>
      <c r="BH206" t="str">
        <f t="shared" si="44"/>
        <v/>
      </c>
    </row>
    <row r="207" spans="9:60" x14ac:dyDescent="0.3">
      <c r="I207" t="str">
        <f t="shared" si="52"/>
        <v>N/A</v>
      </c>
      <c r="J207" t="str">
        <f t="shared" si="53"/>
        <v>N/A</v>
      </c>
      <c r="K207" t="str">
        <f t="shared" si="54"/>
        <v>N/A</v>
      </c>
      <c r="L207" t="str">
        <f t="shared" si="55"/>
        <v>N/A</v>
      </c>
      <c r="M207" t="str">
        <f t="shared" si="56"/>
        <v>N/A</v>
      </c>
      <c r="N207" t="str">
        <f t="shared" si="57"/>
        <v>N/A</v>
      </c>
      <c r="P207">
        <f t="shared" si="27"/>
        <v>0</v>
      </c>
      <c r="Q207" t="str">
        <f>IFERROR(J144+MATCH(P207,J207:N207,0)-1,"")</f>
        <v/>
      </c>
      <c r="R207" t="str">
        <f t="shared" si="28"/>
        <v/>
      </c>
      <c r="S207" t="str">
        <f>IFERROR(J144+MATCH(R207,J207:N207,0)-1,"")</f>
        <v/>
      </c>
      <c r="T207" t="str">
        <f t="shared" si="29"/>
        <v/>
      </c>
      <c r="U207" t="str">
        <f t="shared" si="30"/>
        <v/>
      </c>
      <c r="V207" t="str">
        <f t="shared" si="31"/>
        <v/>
      </c>
      <c r="W207" t="str">
        <f t="shared" si="32"/>
        <v/>
      </c>
      <c r="X207" t="str">
        <f t="shared" si="33"/>
        <v/>
      </c>
      <c r="Y207" t="str">
        <f t="shared" si="34"/>
        <v/>
      </c>
      <c r="Z207" t="str">
        <f t="shared" si="35"/>
        <v/>
      </c>
      <c r="AA207">
        <f t="shared" si="36"/>
        <v>0</v>
      </c>
      <c r="AB207" t="str">
        <f>IFERROR(V144+MATCH(AA207,V207:Z207,0)-1,"")</f>
        <v/>
      </c>
      <c r="AC207" t="str">
        <f t="shared" si="37"/>
        <v/>
      </c>
      <c r="AE207" t="str">
        <f>IF(ISNUMBER(MATCH("N/A",J207:N207,0)),"",IFERROR((5 * SUMPRODUCT(J144:N144,J207:N207) - PRODUCT(SUM(J144:N144),SUM(J207:N207))) / ((5 * SUM((J144^2)+(K144^2)+(L144^2)+(M144^2)+(N144^2))) - SUM(J144:N144)^2),""))</f>
        <v/>
      </c>
      <c r="AF207" t="str">
        <f>IFERROR(CORREL(J144:N144,J207:N207),"")</f>
        <v/>
      </c>
      <c r="AZ207">
        <f t="shared" si="38"/>
        <v>0</v>
      </c>
      <c r="BA207" t="str">
        <f>IF(AZ207=1,IF(Q207="","",IF(Q207=N144,"Yes","No")),"")</f>
        <v/>
      </c>
      <c r="BB207" t="str">
        <f t="shared" si="39"/>
        <v/>
      </c>
      <c r="BC207" t="str">
        <f>IF(AZ207=1,IF(S207="","",IF(S207=N144,"Yes","No")),"")</f>
        <v/>
      </c>
      <c r="BD207" t="str">
        <f t="shared" si="40"/>
        <v/>
      </c>
      <c r="BE207" t="str">
        <f t="shared" si="41"/>
        <v/>
      </c>
      <c r="BF207" t="str">
        <f t="shared" si="42"/>
        <v>No</v>
      </c>
      <c r="BG207" t="str">
        <f t="shared" si="43"/>
        <v>No</v>
      </c>
      <c r="BH207" t="str">
        <f t="shared" si="44"/>
        <v/>
      </c>
    </row>
    <row r="208" spans="9:60" x14ac:dyDescent="0.3">
      <c r="I208" t="str">
        <f t="shared" si="52"/>
        <v>N/A</v>
      </c>
      <c r="J208" t="str">
        <f t="shared" si="53"/>
        <v>N/A</v>
      </c>
      <c r="K208" t="str">
        <f t="shared" si="54"/>
        <v>N/A</v>
      </c>
      <c r="L208" t="str">
        <f t="shared" si="55"/>
        <v>N/A</v>
      </c>
      <c r="M208" t="str">
        <f t="shared" si="56"/>
        <v>N/A</v>
      </c>
      <c r="N208" t="str">
        <f t="shared" si="57"/>
        <v>N/A</v>
      </c>
      <c r="P208">
        <f t="shared" si="27"/>
        <v>0</v>
      </c>
      <c r="Q208" t="str">
        <f>IFERROR(J144+MATCH(P208,J208:N208,0)-1,"")</f>
        <v/>
      </c>
      <c r="R208" t="str">
        <f t="shared" si="28"/>
        <v/>
      </c>
      <c r="S208" t="str">
        <f>IFERROR(J144+MATCH(R208,J208:N208,0)-1,"")</f>
        <v/>
      </c>
      <c r="T208" t="str">
        <f t="shared" si="29"/>
        <v/>
      </c>
      <c r="U208" t="str">
        <f t="shared" si="30"/>
        <v/>
      </c>
      <c r="V208" t="str">
        <f t="shared" si="31"/>
        <v/>
      </c>
      <c r="W208" t="str">
        <f t="shared" si="32"/>
        <v/>
      </c>
      <c r="X208" t="str">
        <f t="shared" si="33"/>
        <v/>
      </c>
      <c r="Y208" t="str">
        <f t="shared" si="34"/>
        <v/>
      </c>
      <c r="Z208" t="str">
        <f t="shared" si="35"/>
        <v/>
      </c>
      <c r="AA208">
        <f t="shared" si="36"/>
        <v>0</v>
      </c>
      <c r="AB208" t="str">
        <f>IFERROR(V144+MATCH(AA208,V208:Z208,0)-1,"")</f>
        <v/>
      </c>
      <c r="AC208" t="str">
        <f t="shared" si="37"/>
        <v/>
      </c>
      <c r="AE208" t="str">
        <f>IF(ISNUMBER(MATCH("N/A",J208:N208,0)),"",IFERROR((5 * SUMPRODUCT(J144:N144,J208:N208) - PRODUCT(SUM(J144:N144),SUM(J208:N208))) / ((5 * SUM((J144^2)+(K144^2)+(L144^2)+(M144^2)+(N144^2))) - SUM(J144:N144)^2),""))</f>
        <v/>
      </c>
      <c r="AF208" t="str">
        <f>IFERROR(CORREL(J144:N144,J208:N208),"")</f>
        <v/>
      </c>
      <c r="AZ208">
        <f t="shared" si="38"/>
        <v>0</v>
      </c>
      <c r="BA208" t="str">
        <f>IF(AZ208=1,IF(Q208="","",IF(Q208=N144,"Yes","No")),"")</f>
        <v/>
      </c>
      <c r="BB208" t="str">
        <f t="shared" si="39"/>
        <v/>
      </c>
      <c r="BC208" t="str">
        <f>IF(AZ208=1,IF(S208="","",IF(S208=N144,"Yes","No")),"")</f>
        <v/>
      </c>
      <c r="BD208" t="str">
        <f t="shared" si="40"/>
        <v/>
      </c>
      <c r="BE208" t="str">
        <f t="shared" si="41"/>
        <v/>
      </c>
      <c r="BF208" t="str">
        <f t="shared" si="42"/>
        <v>No</v>
      </c>
      <c r="BG208" t="str">
        <f t="shared" si="43"/>
        <v>No</v>
      </c>
      <c r="BH208" t="str">
        <f t="shared" si="44"/>
        <v/>
      </c>
    </row>
    <row r="209" spans="9:60" x14ac:dyDescent="0.3">
      <c r="I209" t="str">
        <f t="shared" si="52"/>
        <v>N/A</v>
      </c>
      <c r="J209" t="str">
        <f t="shared" si="53"/>
        <v>N/A</v>
      </c>
      <c r="K209" t="str">
        <f t="shared" si="54"/>
        <v>N/A</v>
      </c>
      <c r="L209" t="str">
        <f t="shared" si="55"/>
        <v>N/A</v>
      </c>
      <c r="M209" t="str">
        <f t="shared" si="56"/>
        <v>N/A</v>
      </c>
      <c r="N209" t="str">
        <f t="shared" si="57"/>
        <v>N/A</v>
      </c>
      <c r="P209">
        <f t="shared" ref="P209:P272" si="58">MAX(J209:N209)</f>
        <v>0</v>
      </c>
      <c r="Q209" t="str">
        <f>IFERROR(J144+MATCH(P209,J209:N209,0)-1,"")</f>
        <v/>
      </c>
      <c r="R209" t="str">
        <f t="shared" ref="R209:R272" si="59">IF(Q209="","",MIN(J209:N209))</f>
        <v/>
      </c>
      <c r="S209" t="str">
        <f>IFERROR(J144+MATCH(R209,J209:N209,0)-1,"")</f>
        <v/>
      </c>
      <c r="T209" t="str">
        <f t="shared" ref="T209:T272" si="60">IFERROR(AVERAGE(J209:N209),"")</f>
        <v/>
      </c>
      <c r="U209" t="str">
        <f t="shared" ref="U209:U272" si="61">IFERROR(STDEV(J209:N209),"")</f>
        <v/>
      </c>
      <c r="V209" t="str">
        <f t="shared" ref="V209:V272" si="62">IFERROR(IF(C209="-","",IF(ISBLANK(B209),"",IF(OR(ISNUMBER(FIND("Growth",B209)),ISNUMBER(FIND("Margin",B209))),"",(J209-T209)/U209))),"")</f>
        <v/>
      </c>
      <c r="W209" t="str">
        <f t="shared" ref="W209:W272" si="63">IFERROR(IF(OR(D209="-",ISBLANK(D209)),"",(K209-T209)/U209),"")</f>
        <v/>
      </c>
      <c r="X209" t="str">
        <f t="shared" ref="X209:X272" si="64">IFERROR(IF(OR(E209="-",ISBLANK(E209)),"",(L209-T209)/U209),"")</f>
        <v/>
      </c>
      <c r="Y209" t="str">
        <f t="shared" ref="Y209:Y272" si="65">IFERROR(IF(OR(F209="-",ISBLANK(F209)),"",(M209-T209)/U209),"")</f>
        <v/>
      </c>
      <c r="Z209" t="str">
        <f t="shared" ref="Z209:Z272" si="66">IFERROR(IF(OR(G209="-",ISBLANK(G209)),"",(N209-T209)/U209),"")</f>
        <v/>
      </c>
      <c r="AA209">
        <f t="shared" ref="AA209:AA272" si="67">IF(MAX(MAX(V209:Z209),ABS(MIN(V209:Z209)))=ABS(MIN(V209:Z209)),MIN(V209:Z209),MAX(V209:Z209))</f>
        <v>0</v>
      </c>
      <c r="AB209" t="str">
        <f>IFERROR(V144+MATCH(AA209,V209:Z209,0)-1,"")</f>
        <v/>
      </c>
      <c r="AC209" t="str">
        <f t="shared" ref="AC209:AC272" si="68">IF(AB209&lt;&gt;"",IF(S209=AB209,"Low",IF(AB209=Q209,"High","")),"")</f>
        <v/>
      </c>
      <c r="AE209" t="str">
        <f>IF(ISNUMBER(MATCH("N/A",J209:N209,0)),"",IFERROR((5 * SUMPRODUCT(J144:N144,J209:N209) - PRODUCT(SUM(J144:N144),SUM(J209:N209))) / ((5 * SUM((J144^2)+(K144^2)+(L144^2)+(M144^2)+(N144^2))) - SUM(J144:N144)^2),""))</f>
        <v/>
      </c>
      <c r="AF209" t="str">
        <f>IFERROR(CORREL(J144:N144,J209:N209),"")</f>
        <v/>
      </c>
      <c r="AZ209">
        <f t="shared" ref="AZ209:AZ272" si="69">IF(Q209=S209,0,1)</f>
        <v>0</v>
      </c>
      <c r="BA209" t="str">
        <f>IF(AZ209=1,IF(Q209="","",IF(Q209=N144,"Yes","No")),"")</f>
        <v/>
      </c>
      <c r="BB209" t="str">
        <f t="shared" ref="BB209:BB272" si="70">IF(BA209="Yes",P209,"")</f>
        <v/>
      </c>
      <c r="BC209" t="str">
        <f>IF(AZ209=1,IF(S209="","",IF(S209=N144,"Yes","No")),"")</f>
        <v/>
      </c>
      <c r="BD209" t="str">
        <f t="shared" ref="BD209:BD272" si="71">IF(BC209="Yes",R209,"")</f>
        <v/>
      </c>
      <c r="BE209" t="str">
        <f t="shared" ref="BE209:BE272" si="72">IFERROR(IF(SIGN(AE209)=1,"Increasing",IF(SIGN(AE209)=-1,"Decreasing","")),"")</f>
        <v/>
      </c>
      <c r="BF209" t="str">
        <f t="shared" ref="BF209:BF272" si="73">IF(OR(AND(BE209="Increasing",BA209="Yes"),AND(BE209="Decreasing",BC209="Yes")),"Yes","No")</f>
        <v>No</v>
      </c>
      <c r="BG209" t="str">
        <f t="shared" ref="BG209:BG272" si="74">IF(I209="pos_trend","Yes","No")</f>
        <v>No</v>
      </c>
      <c r="BH209" t="str">
        <f t="shared" ref="BH209:BH272" si="75">IF(AF209&lt;&gt;"",IF(ABS(AF209)&gt;0.8,"Yes","No"),"")</f>
        <v/>
      </c>
    </row>
    <row r="210" spans="9:60" x14ac:dyDescent="0.3">
      <c r="I210" t="str">
        <f t="shared" si="52"/>
        <v>N/A</v>
      </c>
      <c r="J210" t="str">
        <f t="shared" si="53"/>
        <v>N/A</v>
      </c>
      <c r="K210" t="str">
        <f t="shared" si="54"/>
        <v>N/A</v>
      </c>
      <c r="L210" t="str">
        <f t="shared" si="55"/>
        <v>N/A</v>
      </c>
      <c r="M210" t="str">
        <f t="shared" si="56"/>
        <v>N/A</v>
      </c>
      <c r="N210" t="str">
        <f t="shared" si="57"/>
        <v>N/A</v>
      </c>
      <c r="P210">
        <f t="shared" si="58"/>
        <v>0</v>
      </c>
      <c r="Q210" t="str">
        <f>IFERROR(J144+MATCH(P210,J210:N210,0)-1,"")</f>
        <v/>
      </c>
      <c r="R210" t="str">
        <f t="shared" si="59"/>
        <v/>
      </c>
      <c r="S210" t="str">
        <f>IFERROR(J144+MATCH(R210,J210:N210,0)-1,"")</f>
        <v/>
      </c>
      <c r="T210" t="str">
        <f t="shared" si="60"/>
        <v/>
      </c>
      <c r="U210" t="str">
        <f t="shared" si="61"/>
        <v/>
      </c>
      <c r="V210" t="str">
        <f t="shared" si="62"/>
        <v/>
      </c>
      <c r="W210" t="str">
        <f t="shared" si="63"/>
        <v/>
      </c>
      <c r="X210" t="str">
        <f t="shared" si="64"/>
        <v/>
      </c>
      <c r="Y210" t="str">
        <f t="shared" si="65"/>
        <v/>
      </c>
      <c r="Z210" t="str">
        <f t="shared" si="66"/>
        <v/>
      </c>
      <c r="AA210">
        <f t="shared" si="67"/>
        <v>0</v>
      </c>
      <c r="AB210" t="str">
        <f>IFERROR(V144+MATCH(AA210,V210:Z210,0)-1,"")</f>
        <v/>
      </c>
      <c r="AC210" t="str">
        <f t="shared" si="68"/>
        <v/>
      </c>
      <c r="AE210" t="str">
        <f>IF(ISNUMBER(MATCH("N/A",J210:N210,0)),"",IFERROR((5 * SUMPRODUCT(J144:N144,J210:N210) - PRODUCT(SUM(J144:N144),SUM(J210:N210))) / ((5 * SUM((J144^2)+(K144^2)+(L144^2)+(M144^2)+(N144^2))) - SUM(J144:N144)^2),""))</f>
        <v/>
      </c>
      <c r="AF210" t="str">
        <f>IFERROR(CORREL(J144:N144,J210:N210),"")</f>
        <v/>
      </c>
      <c r="AZ210">
        <f t="shared" si="69"/>
        <v>0</v>
      </c>
      <c r="BA210" t="str">
        <f>IF(AZ210=1,IF(Q210="","",IF(Q210=N144,"Yes","No")),"")</f>
        <v/>
      </c>
      <c r="BB210" t="str">
        <f t="shared" si="70"/>
        <v/>
      </c>
      <c r="BC210" t="str">
        <f>IF(AZ210=1,IF(S210="","",IF(S210=N144,"Yes","No")),"")</f>
        <v/>
      </c>
      <c r="BD210" t="str">
        <f t="shared" si="71"/>
        <v/>
      </c>
      <c r="BE210" t="str">
        <f t="shared" si="72"/>
        <v/>
      </c>
      <c r="BF210" t="str">
        <f t="shared" si="73"/>
        <v>No</v>
      </c>
      <c r="BG210" t="str">
        <f t="shared" si="74"/>
        <v>No</v>
      </c>
      <c r="BH210" t="str">
        <f t="shared" si="75"/>
        <v/>
      </c>
    </row>
    <row r="211" spans="9:60" x14ac:dyDescent="0.3">
      <c r="I211" t="str">
        <f t="shared" si="52"/>
        <v>N/A</v>
      </c>
      <c r="J211" t="str">
        <f t="shared" si="53"/>
        <v>N/A</v>
      </c>
      <c r="K211" t="str">
        <f t="shared" si="54"/>
        <v>N/A</v>
      </c>
      <c r="L211" t="str">
        <f t="shared" si="55"/>
        <v>N/A</v>
      </c>
      <c r="M211" t="str">
        <f t="shared" si="56"/>
        <v>N/A</v>
      </c>
      <c r="N211" t="str">
        <f t="shared" si="57"/>
        <v>N/A</v>
      </c>
      <c r="P211">
        <f t="shared" si="58"/>
        <v>0</v>
      </c>
      <c r="Q211" t="str">
        <f>IFERROR(J144+MATCH(P211,J211:N211,0)-1,"")</f>
        <v/>
      </c>
      <c r="R211" t="str">
        <f t="shared" si="59"/>
        <v/>
      </c>
      <c r="S211" t="str">
        <f>IFERROR(J144+MATCH(R211,J211:N211,0)-1,"")</f>
        <v/>
      </c>
      <c r="T211" t="str">
        <f t="shared" si="60"/>
        <v/>
      </c>
      <c r="U211" t="str">
        <f t="shared" si="61"/>
        <v/>
      </c>
      <c r="V211" t="str">
        <f t="shared" si="62"/>
        <v/>
      </c>
      <c r="W211" t="str">
        <f t="shared" si="63"/>
        <v/>
      </c>
      <c r="X211" t="str">
        <f t="shared" si="64"/>
        <v/>
      </c>
      <c r="Y211" t="str">
        <f t="shared" si="65"/>
        <v/>
      </c>
      <c r="Z211" t="str">
        <f t="shared" si="66"/>
        <v/>
      </c>
      <c r="AA211">
        <f t="shared" si="67"/>
        <v>0</v>
      </c>
      <c r="AB211" t="str">
        <f>IFERROR(V144+MATCH(AA211,V211:Z211,0)-1,"")</f>
        <v/>
      </c>
      <c r="AC211" t="str">
        <f t="shared" si="68"/>
        <v/>
      </c>
      <c r="AE211" t="str">
        <f>IF(ISNUMBER(MATCH("N/A",J211:N211,0)),"",IFERROR((5 * SUMPRODUCT(J144:N144,J211:N211) - PRODUCT(SUM(J144:N144),SUM(J211:N211))) / ((5 * SUM((J144^2)+(K144^2)+(L144^2)+(M144^2)+(N144^2))) - SUM(J144:N144)^2),""))</f>
        <v/>
      </c>
      <c r="AF211" t="str">
        <f>IFERROR(CORREL(J144:N144,J211:N211),"")</f>
        <v/>
      </c>
      <c r="AZ211">
        <f t="shared" si="69"/>
        <v>0</v>
      </c>
      <c r="BA211" t="str">
        <f>IF(AZ211=1,IF(Q211="","",IF(Q211=N144,"Yes","No")),"")</f>
        <v/>
      </c>
      <c r="BB211" t="str">
        <f t="shared" si="70"/>
        <v/>
      </c>
      <c r="BC211" t="str">
        <f>IF(AZ211=1,IF(S211="","",IF(S211=N144,"Yes","No")),"")</f>
        <v/>
      </c>
      <c r="BD211" t="str">
        <f t="shared" si="71"/>
        <v/>
      </c>
      <c r="BE211" t="str">
        <f t="shared" si="72"/>
        <v/>
      </c>
      <c r="BF211" t="str">
        <f t="shared" si="73"/>
        <v>No</v>
      </c>
      <c r="BG211" t="str">
        <f t="shared" si="74"/>
        <v>No</v>
      </c>
      <c r="BH211" t="str">
        <f t="shared" si="75"/>
        <v/>
      </c>
    </row>
    <row r="212" spans="9:60" x14ac:dyDescent="0.3">
      <c r="I212" t="str">
        <f t="shared" si="52"/>
        <v>N/A</v>
      </c>
      <c r="J212" t="str">
        <f t="shared" si="53"/>
        <v>N/A</v>
      </c>
      <c r="K212" t="str">
        <f t="shared" si="54"/>
        <v>N/A</v>
      </c>
      <c r="L212" t="str">
        <f t="shared" si="55"/>
        <v>N/A</v>
      </c>
      <c r="M212" t="str">
        <f t="shared" si="56"/>
        <v>N/A</v>
      </c>
      <c r="N212" t="str">
        <f t="shared" si="57"/>
        <v>N/A</v>
      </c>
      <c r="P212">
        <f t="shared" si="58"/>
        <v>0</v>
      </c>
      <c r="Q212" t="str">
        <f>IFERROR(J144+MATCH(P212,J212:N212,0)-1,"")</f>
        <v/>
      </c>
      <c r="R212" t="str">
        <f t="shared" si="59"/>
        <v/>
      </c>
      <c r="S212" t="str">
        <f>IFERROR(J144+MATCH(R212,J212:N212,0)-1,"")</f>
        <v/>
      </c>
      <c r="T212" t="str">
        <f t="shared" si="60"/>
        <v/>
      </c>
      <c r="U212" t="str">
        <f t="shared" si="61"/>
        <v/>
      </c>
      <c r="V212" t="str">
        <f t="shared" si="62"/>
        <v/>
      </c>
      <c r="W212" t="str">
        <f t="shared" si="63"/>
        <v/>
      </c>
      <c r="X212" t="str">
        <f t="shared" si="64"/>
        <v/>
      </c>
      <c r="Y212" t="str">
        <f t="shared" si="65"/>
        <v/>
      </c>
      <c r="Z212" t="str">
        <f t="shared" si="66"/>
        <v/>
      </c>
      <c r="AA212">
        <f t="shared" si="67"/>
        <v>0</v>
      </c>
      <c r="AB212" t="str">
        <f>IFERROR(V144+MATCH(AA212,V212:Z212,0)-1,"")</f>
        <v/>
      </c>
      <c r="AC212" t="str">
        <f t="shared" si="68"/>
        <v/>
      </c>
      <c r="AE212" t="str">
        <f>IF(ISNUMBER(MATCH("N/A",J212:N212,0)),"",IFERROR((5 * SUMPRODUCT(J144:N144,J212:N212) - PRODUCT(SUM(J144:N144),SUM(J212:N212))) / ((5 * SUM((J144^2)+(K144^2)+(L144^2)+(M144^2)+(N144^2))) - SUM(J144:N144)^2),""))</f>
        <v/>
      </c>
      <c r="AF212" t="str">
        <f>IFERROR(CORREL(J144:N144,J212:N212),"")</f>
        <v/>
      </c>
      <c r="AZ212">
        <f t="shared" si="69"/>
        <v>0</v>
      </c>
      <c r="BA212" t="str">
        <f>IF(AZ212=1,IF(Q212="","",IF(Q212=N144,"Yes","No")),"")</f>
        <v/>
      </c>
      <c r="BB212" t="str">
        <f t="shared" si="70"/>
        <v/>
      </c>
      <c r="BC212" t="str">
        <f>IF(AZ212=1,IF(S212="","",IF(S212=N144,"Yes","No")),"")</f>
        <v/>
      </c>
      <c r="BD212" t="str">
        <f t="shared" si="71"/>
        <v/>
      </c>
      <c r="BE212" t="str">
        <f t="shared" si="72"/>
        <v/>
      </c>
      <c r="BF212" t="str">
        <f t="shared" si="73"/>
        <v>No</v>
      </c>
      <c r="BG212" t="str">
        <f t="shared" si="74"/>
        <v>No</v>
      </c>
      <c r="BH212" t="str">
        <f t="shared" si="75"/>
        <v/>
      </c>
    </row>
    <row r="213" spans="9:60" x14ac:dyDescent="0.3">
      <c r="I213" t="str">
        <f t="shared" si="52"/>
        <v>N/A</v>
      </c>
      <c r="J213" t="str">
        <f t="shared" si="53"/>
        <v>N/A</v>
      </c>
      <c r="K213" t="str">
        <f t="shared" si="54"/>
        <v>N/A</v>
      </c>
      <c r="L213" t="str">
        <f t="shared" si="55"/>
        <v>N/A</v>
      </c>
      <c r="M213" t="str">
        <f t="shared" si="56"/>
        <v>N/A</v>
      </c>
      <c r="N213" t="str">
        <f t="shared" si="57"/>
        <v>N/A</v>
      </c>
      <c r="P213">
        <f t="shared" si="58"/>
        <v>0</v>
      </c>
      <c r="Q213" t="str">
        <f>IFERROR(J144+MATCH(P213,J213:N213,0)-1,"")</f>
        <v/>
      </c>
      <c r="R213" t="str">
        <f t="shared" si="59"/>
        <v/>
      </c>
      <c r="S213" t="str">
        <f>IFERROR(J144+MATCH(R213,J213:N213,0)-1,"")</f>
        <v/>
      </c>
      <c r="T213" t="str">
        <f t="shared" si="60"/>
        <v/>
      </c>
      <c r="U213" t="str">
        <f t="shared" si="61"/>
        <v/>
      </c>
      <c r="V213" t="str">
        <f t="shared" si="62"/>
        <v/>
      </c>
      <c r="W213" t="str">
        <f t="shared" si="63"/>
        <v/>
      </c>
      <c r="X213" t="str">
        <f t="shared" si="64"/>
        <v/>
      </c>
      <c r="Y213" t="str">
        <f t="shared" si="65"/>
        <v/>
      </c>
      <c r="Z213" t="str">
        <f t="shared" si="66"/>
        <v/>
      </c>
      <c r="AA213">
        <f t="shared" si="67"/>
        <v>0</v>
      </c>
      <c r="AB213" t="str">
        <f>IFERROR(V144+MATCH(AA213,V213:Z213,0)-1,"")</f>
        <v/>
      </c>
      <c r="AC213" t="str">
        <f t="shared" si="68"/>
        <v/>
      </c>
      <c r="AE213" t="str">
        <f>IF(ISNUMBER(MATCH("N/A",J213:N213,0)),"",IFERROR((5 * SUMPRODUCT(J144:N144,J213:N213) - PRODUCT(SUM(J144:N144),SUM(J213:N213))) / ((5 * SUM((J144^2)+(K144^2)+(L144^2)+(M144^2)+(N144^2))) - SUM(J144:N144)^2),""))</f>
        <v/>
      </c>
      <c r="AF213" t="str">
        <f>IFERROR(CORREL(J144:N144,J213:N213),"")</f>
        <v/>
      </c>
      <c r="AZ213">
        <f t="shared" si="69"/>
        <v>0</v>
      </c>
      <c r="BA213" t="str">
        <f>IF(AZ213=1,IF(Q213="","",IF(Q213=N144,"Yes","No")),"")</f>
        <v/>
      </c>
      <c r="BB213" t="str">
        <f t="shared" si="70"/>
        <v/>
      </c>
      <c r="BC213" t="str">
        <f>IF(AZ213=1,IF(S213="","",IF(S213=N144,"Yes","No")),"")</f>
        <v/>
      </c>
      <c r="BD213" t="str">
        <f t="shared" si="71"/>
        <v/>
      </c>
      <c r="BE213" t="str">
        <f t="shared" si="72"/>
        <v/>
      </c>
      <c r="BF213" t="str">
        <f t="shared" si="73"/>
        <v>No</v>
      </c>
      <c r="BG213" t="str">
        <f t="shared" si="74"/>
        <v>No</v>
      </c>
      <c r="BH213" t="str">
        <f t="shared" si="75"/>
        <v/>
      </c>
    </row>
    <row r="214" spans="9:60" x14ac:dyDescent="0.3">
      <c r="I214" t="str">
        <f t="shared" si="52"/>
        <v>N/A</v>
      </c>
      <c r="J214" t="str">
        <f t="shared" si="53"/>
        <v>N/A</v>
      </c>
      <c r="K214" t="str">
        <f t="shared" si="54"/>
        <v>N/A</v>
      </c>
      <c r="L214" t="str">
        <f t="shared" si="55"/>
        <v>N/A</v>
      </c>
      <c r="M214" t="str">
        <f t="shared" si="56"/>
        <v>N/A</v>
      </c>
      <c r="N214" t="str">
        <f t="shared" si="57"/>
        <v>N/A</v>
      </c>
      <c r="P214">
        <f t="shared" si="58"/>
        <v>0</v>
      </c>
      <c r="Q214" t="str">
        <f>IFERROR(J144+MATCH(P214,J214:N214,0)-1,"")</f>
        <v/>
      </c>
      <c r="R214" t="str">
        <f t="shared" si="59"/>
        <v/>
      </c>
      <c r="S214" t="str">
        <f>IFERROR(J144+MATCH(R214,J214:N214,0)-1,"")</f>
        <v/>
      </c>
      <c r="T214" t="str">
        <f t="shared" si="60"/>
        <v/>
      </c>
      <c r="U214" t="str">
        <f t="shared" si="61"/>
        <v/>
      </c>
      <c r="V214" t="str">
        <f t="shared" si="62"/>
        <v/>
      </c>
      <c r="W214" t="str">
        <f t="shared" si="63"/>
        <v/>
      </c>
      <c r="X214" t="str">
        <f t="shared" si="64"/>
        <v/>
      </c>
      <c r="Y214" t="str">
        <f t="shared" si="65"/>
        <v/>
      </c>
      <c r="Z214" t="str">
        <f t="shared" si="66"/>
        <v/>
      </c>
      <c r="AA214">
        <f t="shared" si="67"/>
        <v>0</v>
      </c>
      <c r="AB214" t="str">
        <f>IFERROR(V144+MATCH(AA214,V214:Z214,0)-1,"")</f>
        <v/>
      </c>
      <c r="AC214" t="str">
        <f t="shared" si="68"/>
        <v/>
      </c>
      <c r="AE214" t="str">
        <f>IF(ISNUMBER(MATCH("N/A",J214:N214,0)),"",IFERROR((5 * SUMPRODUCT(J144:N144,J214:N214) - PRODUCT(SUM(J144:N144),SUM(J214:N214))) / ((5 * SUM((J144^2)+(K144^2)+(L144^2)+(M144^2)+(N144^2))) - SUM(J144:N144)^2),""))</f>
        <v/>
      </c>
      <c r="AF214" t="str">
        <f>IFERROR(CORREL(J144:N144,J214:N214),"")</f>
        <v/>
      </c>
      <c r="AZ214">
        <f t="shared" si="69"/>
        <v>0</v>
      </c>
      <c r="BA214" t="str">
        <f>IF(AZ214=1,IF(Q214="","",IF(Q214=N144,"Yes","No")),"")</f>
        <v/>
      </c>
      <c r="BB214" t="str">
        <f t="shared" si="70"/>
        <v/>
      </c>
      <c r="BC214" t="str">
        <f>IF(AZ214=1,IF(S214="","",IF(S214=N144,"Yes","No")),"")</f>
        <v/>
      </c>
      <c r="BD214" t="str">
        <f t="shared" si="71"/>
        <v/>
      </c>
      <c r="BE214" t="str">
        <f t="shared" si="72"/>
        <v/>
      </c>
      <c r="BF214" t="str">
        <f t="shared" si="73"/>
        <v>No</v>
      </c>
      <c r="BG214" t="str">
        <f t="shared" si="74"/>
        <v>No</v>
      </c>
      <c r="BH214" t="str">
        <f t="shared" si="75"/>
        <v/>
      </c>
    </row>
    <row r="215" spans="9:60" x14ac:dyDescent="0.3">
      <c r="I215" t="str">
        <f t="shared" si="52"/>
        <v>N/A</v>
      </c>
      <c r="J215" t="str">
        <f t="shared" si="53"/>
        <v>N/A</v>
      </c>
      <c r="K215" t="str">
        <f t="shared" si="54"/>
        <v>N/A</v>
      </c>
      <c r="L215" t="str">
        <f t="shared" si="55"/>
        <v>N/A</v>
      </c>
      <c r="M215" t="str">
        <f t="shared" si="56"/>
        <v>N/A</v>
      </c>
      <c r="N215" t="str">
        <f t="shared" si="57"/>
        <v>N/A</v>
      </c>
      <c r="P215">
        <f t="shared" si="58"/>
        <v>0</v>
      </c>
      <c r="Q215" t="str">
        <f>IFERROR(J144+MATCH(P215,J215:N215,0)-1,"")</f>
        <v/>
      </c>
      <c r="R215" t="str">
        <f t="shared" si="59"/>
        <v/>
      </c>
      <c r="S215" t="str">
        <f>IFERROR(J144+MATCH(R215,J215:N215,0)-1,"")</f>
        <v/>
      </c>
      <c r="T215" t="str">
        <f t="shared" si="60"/>
        <v/>
      </c>
      <c r="U215" t="str">
        <f t="shared" si="61"/>
        <v/>
      </c>
      <c r="V215" t="str">
        <f t="shared" si="62"/>
        <v/>
      </c>
      <c r="W215" t="str">
        <f t="shared" si="63"/>
        <v/>
      </c>
      <c r="X215" t="str">
        <f t="shared" si="64"/>
        <v/>
      </c>
      <c r="Y215" t="str">
        <f t="shared" si="65"/>
        <v/>
      </c>
      <c r="Z215" t="str">
        <f t="shared" si="66"/>
        <v/>
      </c>
      <c r="AA215">
        <f t="shared" si="67"/>
        <v>0</v>
      </c>
      <c r="AB215" t="str">
        <f>IFERROR(V144+MATCH(AA215,V215:Z215,0)-1,"")</f>
        <v/>
      </c>
      <c r="AC215" t="str">
        <f t="shared" si="68"/>
        <v/>
      </c>
      <c r="AE215" t="str">
        <f>IF(ISNUMBER(MATCH("N/A",J215:N215,0)),"",IFERROR((5 * SUMPRODUCT(J144:N144,J215:N215) - PRODUCT(SUM(J144:N144),SUM(J215:N215))) / ((5 * SUM((J144^2)+(K144^2)+(L144^2)+(M144^2)+(N144^2))) - SUM(J144:N144)^2),""))</f>
        <v/>
      </c>
      <c r="AF215" t="str">
        <f>IFERROR(CORREL(J144:N144,J215:N215),"")</f>
        <v/>
      </c>
      <c r="AZ215">
        <f t="shared" si="69"/>
        <v>0</v>
      </c>
      <c r="BA215" t="str">
        <f>IF(AZ215=1,IF(Q215="","",IF(Q215=N144,"Yes","No")),"")</f>
        <v/>
      </c>
      <c r="BB215" t="str">
        <f t="shared" si="70"/>
        <v/>
      </c>
      <c r="BC215" t="str">
        <f>IF(AZ215=1,IF(S215="","",IF(S215=N144,"Yes","No")),"")</f>
        <v/>
      </c>
      <c r="BD215" t="str">
        <f t="shared" si="71"/>
        <v/>
      </c>
      <c r="BE215" t="str">
        <f t="shared" si="72"/>
        <v/>
      </c>
      <c r="BF215" t="str">
        <f t="shared" si="73"/>
        <v>No</v>
      </c>
      <c r="BG215" t="str">
        <f t="shared" si="74"/>
        <v>No</v>
      </c>
      <c r="BH215" t="str">
        <f t="shared" si="75"/>
        <v/>
      </c>
    </row>
    <row r="216" spans="9:60" x14ac:dyDescent="0.3">
      <c r="I216" t="str">
        <f t="shared" si="52"/>
        <v>N/A</v>
      </c>
      <c r="J216" t="str">
        <f t="shared" si="53"/>
        <v>N/A</v>
      </c>
      <c r="K216" t="str">
        <f t="shared" si="54"/>
        <v>N/A</v>
      </c>
      <c r="L216" t="str">
        <f t="shared" si="55"/>
        <v>N/A</v>
      </c>
      <c r="M216" t="str">
        <f t="shared" si="56"/>
        <v>N/A</v>
      </c>
      <c r="N216" t="str">
        <f t="shared" si="57"/>
        <v>N/A</v>
      </c>
      <c r="P216">
        <f t="shared" si="58"/>
        <v>0</v>
      </c>
      <c r="Q216" t="str">
        <f>IFERROR(J144+MATCH(P216,J216:N216,0)-1,"")</f>
        <v/>
      </c>
      <c r="R216" t="str">
        <f t="shared" si="59"/>
        <v/>
      </c>
      <c r="S216" t="str">
        <f>IFERROR(J144+MATCH(R216,J216:N216,0)-1,"")</f>
        <v/>
      </c>
      <c r="T216" t="str">
        <f t="shared" si="60"/>
        <v/>
      </c>
      <c r="U216" t="str">
        <f t="shared" si="61"/>
        <v/>
      </c>
      <c r="V216" t="str">
        <f t="shared" si="62"/>
        <v/>
      </c>
      <c r="W216" t="str">
        <f t="shared" si="63"/>
        <v/>
      </c>
      <c r="X216" t="str">
        <f t="shared" si="64"/>
        <v/>
      </c>
      <c r="Y216" t="str">
        <f t="shared" si="65"/>
        <v/>
      </c>
      <c r="Z216" t="str">
        <f t="shared" si="66"/>
        <v/>
      </c>
      <c r="AA216">
        <f t="shared" si="67"/>
        <v>0</v>
      </c>
      <c r="AB216" t="str">
        <f>IFERROR(V144+MATCH(AA216,V216:Z216,0)-1,"")</f>
        <v/>
      </c>
      <c r="AC216" t="str">
        <f t="shared" si="68"/>
        <v/>
      </c>
      <c r="AE216" t="str">
        <f>IF(ISNUMBER(MATCH("N/A",J216:N216,0)),"",IFERROR((5 * SUMPRODUCT(J144:N144,J216:N216) - PRODUCT(SUM(J144:N144),SUM(J216:N216))) / ((5 * SUM((J144^2)+(K144^2)+(L144^2)+(M144^2)+(N144^2))) - SUM(J144:N144)^2),""))</f>
        <v/>
      </c>
      <c r="AF216" t="str">
        <f>IFERROR(CORREL(J144:N144,J216:N216),"")</f>
        <v/>
      </c>
      <c r="AZ216">
        <f t="shared" si="69"/>
        <v>0</v>
      </c>
      <c r="BA216" t="str">
        <f>IF(AZ216=1,IF(Q216="","",IF(Q216=N144,"Yes","No")),"")</f>
        <v/>
      </c>
      <c r="BB216" t="str">
        <f t="shared" si="70"/>
        <v/>
      </c>
      <c r="BC216" t="str">
        <f>IF(AZ216=1,IF(S216="","",IF(S216=N144,"Yes","No")),"")</f>
        <v/>
      </c>
      <c r="BD216" t="str">
        <f t="shared" si="71"/>
        <v/>
      </c>
      <c r="BE216" t="str">
        <f t="shared" si="72"/>
        <v/>
      </c>
      <c r="BF216" t="str">
        <f t="shared" si="73"/>
        <v>No</v>
      </c>
      <c r="BG216" t="str">
        <f t="shared" si="74"/>
        <v>No</v>
      </c>
      <c r="BH216" t="str">
        <f t="shared" si="75"/>
        <v/>
      </c>
    </row>
    <row r="217" spans="9:60" x14ac:dyDescent="0.3">
      <c r="I217" t="str">
        <f t="shared" si="52"/>
        <v>N/A</v>
      </c>
      <c r="J217" t="str">
        <f t="shared" si="53"/>
        <v>N/A</v>
      </c>
      <c r="K217" t="str">
        <f t="shared" si="54"/>
        <v>N/A</v>
      </c>
      <c r="L217" t="str">
        <f t="shared" si="55"/>
        <v>N/A</v>
      </c>
      <c r="M217" t="str">
        <f t="shared" si="56"/>
        <v>N/A</v>
      </c>
      <c r="N217" t="str">
        <f t="shared" si="57"/>
        <v>N/A</v>
      </c>
      <c r="P217">
        <f t="shared" si="58"/>
        <v>0</v>
      </c>
      <c r="Q217" t="str">
        <f>IFERROR(J144+MATCH(P217,J217:N217,0)-1,"")</f>
        <v/>
      </c>
      <c r="R217" t="str">
        <f t="shared" si="59"/>
        <v/>
      </c>
      <c r="S217" t="str">
        <f>IFERROR(J144+MATCH(R217,J217:N217,0)-1,"")</f>
        <v/>
      </c>
      <c r="T217" t="str">
        <f t="shared" si="60"/>
        <v/>
      </c>
      <c r="U217" t="str">
        <f t="shared" si="61"/>
        <v/>
      </c>
      <c r="V217" t="str">
        <f t="shared" si="62"/>
        <v/>
      </c>
      <c r="W217" t="str">
        <f t="shared" si="63"/>
        <v/>
      </c>
      <c r="X217" t="str">
        <f t="shared" si="64"/>
        <v/>
      </c>
      <c r="Y217" t="str">
        <f t="shared" si="65"/>
        <v/>
      </c>
      <c r="Z217" t="str">
        <f t="shared" si="66"/>
        <v/>
      </c>
      <c r="AA217">
        <f t="shared" si="67"/>
        <v>0</v>
      </c>
      <c r="AB217" t="str">
        <f>IFERROR(V144+MATCH(AA217,V217:Z217,0)-1,"")</f>
        <v/>
      </c>
      <c r="AC217" t="str">
        <f t="shared" si="68"/>
        <v/>
      </c>
      <c r="AE217" t="str">
        <f>IF(ISNUMBER(MATCH("N/A",J217:N217,0)),"",IFERROR((5 * SUMPRODUCT(J144:N144,J217:N217) - PRODUCT(SUM(J144:N144),SUM(J217:N217))) / ((5 * SUM((J144^2)+(K144^2)+(L144^2)+(M144^2)+(N144^2))) - SUM(J144:N144)^2),""))</f>
        <v/>
      </c>
      <c r="AF217" t="str">
        <f>IFERROR(CORREL(J144:N144,J217:N217),"")</f>
        <v/>
      </c>
      <c r="AZ217">
        <f t="shared" si="69"/>
        <v>0</v>
      </c>
      <c r="BA217" t="str">
        <f>IF(AZ217=1,IF(Q217="","",IF(Q217=N144,"Yes","No")),"")</f>
        <v/>
      </c>
      <c r="BB217" t="str">
        <f t="shared" si="70"/>
        <v/>
      </c>
      <c r="BC217" t="str">
        <f>IF(AZ217=1,IF(S217="","",IF(S217=N144,"Yes","No")),"")</f>
        <v/>
      </c>
      <c r="BD217" t="str">
        <f t="shared" si="71"/>
        <v/>
      </c>
      <c r="BE217" t="str">
        <f t="shared" si="72"/>
        <v/>
      </c>
      <c r="BF217" t="str">
        <f t="shared" si="73"/>
        <v>No</v>
      </c>
      <c r="BG217" t="str">
        <f t="shared" si="74"/>
        <v>No</v>
      </c>
      <c r="BH217" t="str">
        <f t="shared" si="75"/>
        <v/>
      </c>
    </row>
    <row r="218" spans="9:60" x14ac:dyDescent="0.3">
      <c r="I218" t="str">
        <f t="shared" si="52"/>
        <v>N/A</v>
      </c>
      <c r="J218" t="str">
        <f t="shared" si="53"/>
        <v>N/A</v>
      </c>
      <c r="K218" t="str">
        <f t="shared" si="54"/>
        <v>N/A</v>
      </c>
      <c r="L218" t="str">
        <f t="shared" si="55"/>
        <v>N/A</v>
      </c>
      <c r="M218" t="str">
        <f t="shared" si="56"/>
        <v>N/A</v>
      </c>
      <c r="N218" t="str">
        <f t="shared" si="57"/>
        <v>N/A</v>
      </c>
      <c r="P218">
        <f t="shared" si="58"/>
        <v>0</v>
      </c>
      <c r="Q218" t="str">
        <f>IFERROR(J144+MATCH(P218,J218:N218,0)-1,"")</f>
        <v/>
      </c>
      <c r="R218" t="str">
        <f t="shared" si="59"/>
        <v/>
      </c>
      <c r="S218" t="str">
        <f>IFERROR(J144+MATCH(R218,J218:N218,0)-1,"")</f>
        <v/>
      </c>
      <c r="T218" t="str">
        <f t="shared" si="60"/>
        <v/>
      </c>
      <c r="U218" t="str">
        <f t="shared" si="61"/>
        <v/>
      </c>
      <c r="V218" t="str">
        <f t="shared" si="62"/>
        <v/>
      </c>
      <c r="W218" t="str">
        <f t="shared" si="63"/>
        <v/>
      </c>
      <c r="X218" t="str">
        <f t="shared" si="64"/>
        <v/>
      </c>
      <c r="Y218" t="str">
        <f t="shared" si="65"/>
        <v/>
      </c>
      <c r="Z218" t="str">
        <f t="shared" si="66"/>
        <v/>
      </c>
      <c r="AA218">
        <f t="shared" si="67"/>
        <v>0</v>
      </c>
      <c r="AB218" t="str">
        <f>IFERROR(V144+MATCH(AA218,V218:Z218,0)-1,"")</f>
        <v/>
      </c>
      <c r="AC218" t="str">
        <f t="shared" si="68"/>
        <v/>
      </c>
      <c r="AE218" t="str">
        <f>IF(ISNUMBER(MATCH("N/A",J218:N218,0)),"",IFERROR((5 * SUMPRODUCT(J144:N144,J218:N218) - PRODUCT(SUM(J144:N144),SUM(J218:N218))) / ((5 * SUM((J144^2)+(K144^2)+(L144^2)+(M144^2)+(N144^2))) - SUM(J144:N144)^2),""))</f>
        <v/>
      </c>
      <c r="AF218" t="str">
        <f>IFERROR(CORREL(J144:N144,J218:N218),"")</f>
        <v/>
      </c>
      <c r="AZ218">
        <f t="shared" si="69"/>
        <v>0</v>
      </c>
      <c r="BA218" t="str">
        <f>IF(AZ218=1,IF(Q218="","",IF(Q218=N144,"Yes","No")),"")</f>
        <v/>
      </c>
      <c r="BB218" t="str">
        <f t="shared" si="70"/>
        <v/>
      </c>
      <c r="BC218" t="str">
        <f>IF(AZ218=1,IF(S218="","",IF(S218=N144,"Yes","No")),"")</f>
        <v/>
      </c>
      <c r="BD218" t="str">
        <f t="shared" si="71"/>
        <v/>
      </c>
      <c r="BE218" t="str">
        <f t="shared" si="72"/>
        <v/>
      </c>
      <c r="BF218" t="str">
        <f t="shared" si="73"/>
        <v>No</v>
      </c>
      <c r="BG218" t="str">
        <f t="shared" si="74"/>
        <v>No</v>
      </c>
      <c r="BH218" t="str">
        <f t="shared" si="75"/>
        <v/>
      </c>
    </row>
    <row r="219" spans="9:60" x14ac:dyDescent="0.3">
      <c r="I219" t="str">
        <f t="shared" si="52"/>
        <v>N/A</v>
      </c>
      <c r="J219" t="str">
        <f t="shared" si="53"/>
        <v>N/A</v>
      </c>
      <c r="K219" t="str">
        <f t="shared" si="54"/>
        <v>N/A</v>
      </c>
      <c r="L219" t="str">
        <f t="shared" si="55"/>
        <v>N/A</v>
      </c>
      <c r="M219" t="str">
        <f t="shared" si="56"/>
        <v>N/A</v>
      </c>
      <c r="N219" t="str">
        <f t="shared" si="57"/>
        <v>N/A</v>
      </c>
      <c r="P219">
        <f t="shared" si="58"/>
        <v>0</v>
      </c>
      <c r="Q219" t="str">
        <f>IFERROR(J144+MATCH(P219,J219:N219,0)-1,"")</f>
        <v/>
      </c>
      <c r="R219" t="str">
        <f t="shared" si="59"/>
        <v/>
      </c>
      <c r="S219" t="str">
        <f>IFERROR(J144+MATCH(R219,J219:N219,0)-1,"")</f>
        <v/>
      </c>
      <c r="T219" t="str">
        <f t="shared" si="60"/>
        <v/>
      </c>
      <c r="U219" t="str">
        <f t="shared" si="61"/>
        <v/>
      </c>
      <c r="V219" t="str">
        <f t="shared" si="62"/>
        <v/>
      </c>
      <c r="W219" t="str">
        <f t="shared" si="63"/>
        <v/>
      </c>
      <c r="X219" t="str">
        <f t="shared" si="64"/>
        <v/>
      </c>
      <c r="Y219" t="str">
        <f t="shared" si="65"/>
        <v/>
      </c>
      <c r="Z219" t="str">
        <f t="shared" si="66"/>
        <v/>
      </c>
      <c r="AA219">
        <f t="shared" si="67"/>
        <v>0</v>
      </c>
      <c r="AB219" t="str">
        <f>IFERROR(V144+MATCH(AA219,V219:Z219,0)-1,"")</f>
        <v/>
      </c>
      <c r="AC219" t="str">
        <f t="shared" si="68"/>
        <v/>
      </c>
      <c r="AE219" t="str">
        <f>IF(ISNUMBER(MATCH("N/A",J219:N219,0)),"",IFERROR((5 * SUMPRODUCT(J144:N144,J219:N219) - PRODUCT(SUM(J144:N144),SUM(J219:N219))) / ((5 * SUM((J144^2)+(K144^2)+(L144^2)+(M144^2)+(N144^2))) - SUM(J144:N144)^2),""))</f>
        <v/>
      </c>
      <c r="AF219" t="str">
        <f>IFERROR(CORREL(J144:N144,J219:N219),"")</f>
        <v/>
      </c>
      <c r="AZ219">
        <f t="shared" si="69"/>
        <v>0</v>
      </c>
      <c r="BA219" t="str">
        <f>IF(AZ219=1,IF(Q219="","",IF(Q219=N144,"Yes","No")),"")</f>
        <v/>
      </c>
      <c r="BB219" t="str">
        <f t="shared" si="70"/>
        <v/>
      </c>
      <c r="BC219" t="str">
        <f>IF(AZ219=1,IF(S219="","",IF(S219=N144,"Yes","No")),"")</f>
        <v/>
      </c>
      <c r="BD219" t="str">
        <f t="shared" si="71"/>
        <v/>
      </c>
      <c r="BE219" t="str">
        <f t="shared" si="72"/>
        <v/>
      </c>
      <c r="BF219" t="str">
        <f t="shared" si="73"/>
        <v>No</v>
      </c>
      <c r="BG219" t="str">
        <f t="shared" si="74"/>
        <v>No</v>
      </c>
      <c r="BH219" t="str">
        <f t="shared" si="75"/>
        <v/>
      </c>
    </row>
    <row r="220" spans="9:60" x14ac:dyDescent="0.3">
      <c r="I220" t="str">
        <f t="shared" si="52"/>
        <v>N/A</v>
      </c>
      <c r="J220" t="str">
        <f t="shared" si="53"/>
        <v>N/A</v>
      </c>
      <c r="K220" t="str">
        <f t="shared" si="54"/>
        <v>N/A</v>
      </c>
      <c r="L220" t="str">
        <f t="shared" si="55"/>
        <v>N/A</v>
      </c>
      <c r="M220" t="str">
        <f t="shared" si="56"/>
        <v>N/A</v>
      </c>
      <c r="N220" t="str">
        <f t="shared" si="57"/>
        <v>N/A</v>
      </c>
      <c r="P220">
        <f t="shared" si="58"/>
        <v>0</v>
      </c>
      <c r="Q220" t="str">
        <f>IFERROR(J144+MATCH(P220,J220:N220,0)-1,"")</f>
        <v/>
      </c>
      <c r="R220" t="str">
        <f t="shared" si="59"/>
        <v/>
      </c>
      <c r="S220" t="str">
        <f>IFERROR(J144+MATCH(R220,J220:N220,0)-1,"")</f>
        <v/>
      </c>
      <c r="T220" t="str">
        <f t="shared" si="60"/>
        <v/>
      </c>
      <c r="U220" t="str">
        <f t="shared" si="61"/>
        <v/>
      </c>
      <c r="V220" t="str">
        <f t="shared" si="62"/>
        <v/>
      </c>
      <c r="W220" t="str">
        <f t="shared" si="63"/>
        <v/>
      </c>
      <c r="X220" t="str">
        <f t="shared" si="64"/>
        <v/>
      </c>
      <c r="Y220" t="str">
        <f t="shared" si="65"/>
        <v/>
      </c>
      <c r="Z220" t="str">
        <f t="shared" si="66"/>
        <v/>
      </c>
      <c r="AA220">
        <f t="shared" si="67"/>
        <v>0</v>
      </c>
      <c r="AB220" t="str">
        <f>IFERROR(V144+MATCH(AA220,V220:Z220,0)-1,"")</f>
        <v/>
      </c>
      <c r="AC220" t="str">
        <f t="shared" si="68"/>
        <v/>
      </c>
      <c r="AE220" t="str">
        <f>IF(ISNUMBER(MATCH("N/A",J220:N220,0)),"",IFERROR((5 * SUMPRODUCT(J144:N144,J220:N220) - PRODUCT(SUM(J144:N144),SUM(J220:N220))) / ((5 * SUM((J144^2)+(K144^2)+(L144^2)+(M144^2)+(N144^2))) - SUM(J144:N144)^2),""))</f>
        <v/>
      </c>
      <c r="AF220" t="str">
        <f>IFERROR(CORREL(J144:N144,J220:N220),"")</f>
        <v/>
      </c>
      <c r="AZ220">
        <f t="shared" si="69"/>
        <v>0</v>
      </c>
      <c r="BA220" t="str">
        <f>IF(AZ220=1,IF(Q220="","",IF(Q220=N144,"Yes","No")),"")</f>
        <v/>
      </c>
      <c r="BB220" t="str">
        <f t="shared" si="70"/>
        <v/>
      </c>
      <c r="BC220" t="str">
        <f>IF(AZ220=1,IF(S220="","",IF(S220=N144,"Yes","No")),"")</f>
        <v/>
      </c>
      <c r="BD220" t="str">
        <f t="shared" si="71"/>
        <v/>
      </c>
      <c r="BE220" t="str">
        <f t="shared" si="72"/>
        <v/>
      </c>
      <c r="BF220" t="str">
        <f t="shared" si="73"/>
        <v>No</v>
      </c>
      <c r="BG220" t="str">
        <f t="shared" si="74"/>
        <v>No</v>
      </c>
      <c r="BH220" t="str">
        <f t="shared" si="75"/>
        <v/>
      </c>
    </row>
    <row r="221" spans="9:60" x14ac:dyDescent="0.3">
      <c r="I221" t="str">
        <f t="shared" si="52"/>
        <v>N/A</v>
      </c>
      <c r="J221" t="str">
        <f t="shared" si="53"/>
        <v>N/A</v>
      </c>
      <c r="K221" t="str">
        <f t="shared" si="54"/>
        <v>N/A</v>
      </c>
      <c r="L221" t="str">
        <f t="shared" si="55"/>
        <v>N/A</v>
      </c>
      <c r="M221" t="str">
        <f t="shared" si="56"/>
        <v>N/A</v>
      </c>
      <c r="N221" t="str">
        <f t="shared" si="57"/>
        <v>N/A</v>
      </c>
      <c r="P221">
        <f t="shared" si="58"/>
        <v>0</v>
      </c>
      <c r="Q221" t="str">
        <f>IFERROR(J144+MATCH(P221,J221:N221,0)-1,"")</f>
        <v/>
      </c>
      <c r="R221" t="str">
        <f t="shared" si="59"/>
        <v/>
      </c>
      <c r="S221" t="str">
        <f>IFERROR(J144+MATCH(R221,J221:N221,0)-1,"")</f>
        <v/>
      </c>
      <c r="T221" t="str">
        <f t="shared" si="60"/>
        <v/>
      </c>
      <c r="U221" t="str">
        <f t="shared" si="61"/>
        <v/>
      </c>
      <c r="V221" t="str">
        <f t="shared" si="62"/>
        <v/>
      </c>
      <c r="W221" t="str">
        <f t="shared" si="63"/>
        <v/>
      </c>
      <c r="X221" t="str">
        <f t="shared" si="64"/>
        <v/>
      </c>
      <c r="Y221" t="str">
        <f t="shared" si="65"/>
        <v/>
      </c>
      <c r="Z221" t="str">
        <f t="shared" si="66"/>
        <v/>
      </c>
      <c r="AA221">
        <f t="shared" si="67"/>
        <v>0</v>
      </c>
      <c r="AB221" t="str">
        <f>IFERROR(V144+MATCH(AA221,V221:Z221,0)-1,"")</f>
        <v/>
      </c>
      <c r="AC221" t="str">
        <f t="shared" si="68"/>
        <v/>
      </c>
      <c r="AE221" t="str">
        <f>IF(ISNUMBER(MATCH("N/A",J221:N221,0)),"",IFERROR((5 * SUMPRODUCT(J144:N144,J221:N221) - PRODUCT(SUM(J144:N144),SUM(J221:N221))) / ((5 * SUM((J144^2)+(K144^2)+(L144^2)+(M144^2)+(N144^2))) - SUM(J144:N144)^2),""))</f>
        <v/>
      </c>
      <c r="AF221" t="str">
        <f>IFERROR(CORREL(J144:N144,J221:N221),"")</f>
        <v/>
      </c>
      <c r="AZ221">
        <f t="shared" si="69"/>
        <v>0</v>
      </c>
      <c r="BA221" t="str">
        <f>IF(AZ221=1,IF(Q221="","",IF(Q221=N144,"Yes","No")),"")</f>
        <v/>
      </c>
      <c r="BB221" t="str">
        <f t="shared" si="70"/>
        <v/>
      </c>
      <c r="BC221" t="str">
        <f>IF(AZ221=1,IF(S221="","",IF(S221=N144,"Yes","No")),"")</f>
        <v/>
      </c>
      <c r="BD221" t="str">
        <f t="shared" si="71"/>
        <v/>
      </c>
      <c r="BE221" t="str">
        <f t="shared" si="72"/>
        <v/>
      </c>
      <c r="BF221" t="str">
        <f t="shared" si="73"/>
        <v>No</v>
      </c>
      <c r="BG221" t="str">
        <f t="shared" si="74"/>
        <v>No</v>
      </c>
      <c r="BH221" t="str">
        <f t="shared" si="75"/>
        <v/>
      </c>
    </row>
    <row r="222" spans="9:60" x14ac:dyDescent="0.3">
      <c r="I222" t="str">
        <f t="shared" si="52"/>
        <v>N/A</v>
      </c>
      <c r="J222" t="str">
        <f t="shared" si="53"/>
        <v>N/A</v>
      </c>
      <c r="K222" t="str">
        <f t="shared" si="54"/>
        <v>N/A</v>
      </c>
      <c r="L222" t="str">
        <f t="shared" si="55"/>
        <v>N/A</v>
      </c>
      <c r="M222" t="str">
        <f t="shared" si="56"/>
        <v>N/A</v>
      </c>
      <c r="N222" t="str">
        <f t="shared" si="57"/>
        <v>N/A</v>
      </c>
      <c r="P222">
        <f t="shared" si="58"/>
        <v>0</v>
      </c>
      <c r="Q222" t="str">
        <f>IFERROR(J144+MATCH(P222,J222:N222,0)-1,"")</f>
        <v/>
      </c>
      <c r="R222" t="str">
        <f t="shared" si="59"/>
        <v/>
      </c>
      <c r="S222" t="str">
        <f>IFERROR(J144+MATCH(R222,J222:N222,0)-1,"")</f>
        <v/>
      </c>
      <c r="T222" t="str">
        <f t="shared" si="60"/>
        <v/>
      </c>
      <c r="U222" t="str">
        <f t="shared" si="61"/>
        <v/>
      </c>
      <c r="V222" t="str">
        <f t="shared" si="62"/>
        <v/>
      </c>
      <c r="W222" t="str">
        <f t="shared" si="63"/>
        <v/>
      </c>
      <c r="X222" t="str">
        <f t="shared" si="64"/>
        <v/>
      </c>
      <c r="Y222" t="str">
        <f t="shared" si="65"/>
        <v/>
      </c>
      <c r="Z222" t="str">
        <f t="shared" si="66"/>
        <v/>
      </c>
      <c r="AA222">
        <f t="shared" si="67"/>
        <v>0</v>
      </c>
      <c r="AB222" t="str">
        <f>IFERROR(V144+MATCH(AA222,V222:Z222,0)-1,"")</f>
        <v/>
      </c>
      <c r="AC222" t="str">
        <f t="shared" si="68"/>
        <v/>
      </c>
      <c r="AE222" t="str">
        <f>IF(ISNUMBER(MATCH("N/A",J222:N222,0)),"",IFERROR((5 * SUMPRODUCT(J144:N144,J222:N222) - PRODUCT(SUM(J144:N144),SUM(J222:N222))) / ((5 * SUM((J144^2)+(K144^2)+(L144^2)+(M144^2)+(N144^2))) - SUM(J144:N144)^2),""))</f>
        <v/>
      </c>
      <c r="AF222" t="str">
        <f>IFERROR(CORREL(J144:N144,J222:N222),"")</f>
        <v/>
      </c>
      <c r="AZ222">
        <f t="shared" si="69"/>
        <v>0</v>
      </c>
      <c r="BA222" t="str">
        <f>IF(AZ222=1,IF(Q222="","",IF(Q222=N144,"Yes","No")),"")</f>
        <v/>
      </c>
      <c r="BB222" t="str">
        <f t="shared" si="70"/>
        <v/>
      </c>
      <c r="BC222" t="str">
        <f>IF(AZ222=1,IF(S222="","",IF(S222=N144,"Yes","No")),"")</f>
        <v/>
      </c>
      <c r="BD222" t="str">
        <f t="shared" si="71"/>
        <v/>
      </c>
      <c r="BE222" t="str">
        <f t="shared" si="72"/>
        <v/>
      </c>
      <c r="BF222" t="str">
        <f t="shared" si="73"/>
        <v>No</v>
      </c>
      <c r="BG222" t="str">
        <f t="shared" si="74"/>
        <v>No</v>
      </c>
      <c r="BH222" t="str">
        <f t="shared" si="75"/>
        <v/>
      </c>
    </row>
    <row r="223" spans="9:60" x14ac:dyDescent="0.3">
      <c r="I223" t="str">
        <f t="shared" si="52"/>
        <v>N/A</v>
      </c>
      <c r="J223" t="str">
        <f t="shared" si="53"/>
        <v>N/A</v>
      </c>
      <c r="K223" t="str">
        <f t="shared" si="54"/>
        <v>N/A</v>
      </c>
      <c r="L223" t="str">
        <f t="shared" si="55"/>
        <v>N/A</v>
      </c>
      <c r="M223" t="str">
        <f t="shared" si="56"/>
        <v>N/A</v>
      </c>
      <c r="N223" t="str">
        <f t="shared" si="57"/>
        <v>N/A</v>
      </c>
      <c r="P223">
        <f t="shared" si="58"/>
        <v>0</v>
      </c>
      <c r="Q223" t="str">
        <f>IFERROR(J144+MATCH(P223,J223:N223,0)-1,"")</f>
        <v/>
      </c>
      <c r="R223" t="str">
        <f t="shared" si="59"/>
        <v/>
      </c>
      <c r="S223" t="str">
        <f>IFERROR(J144+MATCH(R223,J223:N223,0)-1,"")</f>
        <v/>
      </c>
      <c r="T223" t="str">
        <f t="shared" si="60"/>
        <v/>
      </c>
      <c r="U223" t="str">
        <f t="shared" si="61"/>
        <v/>
      </c>
      <c r="V223" t="str">
        <f t="shared" si="62"/>
        <v/>
      </c>
      <c r="W223" t="str">
        <f t="shared" si="63"/>
        <v/>
      </c>
      <c r="X223" t="str">
        <f t="shared" si="64"/>
        <v/>
      </c>
      <c r="Y223" t="str">
        <f t="shared" si="65"/>
        <v/>
      </c>
      <c r="Z223" t="str">
        <f t="shared" si="66"/>
        <v/>
      </c>
      <c r="AA223">
        <f t="shared" si="67"/>
        <v>0</v>
      </c>
      <c r="AB223" t="str">
        <f>IFERROR(V144+MATCH(AA223,V223:Z223,0)-1,"")</f>
        <v/>
      </c>
      <c r="AC223" t="str">
        <f t="shared" si="68"/>
        <v/>
      </c>
      <c r="AE223" t="str">
        <f>IF(ISNUMBER(MATCH("N/A",J223:N223,0)),"",IFERROR((5 * SUMPRODUCT(J144:N144,J223:N223) - PRODUCT(SUM(J144:N144),SUM(J223:N223))) / ((5 * SUM((J144^2)+(K144^2)+(L144^2)+(M144^2)+(N144^2))) - SUM(J144:N144)^2),""))</f>
        <v/>
      </c>
      <c r="AF223" t="str">
        <f>IFERROR(CORREL(J144:N144,J223:N223),"")</f>
        <v/>
      </c>
      <c r="AZ223">
        <f t="shared" si="69"/>
        <v>0</v>
      </c>
      <c r="BA223" t="str">
        <f>IF(AZ223=1,IF(Q223="","",IF(Q223=N144,"Yes","No")),"")</f>
        <v/>
      </c>
      <c r="BB223" t="str">
        <f t="shared" si="70"/>
        <v/>
      </c>
      <c r="BC223" t="str">
        <f>IF(AZ223=1,IF(S223="","",IF(S223=N144,"Yes","No")),"")</f>
        <v/>
      </c>
      <c r="BD223" t="str">
        <f t="shared" si="71"/>
        <v/>
      </c>
      <c r="BE223" t="str">
        <f t="shared" si="72"/>
        <v/>
      </c>
      <c r="BF223" t="str">
        <f t="shared" si="73"/>
        <v>No</v>
      </c>
      <c r="BG223" t="str">
        <f t="shared" si="74"/>
        <v>No</v>
      </c>
      <c r="BH223" t="str">
        <f t="shared" si="75"/>
        <v/>
      </c>
    </row>
    <row r="224" spans="9:60" x14ac:dyDescent="0.3">
      <c r="I224" t="str">
        <f t="shared" si="52"/>
        <v>N/A</v>
      </c>
      <c r="J224" t="str">
        <f t="shared" si="53"/>
        <v>N/A</v>
      </c>
      <c r="K224" t="str">
        <f t="shared" si="54"/>
        <v>N/A</v>
      </c>
      <c r="L224" t="str">
        <f t="shared" si="55"/>
        <v>N/A</v>
      </c>
      <c r="M224" t="str">
        <f t="shared" si="56"/>
        <v>N/A</v>
      </c>
      <c r="N224" t="str">
        <f t="shared" si="57"/>
        <v>N/A</v>
      </c>
      <c r="P224">
        <f t="shared" si="58"/>
        <v>0</v>
      </c>
      <c r="Q224" t="str">
        <f>IFERROR(J144+MATCH(P224,J224:N224,0)-1,"")</f>
        <v/>
      </c>
      <c r="R224" t="str">
        <f t="shared" si="59"/>
        <v/>
      </c>
      <c r="S224" t="str">
        <f>IFERROR(J144+MATCH(R224,J224:N224,0)-1,"")</f>
        <v/>
      </c>
      <c r="T224" t="str">
        <f t="shared" si="60"/>
        <v/>
      </c>
      <c r="U224" t="str">
        <f t="shared" si="61"/>
        <v/>
      </c>
      <c r="V224" t="str">
        <f t="shared" si="62"/>
        <v/>
      </c>
      <c r="W224" t="str">
        <f t="shared" si="63"/>
        <v/>
      </c>
      <c r="X224" t="str">
        <f t="shared" si="64"/>
        <v/>
      </c>
      <c r="Y224" t="str">
        <f t="shared" si="65"/>
        <v/>
      </c>
      <c r="Z224" t="str">
        <f t="shared" si="66"/>
        <v/>
      </c>
      <c r="AA224">
        <f t="shared" si="67"/>
        <v>0</v>
      </c>
      <c r="AB224" t="str">
        <f>IFERROR(V144+MATCH(AA224,V224:Z224,0)-1,"")</f>
        <v/>
      </c>
      <c r="AC224" t="str">
        <f t="shared" si="68"/>
        <v/>
      </c>
      <c r="AE224" t="str">
        <f>IF(ISNUMBER(MATCH("N/A",J224:N224,0)),"",IFERROR((5 * SUMPRODUCT(J144:N144,J224:N224) - PRODUCT(SUM(J144:N144),SUM(J224:N224))) / ((5 * SUM((J144^2)+(K144^2)+(L144^2)+(M144^2)+(N144^2))) - SUM(J144:N144)^2),""))</f>
        <v/>
      </c>
      <c r="AF224" t="str">
        <f>IFERROR(CORREL(J144:N144,J224:N224),"")</f>
        <v/>
      </c>
      <c r="AZ224">
        <f t="shared" si="69"/>
        <v>0</v>
      </c>
      <c r="BA224" t="str">
        <f>IF(AZ224=1,IF(Q224="","",IF(Q224=N144,"Yes","No")),"")</f>
        <v/>
      </c>
      <c r="BB224" t="str">
        <f t="shared" si="70"/>
        <v/>
      </c>
      <c r="BC224" t="str">
        <f>IF(AZ224=1,IF(S224="","",IF(S224=N144,"Yes","No")),"")</f>
        <v/>
      </c>
      <c r="BD224" t="str">
        <f t="shared" si="71"/>
        <v/>
      </c>
      <c r="BE224" t="str">
        <f t="shared" si="72"/>
        <v/>
      </c>
      <c r="BF224" t="str">
        <f t="shared" si="73"/>
        <v>No</v>
      </c>
      <c r="BG224" t="str">
        <f t="shared" si="74"/>
        <v>No</v>
      </c>
      <c r="BH224" t="str">
        <f t="shared" si="75"/>
        <v/>
      </c>
    </row>
    <row r="225" spans="9:60" x14ac:dyDescent="0.3">
      <c r="I225" t="str">
        <f t="shared" si="52"/>
        <v>N/A</v>
      </c>
      <c r="J225" t="str">
        <f t="shared" si="53"/>
        <v>N/A</v>
      </c>
      <c r="K225" t="str">
        <f t="shared" si="54"/>
        <v>N/A</v>
      </c>
      <c r="L225" t="str">
        <f t="shared" si="55"/>
        <v>N/A</v>
      </c>
      <c r="M225" t="str">
        <f t="shared" si="56"/>
        <v>N/A</v>
      </c>
      <c r="N225" t="str">
        <f t="shared" si="57"/>
        <v>N/A</v>
      </c>
      <c r="P225">
        <f t="shared" si="58"/>
        <v>0</v>
      </c>
      <c r="Q225" t="str">
        <f>IFERROR(J144+MATCH(P225,J225:N225,0)-1,"")</f>
        <v/>
      </c>
      <c r="R225" t="str">
        <f t="shared" si="59"/>
        <v/>
      </c>
      <c r="S225" t="str">
        <f>IFERROR(J144+MATCH(R225,J225:N225,0)-1,"")</f>
        <v/>
      </c>
      <c r="T225" t="str">
        <f t="shared" si="60"/>
        <v/>
      </c>
      <c r="U225" t="str">
        <f t="shared" si="61"/>
        <v/>
      </c>
      <c r="V225" t="str">
        <f t="shared" si="62"/>
        <v/>
      </c>
      <c r="W225" t="str">
        <f t="shared" si="63"/>
        <v/>
      </c>
      <c r="X225" t="str">
        <f t="shared" si="64"/>
        <v/>
      </c>
      <c r="Y225" t="str">
        <f t="shared" si="65"/>
        <v/>
      </c>
      <c r="Z225" t="str">
        <f t="shared" si="66"/>
        <v/>
      </c>
      <c r="AA225">
        <f t="shared" si="67"/>
        <v>0</v>
      </c>
      <c r="AB225" t="str">
        <f>IFERROR(V144+MATCH(AA225,V225:Z225,0)-1,"")</f>
        <v/>
      </c>
      <c r="AC225" t="str">
        <f t="shared" si="68"/>
        <v/>
      </c>
      <c r="AE225" t="str">
        <f>IF(ISNUMBER(MATCH("N/A",J225:N225,0)),"",IFERROR((5 * SUMPRODUCT(J144:N144,J225:N225) - PRODUCT(SUM(J144:N144),SUM(J225:N225))) / ((5 * SUM((J144^2)+(K144^2)+(L144^2)+(M144^2)+(N144^2))) - SUM(J144:N144)^2),""))</f>
        <v/>
      </c>
      <c r="AF225" t="str">
        <f>IFERROR(CORREL(J144:N144,J225:N225),"")</f>
        <v/>
      </c>
      <c r="AZ225">
        <f t="shared" si="69"/>
        <v>0</v>
      </c>
      <c r="BA225" t="str">
        <f>IF(AZ225=1,IF(Q225="","",IF(Q225=N144,"Yes","No")),"")</f>
        <v/>
      </c>
      <c r="BB225" t="str">
        <f t="shared" si="70"/>
        <v/>
      </c>
      <c r="BC225" t="str">
        <f>IF(AZ225=1,IF(S225="","",IF(S225=N144,"Yes","No")),"")</f>
        <v/>
      </c>
      <c r="BD225" t="str">
        <f t="shared" si="71"/>
        <v/>
      </c>
      <c r="BE225" t="str">
        <f t="shared" si="72"/>
        <v/>
      </c>
      <c r="BF225" t="str">
        <f t="shared" si="73"/>
        <v>No</v>
      </c>
      <c r="BG225" t="str">
        <f t="shared" si="74"/>
        <v>No</v>
      </c>
      <c r="BH225" t="str">
        <f t="shared" si="75"/>
        <v/>
      </c>
    </row>
    <row r="226" spans="9:60" x14ac:dyDescent="0.3">
      <c r="I226" t="str">
        <f t="shared" si="52"/>
        <v>N/A</v>
      </c>
      <c r="J226" t="str">
        <f t="shared" si="53"/>
        <v>N/A</v>
      </c>
      <c r="K226" t="str">
        <f t="shared" si="54"/>
        <v>N/A</v>
      </c>
      <c r="L226" t="str">
        <f t="shared" si="55"/>
        <v>N/A</v>
      </c>
      <c r="M226" t="str">
        <f t="shared" si="56"/>
        <v>N/A</v>
      </c>
      <c r="N226" t="str">
        <f t="shared" si="57"/>
        <v>N/A</v>
      </c>
      <c r="P226">
        <f t="shared" si="58"/>
        <v>0</v>
      </c>
      <c r="Q226" t="str">
        <f>IFERROR(J144+MATCH(P226,J226:N226,0)-1,"")</f>
        <v/>
      </c>
      <c r="R226" t="str">
        <f t="shared" si="59"/>
        <v/>
      </c>
      <c r="S226" t="str">
        <f>IFERROR(J144+MATCH(R226,J226:N226,0)-1,"")</f>
        <v/>
      </c>
      <c r="T226" t="str">
        <f t="shared" si="60"/>
        <v/>
      </c>
      <c r="U226" t="str">
        <f t="shared" si="61"/>
        <v/>
      </c>
      <c r="V226" t="str">
        <f t="shared" si="62"/>
        <v/>
      </c>
      <c r="W226" t="str">
        <f t="shared" si="63"/>
        <v/>
      </c>
      <c r="X226" t="str">
        <f t="shared" si="64"/>
        <v/>
      </c>
      <c r="Y226" t="str">
        <f t="shared" si="65"/>
        <v/>
      </c>
      <c r="Z226" t="str">
        <f t="shared" si="66"/>
        <v/>
      </c>
      <c r="AA226">
        <f t="shared" si="67"/>
        <v>0</v>
      </c>
      <c r="AB226" t="str">
        <f>IFERROR(V144+MATCH(AA226,V226:Z226,0)-1,"")</f>
        <v/>
      </c>
      <c r="AC226" t="str">
        <f t="shared" si="68"/>
        <v/>
      </c>
      <c r="AE226" t="str">
        <f>IF(ISNUMBER(MATCH("N/A",J226:N226,0)),"",IFERROR((5 * SUMPRODUCT(J144:N144,J226:N226) - PRODUCT(SUM(J144:N144),SUM(J226:N226))) / ((5 * SUM((J144^2)+(K144^2)+(L144^2)+(M144^2)+(N144^2))) - SUM(J144:N144)^2),""))</f>
        <v/>
      </c>
      <c r="AF226" t="str">
        <f>IFERROR(CORREL(J144:N144,J226:N226),"")</f>
        <v/>
      </c>
      <c r="AZ226">
        <f t="shared" si="69"/>
        <v>0</v>
      </c>
      <c r="BA226" t="str">
        <f>IF(AZ226=1,IF(Q226="","",IF(Q226=N144,"Yes","No")),"")</f>
        <v/>
      </c>
      <c r="BB226" t="str">
        <f t="shared" si="70"/>
        <v/>
      </c>
      <c r="BC226" t="str">
        <f>IF(AZ226=1,IF(S226="","",IF(S226=N144,"Yes","No")),"")</f>
        <v/>
      </c>
      <c r="BD226" t="str">
        <f t="shared" si="71"/>
        <v/>
      </c>
      <c r="BE226" t="str">
        <f t="shared" si="72"/>
        <v/>
      </c>
      <c r="BF226" t="str">
        <f t="shared" si="73"/>
        <v>No</v>
      </c>
      <c r="BG226" t="str">
        <f t="shared" si="74"/>
        <v>No</v>
      </c>
      <c r="BH226" t="str">
        <f t="shared" si="75"/>
        <v/>
      </c>
    </row>
    <row r="227" spans="9:60" x14ac:dyDescent="0.3">
      <c r="P227">
        <f t="shared" si="58"/>
        <v>0</v>
      </c>
      <c r="Q227" t="str">
        <f>IFERROR(J144+MATCH(P227,J227:N227,0)-1,"")</f>
        <v/>
      </c>
      <c r="R227" t="str">
        <f t="shared" si="59"/>
        <v/>
      </c>
      <c r="S227" t="str">
        <f>IFERROR(J144+MATCH(R227,J227:N227,0)-1,"")</f>
        <v/>
      </c>
      <c r="T227" t="str">
        <f t="shared" si="60"/>
        <v/>
      </c>
      <c r="U227" t="str">
        <f t="shared" si="61"/>
        <v/>
      </c>
      <c r="V227" t="str">
        <f t="shared" si="62"/>
        <v/>
      </c>
      <c r="W227" t="str">
        <f t="shared" si="63"/>
        <v/>
      </c>
      <c r="X227" t="str">
        <f t="shared" si="64"/>
        <v/>
      </c>
      <c r="Y227" t="str">
        <f t="shared" si="65"/>
        <v/>
      </c>
      <c r="Z227" t="str">
        <f t="shared" si="66"/>
        <v/>
      </c>
      <c r="AA227">
        <f t="shared" si="67"/>
        <v>0</v>
      </c>
      <c r="AB227" t="str">
        <f>IFERROR(V144+MATCH(AA227,V227:Z227,0)-1,"")</f>
        <v/>
      </c>
      <c r="AC227" t="str">
        <f t="shared" si="68"/>
        <v/>
      </c>
      <c r="AE227" t="str">
        <f>IF(ISNUMBER(MATCH("N/A",J227:N227,0)),"",IFERROR((5 * SUMPRODUCT(J144:N144,J227:N227) - PRODUCT(SUM(J144:N144),SUM(J227:N227))) / ((5 * SUM((J144^2)+(K144^2)+(L144^2)+(M144^2)+(N144^2))) - SUM(J144:N144)^2),""))</f>
        <v/>
      </c>
      <c r="AF227" t="str">
        <f>IFERROR(CORREL(J144:N144,J227:N227),"")</f>
        <v/>
      </c>
      <c r="AZ227">
        <f t="shared" si="69"/>
        <v>0</v>
      </c>
      <c r="BA227" t="str">
        <f>IF(AZ227=1,IF(Q227="","",IF(Q227=N144,"Yes","No")),"")</f>
        <v/>
      </c>
      <c r="BB227" t="str">
        <f t="shared" si="70"/>
        <v/>
      </c>
      <c r="BC227" t="str">
        <f>IF(AZ227=1,IF(S227="","",IF(S227=N144,"Yes","No")),"")</f>
        <v/>
      </c>
      <c r="BD227" t="str">
        <f t="shared" si="71"/>
        <v/>
      </c>
      <c r="BE227" t="str">
        <f t="shared" si="72"/>
        <v/>
      </c>
      <c r="BF227" t="str">
        <f t="shared" si="73"/>
        <v>No</v>
      </c>
      <c r="BG227" t="str">
        <f t="shared" si="74"/>
        <v>No</v>
      </c>
      <c r="BH227" t="str">
        <f t="shared" si="75"/>
        <v/>
      </c>
    </row>
    <row r="228" spans="9:60" x14ac:dyDescent="0.3">
      <c r="I228" t="str">
        <f t="shared" ref="I228:I245" si="76">IF(AND(K228&gt; J228, L228&gt; K228, M228&gt; L228, N228&gt; M228), "pos_trend", IF(AND(K228&lt; J228, L228&lt; K228, M228&lt; L228, N228&lt; M228), "neg_trend", "N/A"))</f>
        <v>N/A</v>
      </c>
      <c r="J228" t="str">
        <f t="shared" ref="J228:J245" si="77">IFERROR(IF(TRIM(C228)="-", "N/A", IF(RIGHT(C228,1)=")",IF(RIGHT(C228,2)="T)",-1000000000000*VALUE(MID(C228,2,LEN(C228)-3)),IF(RIGHT(C228,2)="M)",-1000000*VALUE(MID(C228,2,LEN(C228)-3)),IF(RIGHT(C228,2)="B)",-1000000000*VALUE(MID(C228,2,LEN(C228)-3)),IF(RIGHT(C228,2)="k)",-1000*VALUE(MID(C228,2,LEN(C228)-3)),VALUE(SUBSTITUTE(C228,",","")))))),IF(RIGHT(C228,1)="T",1000000000000*VALUE(LEFT(C228,LEN(C228)-1)),IF(RIGHT(C228,1)="M",1000000*VALUE(LEFT(C228,LEN(C228)-1)),IF(RIGHT(C228,1)="B",1000000000*VALUE(LEFT(C228,LEN(C228)-1)),IF(RIGHT(C228,1)="%",0.01*VALUE(LEFT(C228,LEN(C228)-1)),IF(RIGHT(C228,1)="k",1000*VALUE(LEFT(C228,LEN(C228)-1)),VALUE(SUBSTITUTE(C228,",",""))))))))),"N/A")</f>
        <v>N/A</v>
      </c>
      <c r="K228" t="str">
        <f t="shared" ref="K228:K245" si="78">IFERROR(IF(TRIM(D228)="-", "N/A", IF(RIGHT(D228,1)=")",IF(RIGHT(D228,2)="T)",-1000000000000*VALUE(MID(D228,2,LEN(D228)-3)),IF(RIGHT(D228,2)="M)",-1000000*VALUE(MID(D228,2,LEN(D228)-3)),IF(RIGHT(D228,2)="B)",-1000000000*VALUE(MID(D228,2,LEN(D228)-3)),IF(RIGHT(D228,2)="k)",-1000*VALUE(MID(D228,2,LEN(D228)-3)),VALUE(SUBSTITUTE(D228,",","")))))),IF(RIGHT(D228,1)="T",1000000000000*VALUE(LEFT(D228,LEN(D228)-1)),IF(RIGHT(D228,1)="M",1000000*VALUE(LEFT(D228,LEN(D228)-1)),IF(RIGHT(D228,1)="B",1000000000*VALUE(LEFT(D228,LEN(D228)-1)),IF(RIGHT(D228,1)="%",0.01*VALUE(LEFT(D228,LEN(D228)-1)),IF(RIGHT(D228,1)="k",1000*VALUE(LEFT(D228,LEN(D228)-1)),VALUE(SUBSTITUTE(D228,",",""))))))))),"N/A")</f>
        <v>N/A</v>
      </c>
      <c r="L228" t="str">
        <f t="shared" ref="L228:L245" si="79">IFERROR(IF(TRIM(E228)="-", "N/A", IF(RIGHT(E228,1)=")",IF(RIGHT(E228,2)="T)",-1000000000000*VALUE(MID(E228,2,LEN(E228)-3)),IF(RIGHT(E228,2)="M)",-1000000*VALUE(MID(E228,2,LEN(E228)-3)),IF(RIGHT(E228,2)="B)",-1000000000*VALUE(MID(E228,2,LEN(E228)-3)),IF(RIGHT(E228,2)="k)",-1000*VALUE(MID(E228,2,LEN(E228)-3)),VALUE(SUBSTITUTE(E228,",","")))))),IF(RIGHT(E228,1)="T",1000000000000*VALUE(LEFT(E228,LEN(E228)-1)),IF(RIGHT(E228,1)="M",1000000*VALUE(LEFT(E228,LEN(E228)-1)),IF(RIGHT(E228,1)="B",1000000000*VALUE(LEFT(E228,LEN(E228)-1)),IF(RIGHT(E228,1)="%",0.01*VALUE(LEFT(E228,LEN(E228)-1)),IF(RIGHT(E228,1)="k",1000*VALUE(LEFT(E228,LEN(E228)-1)),VALUE(SUBSTITUTE(E228,",",""))))))))),"N/A")</f>
        <v>N/A</v>
      </c>
      <c r="M228" t="str">
        <f t="shared" ref="M228:M245" si="80">IFERROR(IF(TRIM(F228)="-", "N/A", IF(RIGHT(F228,1)=")",IF(RIGHT(F228,2)="T)",-1000000000000*VALUE(MID(F228,2,LEN(F228)-3)),IF(RIGHT(F228,2)="M)",-1000000*VALUE(MID(F228,2,LEN(F228)-3)),IF(RIGHT(F228,2)="B)",-1000000000*VALUE(MID(F228,2,LEN(F228)-3)),IF(RIGHT(F228,2)="k)",-1000*VALUE(MID(F228,2,LEN(F228)-3)),VALUE(SUBSTITUTE(F228,",","")))))),IF(RIGHT(F228,1)="T",1000000000000*VALUE(LEFT(F228,LEN(F228)-1)),IF(RIGHT(F228,1)="M",1000000*VALUE(LEFT(F228,LEN(F228)-1)),IF(RIGHT(F228,1)="B",1000000000*VALUE(LEFT(F228,LEN(F228)-1)),IF(RIGHT(F228,1)="%",0.01*VALUE(LEFT(F228,LEN(F228)-1)),IF(RIGHT(F228,1)="k",1000*VALUE(LEFT(F228,LEN(F228)-1)),VALUE(SUBSTITUTE(F228,",",""))))))))),"N/A")</f>
        <v>N/A</v>
      </c>
      <c r="N228" t="str">
        <f t="shared" ref="N228:N245" si="81">IFERROR(IF(TRIM(G228)="-", "N/A", IF(RIGHT(G228,1)=")",IF(RIGHT(G228,2)="T)",-1000000000000*VALUE(MID(G228,2,LEN(G228)-3)),IF(RIGHT(G228,2)="M)",-1000000*VALUE(MID(G228,2,LEN(G228)-3)),IF(RIGHT(G228,2)="B)",-1000000000*VALUE(MID(G228,2,LEN(G228)-3)),IF(RIGHT(G228,2)="k)",-1000*VALUE(MID(G228,2,LEN(G228)-3)),VALUE(SUBSTITUTE(G228,",","")))))),IF(RIGHT(G228,1)="T",1000000000000*VALUE(LEFT(G228,LEN(G228)-1)),IF(RIGHT(G228,1)="M",1000000*VALUE(LEFT(G228,LEN(G228)-1)),IF(RIGHT(G228,1)="B",1000000000*VALUE(LEFT(G228,LEN(G228)-1)),IF(RIGHT(G228,1)="%",0.01*VALUE(LEFT(G228,LEN(G228)-1)),IF(RIGHT(G228,1)="k",1000*VALUE(LEFT(G228,LEN(G228)-1)),VALUE(SUBSTITUTE(G228,",",""))))))))),"N/A")</f>
        <v>N/A</v>
      </c>
      <c r="P228">
        <f t="shared" si="58"/>
        <v>0</v>
      </c>
      <c r="Q228" t="str">
        <f>IFERROR(J144+MATCH(P228,J228:N228,0)-1,"")</f>
        <v/>
      </c>
      <c r="R228" t="str">
        <f t="shared" si="59"/>
        <v/>
      </c>
      <c r="S228" t="str">
        <f>IFERROR(J144+MATCH(R228,J228:N228,0)-1,"")</f>
        <v/>
      </c>
      <c r="T228" t="str">
        <f t="shared" si="60"/>
        <v/>
      </c>
      <c r="U228" t="str">
        <f t="shared" si="61"/>
        <v/>
      </c>
      <c r="V228" t="str">
        <f t="shared" si="62"/>
        <v/>
      </c>
      <c r="W228" t="str">
        <f t="shared" si="63"/>
        <v/>
      </c>
      <c r="X228" t="str">
        <f t="shared" si="64"/>
        <v/>
      </c>
      <c r="Y228" t="str">
        <f t="shared" si="65"/>
        <v/>
      </c>
      <c r="Z228" t="str">
        <f t="shared" si="66"/>
        <v/>
      </c>
      <c r="AA228">
        <f t="shared" si="67"/>
        <v>0</v>
      </c>
      <c r="AB228" t="str">
        <f>IFERROR(V144+MATCH(AA228,V228:Z228,0)-1,"")</f>
        <v/>
      </c>
      <c r="AC228" t="str">
        <f t="shared" si="68"/>
        <v/>
      </c>
      <c r="AE228" t="str">
        <f>IF(ISNUMBER(MATCH("N/A",J228:N228,0)),"",IFERROR((5 * SUMPRODUCT(J144:N144,J228:N228) - PRODUCT(SUM(J144:N144),SUM(J228:N228))) / ((5 * SUM((J144^2)+(K144^2)+(L144^2)+(M144^2)+(N144^2))) - SUM(J144:N144)^2),""))</f>
        <v/>
      </c>
      <c r="AF228" t="str">
        <f>IFERROR(CORREL(J144:N144,J228:N228),"")</f>
        <v/>
      </c>
      <c r="AZ228">
        <f t="shared" si="69"/>
        <v>0</v>
      </c>
      <c r="BA228" t="str">
        <f>IF(AZ228=1,IF(Q228="","",IF(Q228=N144,"Yes","No")),"")</f>
        <v/>
      </c>
      <c r="BB228" t="str">
        <f t="shared" si="70"/>
        <v/>
      </c>
      <c r="BC228" t="str">
        <f>IF(AZ228=1,IF(S228="","",IF(S228=N144,"Yes","No")),"")</f>
        <v/>
      </c>
      <c r="BD228" t="str">
        <f t="shared" si="71"/>
        <v/>
      </c>
      <c r="BE228" t="str">
        <f t="shared" si="72"/>
        <v/>
      </c>
      <c r="BF228" t="str">
        <f t="shared" si="73"/>
        <v>No</v>
      </c>
      <c r="BG228" t="str">
        <f t="shared" si="74"/>
        <v>No</v>
      </c>
      <c r="BH228" t="str">
        <f t="shared" si="75"/>
        <v/>
      </c>
    </row>
    <row r="229" spans="9:60" x14ac:dyDescent="0.3">
      <c r="I229" t="str">
        <f t="shared" si="76"/>
        <v>N/A</v>
      </c>
      <c r="J229" t="str">
        <f t="shared" si="77"/>
        <v>N/A</v>
      </c>
      <c r="K229" t="str">
        <f t="shared" si="78"/>
        <v>N/A</v>
      </c>
      <c r="L229" t="str">
        <f t="shared" si="79"/>
        <v>N/A</v>
      </c>
      <c r="M229" t="str">
        <f t="shared" si="80"/>
        <v>N/A</v>
      </c>
      <c r="N229" t="str">
        <f t="shared" si="81"/>
        <v>N/A</v>
      </c>
      <c r="P229">
        <f t="shared" si="58"/>
        <v>0</v>
      </c>
      <c r="Q229" t="str">
        <f>IFERROR(J144+MATCH(P229,J229:N229,0)-1,"")</f>
        <v/>
      </c>
      <c r="R229" t="str">
        <f t="shared" si="59"/>
        <v/>
      </c>
      <c r="S229" t="str">
        <f>IFERROR(J144+MATCH(R229,J229:N229,0)-1,"")</f>
        <v/>
      </c>
      <c r="T229" t="str">
        <f t="shared" si="60"/>
        <v/>
      </c>
      <c r="U229" t="str">
        <f t="shared" si="61"/>
        <v/>
      </c>
      <c r="V229" t="str">
        <f t="shared" si="62"/>
        <v/>
      </c>
      <c r="W229" t="str">
        <f t="shared" si="63"/>
        <v/>
      </c>
      <c r="X229" t="str">
        <f t="shared" si="64"/>
        <v/>
      </c>
      <c r="Y229" t="str">
        <f t="shared" si="65"/>
        <v/>
      </c>
      <c r="Z229" t="str">
        <f t="shared" si="66"/>
        <v/>
      </c>
      <c r="AA229">
        <f t="shared" si="67"/>
        <v>0</v>
      </c>
      <c r="AB229" t="str">
        <f>IFERROR(V144+MATCH(AA229,V229:Z229,0)-1,"")</f>
        <v/>
      </c>
      <c r="AC229" t="str">
        <f t="shared" si="68"/>
        <v/>
      </c>
      <c r="AE229" t="str">
        <f>IF(ISNUMBER(MATCH("N/A",J229:N229,0)),"",IFERROR((5 * SUMPRODUCT(J144:N144,J229:N229) - PRODUCT(SUM(J144:N144),SUM(J229:N229))) / ((5 * SUM((J144^2)+(K144^2)+(L144^2)+(M144^2)+(N144^2))) - SUM(J144:N144)^2),""))</f>
        <v/>
      </c>
      <c r="AF229" t="str">
        <f>IFERROR(CORREL(J144:N144,J229:N229),"")</f>
        <v/>
      </c>
      <c r="AZ229">
        <f t="shared" si="69"/>
        <v>0</v>
      </c>
      <c r="BA229" t="str">
        <f>IF(AZ229=1,IF(Q229="","",IF(Q229=N144,"Yes","No")),"")</f>
        <v/>
      </c>
      <c r="BB229" t="str">
        <f t="shared" si="70"/>
        <v/>
      </c>
      <c r="BC229" t="str">
        <f>IF(AZ229=1,IF(S229="","",IF(S229=N144,"Yes","No")),"")</f>
        <v/>
      </c>
      <c r="BD229" t="str">
        <f t="shared" si="71"/>
        <v/>
      </c>
      <c r="BE229" t="str">
        <f t="shared" si="72"/>
        <v/>
      </c>
      <c r="BF229" t="str">
        <f t="shared" si="73"/>
        <v>No</v>
      </c>
      <c r="BG229" t="str">
        <f t="shared" si="74"/>
        <v>No</v>
      </c>
      <c r="BH229" t="str">
        <f t="shared" si="75"/>
        <v/>
      </c>
    </row>
    <row r="230" spans="9:60" x14ac:dyDescent="0.3">
      <c r="I230" t="str">
        <f t="shared" si="76"/>
        <v>N/A</v>
      </c>
      <c r="J230" t="str">
        <f t="shared" si="77"/>
        <v>N/A</v>
      </c>
      <c r="K230" t="str">
        <f t="shared" si="78"/>
        <v>N/A</v>
      </c>
      <c r="L230" t="str">
        <f t="shared" si="79"/>
        <v>N/A</v>
      </c>
      <c r="M230" t="str">
        <f t="shared" si="80"/>
        <v>N/A</v>
      </c>
      <c r="N230" t="str">
        <f t="shared" si="81"/>
        <v>N/A</v>
      </c>
      <c r="P230">
        <f t="shared" si="58"/>
        <v>0</v>
      </c>
      <c r="Q230" t="str">
        <f>IFERROR(J144+MATCH(P230,J230:N230,0)-1,"")</f>
        <v/>
      </c>
      <c r="R230" t="str">
        <f t="shared" si="59"/>
        <v/>
      </c>
      <c r="S230" t="str">
        <f>IFERROR(J144+MATCH(R230,J230:N230,0)-1,"")</f>
        <v/>
      </c>
      <c r="T230" t="str">
        <f t="shared" si="60"/>
        <v/>
      </c>
      <c r="U230" t="str">
        <f t="shared" si="61"/>
        <v/>
      </c>
      <c r="V230" t="str">
        <f t="shared" si="62"/>
        <v/>
      </c>
      <c r="W230" t="str">
        <f t="shared" si="63"/>
        <v/>
      </c>
      <c r="X230" t="str">
        <f t="shared" si="64"/>
        <v/>
      </c>
      <c r="Y230" t="str">
        <f t="shared" si="65"/>
        <v/>
      </c>
      <c r="Z230" t="str">
        <f t="shared" si="66"/>
        <v/>
      </c>
      <c r="AA230">
        <f t="shared" si="67"/>
        <v>0</v>
      </c>
      <c r="AB230" t="str">
        <f>IFERROR(V144+MATCH(AA230,V230:Z230,0)-1,"")</f>
        <v/>
      </c>
      <c r="AC230" t="str">
        <f t="shared" si="68"/>
        <v/>
      </c>
      <c r="AE230" t="str">
        <f>IF(ISNUMBER(MATCH("N/A",J230:N230,0)),"",IFERROR((5 * SUMPRODUCT(J144:N144,J230:N230) - PRODUCT(SUM(J144:N144),SUM(J230:N230))) / ((5 * SUM((J144^2)+(K144^2)+(L144^2)+(M144^2)+(N144^2))) - SUM(J144:N144)^2),""))</f>
        <v/>
      </c>
      <c r="AF230" t="str">
        <f>IFERROR(CORREL(J144:N144,J230:N230),"")</f>
        <v/>
      </c>
      <c r="AZ230">
        <f t="shared" si="69"/>
        <v>0</v>
      </c>
      <c r="BA230" t="str">
        <f>IF(AZ230=1,IF(Q230="","",IF(Q230=N144,"Yes","No")),"")</f>
        <v/>
      </c>
      <c r="BB230" t="str">
        <f t="shared" si="70"/>
        <v/>
      </c>
      <c r="BC230" t="str">
        <f>IF(AZ230=1,IF(S230="","",IF(S230=N144,"Yes","No")),"")</f>
        <v/>
      </c>
      <c r="BD230" t="str">
        <f t="shared" si="71"/>
        <v/>
      </c>
      <c r="BE230" t="str">
        <f t="shared" si="72"/>
        <v/>
      </c>
      <c r="BF230" t="str">
        <f t="shared" si="73"/>
        <v>No</v>
      </c>
      <c r="BG230" t="str">
        <f t="shared" si="74"/>
        <v>No</v>
      </c>
      <c r="BH230" t="str">
        <f t="shared" si="75"/>
        <v/>
      </c>
    </row>
    <row r="231" spans="9:60" x14ac:dyDescent="0.3">
      <c r="I231" t="str">
        <f t="shared" si="76"/>
        <v>N/A</v>
      </c>
      <c r="J231" t="str">
        <f t="shared" si="77"/>
        <v>N/A</v>
      </c>
      <c r="K231" t="str">
        <f t="shared" si="78"/>
        <v>N/A</v>
      </c>
      <c r="L231" t="str">
        <f t="shared" si="79"/>
        <v>N/A</v>
      </c>
      <c r="M231" t="str">
        <f t="shared" si="80"/>
        <v>N/A</v>
      </c>
      <c r="N231" t="str">
        <f t="shared" si="81"/>
        <v>N/A</v>
      </c>
      <c r="P231">
        <f t="shared" si="58"/>
        <v>0</v>
      </c>
      <c r="Q231" t="str">
        <f>IFERROR(J144+MATCH(P231,J231:N231,0)-1,"")</f>
        <v/>
      </c>
      <c r="R231" t="str">
        <f t="shared" si="59"/>
        <v/>
      </c>
      <c r="S231" t="str">
        <f>IFERROR(J144+MATCH(R231,J231:N231,0)-1,"")</f>
        <v/>
      </c>
      <c r="T231" t="str">
        <f t="shared" si="60"/>
        <v/>
      </c>
      <c r="U231" t="str">
        <f t="shared" si="61"/>
        <v/>
      </c>
      <c r="V231" t="str">
        <f t="shared" si="62"/>
        <v/>
      </c>
      <c r="W231" t="str">
        <f t="shared" si="63"/>
        <v/>
      </c>
      <c r="X231" t="str">
        <f t="shared" si="64"/>
        <v/>
      </c>
      <c r="Y231" t="str">
        <f t="shared" si="65"/>
        <v/>
      </c>
      <c r="Z231" t="str">
        <f t="shared" si="66"/>
        <v/>
      </c>
      <c r="AA231">
        <f t="shared" si="67"/>
        <v>0</v>
      </c>
      <c r="AB231" t="str">
        <f>IFERROR(V144+MATCH(AA231,V231:Z231,0)-1,"")</f>
        <v/>
      </c>
      <c r="AC231" t="str">
        <f t="shared" si="68"/>
        <v/>
      </c>
      <c r="AE231" t="str">
        <f>IF(ISNUMBER(MATCH("N/A",J231:N231,0)),"",IFERROR((5 * SUMPRODUCT(J144:N144,J231:N231) - PRODUCT(SUM(J144:N144),SUM(J231:N231))) / ((5 * SUM((J144^2)+(K144^2)+(L144^2)+(M144^2)+(N144^2))) - SUM(J144:N144)^2),""))</f>
        <v/>
      </c>
      <c r="AF231" t="str">
        <f>IFERROR(CORREL(J144:N144,J231:N231),"")</f>
        <v/>
      </c>
      <c r="AZ231">
        <f t="shared" si="69"/>
        <v>0</v>
      </c>
      <c r="BA231" t="str">
        <f>IF(AZ231=1,IF(Q231="","",IF(Q231=N144,"Yes","No")),"")</f>
        <v/>
      </c>
      <c r="BB231" t="str">
        <f t="shared" si="70"/>
        <v/>
      </c>
      <c r="BC231" t="str">
        <f>IF(AZ231=1,IF(S231="","",IF(S231=N144,"Yes","No")),"")</f>
        <v/>
      </c>
      <c r="BD231" t="str">
        <f t="shared" si="71"/>
        <v/>
      </c>
      <c r="BE231" t="str">
        <f t="shared" si="72"/>
        <v/>
      </c>
      <c r="BF231" t="str">
        <f t="shared" si="73"/>
        <v>No</v>
      </c>
      <c r="BG231" t="str">
        <f t="shared" si="74"/>
        <v>No</v>
      </c>
      <c r="BH231" t="str">
        <f t="shared" si="75"/>
        <v/>
      </c>
    </row>
    <row r="232" spans="9:60" x14ac:dyDescent="0.3">
      <c r="I232" t="str">
        <f t="shared" si="76"/>
        <v>N/A</v>
      </c>
      <c r="J232" t="str">
        <f t="shared" si="77"/>
        <v>N/A</v>
      </c>
      <c r="K232" t="str">
        <f t="shared" si="78"/>
        <v>N/A</v>
      </c>
      <c r="L232" t="str">
        <f t="shared" si="79"/>
        <v>N/A</v>
      </c>
      <c r="M232" t="str">
        <f t="shared" si="80"/>
        <v>N/A</v>
      </c>
      <c r="N232" t="str">
        <f t="shared" si="81"/>
        <v>N/A</v>
      </c>
      <c r="P232">
        <f t="shared" si="58"/>
        <v>0</v>
      </c>
      <c r="Q232" t="str">
        <f>IFERROR(J144+MATCH(P232,J232:N232,0)-1,"")</f>
        <v/>
      </c>
      <c r="R232" t="str">
        <f t="shared" si="59"/>
        <v/>
      </c>
      <c r="S232" t="str">
        <f>IFERROR(J144+MATCH(R232,J232:N232,0)-1,"")</f>
        <v/>
      </c>
      <c r="T232" t="str">
        <f t="shared" si="60"/>
        <v/>
      </c>
      <c r="U232" t="str">
        <f t="shared" si="61"/>
        <v/>
      </c>
      <c r="V232" t="str">
        <f t="shared" si="62"/>
        <v/>
      </c>
      <c r="W232" t="str">
        <f t="shared" si="63"/>
        <v/>
      </c>
      <c r="X232" t="str">
        <f t="shared" si="64"/>
        <v/>
      </c>
      <c r="Y232" t="str">
        <f t="shared" si="65"/>
        <v/>
      </c>
      <c r="Z232" t="str">
        <f t="shared" si="66"/>
        <v/>
      </c>
      <c r="AA232">
        <f t="shared" si="67"/>
        <v>0</v>
      </c>
      <c r="AB232" t="str">
        <f>IFERROR(V144+MATCH(AA232,V232:Z232,0)-1,"")</f>
        <v/>
      </c>
      <c r="AC232" t="str">
        <f t="shared" si="68"/>
        <v/>
      </c>
      <c r="AE232" t="str">
        <f>IF(ISNUMBER(MATCH("N/A",J232:N232,0)),"",IFERROR((5 * SUMPRODUCT(J144:N144,J232:N232) - PRODUCT(SUM(J144:N144),SUM(J232:N232))) / ((5 * SUM((J144^2)+(K144^2)+(L144^2)+(M144^2)+(N144^2))) - SUM(J144:N144)^2),""))</f>
        <v/>
      </c>
      <c r="AF232" t="str">
        <f>IFERROR(CORREL(J144:N144,J232:N232),"")</f>
        <v/>
      </c>
      <c r="AZ232">
        <f t="shared" si="69"/>
        <v>0</v>
      </c>
      <c r="BA232" t="str">
        <f>IF(AZ232=1,IF(Q232="","",IF(Q232=N144,"Yes","No")),"")</f>
        <v/>
      </c>
      <c r="BB232" t="str">
        <f t="shared" si="70"/>
        <v/>
      </c>
      <c r="BC232" t="str">
        <f>IF(AZ232=1,IF(S232="","",IF(S232=N144,"Yes","No")),"")</f>
        <v/>
      </c>
      <c r="BD232" t="str">
        <f t="shared" si="71"/>
        <v/>
      </c>
      <c r="BE232" t="str">
        <f t="shared" si="72"/>
        <v/>
      </c>
      <c r="BF232" t="str">
        <f t="shared" si="73"/>
        <v>No</v>
      </c>
      <c r="BG232" t="str">
        <f t="shared" si="74"/>
        <v>No</v>
      </c>
      <c r="BH232" t="str">
        <f t="shared" si="75"/>
        <v/>
      </c>
    </row>
    <row r="233" spans="9:60" x14ac:dyDescent="0.3">
      <c r="I233" t="str">
        <f t="shared" si="76"/>
        <v>N/A</v>
      </c>
      <c r="J233" t="str">
        <f t="shared" si="77"/>
        <v>N/A</v>
      </c>
      <c r="K233" t="str">
        <f t="shared" si="78"/>
        <v>N/A</v>
      </c>
      <c r="L233" t="str">
        <f t="shared" si="79"/>
        <v>N/A</v>
      </c>
      <c r="M233" t="str">
        <f t="shared" si="80"/>
        <v>N/A</v>
      </c>
      <c r="N233" t="str">
        <f t="shared" si="81"/>
        <v>N/A</v>
      </c>
      <c r="P233">
        <f t="shared" si="58"/>
        <v>0</v>
      </c>
      <c r="Q233" t="str">
        <f>IFERROR(J144+MATCH(P233,J233:N233,0)-1,"")</f>
        <v/>
      </c>
      <c r="R233" t="str">
        <f t="shared" si="59"/>
        <v/>
      </c>
      <c r="S233" t="str">
        <f>IFERROR(J144+MATCH(R233,J233:N233,0)-1,"")</f>
        <v/>
      </c>
      <c r="T233" t="str">
        <f t="shared" si="60"/>
        <v/>
      </c>
      <c r="U233" t="str">
        <f t="shared" si="61"/>
        <v/>
      </c>
      <c r="V233" t="str">
        <f t="shared" si="62"/>
        <v/>
      </c>
      <c r="W233" t="str">
        <f t="shared" si="63"/>
        <v/>
      </c>
      <c r="X233" t="str">
        <f t="shared" si="64"/>
        <v/>
      </c>
      <c r="Y233" t="str">
        <f t="shared" si="65"/>
        <v/>
      </c>
      <c r="Z233" t="str">
        <f t="shared" si="66"/>
        <v/>
      </c>
      <c r="AA233">
        <f t="shared" si="67"/>
        <v>0</v>
      </c>
      <c r="AB233" t="str">
        <f>IFERROR(V144+MATCH(AA233,V233:Z233,0)-1,"")</f>
        <v/>
      </c>
      <c r="AC233" t="str">
        <f t="shared" si="68"/>
        <v/>
      </c>
      <c r="AE233" t="str">
        <f>IF(ISNUMBER(MATCH("N/A",J233:N233,0)),"",IFERROR((5 * SUMPRODUCT(J144:N144,J233:N233) - PRODUCT(SUM(J144:N144),SUM(J233:N233))) / ((5 * SUM((J144^2)+(K144^2)+(L144^2)+(M144^2)+(N144^2))) - SUM(J144:N144)^2),""))</f>
        <v/>
      </c>
      <c r="AF233" t="str">
        <f>IFERROR(CORREL(J144:N144,J233:N233),"")</f>
        <v/>
      </c>
      <c r="AZ233">
        <f t="shared" si="69"/>
        <v>0</v>
      </c>
      <c r="BA233" t="str">
        <f>IF(AZ233=1,IF(Q233="","",IF(Q233=N144,"Yes","No")),"")</f>
        <v/>
      </c>
      <c r="BB233" t="str">
        <f t="shared" si="70"/>
        <v/>
      </c>
      <c r="BC233" t="str">
        <f>IF(AZ233=1,IF(S233="","",IF(S233=N144,"Yes","No")),"")</f>
        <v/>
      </c>
      <c r="BD233" t="str">
        <f t="shared" si="71"/>
        <v/>
      </c>
      <c r="BE233" t="str">
        <f t="shared" si="72"/>
        <v/>
      </c>
      <c r="BF233" t="str">
        <f t="shared" si="73"/>
        <v>No</v>
      </c>
      <c r="BG233" t="str">
        <f t="shared" si="74"/>
        <v>No</v>
      </c>
      <c r="BH233" t="str">
        <f t="shared" si="75"/>
        <v/>
      </c>
    </row>
    <row r="234" spans="9:60" x14ac:dyDescent="0.3">
      <c r="I234" t="str">
        <f t="shared" si="76"/>
        <v>N/A</v>
      </c>
      <c r="J234" t="str">
        <f t="shared" si="77"/>
        <v>N/A</v>
      </c>
      <c r="K234" t="str">
        <f t="shared" si="78"/>
        <v>N/A</v>
      </c>
      <c r="L234" t="str">
        <f t="shared" si="79"/>
        <v>N/A</v>
      </c>
      <c r="M234" t="str">
        <f t="shared" si="80"/>
        <v>N/A</v>
      </c>
      <c r="N234" t="str">
        <f t="shared" si="81"/>
        <v>N/A</v>
      </c>
      <c r="P234">
        <f t="shared" si="58"/>
        <v>0</v>
      </c>
      <c r="Q234" t="str">
        <f>IFERROR(J144+MATCH(P234,J234:N234,0)-1,"")</f>
        <v/>
      </c>
      <c r="R234" t="str">
        <f t="shared" si="59"/>
        <v/>
      </c>
      <c r="S234" t="str">
        <f>IFERROR(J144+MATCH(R234,J234:N234,0)-1,"")</f>
        <v/>
      </c>
      <c r="T234" t="str">
        <f t="shared" si="60"/>
        <v/>
      </c>
      <c r="U234" t="str">
        <f t="shared" si="61"/>
        <v/>
      </c>
      <c r="V234" t="str">
        <f t="shared" si="62"/>
        <v/>
      </c>
      <c r="W234" t="str">
        <f t="shared" si="63"/>
        <v/>
      </c>
      <c r="X234" t="str">
        <f t="shared" si="64"/>
        <v/>
      </c>
      <c r="Y234" t="str">
        <f t="shared" si="65"/>
        <v/>
      </c>
      <c r="Z234" t="str">
        <f t="shared" si="66"/>
        <v/>
      </c>
      <c r="AA234">
        <f t="shared" si="67"/>
        <v>0</v>
      </c>
      <c r="AB234" t="str">
        <f>IFERROR(V144+MATCH(AA234,V234:Z234,0)-1,"")</f>
        <v/>
      </c>
      <c r="AC234" t="str">
        <f t="shared" si="68"/>
        <v/>
      </c>
      <c r="AE234" t="str">
        <f>IF(ISNUMBER(MATCH("N/A",J234:N234,0)),"",IFERROR((5 * SUMPRODUCT(J144:N144,J234:N234) - PRODUCT(SUM(J144:N144),SUM(J234:N234))) / ((5 * SUM((J144^2)+(K144^2)+(L144^2)+(M144^2)+(N144^2))) - SUM(J144:N144)^2),""))</f>
        <v/>
      </c>
      <c r="AF234" t="str">
        <f>IFERROR(CORREL(J144:N144,J234:N234),"")</f>
        <v/>
      </c>
      <c r="AZ234">
        <f t="shared" si="69"/>
        <v>0</v>
      </c>
      <c r="BA234" t="str">
        <f>IF(AZ234=1,IF(Q234="","",IF(Q234=N144,"Yes","No")),"")</f>
        <v/>
      </c>
      <c r="BB234" t="str">
        <f t="shared" si="70"/>
        <v/>
      </c>
      <c r="BC234" t="str">
        <f>IF(AZ234=1,IF(S234="","",IF(S234=N144,"Yes","No")),"")</f>
        <v/>
      </c>
      <c r="BD234" t="str">
        <f t="shared" si="71"/>
        <v/>
      </c>
      <c r="BE234" t="str">
        <f t="shared" si="72"/>
        <v/>
      </c>
      <c r="BF234" t="str">
        <f t="shared" si="73"/>
        <v>No</v>
      </c>
      <c r="BG234" t="str">
        <f t="shared" si="74"/>
        <v>No</v>
      </c>
      <c r="BH234" t="str">
        <f t="shared" si="75"/>
        <v/>
      </c>
    </row>
    <row r="235" spans="9:60" x14ac:dyDescent="0.3">
      <c r="I235" t="str">
        <f t="shared" si="76"/>
        <v>N/A</v>
      </c>
      <c r="J235" t="str">
        <f t="shared" si="77"/>
        <v>N/A</v>
      </c>
      <c r="K235" t="str">
        <f t="shared" si="78"/>
        <v>N/A</v>
      </c>
      <c r="L235" t="str">
        <f t="shared" si="79"/>
        <v>N/A</v>
      </c>
      <c r="M235" t="str">
        <f t="shared" si="80"/>
        <v>N/A</v>
      </c>
      <c r="N235" t="str">
        <f t="shared" si="81"/>
        <v>N/A</v>
      </c>
      <c r="P235">
        <f t="shared" si="58"/>
        <v>0</v>
      </c>
      <c r="Q235" t="str">
        <f>IFERROR(J144+MATCH(P235,J235:N235,0)-1,"")</f>
        <v/>
      </c>
      <c r="R235" t="str">
        <f t="shared" si="59"/>
        <v/>
      </c>
      <c r="S235" t="str">
        <f>IFERROR(J144+MATCH(R235,J235:N235,0)-1,"")</f>
        <v/>
      </c>
      <c r="T235" t="str">
        <f t="shared" si="60"/>
        <v/>
      </c>
      <c r="U235" t="str">
        <f t="shared" si="61"/>
        <v/>
      </c>
      <c r="V235" t="str">
        <f t="shared" si="62"/>
        <v/>
      </c>
      <c r="W235" t="str">
        <f t="shared" si="63"/>
        <v/>
      </c>
      <c r="X235" t="str">
        <f t="shared" si="64"/>
        <v/>
      </c>
      <c r="Y235" t="str">
        <f t="shared" si="65"/>
        <v/>
      </c>
      <c r="Z235" t="str">
        <f t="shared" si="66"/>
        <v/>
      </c>
      <c r="AA235">
        <f t="shared" si="67"/>
        <v>0</v>
      </c>
      <c r="AB235" t="str">
        <f>IFERROR(V144+MATCH(AA235,V235:Z235,0)-1,"")</f>
        <v/>
      </c>
      <c r="AC235" t="str">
        <f t="shared" si="68"/>
        <v/>
      </c>
      <c r="AE235" t="str">
        <f>IF(ISNUMBER(MATCH("N/A",J235:N235,0)),"",IFERROR((5 * SUMPRODUCT(J144:N144,J235:N235) - PRODUCT(SUM(J144:N144),SUM(J235:N235))) / ((5 * SUM((J144^2)+(K144^2)+(L144^2)+(M144^2)+(N144^2))) - SUM(J144:N144)^2),""))</f>
        <v/>
      </c>
      <c r="AF235" t="str">
        <f>IFERROR(CORREL(J144:N144,J235:N235),"")</f>
        <v/>
      </c>
      <c r="AZ235">
        <f t="shared" si="69"/>
        <v>0</v>
      </c>
      <c r="BA235" t="str">
        <f>IF(AZ235=1,IF(Q235="","",IF(Q235=N144,"Yes","No")),"")</f>
        <v/>
      </c>
      <c r="BB235" t="str">
        <f t="shared" si="70"/>
        <v/>
      </c>
      <c r="BC235" t="str">
        <f>IF(AZ235=1,IF(S235="","",IF(S235=N144,"Yes","No")),"")</f>
        <v/>
      </c>
      <c r="BD235" t="str">
        <f t="shared" si="71"/>
        <v/>
      </c>
      <c r="BE235" t="str">
        <f t="shared" si="72"/>
        <v/>
      </c>
      <c r="BF235" t="str">
        <f t="shared" si="73"/>
        <v>No</v>
      </c>
      <c r="BG235" t="str">
        <f t="shared" si="74"/>
        <v>No</v>
      </c>
      <c r="BH235" t="str">
        <f t="shared" si="75"/>
        <v/>
      </c>
    </row>
    <row r="236" spans="9:60" x14ac:dyDescent="0.3">
      <c r="I236" t="str">
        <f t="shared" si="76"/>
        <v>N/A</v>
      </c>
      <c r="J236" t="str">
        <f t="shared" si="77"/>
        <v>N/A</v>
      </c>
      <c r="K236" t="str">
        <f t="shared" si="78"/>
        <v>N/A</v>
      </c>
      <c r="L236" t="str">
        <f t="shared" si="79"/>
        <v>N/A</v>
      </c>
      <c r="M236" t="str">
        <f t="shared" si="80"/>
        <v>N/A</v>
      </c>
      <c r="N236" t="str">
        <f t="shared" si="81"/>
        <v>N/A</v>
      </c>
      <c r="P236">
        <f t="shared" si="58"/>
        <v>0</v>
      </c>
      <c r="Q236" t="str">
        <f>IFERROR(J144+MATCH(P236,J236:N236,0)-1,"")</f>
        <v/>
      </c>
      <c r="R236" t="str">
        <f t="shared" si="59"/>
        <v/>
      </c>
      <c r="S236" t="str">
        <f>IFERROR(J144+MATCH(R236,J236:N236,0)-1,"")</f>
        <v/>
      </c>
      <c r="T236" t="str">
        <f t="shared" si="60"/>
        <v/>
      </c>
      <c r="U236" t="str">
        <f t="shared" si="61"/>
        <v/>
      </c>
      <c r="V236" t="str">
        <f t="shared" si="62"/>
        <v/>
      </c>
      <c r="W236" t="str">
        <f t="shared" si="63"/>
        <v/>
      </c>
      <c r="X236" t="str">
        <f t="shared" si="64"/>
        <v/>
      </c>
      <c r="Y236" t="str">
        <f t="shared" si="65"/>
        <v/>
      </c>
      <c r="Z236" t="str">
        <f t="shared" si="66"/>
        <v/>
      </c>
      <c r="AA236">
        <f t="shared" si="67"/>
        <v>0</v>
      </c>
      <c r="AB236" t="str">
        <f>IFERROR(V144+MATCH(AA236,V236:Z236,0)-1,"")</f>
        <v/>
      </c>
      <c r="AC236" t="str">
        <f t="shared" si="68"/>
        <v/>
      </c>
      <c r="AE236" t="str">
        <f>IF(ISNUMBER(MATCH("N/A",J236:N236,0)),"",IFERROR((5 * SUMPRODUCT(J144:N144,J236:N236) - PRODUCT(SUM(J144:N144),SUM(J236:N236))) / ((5 * SUM((J144^2)+(K144^2)+(L144^2)+(M144^2)+(N144^2))) - SUM(J144:N144)^2),""))</f>
        <v/>
      </c>
      <c r="AF236" t="str">
        <f>IFERROR(CORREL(J144:N144,J236:N236),"")</f>
        <v/>
      </c>
      <c r="AZ236">
        <f t="shared" si="69"/>
        <v>0</v>
      </c>
      <c r="BA236" t="str">
        <f>IF(AZ236=1,IF(Q236="","",IF(Q236=N144,"Yes","No")),"")</f>
        <v/>
      </c>
      <c r="BB236" t="str">
        <f t="shared" si="70"/>
        <v/>
      </c>
      <c r="BC236" t="str">
        <f>IF(AZ236=1,IF(S236="","",IF(S236=N144,"Yes","No")),"")</f>
        <v/>
      </c>
      <c r="BD236" t="str">
        <f t="shared" si="71"/>
        <v/>
      </c>
      <c r="BE236" t="str">
        <f t="shared" si="72"/>
        <v/>
      </c>
      <c r="BF236" t="str">
        <f t="shared" si="73"/>
        <v>No</v>
      </c>
      <c r="BG236" t="str">
        <f t="shared" si="74"/>
        <v>No</v>
      </c>
      <c r="BH236" t="str">
        <f t="shared" si="75"/>
        <v/>
      </c>
    </row>
    <row r="237" spans="9:60" x14ac:dyDescent="0.3">
      <c r="I237" t="str">
        <f t="shared" si="76"/>
        <v>N/A</v>
      </c>
      <c r="J237" t="str">
        <f t="shared" si="77"/>
        <v>N/A</v>
      </c>
      <c r="K237" t="str">
        <f t="shared" si="78"/>
        <v>N/A</v>
      </c>
      <c r="L237" t="str">
        <f t="shared" si="79"/>
        <v>N/A</v>
      </c>
      <c r="M237" t="str">
        <f t="shared" si="80"/>
        <v>N/A</v>
      </c>
      <c r="N237" t="str">
        <f t="shared" si="81"/>
        <v>N/A</v>
      </c>
      <c r="P237">
        <f t="shared" si="58"/>
        <v>0</v>
      </c>
      <c r="Q237" t="str">
        <f>IFERROR(J144+MATCH(P237,J237:N237,0)-1,"")</f>
        <v/>
      </c>
      <c r="R237" t="str">
        <f t="shared" si="59"/>
        <v/>
      </c>
      <c r="S237" t="str">
        <f>IFERROR(J144+MATCH(R237,J237:N237,0)-1,"")</f>
        <v/>
      </c>
      <c r="T237" t="str">
        <f t="shared" si="60"/>
        <v/>
      </c>
      <c r="U237" t="str">
        <f t="shared" si="61"/>
        <v/>
      </c>
      <c r="V237" t="str">
        <f t="shared" si="62"/>
        <v/>
      </c>
      <c r="W237" t="str">
        <f t="shared" si="63"/>
        <v/>
      </c>
      <c r="X237" t="str">
        <f t="shared" si="64"/>
        <v/>
      </c>
      <c r="Y237" t="str">
        <f t="shared" si="65"/>
        <v/>
      </c>
      <c r="Z237" t="str">
        <f t="shared" si="66"/>
        <v/>
      </c>
      <c r="AA237">
        <f t="shared" si="67"/>
        <v>0</v>
      </c>
      <c r="AB237" t="str">
        <f>IFERROR(V144+MATCH(AA237,V237:Z237,0)-1,"")</f>
        <v/>
      </c>
      <c r="AC237" t="str">
        <f t="shared" si="68"/>
        <v/>
      </c>
      <c r="AE237" t="str">
        <f>IF(ISNUMBER(MATCH("N/A",J237:N237,0)),"",IFERROR((5 * SUMPRODUCT(J144:N144,J237:N237) - PRODUCT(SUM(J144:N144),SUM(J237:N237))) / ((5 * SUM((J144^2)+(K144^2)+(L144^2)+(M144^2)+(N144^2))) - SUM(J144:N144)^2),""))</f>
        <v/>
      </c>
      <c r="AF237" t="str">
        <f>IFERROR(CORREL(J144:N144,J237:N237),"")</f>
        <v/>
      </c>
      <c r="AZ237">
        <f t="shared" si="69"/>
        <v>0</v>
      </c>
      <c r="BA237" t="str">
        <f>IF(AZ237=1,IF(Q237="","",IF(Q237=N144,"Yes","No")),"")</f>
        <v/>
      </c>
      <c r="BB237" t="str">
        <f t="shared" si="70"/>
        <v/>
      </c>
      <c r="BC237" t="str">
        <f>IF(AZ237=1,IF(S237="","",IF(S237=N144,"Yes","No")),"")</f>
        <v/>
      </c>
      <c r="BD237" t="str">
        <f t="shared" si="71"/>
        <v/>
      </c>
      <c r="BE237" t="str">
        <f t="shared" si="72"/>
        <v/>
      </c>
      <c r="BF237" t="str">
        <f t="shared" si="73"/>
        <v>No</v>
      </c>
      <c r="BG237" t="str">
        <f t="shared" si="74"/>
        <v>No</v>
      </c>
      <c r="BH237" t="str">
        <f t="shared" si="75"/>
        <v/>
      </c>
    </row>
    <row r="238" spans="9:60" x14ac:dyDescent="0.3">
      <c r="I238" t="str">
        <f t="shared" si="76"/>
        <v>N/A</v>
      </c>
      <c r="J238" t="str">
        <f t="shared" si="77"/>
        <v>N/A</v>
      </c>
      <c r="K238" t="str">
        <f t="shared" si="78"/>
        <v>N/A</v>
      </c>
      <c r="L238" t="str">
        <f t="shared" si="79"/>
        <v>N/A</v>
      </c>
      <c r="M238" t="str">
        <f t="shared" si="80"/>
        <v>N/A</v>
      </c>
      <c r="N238" t="str">
        <f t="shared" si="81"/>
        <v>N/A</v>
      </c>
      <c r="P238">
        <f t="shared" si="58"/>
        <v>0</v>
      </c>
      <c r="Q238" t="str">
        <f>IFERROR(J144+MATCH(P238,J238:N238,0)-1,"")</f>
        <v/>
      </c>
      <c r="R238" t="str">
        <f t="shared" si="59"/>
        <v/>
      </c>
      <c r="S238" t="str">
        <f>IFERROR(J144+MATCH(R238,J238:N238,0)-1,"")</f>
        <v/>
      </c>
      <c r="T238" t="str">
        <f t="shared" si="60"/>
        <v/>
      </c>
      <c r="U238" t="str">
        <f t="shared" si="61"/>
        <v/>
      </c>
      <c r="V238" t="str">
        <f t="shared" si="62"/>
        <v/>
      </c>
      <c r="W238" t="str">
        <f t="shared" si="63"/>
        <v/>
      </c>
      <c r="X238" t="str">
        <f t="shared" si="64"/>
        <v/>
      </c>
      <c r="Y238" t="str">
        <f t="shared" si="65"/>
        <v/>
      </c>
      <c r="Z238" t="str">
        <f t="shared" si="66"/>
        <v/>
      </c>
      <c r="AA238">
        <f t="shared" si="67"/>
        <v>0</v>
      </c>
      <c r="AB238" t="str">
        <f>IFERROR(V144+MATCH(AA238,V238:Z238,0)-1,"")</f>
        <v/>
      </c>
      <c r="AC238" t="str">
        <f t="shared" si="68"/>
        <v/>
      </c>
      <c r="AE238" t="str">
        <f>IF(ISNUMBER(MATCH("N/A",J238:N238,0)),"",IFERROR((5 * SUMPRODUCT(J144:N144,J238:N238) - PRODUCT(SUM(J144:N144),SUM(J238:N238))) / ((5 * SUM((J144^2)+(K144^2)+(L144^2)+(M144^2)+(N144^2))) - SUM(J144:N144)^2),""))</f>
        <v/>
      </c>
      <c r="AF238" t="str">
        <f>IFERROR(CORREL(J144:N144,J238:N238),"")</f>
        <v/>
      </c>
      <c r="AZ238">
        <f t="shared" si="69"/>
        <v>0</v>
      </c>
      <c r="BA238" t="str">
        <f>IF(AZ238=1,IF(Q238="","",IF(Q238=N144,"Yes","No")),"")</f>
        <v/>
      </c>
      <c r="BB238" t="str">
        <f t="shared" si="70"/>
        <v/>
      </c>
      <c r="BC238" t="str">
        <f>IF(AZ238=1,IF(S238="","",IF(S238=N144,"Yes","No")),"")</f>
        <v/>
      </c>
      <c r="BD238" t="str">
        <f t="shared" si="71"/>
        <v/>
      </c>
      <c r="BE238" t="str">
        <f t="shared" si="72"/>
        <v/>
      </c>
      <c r="BF238" t="str">
        <f t="shared" si="73"/>
        <v>No</v>
      </c>
      <c r="BG238" t="str">
        <f t="shared" si="74"/>
        <v>No</v>
      </c>
      <c r="BH238" t="str">
        <f t="shared" si="75"/>
        <v/>
      </c>
    </row>
    <row r="239" spans="9:60" x14ac:dyDescent="0.3">
      <c r="I239" t="str">
        <f t="shared" si="76"/>
        <v>N/A</v>
      </c>
      <c r="J239" t="str">
        <f t="shared" si="77"/>
        <v>N/A</v>
      </c>
      <c r="K239" t="str">
        <f t="shared" si="78"/>
        <v>N/A</v>
      </c>
      <c r="L239" t="str">
        <f t="shared" si="79"/>
        <v>N/A</v>
      </c>
      <c r="M239" t="str">
        <f t="shared" si="80"/>
        <v>N/A</v>
      </c>
      <c r="N239" t="str">
        <f t="shared" si="81"/>
        <v>N/A</v>
      </c>
      <c r="P239">
        <f t="shared" si="58"/>
        <v>0</v>
      </c>
      <c r="Q239" t="str">
        <f>IFERROR(J144+MATCH(P239,J239:N239,0)-1,"")</f>
        <v/>
      </c>
      <c r="R239" t="str">
        <f t="shared" si="59"/>
        <v/>
      </c>
      <c r="S239" t="str">
        <f>IFERROR(J144+MATCH(R239,J239:N239,0)-1,"")</f>
        <v/>
      </c>
      <c r="T239" t="str">
        <f t="shared" si="60"/>
        <v/>
      </c>
      <c r="U239" t="str">
        <f t="shared" si="61"/>
        <v/>
      </c>
      <c r="V239" t="str">
        <f t="shared" si="62"/>
        <v/>
      </c>
      <c r="W239" t="str">
        <f t="shared" si="63"/>
        <v/>
      </c>
      <c r="X239" t="str">
        <f t="shared" si="64"/>
        <v/>
      </c>
      <c r="Y239" t="str">
        <f t="shared" si="65"/>
        <v/>
      </c>
      <c r="Z239" t="str">
        <f t="shared" si="66"/>
        <v/>
      </c>
      <c r="AA239">
        <f t="shared" si="67"/>
        <v>0</v>
      </c>
      <c r="AB239" t="str">
        <f>IFERROR(V144+MATCH(AA239,V239:Z239,0)-1,"")</f>
        <v/>
      </c>
      <c r="AC239" t="str">
        <f t="shared" si="68"/>
        <v/>
      </c>
      <c r="AE239" t="str">
        <f>IF(ISNUMBER(MATCH("N/A",J239:N239,0)),"",IFERROR((5 * SUMPRODUCT(J144:N144,J239:N239) - PRODUCT(SUM(J144:N144),SUM(J239:N239))) / ((5 * SUM((J144^2)+(K144^2)+(L144^2)+(M144^2)+(N144^2))) - SUM(J144:N144)^2),""))</f>
        <v/>
      </c>
      <c r="AF239" t="str">
        <f>IFERROR(CORREL(J144:N144,J239:N239),"")</f>
        <v/>
      </c>
      <c r="AZ239">
        <f t="shared" si="69"/>
        <v>0</v>
      </c>
      <c r="BA239" t="str">
        <f>IF(AZ239=1,IF(Q239="","",IF(Q239=N144,"Yes","No")),"")</f>
        <v/>
      </c>
      <c r="BB239" t="str">
        <f t="shared" si="70"/>
        <v/>
      </c>
      <c r="BC239" t="str">
        <f>IF(AZ239=1,IF(S239="","",IF(S239=N144,"Yes","No")),"")</f>
        <v/>
      </c>
      <c r="BD239" t="str">
        <f t="shared" si="71"/>
        <v/>
      </c>
      <c r="BE239" t="str">
        <f t="shared" si="72"/>
        <v/>
      </c>
      <c r="BF239" t="str">
        <f t="shared" si="73"/>
        <v>No</v>
      </c>
      <c r="BG239" t="str">
        <f t="shared" si="74"/>
        <v>No</v>
      </c>
      <c r="BH239" t="str">
        <f t="shared" si="75"/>
        <v/>
      </c>
    </row>
    <row r="240" spans="9:60" x14ac:dyDescent="0.3">
      <c r="I240" t="str">
        <f t="shared" si="76"/>
        <v>N/A</v>
      </c>
      <c r="J240" t="str">
        <f t="shared" si="77"/>
        <v>N/A</v>
      </c>
      <c r="K240" t="str">
        <f t="shared" si="78"/>
        <v>N/A</v>
      </c>
      <c r="L240" t="str">
        <f t="shared" si="79"/>
        <v>N/A</v>
      </c>
      <c r="M240" t="str">
        <f t="shared" si="80"/>
        <v>N/A</v>
      </c>
      <c r="N240" t="str">
        <f t="shared" si="81"/>
        <v>N/A</v>
      </c>
      <c r="P240">
        <f t="shared" si="58"/>
        <v>0</v>
      </c>
      <c r="Q240" t="str">
        <f>IFERROR(J144+MATCH(P240,J240:N240,0)-1,"")</f>
        <v/>
      </c>
      <c r="R240" t="str">
        <f t="shared" si="59"/>
        <v/>
      </c>
      <c r="S240" t="str">
        <f>IFERROR(J144+MATCH(R240,J240:N240,0)-1,"")</f>
        <v/>
      </c>
      <c r="T240" t="str">
        <f t="shared" si="60"/>
        <v/>
      </c>
      <c r="U240" t="str">
        <f t="shared" si="61"/>
        <v/>
      </c>
      <c r="V240" t="str">
        <f t="shared" si="62"/>
        <v/>
      </c>
      <c r="W240" t="str">
        <f t="shared" si="63"/>
        <v/>
      </c>
      <c r="X240" t="str">
        <f t="shared" si="64"/>
        <v/>
      </c>
      <c r="Y240" t="str">
        <f t="shared" si="65"/>
        <v/>
      </c>
      <c r="Z240" t="str">
        <f t="shared" si="66"/>
        <v/>
      </c>
      <c r="AA240">
        <f t="shared" si="67"/>
        <v>0</v>
      </c>
      <c r="AB240" t="str">
        <f>IFERROR(V144+MATCH(AA240,V240:Z240,0)-1,"")</f>
        <v/>
      </c>
      <c r="AC240" t="str">
        <f t="shared" si="68"/>
        <v/>
      </c>
      <c r="AE240" t="str">
        <f>IF(ISNUMBER(MATCH("N/A",J240:N240,0)),"",IFERROR((5 * SUMPRODUCT(J144:N144,J240:N240) - PRODUCT(SUM(J144:N144),SUM(J240:N240))) / ((5 * SUM((J144^2)+(K144^2)+(L144^2)+(M144^2)+(N144^2))) - SUM(J144:N144)^2),""))</f>
        <v/>
      </c>
      <c r="AF240" t="str">
        <f>IFERROR(CORREL(J144:N144,J240:N240),"")</f>
        <v/>
      </c>
      <c r="AZ240">
        <f t="shared" si="69"/>
        <v>0</v>
      </c>
      <c r="BA240" t="str">
        <f>IF(AZ240=1,IF(Q240="","",IF(Q240=N144,"Yes","No")),"")</f>
        <v/>
      </c>
      <c r="BB240" t="str">
        <f t="shared" si="70"/>
        <v/>
      </c>
      <c r="BC240" t="str">
        <f>IF(AZ240=1,IF(S240="","",IF(S240=N144,"Yes","No")),"")</f>
        <v/>
      </c>
      <c r="BD240" t="str">
        <f t="shared" si="71"/>
        <v/>
      </c>
      <c r="BE240" t="str">
        <f t="shared" si="72"/>
        <v/>
      </c>
      <c r="BF240" t="str">
        <f t="shared" si="73"/>
        <v>No</v>
      </c>
      <c r="BG240" t="str">
        <f t="shared" si="74"/>
        <v>No</v>
      </c>
      <c r="BH240" t="str">
        <f t="shared" si="75"/>
        <v/>
      </c>
    </row>
    <row r="241" spans="9:60" x14ac:dyDescent="0.3">
      <c r="I241" t="str">
        <f t="shared" si="76"/>
        <v>N/A</v>
      </c>
      <c r="J241" t="str">
        <f t="shared" si="77"/>
        <v>N/A</v>
      </c>
      <c r="K241" t="str">
        <f t="shared" si="78"/>
        <v>N/A</v>
      </c>
      <c r="L241" t="str">
        <f t="shared" si="79"/>
        <v>N/A</v>
      </c>
      <c r="M241" t="str">
        <f t="shared" si="80"/>
        <v>N/A</v>
      </c>
      <c r="N241" t="str">
        <f t="shared" si="81"/>
        <v>N/A</v>
      </c>
      <c r="P241">
        <f t="shared" si="58"/>
        <v>0</v>
      </c>
      <c r="Q241" t="str">
        <f>IFERROR(J144+MATCH(P241,J241:N241,0)-1,"")</f>
        <v/>
      </c>
      <c r="R241" t="str">
        <f t="shared" si="59"/>
        <v/>
      </c>
      <c r="S241" t="str">
        <f>IFERROR(J144+MATCH(R241,J241:N241,0)-1,"")</f>
        <v/>
      </c>
      <c r="T241" t="str">
        <f t="shared" si="60"/>
        <v/>
      </c>
      <c r="U241" t="str">
        <f t="shared" si="61"/>
        <v/>
      </c>
      <c r="V241" t="str">
        <f t="shared" si="62"/>
        <v/>
      </c>
      <c r="W241" t="str">
        <f t="shared" si="63"/>
        <v/>
      </c>
      <c r="X241" t="str">
        <f t="shared" si="64"/>
        <v/>
      </c>
      <c r="Y241" t="str">
        <f t="shared" si="65"/>
        <v/>
      </c>
      <c r="Z241" t="str">
        <f t="shared" si="66"/>
        <v/>
      </c>
      <c r="AA241">
        <f t="shared" si="67"/>
        <v>0</v>
      </c>
      <c r="AB241" t="str">
        <f>IFERROR(V144+MATCH(AA241,V241:Z241,0)-1,"")</f>
        <v/>
      </c>
      <c r="AC241" t="str">
        <f t="shared" si="68"/>
        <v/>
      </c>
      <c r="AE241" t="str">
        <f>IF(ISNUMBER(MATCH("N/A",J241:N241,0)),"",IFERROR((5 * SUMPRODUCT(J144:N144,J241:N241) - PRODUCT(SUM(J144:N144),SUM(J241:N241))) / ((5 * SUM((J144^2)+(K144^2)+(L144^2)+(M144^2)+(N144^2))) - SUM(J144:N144)^2),""))</f>
        <v/>
      </c>
      <c r="AF241" t="str">
        <f>IFERROR(CORREL(J144:N144,J241:N241),"")</f>
        <v/>
      </c>
      <c r="AZ241">
        <f t="shared" si="69"/>
        <v>0</v>
      </c>
      <c r="BA241" t="str">
        <f>IF(AZ241=1,IF(Q241="","",IF(Q241=N144,"Yes","No")),"")</f>
        <v/>
      </c>
      <c r="BB241" t="str">
        <f t="shared" si="70"/>
        <v/>
      </c>
      <c r="BC241" t="str">
        <f>IF(AZ241=1,IF(S241="","",IF(S241=N144,"Yes","No")),"")</f>
        <v/>
      </c>
      <c r="BD241" t="str">
        <f t="shared" si="71"/>
        <v/>
      </c>
      <c r="BE241" t="str">
        <f t="shared" si="72"/>
        <v/>
      </c>
      <c r="BF241" t="str">
        <f t="shared" si="73"/>
        <v>No</v>
      </c>
      <c r="BG241" t="str">
        <f t="shared" si="74"/>
        <v>No</v>
      </c>
      <c r="BH241" t="str">
        <f t="shared" si="75"/>
        <v/>
      </c>
    </row>
    <row r="242" spans="9:60" x14ac:dyDescent="0.3">
      <c r="I242" t="str">
        <f t="shared" si="76"/>
        <v>N/A</v>
      </c>
      <c r="J242" t="str">
        <f t="shared" si="77"/>
        <v>N/A</v>
      </c>
      <c r="K242" t="str">
        <f t="shared" si="78"/>
        <v>N/A</v>
      </c>
      <c r="L242" t="str">
        <f t="shared" si="79"/>
        <v>N/A</v>
      </c>
      <c r="M242" t="str">
        <f t="shared" si="80"/>
        <v>N/A</v>
      </c>
      <c r="N242" t="str">
        <f t="shared" si="81"/>
        <v>N/A</v>
      </c>
      <c r="P242">
        <f t="shared" si="58"/>
        <v>0</v>
      </c>
      <c r="Q242" t="str">
        <f>IFERROR(J144+MATCH(P242,J242:N242,0)-1,"")</f>
        <v/>
      </c>
      <c r="R242" t="str">
        <f t="shared" si="59"/>
        <v/>
      </c>
      <c r="S242" t="str">
        <f>IFERROR(J144+MATCH(R242,J242:N242,0)-1,"")</f>
        <v/>
      </c>
      <c r="T242" t="str">
        <f t="shared" si="60"/>
        <v/>
      </c>
      <c r="U242" t="str">
        <f t="shared" si="61"/>
        <v/>
      </c>
      <c r="V242" t="str">
        <f t="shared" si="62"/>
        <v/>
      </c>
      <c r="W242" t="str">
        <f t="shared" si="63"/>
        <v/>
      </c>
      <c r="X242" t="str">
        <f t="shared" si="64"/>
        <v/>
      </c>
      <c r="Y242" t="str">
        <f t="shared" si="65"/>
        <v/>
      </c>
      <c r="Z242" t="str">
        <f t="shared" si="66"/>
        <v/>
      </c>
      <c r="AA242">
        <f t="shared" si="67"/>
        <v>0</v>
      </c>
      <c r="AB242" t="str">
        <f>IFERROR(V144+MATCH(AA242,V242:Z242,0)-1,"")</f>
        <v/>
      </c>
      <c r="AC242" t="str">
        <f t="shared" si="68"/>
        <v/>
      </c>
      <c r="AE242" t="str">
        <f>IF(ISNUMBER(MATCH("N/A",J242:N242,0)),"",IFERROR((5 * SUMPRODUCT(J144:N144,J242:N242) - PRODUCT(SUM(J144:N144),SUM(J242:N242))) / ((5 * SUM((J144^2)+(K144^2)+(L144^2)+(M144^2)+(N144^2))) - SUM(J144:N144)^2),""))</f>
        <v/>
      </c>
      <c r="AF242" t="str">
        <f>IFERROR(CORREL(J144:N144,J242:N242),"")</f>
        <v/>
      </c>
      <c r="AZ242">
        <f t="shared" si="69"/>
        <v>0</v>
      </c>
      <c r="BA242" t="str">
        <f>IF(AZ242=1,IF(Q242="","",IF(Q242=N144,"Yes","No")),"")</f>
        <v/>
      </c>
      <c r="BB242" t="str">
        <f t="shared" si="70"/>
        <v/>
      </c>
      <c r="BC242" t="str">
        <f>IF(AZ242=1,IF(S242="","",IF(S242=N144,"Yes","No")),"")</f>
        <v/>
      </c>
      <c r="BD242" t="str">
        <f t="shared" si="71"/>
        <v/>
      </c>
      <c r="BE242" t="str">
        <f t="shared" si="72"/>
        <v/>
      </c>
      <c r="BF242" t="str">
        <f t="shared" si="73"/>
        <v>No</v>
      </c>
      <c r="BG242" t="str">
        <f t="shared" si="74"/>
        <v>No</v>
      </c>
      <c r="BH242" t="str">
        <f t="shared" si="75"/>
        <v/>
      </c>
    </row>
    <row r="243" spans="9:60" x14ac:dyDescent="0.3">
      <c r="I243" t="str">
        <f t="shared" si="76"/>
        <v>N/A</v>
      </c>
      <c r="J243" t="str">
        <f t="shared" si="77"/>
        <v>N/A</v>
      </c>
      <c r="K243" t="str">
        <f t="shared" si="78"/>
        <v>N/A</v>
      </c>
      <c r="L243" t="str">
        <f t="shared" si="79"/>
        <v>N/A</v>
      </c>
      <c r="M243" t="str">
        <f t="shared" si="80"/>
        <v>N/A</v>
      </c>
      <c r="N243" t="str">
        <f t="shared" si="81"/>
        <v>N/A</v>
      </c>
      <c r="P243">
        <f t="shared" si="58"/>
        <v>0</v>
      </c>
      <c r="Q243" t="str">
        <f>IFERROR(J144+MATCH(P243,J243:N243,0)-1,"")</f>
        <v/>
      </c>
      <c r="R243" t="str">
        <f t="shared" si="59"/>
        <v/>
      </c>
      <c r="S243" t="str">
        <f>IFERROR(J144+MATCH(R243,J243:N243,0)-1,"")</f>
        <v/>
      </c>
      <c r="T243" t="str">
        <f t="shared" si="60"/>
        <v/>
      </c>
      <c r="U243" t="str">
        <f t="shared" si="61"/>
        <v/>
      </c>
      <c r="V243" t="str">
        <f t="shared" si="62"/>
        <v/>
      </c>
      <c r="W243" t="str">
        <f t="shared" si="63"/>
        <v/>
      </c>
      <c r="X243" t="str">
        <f t="shared" si="64"/>
        <v/>
      </c>
      <c r="Y243" t="str">
        <f t="shared" si="65"/>
        <v/>
      </c>
      <c r="Z243" t="str">
        <f t="shared" si="66"/>
        <v/>
      </c>
      <c r="AA243">
        <f t="shared" si="67"/>
        <v>0</v>
      </c>
      <c r="AB243" t="str">
        <f>IFERROR(V144+MATCH(AA243,V243:Z243,0)-1,"")</f>
        <v/>
      </c>
      <c r="AC243" t="str">
        <f t="shared" si="68"/>
        <v/>
      </c>
      <c r="AE243" t="str">
        <f>IF(ISNUMBER(MATCH("N/A",J243:N243,0)),"",IFERROR((5 * SUMPRODUCT(J144:N144,J243:N243) - PRODUCT(SUM(J144:N144),SUM(J243:N243))) / ((5 * SUM((J144^2)+(K144^2)+(L144^2)+(M144^2)+(N144^2))) - SUM(J144:N144)^2),""))</f>
        <v/>
      </c>
      <c r="AF243" t="str">
        <f>IFERROR(CORREL(J144:N144,J243:N243),"")</f>
        <v/>
      </c>
      <c r="AZ243">
        <f t="shared" si="69"/>
        <v>0</v>
      </c>
      <c r="BA243" t="str">
        <f>IF(AZ243=1,IF(Q243="","",IF(Q243=N144,"Yes","No")),"")</f>
        <v/>
      </c>
      <c r="BB243" t="str">
        <f t="shared" si="70"/>
        <v/>
      </c>
      <c r="BC243" t="str">
        <f>IF(AZ243=1,IF(S243="","",IF(S243=N144,"Yes","No")),"")</f>
        <v/>
      </c>
      <c r="BD243" t="str">
        <f t="shared" si="71"/>
        <v/>
      </c>
      <c r="BE243" t="str">
        <f t="shared" si="72"/>
        <v/>
      </c>
      <c r="BF243" t="str">
        <f t="shared" si="73"/>
        <v>No</v>
      </c>
      <c r="BG243" t="str">
        <f t="shared" si="74"/>
        <v>No</v>
      </c>
      <c r="BH243" t="str">
        <f t="shared" si="75"/>
        <v/>
      </c>
    </row>
    <row r="244" spans="9:60" x14ac:dyDescent="0.3">
      <c r="I244" t="str">
        <f t="shared" si="76"/>
        <v>N/A</v>
      </c>
      <c r="J244" t="str">
        <f t="shared" si="77"/>
        <v>N/A</v>
      </c>
      <c r="K244" t="str">
        <f t="shared" si="78"/>
        <v>N/A</v>
      </c>
      <c r="L244" t="str">
        <f t="shared" si="79"/>
        <v>N/A</v>
      </c>
      <c r="M244" t="str">
        <f t="shared" si="80"/>
        <v>N/A</v>
      </c>
      <c r="N244" t="str">
        <f t="shared" si="81"/>
        <v>N/A</v>
      </c>
      <c r="P244">
        <f t="shared" si="58"/>
        <v>0</v>
      </c>
      <c r="Q244" t="str">
        <f>IFERROR(J144+MATCH(P244,J244:N244,0)-1,"")</f>
        <v/>
      </c>
      <c r="R244" t="str">
        <f t="shared" si="59"/>
        <v/>
      </c>
      <c r="S244" t="str">
        <f>IFERROR(J144+MATCH(R244,J244:N244,0)-1,"")</f>
        <v/>
      </c>
      <c r="T244" t="str">
        <f t="shared" si="60"/>
        <v/>
      </c>
      <c r="U244" t="str">
        <f t="shared" si="61"/>
        <v/>
      </c>
      <c r="V244" t="str">
        <f t="shared" si="62"/>
        <v/>
      </c>
      <c r="W244" t="str">
        <f t="shared" si="63"/>
        <v/>
      </c>
      <c r="X244" t="str">
        <f t="shared" si="64"/>
        <v/>
      </c>
      <c r="Y244" t="str">
        <f t="shared" si="65"/>
        <v/>
      </c>
      <c r="Z244" t="str">
        <f t="shared" si="66"/>
        <v/>
      </c>
      <c r="AA244">
        <f t="shared" si="67"/>
        <v>0</v>
      </c>
      <c r="AB244" t="str">
        <f>IFERROR(V144+MATCH(AA244,V244:Z244,0)-1,"")</f>
        <v/>
      </c>
      <c r="AC244" t="str">
        <f t="shared" si="68"/>
        <v/>
      </c>
      <c r="AE244" t="str">
        <f>IF(ISNUMBER(MATCH("N/A",J244:N244,0)),"",IFERROR((5 * SUMPRODUCT(J144:N144,J244:N244) - PRODUCT(SUM(J144:N144),SUM(J244:N244))) / ((5 * SUM((J144^2)+(K144^2)+(L144^2)+(M144^2)+(N144^2))) - SUM(J144:N144)^2),""))</f>
        <v/>
      </c>
      <c r="AF244" t="str">
        <f>IFERROR(CORREL(J144:N144,J244:N244),"")</f>
        <v/>
      </c>
      <c r="AZ244">
        <f t="shared" si="69"/>
        <v>0</v>
      </c>
      <c r="BA244" t="str">
        <f>IF(AZ244=1,IF(Q244="","",IF(Q244=N144,"Yes","No")),"")</f>
        <v/>
      </c>
      <c r="BB244" t="str">
        <f t="shared" si="70"/>
        <v/>
      </c>
      <c r="BC244" t="str">
        <f>IF(AZ244=1,IF(S244="","",IF(S244=N144,"Yes","No")),"")</f>
        <v/>
      </c>
      <c r="BD244" t="str">
        <f t="shared" si="71"/>
        <v/>
      </c>
      <c r="BE244" t="str">
        <f t="shared" si="72"/>
        <v/>
      </c>
      <c r="BF244" t="str">
        <f t="shared" si="73"/>
        <v>No</v>
      </c>
      <c r="BG244" t="str">
        <f t="shared" si="74"/>
        <v>No</v>
      </c>
      <c r="BH244" t="str">
        <f t="shared" si="75"/>
        <v/>
      </c>
    </row>
    <row r="245" spans="9:60" x14ac:dyDescent="0.3">
      <c r="I245" t="str">
        <f t="shared" si="76"/>
        <v>N/A</v>
      </c>
      <c r="J245" t="str">
        <f t="shared" si="77"/>
        <v>N/A</v>
      </c>
      <c r="K245" t="str">
        <f t="shared" si="78"/>
        <v>N/A</v>
      </c>
      <c r="L245" t="str">
        <f t="shared" si="79"/>
        <v>N/A</v>
      </c>
      <c r="M245" t="str">
        <f t="shared" si="80"/>
        <v>N/A</v>
      </c>
      <c r="N245" t="str">
        <f t="shared" si="81"/>
        <v>N/A</v>
      </c>
      <c r="P245">
        <f t="shared" si="58"/>
        <v>0</v>
      </c>
      <c r="Q245" t="str">
        <f>IFERROR(J144+MATCH(P245,J245:N245,0)-1,"")</f>
        <v/>
      </c>
      <c r="R245" t="str">
        <f t="shared" si="59"/>
        <v/>
      </c>
      <c r="S245" t="str">
        <f>IFERROR(J144+MATCH(R245,J245:N245,0)-1,"")</f>
        <v/>
      </c>
      <c r="T245" t="str">
        <f t="shared" si="60"/>
        <v/>
      </c>
      <c r="U245" t="str">
        <f t="shared" si="61"/>
        <v/>
      </c>
      <c r="V245" t="str">
        <f t="shared" si="62"/>
        <v/>
      </c>
      <c r="W245" t="str">
        <f t="shared" si="63"/>
        <v/>
      </c>
      <c r="X245" t="str">
        <f t="shared" si="64"/>
        <v/>
      </c>
      <c r="Y245" t="str">
        <f t="shared" si="65"/>
        <v/>
      </c>
      <c r="Z245" t="str">
        <f t="shared" si="66"/>
        <v/>
      </c>
      <c r="AA245">
        <f t="shared" si="67"/>
        <v>0</v>
      </c>
      <c r="AB245" t="str">
        <f>IFERROR(V144+MATCH(AA245,V245:Z245,0)-1,"")</f>
        <v/>
      </c>
      <c r="AC245" t="str">
        <f t="shared" si="68"/>
        <v/>
      </c>
      <c r="AE245" t="str">
        <f>IF(ISNUMBER(MATCH("N/A",J245:N245,0)),"",IFERROR((5 * SUMPRODUCT(J144:N144,J245:N245) - PRODUCT(SUM(J144:N144),SUM(J245:N245))) / ((5 * SUM((J144^2)+(K144^2)+(L144^2)+(M144^2)+(N144^2))) - SUM(J144:N144)^2),""))</f>
        <v/>
      </c>
      <c r="AF245" t="str">
        <f>IFERROR(CORREL(J144:N144,J245:N245),"")</f>
        <v/>
      </c>
      <c r="AZ245">
        <f t="shared" si="69"/>
        <v>0</v>
      </c>
      <c r="BA245" t="str">
        <f>IF(AZ245=1,IF(Q245="","",IF(Q245=N144,"Yes","No")),"")</f>
        <v/>
      </c>
      <c r="BB245" t="str">
        <f t="shared" si="70"/>
        <v/>
      </c>
      <c r="BC245" t="str">
        <f>IF(AZ245=1,IF(S245="","",IF(S245=N144,"Yes","No")),"")</f>
        <v/>
      </c>
      <c r="BD245" t="str">
        <f t="shared" si="71"/>
        <v/>
      </c>
      <c r="BE245" t="str">
        <f t="shared" si="72"/>
        <v/>
      </c>
      <c r="BF245" t="str">
        <f t="shared" si="73"/>
        <v>No</v>
      </c>
      <c r="BG245" t="str">
        <f t="shared" si="74"/>
        <v>No</v>
      </c>
      <c r="BH245" t="str">
        <f t="shared" si="75"/>
        <v/>
      </c>
    </row>
    <row r="246" spans="9:60" x14ac:dyDescent="0.3">
      <c r="P246">
        <f t="shared" si="58"/>
        <v>0</v>
      </c>
      <c r="Q246" t="str">
        <f>IFERROR(J144+MATCH(P246,J246:N246,0)-1,"")</f>
        <v/>
      </c>
      <c r="R246" t="str">
        <f t="shared" si="59"/>
        <v/>
      </c>
      <c r="S246" t="str">
        <f>IFERROR(J144+MATCH(R246,J246:N246,0)-1,"")</f>
        <v/>
      </c>
      <c r="T246" t="str">
        <f t="shared" si="60"/>
        <v/>
      </c>
      <c r="U246" t="str">
        <f t="shared" si="61"/>
        <v/>
      </c>
      <c r="V246" t="str">
        <f t="shared" si="62"/>
        <v/>
      </c>
      <c r="W246" t="str">
        <f t="shared" si="63"/>
        <v/>
      </c>
      <c r="X246" t="str">
        <f t="shared" si="64"/>
        <v/>
      </c>
      <c r="Y246" t="str">
        <f t="shared" si="65"/>
        <v/>
      </c>
      <c r="Z246" t="str">
        <f t="shared" si="66"/>
        <v/>
      </c>
      <c r="AA246">
        <f t="shared" si="67"/>
        <v>0</v>
      </c>
      <c r="AB246" t="str">
        <f>IFERROR(V144+MATCH(AA246,V246:Z246,0)-1,"")</f>
        <v/>
      </c>
      <c r="AC246" t="str">
        <f t="shared" si="68"/>
        <v/>
      </c>
      <c r="AE246" t="str">
        <f>IF(ISNUMBER(MATCH("N/A",J246:N246,0)),"",IFERROR((5 * SUMPRODUCT(J144:N144,J246:N246) - PRODUCT(SUM(J144:N144),SUM(J246:N246))) / ((5 * SUM((J144^2)+(K144^2)+(L144^2)+(M144^2)+(N144^2))) - SUM(J144:N144)^2),""))</f>
        <v/>
      </c>
      <c r="AF246" t="str">
        <f>IFERROR(CORREL(J144:N144,J246:N246),"")</f>
        <v/>
      </c>
      <c r="AZ246">
        <f t="shared" si="69"/>
        <v>0</v>
      </c>
      <c r="BA246" t="str">
        <f>IF(AZ246=1,IF(Q246="","",IF(Q246=N144,"Yes","No")),"")</f>
        <v/>
      </c>
      <c r="BB246" t="str">
        <f t="shared" si="70"/>
        <v/>
      </c>
      <c r="BC246" t="str">
        <f>IF(AZ246=1,IF(S246="","",IF(S246=N144,"Yes","No")),"")</f>
        <v/>
      </c>
      <c r="BD246" t="str">
        <f t="shared" si="71"/>
        <v/>
      </c>
      <c r="BE246" t="str">
        <f t="shared" si="72"/>
        <v/>
      </c>
      <c r="BF246" t="str">
        <f t="shared" si="73"/>
        <v>No</v>
      </c>
      <c r="BG246" t="str">
        <f t="shared" si="74"/>
        <v>No</v>
      </c>
      <c r="BH246" t="str">
        <f t="shared" si="75"/>
        <v/>
      </c>
    </row>
    <row r="247" spans="9:60" x14ac:dyDescent="0.3">
      <c r="I247" t="str">
        <f t="shared" ref="I247:I270" si="82">IF(AND(K247&gt; J247, L247&gt; K247, M247&gt; L247, N247&gt; M247), "pos_trend", IF(AND(K247&lt; J247, L247&lt; K247, M247&lt; L247, N247&lt; M247), "neg_trend", "N/A"))</f>
        <v>N/A</v>
      </c>
      <c r="J247" t="str">
        <f t="shared" ref="J247:J270" si="83">IFERROR(IF(TRIM(C247)="-", "N/A", IF(RIGHT(C247,1)=")",IF(RIGHT(C247,2)="T)",-1000000000000*VALUE(MID(C247,2,LEN(C247)-3)),IF(RIGHT(C247,2)="M)",-1000000*VALUE(MID(C247,2,LEN(C247)-3)),IF(RIGHT(C247,2)="B)",-1000000000*VALUE(MID(C247,2,LEN(C247)-3)),IF(RIGHT(C247,2)="k)",-1000*VALUE(MID(C247,2,LEN(C247)-3)),VALUE(SUBSTITUTE(C247,",","")))))),IF(RIGHT(C247,1)="T",1000000000000*VALUE(LEFT(C247,LEN(C247)-1)),IF(RIGHT(C247,1)="M",1000000*VALUE(LEFT(C247,LEN(C247)-1)),IF(RIGHT(C247,1)="B",1000000000*VALUE(LEFT(C247,LEN(C247)-1)),IF(RIGHT(C247,1)="%",0.01*VALUE(LEFT(C247,LEN(C247)-1)),IF(RIGHT(C247,1)="k",1000*VALUE(LEFT(C247,LEN(C247)-1)),VALUE(SUBSTITUTE(C247,",",""))))))))),"N/A")</f>
        <v>N/A</v>
      </c>
      <c r="K247" t="str">
        <f t="shared" ref="K247:K270" si="84">IFERROR(IF(TRIM(D247)="-", "N/A", IF(RIGHT(D247,1)=")",IF(RIGHT(D247,2)="T)",-1000000000000*VALUE(MID(D247,2,LEN(D247)-3)),IF(RIGHT(D247,2)="M)",-1000000*VALUE(MID(D247,2,LEN(D247)-3)),IF(RIGHT(D247,2)="B)",-1000000000*VALUE(MID(D247,2,LEN(D247)-3)),IF(RIGHT(D247,2)="k)",-1000*VALUE(MID(D247,2,LEN(D247)-3)),VALUE(SUBSTITUTE(D247,",","")))))),IF(RIGHT(D247,1)="T",1000000000000*VALUE(LEFT(D247,LEN(D247)-1)),IF(RIGHT(D247,1)="M",1000000*VALUE(LEFT(D247,LEN(D247)-1)),IF(RIGHT(D247,1)="B",1000000000*VALUE(LEFT(D247,LEN(D247)-1)),IF(RIGHT(D247,1)="%",0.01*VALUE(LEFT(D247,LEN(D247)-1)),IF(RIGHT(D247,1)="k",1000*VALUE(LEFT(D247,LEN(D247)-1)),VALUE(SUBSTITUTE(D247,",",""))))))))),"N/A")</f>
        <v>N/A</v>
      </c>
      <c r="L247" t="str">
        <f t="shared" ref="L247:L270" si="85">IFERROR(IF(TRIM(E247)="-", "N/A", IF(RIGHT(E247,1)=")",IF(RIGHT(E247,2)="T)",-1000000000000*VALUE(MID(E247,2,LEN(E247)-3)),IF(RIGHT(E247,2)="M)",-1000000*VALUE(MID(E247,2,LEN(E247)-3)),IF(RIGHT(E247,2)="B)",-1000000000*VALUE(MID(E247,2,LEN(E247)-3)),IF(RIGHT(E247,2)="k)",-1000*VALUE(MID(E247,2,LEN(E247)-3)),VALUE(SUBSTITUTE(E247,",","")))))),IF(RIGHT(E247,1)="T",1000000000000*VALUE(LEFT(E247,LEN(E247)-1)),IF(RIGHT(E247,1)="M",1000000*VALUE(LEFT(E247,LEN(E247)-1)),IF(RIGHT(E247,1)="B",1000000000*VALUE(LEFT(E247,LEN(E247)-1)),IF(RIGHT(E247,1)="%",0.01*VALUE(LEFT(E247,LEN(E247)-1)),IF(RIGHT(E247,1)="k",1000*VALUE(LEFT(E247,LEN(E247)-1)),VALUE(SUBSTITUTE(E247,",",""))))))))),"N/A")</f>
        <v>N/A</v>
      </c>
      <c r="M247" t="str">
        <f t="shared" ref="M247:M270" si="86">IFERROR(IF(TRIM(F247)="-", "N/A", IF(RIGHT(F247,1)=")",IF(RIGHT(F247,2)="T)",-1000000000000*VALUE(MID(F247,2,LEN(F247)-3)),IF(RIGHT(F247,2)="M)",-1000000*VALUE(MID(F247,2,LEN(F247)-3)),IF(RIGHT(F247,2)="B)",-1000000000*VALUE(MID(F247,2,LEN(F247)-3)),IF(RIGHT(F247,2)="k)",-1000*VALUE(MID(F247,2,LEN(F247)-3)),VALUE(SUBSTITUTE(F247,",","")))))),IF(RIGHT(F247,1)="T",1000000000000*VALUE(LEFT(F247,LEN(F247)-1)),IF(RIGHT(F247,1)="M",1000000*VALUE(LEFT(F247,LEN(F247)-1)),IF(RIGHT(F247,1)="B",1000000000*VALUE(LEFT(F247,LEN(F247)-1)),IF(RIGHT(F247,1)="%",0.01*VALUE(LEFT(F247,LEN(F247)-1)),IF(RIGHT(F247,1)="k",1000*VALUE(LEFT(F247,LEN(F247)-1)),VALUE(SUBSTITUTE(F247,",",""))))))))),"N/A")</f>
        <v>N/A</v>
      </c>
      <c r="N247" t="str">
        <f t="shared" ref="N247:N270" si="87">IFERROR(IF(TRIM(G247)="-", "N/A", IF(RIGHT(G247,1)=")",IF(RIGHT(G247,2)="T)",-1000000000000*VALUE(MID(G247,2,LEN(G247)-3)),IF(RIGHT(G247,2)="M)",-1000000*VALUE(MID(G247,2,LEN(G247)-3)),IF(RIGHT(G247,2)="B)",-1000000000*VALUE(MID(G247,2,LEN(G247)-3)),IF(RIGHT(G247,2)="k)",-1000*VALUE(MID(G247,2,LEN(G247)-3)),VALUE(SUBSTITUTE(G247,",","")))))),IF(RIGHT(G247,1)="T",1000000000000*VALUE(LEFT(G247,LEN(G247)-1)),IF(RIGHT(G247,1)="M",1000000*VALUE(LEFT(G247,LEN(G247)-1)),IF(RIGHT(G247,1)="B",1000000000*VALUE(LEFT(G247,LEN(G247)-1)),IF(RIGHT(G247,1)="%",0.01*VALUE(LEFT(G247,LEN(G247)-1)),IF(RIGHT(G247,1)="k",1000*VALUE(LEFT(G247,LEN(G247)-1)),VALUE(SUBSTITUTE(G247,",",""))))))))),"N/A")</f>
        <v>N/A</v>
      </c>
      <c r="P247">
        <f t="shared" si="58"/>
        <v>0</v>
      </c>
      <c r="Q247" t="str">
        <f>IFERROR(J144+MATCH(P247,J247:N247,0)-1,"")</f>
        <v/>
      </c>
      <c r="R247" t="str">
        <f t="shared" si="59"/>
        <v/>
      </c>
      <c r="S247" t="str">
        <f>IFERROR(J144+MATCH(R247,J247:N247,0)-1,"")</f>
        <v/>
      </c>
      <c r="T247" t="str">
        <f t="shared" si="60"/>
        <v/>
      </c>
      <c r="U247" t="str">
        <f t="shared" si="61"/>
        <v/>
      </c>
      <c r="V247" t="str">
        <f t="shared" si="62"/>
        <v/>
      </c>
      <c r="W247" t="str">
        <f t="shared" si="63"/>
        <v/>
      </c>
      <c r="X247" t="str">
        <f t="shared" si="64"/>
        <v/>
      </c>
      <c r="Y247" t="str">
        <f t="shared" si="65"/>
        <v/>
      </c>
      <c r="Z247" t="str">
        <f t="shared" si="66"/>
        <v/>
      </c>
      <c r="AA247">
        <f t="shared" si="67"/>
        <v>0</v>
      </c>
      <c r="AB247" t="str">
        <f>IFERROR(V144+MATCH(AA247,V247:Z247,0)-1,"")</f>
        <v/>
      </c>
      <c r="AC247" t="str">
        <f t="shared" si="68"/>
        <v/>
      </c>
      <c r="AE247" t="str">
        <f>IF(ISNUMBER(MATCH("N/A",J247:N247,0)),"",IFERROR((5 * SUMPRODUCT(J144:N144,J247:N247) - PRODUCT(SUM(J144:N144),SUM(J247:N247))) / ((5 * SUM((J144^2)+(K144^2)+(L144^2)+(M144^2)+(N144^2))) - SUM(J144:N144)^2),""))</f>
        <v/>
      </c>
      <c r="AF247" t="str">
        <f>IFERROR(CORREL(J144:N144,J247:N247),"")</f>
        <v/>
      </c>
      <c r="AZ247">
        <f t="shared" si="69"/>
        <v>0</v>
      </c>
      <c r="BA247" t="str">
        <f>IF(AZ247=1,IF(Q247="","",IF(Q247=N144,"Yes","No")),"")</f>
        <v/>
      </c>
      <c r="BB247" t="str">
        <f t="shared" si="70"/>
        <v/>
      </c>
      <c r="BC247" t="str">
        <f>IF(AZ247=1,IF(S247="","",IF(S247=N144,"Yes","No")),"")</f>
        <v/>
      </c>
      <c r="BD247" t="str">
        <f t="shared" si="71"/>
        <v/>
      </c>
      <c r="BE247" t="str">
        <f t="shared" si="72"/>
        <v/>
      </c>
      <c r="BF247" t="str">
        <f t="shared" si="73"/>
        <v>No</v>
      </c>
      <c r="BG247" t="str">
        <f t="shared" si="74"/>
        <v>No</v>
      </c>
      <c r="BH247" t="str">
        <f t="shared" si="75"/>
        <v/>
      </c>
    </row>
    <row r="248" spans="9:60" x14ac:dyDescent="0.3">
      <c r="I248" t="str">
        <f t="shared" si="82"/>
        <v>N/A</v>
      </c>
      <c r="J248" t="str">
        <f t="shared" si="83"/>
        <v>N/A</v>
      </c>
      <c r="K248" t="str">
        <f t="shared" si="84"/>
        <v>N/A</v>
      </c>
      <c r="L248" t="str">
        <f t="shared" si="85"/>
        <v>N/A</v>
      </c>
      <c r="M248" t="str">
        <f t="shared" si="86"/>
        <v>N/A</v>
      </c>
      <c r="N248" t="str">
        <f t="shared" si="87"/>
        <v>N/A</v>
      </c>
      <c r="P248">
        <f t="shared" si="58"/>
        <v>0</v>
      </c>
      <c r="Q248" t="str">
        <f>IFERROR(J144+MATCH(P248,J248:N248,0)-1,"")</f>
        <v/>
      </c>
      <c r="R248" t="str">
        <f t="shared" si="59"/>
        <v/>
      </c>
      <c r="S248" t="str">
        <f>IFERROR(J144+MATCH(R248,J248:N248,0)-1,"")</f>
        <v/>
      </c>
      <c r="T248" t="str">
        <f t="shared" si="60"/>
        <v/>
      </c>
      <c r="U248" t="str">
        <f t="shared" si="61"/>
        <v/>
      </c>
      <c r="V248" t="str">
        <f t="shared" si="62"/>
        <v/>
      </c>
      <c r="W248" t="str">
        <f t="shared" si="63"/>
        <v/>
      </c>
      <c r="X248" t="str">
        <f t="shared" si="64"/>
        <v/>
      </c>
      <c r="Y248" t="str">
        <f t="shared" si="65"/>
        <v/>
      </c>
      <c r="Z248" t="str">
        <f t="shared" si="66"/>
        <v/>
      </c>
      <c r="AA248">
        <f t="shared" si="67"/>
        <v>0</v>
      </c>
      <c r="AB248" t="str">
        <f>IFERROR(V144+MATCH(AA248,V248:Z248,0)-1,"")</f>
        <v/>
      </c>
      <c r="AC248" t="str">
        <f t="shared" si="68"/>
        <v/>
      </c>
      <c r="AE248" t="str">
        <f>IF(ISNUMBER(MATCH("N/A",J248:N248,0)),"",IFERROR((5 * SUMPRODUCT(J144:N144,J248:N248) - PRODUCT(SUM(J144:N144),SUM(J248:N248))) / ((5 * SUM((J144^2)+(K144^2)+(L144^2)+(M144^2)+(N144^2))) - SUM(J144:N144)^2),""))</f>
        <v/>
      </c>
      <c r="AF248" t="str">
        <f>IFERROR(CORREL(J144:N144,J248:N248),"")</f>
        <v/>
      </c>
      <c r="AZ248">
        <f t="shared" si="69"/>
        <v>0</v>
      </c>
      <c r="BA248" t="str">
        <f>IF(AZ248=1,IF(Q248="","",IF(Q248=N144,"Yes","No")),"")</f>
        <v/>
      </c>
      <c r="BB248" t="str">
        <f t="shared" si="70"/>
        <v/>
      </c>
      <c r="BC248" t="str">
        <f>IF(AZ248=1,IF(S248="","",IF(S248=N144,"Yes","No")),"")</f>
        <v/>
      </c>
      <c r="BD248" t="str">
        <f t="shared" si="71"/>
        <v/>
      </c>
      <c r="BE248" t="str">
        <f t="shared" si="72"/>
        <v/>
      </c>
      <c r="BF248" t="str">
        <f t="shared" si="73"/>
        <v>No</v>
      </c>
      <c r="BG248" t="str">
        <f t="shared" si="74"/>
        <v>No</v>
      </c>
      <c r="BH248" t="str">
        <f t="shared" si="75"/>
        <v/>
      </c>
    </row>
    <row r="249" spans="9:60" x14ac:dyDescent="0.3">
      <c r="I249" t="str">
        <f t="shared" si="82"/>
        <v>N/A</v>
      </c>
      <c r="J249" t="str">
        <f t="shared" si="83"/>
        <v>N/A</v>
      </c>
      <c r="K249" t="str">
        <f t="shared" si="84"/>
        <v>N/A</v>
      </c>
      <c r="L249" t="str">
        <f t="shared" si="85"/>
        <v>N/A</v>
      </c>
      <c r="M249" t="str">
        <f t="shared" si="86"/>
        <v>N/A</v>
      </c>
      <c r="N249" t="str">
        <f t="shared" si="87"/>
        <v>N/A</v>
      </c>
      <c r="P249">
        <f t="shared" si="58"/>
        <v>0</v>
      </c>
      <c r="Q249" t="str">
        <f>IFERROR(J144+MATCH(P249,J249:N249,0)-1,"")</f>
        <v/>
      </c>
      <c r="R249" t="str">
        <f t="shared" si="59"/>
        <v/>
      </c>
      <c r="S249" t="str">
        <f>IFERROR(J144+MATCH(R249,J249:N249,0)-1,"")</f>
        <v/>
      </c>
      <c r="T249" t="str">
        <f t="shared" si="60"/>
        <v/>
      </c>
      <c r="U249" t="str">
        <f t="shared" si="61"/>
        <v/>
      </c>
      <c r="V249" t="str">
        <f t="shared" si="62"/>
        <v/>
      </c>
      <c r="W249" t="str">
        <f t="shared" si="63"/>
        <v/>
      </c>
      <c r="X249" t="str">
        <f t="shared" si="64"/>
        <v/>
      </c>
      <c r="Y249" t="str">
        <f t="shared" si="65"/>
        <v/>
      </c>
      <c r="Z249" t="str">
        <f t="shared" si="66"/>
        <v/>
      </c>
      <c r="AA249">
        <f t="shared" si="67"/>
        <v>0</v>
      </c>
      <c r="AB249" t="str">
        <f>IFERROR(V144+MATCH(AA249,V249:Z249,0)-1,"")</f>
        <v/>
      </c>
      <c r="AC249" t="str">
        <f t="shared" si="68"/>
        <v/>
      </c>
      <c r="AE249" t="str">
        <f>IF(ISNUMBER(MATCH("N/A",J249:N249,0)),"",IFERROR((5 * SUMPRODUCT(J144:N144,J249:N249) - PRODUCT(SUM(J144:N144),SUM(J249:N249))) / ((5 * SUM((J144^2)+(K144^2)+(L144^2)+(M144^2)+(N144^2))) - SUM(J144:N144)^2),""))</f>
        <v/>
      </c>
      <c r="AF249" t="str">
        <f>IFERROR(CORREL(J144:N144,J249:N249),"")</f>
        <v/>
      </c>
      <c r="AZ249">
        <f t="shared" si="69"/>
        <v>0</v>
      </c>
      <c r="BA249" t="str">
        <f>IF(AZ249=1,IF(Q249="","",IF(Q249=N144,"Yes","No")),"")</f>
        <v/>
      </c>
      <c r="BB249" t="str">
        <f t="shared" si="70"/>
        <v/>
      </c>
      <c r="BC249" t="str">
        <f>IF(AZ249=1,IF(S249="","",IF(S249=N144,"Yes","No")),"")</f>
        <v/>
      </c>
      <c r="BD249" t="str">
        <f t="shared" si="71"/>
        <v/>
      </c>
      <c r="BE249" t="str">
        <f t="shared" si="72"/>
        <v/>
      </c>
      <c r="BF249" t="str">
        <f t="shared" si="73"/>
        <v>No</v>
      </c>
      <c r="BG249" t="str">
        <f t="shared" si="74"/>
        <v>No</v>
      </c>
      <c r="BH249" t="str">
        <f t="shared" si="75"/>
        <v/>
      </c>
    </row>
    <row r="250" spans="9:60" x14ac:dyDescent="0.3">
      <c r="I250" t="str">
        <f t="shared" si="82"/>
        <v>N/A</v>
      </c>
      <c r="J250" t="str">
        <f t="shared" si="83"/>
        <v>N/A</v>
      </c>
      <c r="K250" t="str">
        <f t="shared" si="84"/>
        <v>N/A</v>
      </c>
      <c r="L250" t="str">
        <f t="shared" si="85"/>
        <v>N/A</v>
      </c>
      <c r="M250" t="str">
        <f t="shared" si="86"/>
        <v>N/A</v>
      </c>
      <c r="N250" t="str">
        <f t="shared" si="87"/>
        <v>N/A</v>
      </c>
      <c r="P250">
        <f t="shared" si="58"/>
        <v>0</v>
      </c>
      <c r="Q250" t="str">
        <f>IFERROR(J144+MATCH(P250,J250:N250,0)-1,"")</f>
        <v/>
      </c>
      <c r="R250" t="str">
        <f t="shared" si="59"/>
        <v/>
      </c>
      <c r="S250" t="str">
        <f>IFERROR(J144+MATCH(R250,J250:N250,0)-1,"")</f>
        <v/>
      </c>
      <c r="T250" t="str">
        <f t="shared" si="60"/>
        <v/>
      </c>
      <c r="U250" t="str">
        <f t="shared" si="61"/>
        <v/>
      </c>
      <c r="V250" t="str">
        <f t="shared" si="62"/>
        <v/>
      </c>
      <c r="W250" t="str">
        <f t="shared" si="63"/>
        <v/>
      </c>
      <c r="X250" t="str">
        <f t="shared" si="64"/>
        <v/>
      </c>
      <c r="Y250" t="str">
        <f t="shared" si="65"/>
        <v/>
      </c>
      <c r="Z250" t="str">
        <f t="shared" si="66"/>
        <v/>
      </c>
      <c r="AA250">
        <f t="shared" si="67"/>
        <v>0</v>
      </c>
      <c r="AB250" t="str">
        <f>IFERROR(V144+MATCH(AA250,V250:Z250,0)-1,"")</f>
        <v/>
      </c>
      <c r="AC250" t="str">
        <f t="shared" si="68"/>
        <v/>
      </c>
      <c r="AE250" t="str">
        <f>IF(ISNUMBER(MATCH("N/A",J250:N250,0)),"",IFERROR((5 * SUMPRODUCT(J144:N144,J250:N250) - PRODUCT(SUM(J144:N144),SUM(J250:N250))) / ((5 * SUM((J144^2)+(K144^2)+(L144^2)+(M144^2)+(N144^2))) - SUM(J144:N144)^2),""))</f>
        <v/>
      </c>
      <c r="AF250" t="str">
        <f>IFERROR(CORREL(J144:N144,J250:N250),"")</f>
        <v/>
      </c>
      <c r="AZ250">
        <f t="shared" si="69"/>
        <v>0</v>
      </c>
      <c r="BA250" t="str">
        <f>IF(AZ250=1,IF(Q250="","",IF(Q250=N144,"Yes","No")),"")</f>
        <v/>
      </c>
      <c r="BB250" t="str">
        <f t="shared" si="70"/>
        <v/>
      </c>
      <c r="BC250" t="str">
        <f>IF(AZ250=1,IF(S250="","",IF(S250=N144,"Yes","No")),"")</f>
        <v/>
      </c>
      <c r="BD250" t="str">
        <f t="shared" si="71"/>
        <v/>
      </c>
      <c r="BE250" t="str">
        <f t="shared" si="72"/>
        <v/>
      </c>
      <c r="BF250" t="str">
        <f t="shared" si="73"/>
        <v>No</v>
      </c>
      <c r="BG250" t="str">
        <f t="shared" si="74"/>
        <v>No</v>
      </c>
      <c r="BH250" t="str">
        <f t="shared" si="75"/>
        <v/>
      </c>
    </row>
    <row r="251" spans="9:60" x14ac:dyDescent="0.3">
      <c r="I251" t="str">
        <f t="shared" si="82"/>
        <v>N/A</v>
      </c>
      <c r="J251" t="str">
        <f t="shared" si="83"/>
        <v>N/A</v>
      </c>
      <c r="K251" t="str">
        <f t="shared" si="84"/>
        <v>N/A</v>
      </c>
      <c r="L251" t="str">
        <f t="shared" si="85"/>
        <v>N/A</v>
      </c>
      <c r="M251" t="str">
        <f t="shared" si="86"/>
        <v>N/A</v>
      </c>
      <c r="N251" t="str">
        <f t="shared" si="87"/>
        <v>N/A</v>
      </c>
      <c r="P251">
        <f t="shared" si="58"/>
        <v>0</v>
      </c>
      <c r="Q251" t="str">
        <f>IFERROR(J144+MATCH(P251,J251:N251,0)-1,"")</f>
        <v/>
      </c>
      <c r="R251" t="str">
        <f t="shared" si="59"/>
        <v/>
      </c>
      <c r="S251" t="str">
        <f>IFERROR(J144+MATCH(R251,J251:N251,0)-1,"")</f>
        <v/>
      </c>
      <c r="T251" t="str">
        <f t="shared" si="60"/>
        <v/>
      </c>
      <c r="U251" t="str">
        <f t="shared" si="61"/>
        <v/>
      </c>
      <c r="V251" t="str">
        <f t="shared" si="62"/>
        <v/>
      </c>
      <c r="W251" t="str">
        <f t="shared" si="63"/>
        <v/>
      </c>
      <c r="X251" t="str">
        <f t="shared" si="64"/>
        <v/>
      </c>
      <c r="Y251" t="str">
        <f t="shared" si="65"/>
        <v/>
      </c>
      <c r="Z251" t="str">
        <f t="shared" si="66"/>
        <v/>
      </c>
      <c r="AA251">
        <f t="shared" si="67"/>
        <v>0</v>
      </c>
      <c r="AB251" t="str">
        <f>IFERROR(V144+MATCH(AA251,V251:Z251,0)-1,"")</f>
        <v/>
      </c>
      <c r="AC251" t="str">
        <f t="shared" si="68"/>
        <v/>
      </c>
      <c r="AE251" t="str">
        <f>IF(ISNUMBER(MATCH("N/A",J251:N251,0)),"",IFERROR((5 * SUMPRODUCT(J144:N144,J251:N251) - PRODUCT(SUM(J144:N144),SUM(J251:N251))) / ((5 * SUM((J144^2)+(K144^2)+(L144^2)+(M144^2)+(N144^2))) - SUM(J144:N144)^2),""))</f>
        <v/>
      </c>
      <c r="AF251" t="str">
        <f>IFERROR(CORREL(J144:N144,J251:N251),"")</f>
        <v/>
      </c>
      <c r="AZ251">
        <f t="shared" si="69"/>
        <v>0</v>
      </c>
      <c r="BA251" t="str">
        <f>IF(AZ251=1,IF(Q251="","",IF(Q251=N144,"Yes","No")),"")</f>
        <v/>
      </c>
      <c r="BB251" t="str">
        <f t="shared" si="70"/>
        <v/>
      </c>
      <c r="BC251" t="str">
        <f>IF(AZ251=1,IF(S251="","",IF(S251=N144,"Yes","No")),"")</f>
        <v/>
      </c>
      <c r="BD251" t="str">
        <f t="shared" si="71"/>
        <v/>
      </c>
      <c r="BE251" t="str">
        <f t="shared" si="72"/>
        <v/>
      </c>
      <c r="BF251" t="str">
        <f t="shared" si="73"/>
        <v>No</v>
      </c>
      <c r="BG251" t="str">
        <f t="shared" si="74"/>
        <v>No</v>
      </c>
      <c r="BH251" t="str">
        <f t="shared" si="75"/>
        <v/>
      </c>
    </row>
    <row r="252" spans="9:60" x14ac:dyDescent="0.3">
      <c r="I252" t="str">
        <f t="shared" si="82"/>
        <v>N/A</v>
      </c>
      <c r="J252" t="str">
        <f t="shared" si="83"/>
        <v>N/A</v>
      </c>
      <c r="K252" t="str">
        <f t="shared" si="84"/>
        <v>N/A</v>
      </c>
      <c r="L252" t="str">
        <f t="shared" si="85"/>
        <v>N/A</v>
      </c>
      <c r="M252" t="str">
        <f t="shared" si="86"/>
        <v>N/A</v>
      </c>
      <c r="N252" t="str">
        <f t="shared" si="87"/>
        <v>N/A</v>
      </c>
      <c r="P252">
        <f t="shared" si="58"/>
        <v>0</v>
      </c>
      <c r="Q252" t="str">
        <f>IFERROR(J144+MATCH(P252,J252:N252,0)-1,"")</f>
        <v/>
      </c>
      <c r="R252" t="str">
        <f t="shared" si="59"/>
        <v/>
      </c>
      <c r="S252" t="str">
        <f>IFERROR(J144+MATCH(R252,J252:N252,0)-1,"")</f>
        <v/>
      </c>
      <c r="T252" t="str">
        <f t="shared" si="60"/>
        <v/>
      </c>
      <c r="U252" t="str">
        <f t="shared" si="61"/>
        <v/>
      </c>
      <c r="V252" t="str">
        <f t="shared" si="62"/>
        <v/>
      </c>
      <c r="W252" t="str">
        <f t="shared" si="63"/>
        <v/>
      </c>
      <c r="X252" t="str">
        <f t="shared" si="64"/>
        <v/>
      </c>
      <c r="Y252" t="str">
        <f t="shared" si="65"/>
        <v/>
      </c>
      <c r="Z252" t="str">
        <f t="shared" si="66"/>
        <v/>
      </c>
      <c r="AA252">
        <f t="shared" si="67"/>
        <v>0</v>
      </c>
      <c r="AB252" t="str">
        <f>IFERROR(V144+MATCH(AA252,V252:Z252,0)-1,"")</f>
        <v/>
      </c>
      <c r="AC252" t="str">
        <f t="shared" si="68"/>
        <v/>
      </c>
      <c r="AE252" t="str">
        <f>IF(ISNUMBER(MATCH("N/A",J252:N252,0)),"",IFERROR((5 * SUMPRODUCT(J144:N144,J252:N252) - PRODUCT(SUM(J144:N144),SUM(J252:N252))) / ((5 * SUM((J144^2)+(K144^2)+(L144^2)+(M144^2)+(N144^2))) - SUM(J144:N144)^2),""))</f>
        <v/>
      </c>
      <c r="AF252" t="str">
        <f>IFERROR(CORREL(J144:N144,J252:N252),"")</f>
        <v/>
      </c>
      <c r="AZ252">
        <f t="shared" si="69"/>
        <v>0</v>
      </c>
      <c r="BA252" t="str">
        <f>IF(AZ252=1,IF(Q252="","",IF(Q252=N144,"Yes","No")),"")</f>
        <v/>
      </c>
      <c r="BB252" t="str">
        <f t="shared" si="70"/>
        <v/>
      </c>
      <c r="BC252" t="str">
        <f>IF(AZ252=1,IF(S252="","",IF(S252=N144,"Yes","No")),"")</f>
        <v/>
      </c>
      <c r="BD252" t="str">
        <f t="shared" si="71"/>
        <v/>
      </c>
      <c r="BE252" t="str">
        <f t="shared" si="72"/>
        <v/>
      </c>
      <c r="BF252" t="str">
        <f t="shared" si="73"/>
        <v>No</v>
      </c>
      <c r="BG252" t="str">
        <f t="shared" si="74"/>
        <v>No</v>
      </c>
      <c r="BH252" t="str">
        <f t="shared" si="75"/>
        <v/>
      </c>
    </row>
    <row r="253" spans="9:60" x14ac:dyDescent="0.3">
      <c r="I253" t="str">
        <f t="shared" si="82"/>
        <v>N/A</v>
      </c>
      <c r="J253" t="str">
        <f t="shared" si="83"/>
        <v>N/A</v>
      </c>
      <c r="K253" t="str">
        <f t="shared" si="84"/>
        <v>N/A</v>
      </c>
      <c r="L253" t="str">
        <f t="shared" si="85"/>
        <v>N/A</v>
      </c>
      <c r="M253" t="str">
        <f t="shared" si="86"/>
        <v>N/A</v>
      </c>
      <c r="N253" t="str">
        <f t="shared" si="87"/>
        <v>N/A</v>
      </c>
      <c r="P253">
        <f t="shared" si="58"/>
        <v>0</v>
      </c>
      <c r="Q253" t="str">
        <f>IFERROR(J144+MATCH(P253,J253:N253,0)-1,"")</f>
        <v/>
      </c>
      <c r="R253" t="str">
        <f t="shared" si="59"/>
        <v/>
      </c>
      <c r="S253" t="str">
        <f>IFERROR(J144+MATCH(R253,J253:N253,0)-1,"")</f>
        <v/>
      </c>
      <c r="T253" t="str">
        <f t="shared" si="60"/>
        <v/>
      </c>
      <c r="U253" t="str">
        <f t="shared" si="61"/>
        <v/>
      </c>
      <c r="V253" t="str">
        <f t="shared" si="62"/>
        <v/>
      </c>
      <c r="W253" t="str">
        <f t="shared" si="63"/>
        <v/>
      </c>
      <c r="X253" t="str">
        <f t="shared" si="64"/>
        <v/>
      </c>
      <c r="Y253" t="str">
        <f t="shared" si="65"/>
        <v/>
      </c>
      <c r="Z253" t="str">
        <f t="shared" si="66"/>
        <v/>
      </c>
      <c r="AA253">
        <f t="shared" si="67"/>
        <v>0</v>
      </c>
      <c r="AB253" t="str">
        <f>IFERROR(V144+MATCH(AA253,V253:Z253,0)-1,"")</f>
        <v/>
      </c>
      <c r="AC253" t="str">
        <f t="shared" si="68"/>
        <v/>
      </c>
      <c r="AE253" t="str">
        <f>IF(ISNUMBER(MATCH("N/A",J253:N253,0)),"",IFERROR((5 * SUMPRODUCT(J144:N144,J253:N253) - PRODUCT(SUM(J144:N144),SUM(J253:N253))) / ((5 * SUM((J144^2)+(K144^2)+(L144^2)+(M144^2)+(N144^2))) - SUM(J144:N144)^2),""))</f>
        <v/>
      </c>
      <c r="AF253" t="str">
        <f>IFERROR(CORREL(J144:N144,J253:N253),"")</f>
        <v/>
      </c>
      <c r="AZ253">
        <f t="shared" si="69"/>
        <v>0</v>
      </c>
      <c r="BA253" t="str">
        <f>IF(AZ253=1,IF(Q253="","",IF(Q253=N144,"Yes","No")),"")</f>
        <v/>
      </c>
      <c r="BB253" t="str">
        <f t="shared" si="70"/>
        <v/>
      </c>
      <c r="BC253" t="str">
        <f>IF(AZ253=1,IF(S253="","",IF(S253=N144,"Yes","No")),"")</f>
        <v/>
      </c>
      <c r="BD253" t="str">
        <f t="shared" si="71"/>
        <v/>
      </c>
      <c r="BE253" t="str">
        <f t="shared" si="72"/>
        <v/>
      </c>
      <c r="BF253" t="str">
        <f t="shared" si="73"/>
        <v>No</v>
      </c>
      <c r="BG253" t="str">
        <f t="shared" si="74"/>
        <v>No</v>
      </c>
      <c r="BH253" t="str">
        <f t="shared" si="75"/>
        <v/>
      </c>
    </row>
    <row r="254" spans="9:60" x14ac:dyDescent="0.3">
      <c r="I254" t="str">
        <f t="shared" si="82"/>
        <v>N/A</v>
      </c>
      <c r="J254" t="str">
        <f t="shared" si="83"/>
        <v>N/A</v>
      </c>
      <c r="K254" t="str">
        <f t="shared" si="84"/>
        <v>N/A</v>
      </c>
      <c r="L254" t="str">
        <f t="shared" si="85"/>
        <v>N/A</v>
      </c>
      <c r="M254" t="str">
        <f t="shared" si="86"/>
        <v>N/A</v>
      </c>
      <c r="N254" t="str">
        <f t="shared" si="87"/>
        <v>N/A</v>
      </c>
      <c r="P254">
        <f t="shared" si="58"/>
        <v>0</v>
      </c>
      <c r="Q254" t="str">
        <f>IFERROR(J144+MATCH(P254,J254:N254,0)-1,"")</f>
        <v/>
      </c>
      <c r="R254" t="str">
        <f t="shared" si="59"/>
        <v/>
      </c>
      <c r="S254" t="str">
        <f>IFERROR(J144+MATCH(R254,J254:N254,0)-1,"")</f>
        <v/>
      </c>
      <c r="T254" t="str">
        <f t="shared" si="60"/>
        <v/>
      </c>
      <c r="U254" t="str">
        <f t="shared" si="61"/>
        <v/>
      </c>
      <c r="V254" t="str">
        <f t="shared" si="62"/>
        <v/>
      </c>
      <c r="W254" t="str">
        <f t="shared" si="63"/>
        <v/>
      </c>
      <c r="X254" t="str">
        <f t="shared" si="64"/>
        <v/>
      </c>
      <c r="Y254" t="str">
        <f t="shared" si="65"/>
        <v/>
      </c>
      <c r="Z254" t="str">
        <f t="shared" si="66"/>
        <v/>
      </c>
      <c r="AA254">
        <f t="shared" si="67"/>
        <v>0</v>
      </c>
      <c r="AB254" t="str">
        <f>IFERROR(V144+MATCH(AA254,V254:Z254,0)-1,"")</f>
        <v/>
      </c>
      <c r="AC254" t="str">
        <f t="shared" si="68"/>
        <v/>
      </c>
      <c r="AE254" t="str">
        <f>IF(ISNUMBER(MATCH("N/A",J254:N254,0)),"",IFERROR((5 * SUMPRODUCT(J144:N144,J254:N254) - PRODUCT(SUM(J144:N144),SUM(J254:N254))) / ((5 * SUM((J144^2)+(K144^2)+(L144^2)+(M144^2)+(N144^2))) - SUM(J144:N144)^2),""))</f>
        <v/>
      </c>
      <c r="AF254" t="str">
        <f>IFERROR(CORREL(J144:N144,J254:N254),"")</f>
        <v/>
      </c>
      <c r="AZ254">
        <f t="shared" si="69"/>
        <v>0</v>
      </c>
      <c r="BA254" t="str">
        <f>IF(AZ254=1,IF(Q254="","",IF(Q254=N144,"Yes","No")),"")</f>
        <v/>
      </c>
      <c r="BB254" t="str">
        <f t="shared" si="70"/>
        <v/>
      </c>
      <c r="BC254" t="str">
        <f>IF(AZ254=1,IF(S254="","",IF(S254=N144,"Yes","No")),"")</f>
        <v/>
      </c>
      <c r="BD254" t="str">
        <f t="shared" si="71"/>
        <v/>
      </c>
      <c r="BE254" t="str">
        <f t="shared" si="72"/>
        <v/>
      </c>
      <c r="BF254" t="str">
        <f t="shared" si="73"/>
        <v>No</v>
      </c>
      <c r="BG254" t="str">
        <f t="shared" si="74"/>
        <v>No</v>
      </c>
      <c r="BH254" t="str">
        <f t="shared" si="75"/>
        <v/>
      </c>
    </row>
    <row r="255" spans="9:60" x14ac:dyDescent="0.3">
      <c r="I255" t="str">
        <f t="shared" si="82"/>
        <v>N/A</v>
      </c>
      <c r="J255" t="str">
        <f t="shared" si="83"/>
        <v>N/A</v>
      </c>
      <c r="K255" t="str">
        <f t="shared" si="84"/>
        <v>N/A</v>
      </c>
      <c r="L255" t="str">
        <f t="shared" si="85"/>
        <v>N/A</v>
      </c>
      <c r="M255" t="str">
        <f t="shared" si="86"/>
        <v>N/A</v>
      </c>
      <c r="N255" t="str">
        <f t="shared" si="87"/>
        <v>N/A</v>
      </c>
      <c r="P255">
        <f t="shared" si="58"/>
        <v>0</v>
      </c>
      <c r="Q255" t="str">
        <f>IFERROR(J144+MATCH(P255,J255:N255,0)-1,"")</f>
        <v/>
      </c>
      <c r="R255" t="str">
        <f t="shared" si="59"/>
        <v/>
      </c>
      <c r="S255" t="str">
        <f>IFERROR(J144+MATCH(R255,J255:N255,0)-1,"")</f>
        <v/>
      </c>
      <c r="T255" t="str">
        <f t="shared" si="60"/>
        <v/>
      </c>
      <c r="U255" t="str">
        <f t="shared" si="61"/>
        <v/>
      </c>
      <c r="V255" t="str">
        <f t="shared" si="62"/>
        <v/>
      </c>
      <c r="W255" t="str">
        <f t="shared" si="63"/>
        <v/>
      </c>
      <c r="X255" t="str">
        <f t="shared" si="64"/>
        <v/>
      </c>
      <c r="Y255" t="str">
        <f t="shared" si="65"/>
        <v/>
      </c>
      <c r="Z255" t="str">
        <f t="shared" si="66"/>
        <v/>
      </c>
      <c r="AA255">
        <f t="shared" si="67"/>
        <v>0</v>
      </c>
      <c r="AB255" t="str">
        <f>IFERROR(V144+MATCH(AA255,V255:Z255,0)-1,"")</f>
        <v/>
      </c>
      <c r="AC255" t="str">
        <f t="shared" si="68"/>
        <v/>
      </c>
      <c r="AE255" t="str">
        <f>IF(ISNUMBER(MATCH("N/A",J255:N255,0)),"",IFERROR((5 * SUMPRODUCT(J144:N144,J255:N255) - PRODUCT(SUM(J144:N144),SUM(J255:N255))) / ((5 * SUM((J144^2)+(K144^2)+(L144^2)+(M144^2)+(N144^2))) - SUM(J144:N144)^2),""))</f>
        <v/>
      </c>
      <c r="AF255" t="str">
        <f>IFERROR(CORREL(J144:N144,J255:N255),"")</f>
        <v/>
      </c>
      <c r="AZ255">
        <f t="shared" si="69"/>
        <v>0</v>
      </c>
      <c r="BA255" t="str">
        <f>IF(AZ255=1,IF(Q255="","",IF(Q255=N144,"Yes","No")),"")</f>
        <v/>
      </c>
      <c r="BB255" t="str">
        <f t="shared" si="70"/>
        <v/>
      </c>
      <c r="BC255" t="str">
        <f>IF(AZ255=1,IF(S255="","",IF(S255=N144,"Yes","No")),"")</f>
        <v/>
      </c>
      <c r="BD255" t="str">
        <f t="shared" si="71"/>
        <v/>
      </c>
      <c r="BE255" t="str">
        <f t="shared" si="72"/>
        <v/>
      </c>
      <c r="BF255" t="str">
        <f t="shared" si="73"/>
        <v>No</v>
      </c>
      <c r="BG255" t="str">
        <f t="shared" si="74"/>
        <v>No</v>
      </c>
      <c r="BH255" t="str">
        <f t="shared" si="75"/>
        <v/>
      </c>
    </row>
    <row r="256" spans="9:60" x14ac:dyDescent="0.3">
      <c r="I256" t="str">
        <f t="shared" si="82"/>
        <v>N/A</v>
      </c>
      <c r="J256" t="str">
        <f t="shared" si="83"/>
        <v>N/A</v>
      </c>
      <c r="K256" t="str">
        <f t="shared" si="84"/>
        <v>N/A</v>
      </c>
      <c r="L256" t="str">
        <f t="shared" si="85"/>
        <v>N/A</v>
      </c>
      <c r="M256" t="str">
        <f t="shared" si="86"/>
        <v>N/A</v>
      </c>
      <c r="N256" t="str">
        <f t="shared" si="87"/>
        <v>N/A</v>
      </c>
      <c r="P256">
        <f t="shared" si="58"/>
        <v>0</v>
      </c>
      <c r="Q256" t="str">
        <f>IFERROR(J144+MATCH(P256,J256:N256,0)-1,"")</f>
        <v/>
      </c>
      <c r="R256" t="str">
        <f t="shared" si="59"/>
        <v/>
      </c>
      <c r="S256" t="str">
        <f>IFERROR(J144+MATCH(R256,J256:N256,0)-1,"")</f>
        <v/>
      </c>
      <c r="T256" t="str">
        <f t="shared" si="60"/>
        <v/>
      </c>
      <c r="U256" t="str">
        <f t="shared" si="61"/>
        <v/>
      </c>
      <c r="V256" t="str">
        <f t="shared" si="62"/>
        <v/>
      </c>
      <c r="W256" t="str">
        <f t="shared" si="63"/>
        <v/>
      </c>
      <c r="X256" t="str">
        <f t="shared" si="64"/>
        <v/>
      </c>
      <c r="Y256" t="str">
        <f t="shared" si="65"/>
        <v/>
      </c>
      <c r="Z256" t="str">
        <f t="shared" si="66"/>
        <v/>
      </c>
      <c r="AA256">
        <f t="shared" si="67"/>
        <v>0</v>
      </c>
      <c r="AB256" t="str">
        <f>IFERROR(V144+MATCH(AA256,V256:Z256,0)-1,"")</f>
        <v/>
      </c>
      <c r="AC256" t="str">
        <f t="shared" si="68"/>
        <v/>
      </c>
      <c r="AE256" t="str">
        <f>IF(ISNUMBER(MATCH("N/A",J256:N256,0)),"",IFERROR((5 * SUMPRODUCT(J144:N144,J256:N256) - PRODUCT(SUM(J144:N144),SUM(J256:N256))) / ((5 * SUM((J144^2)+(K144^2)+(L144^2)+(M144^2)+(N144^2))) - SUM(J144:N144)^2),""))</f>
        <v/>
      </c>
      <c r="AF256" t="str">
        <f>IFERROR(CORREL(J144:N144,J256:N256),"")</f>
        <v/>
      </c>
      <c r="AZ256">
        <f t="shared" si="69"/>
        <v>0</v>
      </c>
      <c r="BA256" t="str">
        <f>IF(AZ256=1,IF(Q256="","",IF(Q256=N144,"Yes","No")),"")</f>
        <v/>
      </c>
      <c r="BB256" t="str">
        <f t="shared" si="70"/>
        <v/>
      </c>
      <c r="BC256" t="str">
        <f>IF(AZ256=1,IF(S256="","",IF(S256=N144,"Yes","No")),"")</f>
        <v/>
      </c>
      <c r="BD256" t="str">
        <f t="shared" si="71"/>
        <v/>
      </c>
      <c r="BE256" t="str">
        <f t="shared" si="72"/>
        <v/>
      </c>
      <c r="BF256" t="str">
        <f t="shared" si="73"/>
        <v>No</v>
      </c>
      <c r="BG256" t="str">
        <f t="shared" si="74"/>
        <v>No</v>
      </c>
      <c r="BH256" t="str">
        <f t="shared" si="75"/>
        <v/>
      </c>
    </row>
    <row r="257" spans="9:60" x14ac:dyDescent="0.3">
      <c r="I257" t="str">
        <f t="shared" si="82"/>
        <v>N/A</v>
      </c>
      <c r="J257" t="str">
        <f t="shared" si="83"/>
        <v>N/A</v>
      </c>
      <c r="K257" t="str">
        <f t="shared" si="84"/>
        <v>N/A</v>
      </c>
      <c r="L257" t="str">
        <f t="shared" si="85"/>
        <v>N/A</v>
      </c>
      <c r="M257" t="str">
        <f t="shared" si="86"/>
        <v>N/A</v>
      </c>
      <c r="N257" t="str">
        <f t="shared" si="87"/>
        <v>N/A</v>
      </c>
      <c r="P257">
        <f t="shared" si="58"/>
        <v>0</v>
      </c>
      <c r="Q257" t="str">
        <f>IFERROR(J144+MATCH(P257,J257:N257,0)-1,"")</f>
        <v/>
      </c>
      <c r="R257" t="str">
        <f t="shared" si="59"/>
        <v/>
      </c>
      <c r="S257" t="str">
        <f>IFERROR(J144+MATCH(R257,J257:N257,0)-1,"")</f>
        <v/>
      </c>
      <c r="T257" t="str">
        <f t="shared" si="60"/>
        <v/>
      </c>
      <c r="U257" t="str">
        <f t="shared" si="61"/>
        <v/>
      </c>
      <c r="V257" t="str">
        <f t="shared" si="62"/>
        <v/>
      </c>
      <c r="W257" t="str">
        <f t="shared" si="63"/>
        <v/>
      </c>
      <c r="X257" t="str">
        <f t="shared" si="64"/>
        <v/>
      </c>
      <c r="Y257" t="str">
        <f t="shared" si="65"/>
        <v/>
      </c>
      <c r="Z257" t="str">
        <f t="shared" si="66"/>
        <v/>
      </c>
      <c r="AA257">
        <f t="shared" si="67"/>
        <v>0</v>
      </c>
      <c r="AB257" t="str">
        <f>IFERROR(V144+MATCH(AA257,V257:Z257,0)-1,"")</f>
        <v/>
      </c>
      <c r="AC257" t="str">
        <f t="shared" si="68"/>
        <v/>
      </c>
      <c r="AE257" t="str">
        <f>IF(ISNUMBER(MATCH("N/A",J257:N257,0)),"",IFERROR((5 * SUMPRODUCT(J144:N144,J257:N257) - PRODUCT(SUM(J144:N144),SUM(J257:N257))) / ((5 * SUM((J144^2)+(K144^2)+(L144^2)+(M144^2)+(N144^2))) - SUM(J144:N144)^2),""))</f>
        <v/>
      </c>
      <c r="AF257" t="str">
        <f>IFERROR(CORREL(J144:N144,J257:N257),"")</f>
        <v/>
      </c>
      <c r="AZ257">
        <f t="shared" si="69"/>
        <v>0</v>
      </c>
      <c r="BA257" t="str">
        <f>IF(AZ257=1,IF(Q257="","",IF(Q257=N144,"Yes","No")),"")</f>
        <v/>
      </c>
      <c r="BB257" t="str">
        <f t="shared" si="70"/>
        <v/>
      </c>
      <c r="BC257" t="str">
        <f>IF(AZ257=1,IF(S257="","",IF(S257=N144,"Yes","No")),"")</f>
        <v/>
      </c>
      <c r="BD257" t="str">
        <f t="shared" si="71"/>
        <v/>
      </c>
      <c r="BE257" t="str">
        <f t="shared" si="72"/>
        <v/>
      </c>
      <c r="BF257" t="str">
        <f t="shared" si="73"/>
        <v>No</v>
      </c>
      <c r="BG257" t="str">
        <f t="shared" si="74"/>
        <v>No</v>
      </c>
      <c r="BH257" t="str">
        <f t="shared" si="75"/>
        <v/>
      </c>
    </row>
    <row r="258" spans="9:60" x14ac:dyDescent="0.3">
      <c r="I258" t="str">
        <f t="shared" si="82"/>
        <v>N/A</v>
      </c>
      <c r="J258" t="str">
        <f t="shared" si="83"/>
        <v>N/A</v>
      </c>
      <c r="K258" t="str">
        <f t="shared" si="84"/>
        <v>N/A</v>
      </c>
      <c r="L258" t="str">
        <f t="shared" si="85"/>
        <v>N/A</v>
      </c>
      <c r="M258" t="str">
        <f t="shared" si="86"/>
        <v>N/A</v>
      </c>
      <c r="N258" t="str">
        <f t="shared" si="87"/>
        <v>N/A</v>
      </c>
      <c r="P258">
        <f t="shared" si="58"/>
        <v>0</v>
      </c>
      <c r="Q258" t="str">
        <f>IFERROR(J144+MATCH(P258,J258:N258,0)-1,"")</f>
        <v/>
      </c>
      <c r="R258" t="str">
        <f t="shared" si="59"/>
        <v/>
      </c>
      <c r="S258" t="str">
        <f>IFERROR(J144+MATCH(R258,J258:N258,0)-1,"")</f>
        <v/>
      </c>
      <c r="T258" t="str">
        <f t="shared" si="60"/>
        <v/>
      </c>
      <c r="U258" t="str">
        <f t="shared" si="61"/>
        <v/>
      </c>
      <c r="V258" t="str">
        <f t="shared" si="62"/>
        <v/>
      </c>
      <c r="W258" t="str">
        <f t="shared" si="63"/>
        <v/>
      </c>
      <c r="X258" t="str">
        <f t="shared" si="64"/>
        <v/>
      </c>
      <c r="Y258" t="str">
        <f t="shared" si="65"/>
        <v/>
      </c>
      <c r="Z258" t="str">
        <f t="shared" si="66"/>
        <v/>
      </c>
      <c r="AA258">
        <f t="shared" si="67"/>
        <v>0</v>
      </c>
      <c r="AB258" t="str">
        <f>IFERROR(V144+MATCH(AA258,V258:Z258,0)-1,"")</f>
        <v/>
      </c>
      <c r="AC258" t="str">
        <f t="shared" si="68"/>
        <v/>
      </c>
      <c r="AE258" t="str">
        <f>IF(ISNUMBER(MATCH("N/A",J258:N258,0)),"",IFERROR((5 * SUMPRODUCT(J144:N144,J258:N258) - PRODUCT(SUM(J144:N144),SUM(J258:N258))) / ((5 * SUM((J144^2)+(K144^2)+(L144^2)+(M144^2)+(N144^2))) - SUM(J144:N144)^2),""))</f>
        <v/>
      </c>
      <c r="AF258" t="str">
        <f>IFERROR(CORREL(J144:N144,J258:N258),"")</f>
        <v/>
      </c>
      <c r="AZ258">
        <f t="shared" si="69"/>
        <v>0</v>
      </c>
      <c r="BA258" t="str">
        <f>IF(AZ258=1,IF(Q258="","",IF(Q258=N144,"Yes","No")),"")</f>
        <v/>
      </c>
      <c r="BB258" t="str">
        <f t="shared" si="70"/>
        <v/>
      </c>
      <c r="BC258" t="str">
        <f>IF(AZ258=1,IF(S258="","",IF(S258=N144,"Yes","No")),"")</f>
        <v/>
      </c>
      <c r="BD258" t="str">
        <f t="shared" si="71"/>
        <v/>
      </c>
      <c r="BE258" t="str">
        <f t="shared" si="72"/>
        <v/>
      </c>
      <c r="BF258" t="str">
        <f t="shared" si="73"/>
        <v>No</v>
      </c>
      <c r="BG258" t="str">
        <f t="shared" si="74"/>
        <v>No</v>
      </c>
      <c r="BH258" t="str">
        <f t="shared" si="75"/>
        <v/>
      </c>
    </row>
    <row r="259" spans="9:60" x14ac:dyDescent="0.3">
      <c r="I259" t="str">
        <f t="shared" si="82"/>
        <v>N/A</v>
      </c>
      <c r="J259" t="str">
        <f t="shared" si="83"/>
        <v>N/A</v>
      </c>
      <c r="K259" t="str">
        <f t="shared" si="84"/>
        <v>N/A</v>
      </c>
      <c r="L259" t="str">
        <f t="shared" si="85"/>
        <v>N/A</v>
      </c>
      <c r="M259" t="str">
        <f t="shared" si="86"/>
        <v>N/A</v>
      </c>
      <c r="N259" t="str">
        <f t="shared" si="87"/>
        <v>N/A</v>
      </c>
      <c r="P259">
        <f t="shared" si="58"/>
        <v>0</v>
      </c>
      <c r="Q259" t="str">
        <f>IFERROR(J144+MATCH(P259,J259:N259,0)-1,"")</f>
        <v/>
      </c>
      <c r="R259" t="str">
        <f t="shared" si="59"/>
        <v/>
      </c>
      <c r="S259" t="str">
        <f>IFERROR(J144+MATCH(R259,J259:N259,0)-1,"")</f>
        <v/>
      </c>
      <c r="T259" t="str">
        <f t="shared" si="60"/>
        <v/>
      </c>
      <c r="U259" t="str">
        <f t="shared" si="61"/>
        <v/>
      </c>
      <c r="V259" t="str">
        <f t="shared" si="62"/>
        <v/>
      </c>
      <c r="W259" t="str">
        <f t="shared" si="63"/>
        <v/>
      </c>
      <c r="X259" t="str">
        <f t="shared" si="64"/>
        <v/>
      </c>
      <c r="Y259" t="str">
        <f t="shared" si="65"/>
        <v/>
      </c>
      <c r="Z259" t="str">
        <f t="shared" si="66"/>
        <v/>
      </c>
      <c r="AA259">
        <f t="shared" si="67"/>
        <v>0</v>
      </c>
      <c r="AB259" t="str">
        <f>IFERROR(V144+MATCH(AA259,V259:Z259,0)-1,"")</f>
        <v/>
      </c>
      <c r="AC259" t="str">
        <f t="shared" si="68"/>
        <v/>
      </c>
      <c r="AE259" t="str">
        <f>IF(ISNUMBER(MATCH("N/A",J259:N259,0)),"",IFERROR((5 * SUMPRODUCT(J144:N144,J259:N259) - PRODUCT(SUM(J144:N144),SUM(J259:N259))) / ((5 * SUM((J144^2)+(K144^2)+(L144^2)+(M144^2)+(N144^2))) - SUM(J144:N144)^2),""))</f>
        <v/>
      </c>
      <c r="AF259" t="str">
        <f>IFERROR(CORREL(J144:N144,J259:N259),"")</f>
        <v/>
      </c>
      <c r="AZ259">
        <f t="shared" si="69"/>
        <v>0</v>
      </c>
      <c r="BA259" t="str">
        <f>IF(AZ259=1,IF(Q259="","",IF(Q259=N144,"Yes","No")),"")</f>
        <v/>
      </c>
      <c r="BB259" t="str">
        <f t="shared" si="70"/>
        <v/>
      </c>
      <c r="BC259" t="str">
        <f>IF(AZ259=1,IF(S259="","",IF(S259=N144,"Yes","No")),"")</f>
        <v/>
      </c>
      <c r="BD259" t="str">
        <f t="shared" si="71"/>
        <v/>
      </c>
      <c r="BE259" t="str">
        <f t="shared" si="72"/>
        <v/>
      </c>
      <c r="BF259" t="str">
        <f t="shared" si="73"/>
        <v>No</v>
      </c>
      <c r="BG259" t="str">
        <f t="shared" si="74"/>
        <v>No</v>
      </c>
      <c r="BH259" t="str">
        <f t="shared" si="75"/>
        <v/>
      </c>
    </row>
    <row r="260" spans="9:60" x14ac:dyDescent="0.3">
      <c r="I260" t="str">
        <f t="shared" si="82"/>
        <v>N/A</v>
      </c>
      <c r="J260" t="str">
        <f t="shared" si="83"/>
        <v>N/A</v>
      </c>
      <c r="K260" t="str">
        <f t="shared" si="84"/>
        <v>N/A</v>
      </c>
      <c r="L260" t="str">
        <f t="shared" si="85"/>
        <v>N/A</v>
      </c>
      <c r="M260" t="str">
        <f t="shared" si="86"/>
        <v>N/A</v>
      </c>
      <c r="N260" t="str">
        <f t="shared" si="87"/>
        <v>N/A</v>
      </c>
      <c r="P260">
        <f t="shared" si="58"/>
        <v>0</v>
      </c>
      <c r="Q260" t="str">
        <f>IFERROR(J144+MATCH(P260,J260:N260,0)-1,"")</f>
        <v/>
      </c>
      <c r="R260" t="str">
        <f t="shared" si="59"/>
        <v/>
      </c>
      <c r="S260" t="str">
        <f>IFERROR(J144+MATCH(R260,J260:N260,0)-1,"")</f>
        <v/>
      </c>
      <c r="T260" t="str">
        <f t="shared" si="60"/>
        <v/>
      </c>
      <c r="U260" t="str">
        <f t="shared" si="61"/>
        <v/>
      </c>
      <c r="V260" t="str">
        <f t="shared" si="62"/>
        <v/>
      </c>
      <c r="W260" t="str">
        <f t="shared" si="63"/>
        <v/>
      </c>
      <c r="X260" t="str">
        <f t="shared" si="64"/>
        <v/>
      </c>
      <c r="Y260" t="str">
        <f t="shared" si="65"/>
        <v/>
      </c>
      <c r="Z260" t="str">
        <f t="shared" si="66"/>
        <v/>
      </c>
      <c r="AA260">
        <f t="shared" si="67"/>
        <v>0</v>
      </c>
      <c r="AB260" t="str">
        <f>IFERROR(V144+MATCH(AA260,V260:Z260,0)-1,"")</f>
        <v/>
      </c>
      <c r="AC260" t="str">
        <f t="shared" si="68"/>
        <v/>
      </c>
      <c r="AE260" t="str">
        <f>IF(ISNUMBER(MATCH("N/A",J260:N260,0)),"",IFERROR((5 * SUMPRODUCT(J144:N144,J260:N260) - PRODUCT(SUM(J144:N144),SUM(J260:N260))) / ((5 * SUM((J144^2)+(K144^2)+(L144^2)+(M144^2)+(N144^2))) - SUM(J144:N144)^2),""))</f>
        <v/>
      </c>
      <c r="AF260" t="str">
        <f>IFERROR(CORREL(J144:N144,J260:N260),"")</f>
        <v/>
      </c>
      <c r="AZ260">
        <f t="shared" si="69"/>
        <v>0</v>
      </c>
      <c r="BA260" t="str">
        <f>IF(AZ260=1,IF(Q260="","",IF(Q260=N144,"Yes","No")),"")</f>
        <v/>
      </c>
      <c r="BB260" t="str">
        <f t="shared" si="70"/>
        <v/>
      </c>
      <c r="BC260" t="str">
        <f>IF(AZ260=1,IF(S260="","",IF(S260=N144,"Yes","No")),"")</f>
        <v/>
      </c>
      <c r="BD260" t="str">
        <f t="shared" si="71"/>
        <v/>
      </c>
      <c r="BE260" t="str">
        <f t="shared" si="72"/>
        <v/>
      </c>
      <c r="BF260" t="str">
        <f t="shared" si="73"/>
        <v>No</v>
      </c>
      <c r="BG260" t="str">
        <f t="shared" si="74"/>
        <v>No</v>
      </c>
      <c r="BH260" t="str">
        <f t="shared" si="75"/>
        <v/>
      </c>
    </row>
    <row r="261" spans="9:60" x14ac:dyDescent="0.3">
      <c r="I261" t="str">
        <f t="shared" si="82"/>
        <v>N/A</v>
      </c>
      <c r="J261" t="str">
        <f t="shared" si="83"/>
        <v>N/A</v>
      </c>
      <c r="K261" t="str">
        <f t="shared" si="84"/>
        <v>N/A</v>
      </c>
      <c r="L261" t="str">
        <f t="shared" si="85"/>
        <v>N/A</v>
      </c>
      <c r="M261" t="str">
        <f t="shared" si="86"/>
        <v>N/A</v>
      </c>
      <c r="N261" t="str">
        <f t="shared" si="87"/>
        <v>N/A</v>
      </c>
      <c r="P261">
        <f t="shared" si="58"/>
        <v>0</v>
      </c>
      <c r="Q261" t="str">
        <f>IFERROR(J144+MATCH(P261,J261:N261,0)-1,"")</f>
        <v/>
      </c>
      <c r="R261" t="str">
        <f t="shared" si="59"/>
        <v/>
      </c>
      <c r="S261" t="str">
        <f>IFERROR(J144+MATCH(R261,J261:N261,0)-1,"")</f>
        <v/>
      </c>
      <c r="T261" t="str">
        <f t="shared" si="60"/>
        <v/>
      </c>
      <c r="U261" t="str">
        <f t="shared" si="61"/>
        <v/>
      </c>
      <c r="V261" t="str">
        <f t="shared" si="62"/>
        <v/>
      </c>
      <c r="W261" t="str">
        <f t="shared" si="63"/>
        <v/>
      </c>
      <c r="X261" t="str">
        <f t="shared" si="64"/>
        <v/>
      </c>
      <c r="Y261" t="str">
        <f t="shared" si="65"/>
        <v/>
      </c>
      <c r="Z261" t="str">
        <f t="shared" si="66"/>
        <v/>
      </c>
      <c r="AA261">
        <f t="shared" si="67"/>
        <v>0</v>
      </c>
      <c r="AB261" t="str">
        <f>IFERROR(V144+MATCH(AA261,V261:Z261,0)-1,"")</f>
        <v/>
      </c>
      <c r="AC261" t="str">
        <f t="shared" si="68"/>
        <v/>
      </c>
      <c r="AE261" t="str">
        <f>IF(ISNUMBER(MATCH("N/A",J261:N261,0)),"",IFERROR((5 * SUMPRODUCT(J144:N144,J261:N261) - PRODUCT(SUM(J144:N144),SUM(J261:N261))) / ((5 * SUM((J144^2)+(K144^2)+(L144^2)+(M144^2)+(N144^2))) - SUM(J144:N144)^2),""))</f>
        <v/>
      </c>
      <c r="AF261" t="str">
        <f>IFERROR(CORREL(J144:N144,J261:N261),"")</f>
        <v/>
      </c>
      <c r="AZ261">
        <f t="shared" si="69"/>
        <v>0</v>
      </c>
      <c r="BA261" t="str">
        <f>IF(AZ261=1,IF(Q261="","",IF(Q261=N144,"Yes","No")),"")</f>
        <v/>
      </c>
      <c r="BB261" t="str">
        <f t="shared" si="70"/>
        <v/>
      </c>
      <c r="BC261" t="str">
        <f>IF(AZ261=1,IF(S261="","",IF(S261=N144,"Yes","No")),"")</f>
        <v/>
      </c>
      <c r="BD261" t="str">
        <f t="shared" si="71"/>
        <v/>
      </c>
      <c r="BE261" t="str">
        <f t="shared" si="72"/>
        <v/>
      </c>
      <c r="BF261" t="str">
        <f t="shared" si="73"/>
        <v>No</v>
      </c>
      <c r="BG261" t="str">
        <f t="shared" si="74"/>
        <v>No</v>
      </c>
      <c r="BH261" t="str">
        <f t="shared" si="75"/>
        <v/>
      </c>
    </row>
    <row r="262" spans="9:60" x14ac:dyDescent="0.3">
      <c r="I262" t="str">
        <f t="shared" si="82"/>
        <v>N/A</v>
      </c>
      <c r="J262" t="str">
        <f t="shared" si="83"/>
        <v>N/A</v>
      </c>
      <c r="K262" t="str">
        <f t="shared" si="84"/>
        <v>N/A</v>
      </c>
      <c r="L262" t="str">
        <f t="shared" si="85"/>
        <v>N/A</v>
      </c>
      <c r="M262" t="str">
        <f t="shared" si="86"/>
        <v>N/A</v>
      </c>
      <c r="N262" t="str">
        <f t="shared" si="87"/>
        <v>N/A</v>
      </c>
      <c r="P262">
        <f t="shared" si="58"/>
        <v>0</v>
      </c>
      <c r="Q262" t="str">
        <f>IFERROR(J144+MATCH(P262,J262:N262,0)-1,"")</f>
        <v/>
      </c>
      <c r="R262" t="str">
        <f t="shared" si="59"/>
        <v/>
      </c>
      <c r="S262" t="str">
        <f>IFERROR(J144+MATCH(R262,J262:N262,0)-1,"")</f>
        <v/>
      </c>
      <c r="T262" t="str">
        <f t="shared" si="60"/>
        <v/>
      </c>
      <c r="U262" t="str">
        <f t="shared" si="61"/>
        <v/>
      </c>
      <c r="V262" t="str">
        <f t="shared" si="62"/>
        <v/>
      </c>
      <c r="W262" t="str">
        <f t="shared" si="63"/>
        <v/>
      </c>
      <c r="X262" t="str">
        <f t="shared" si="64"/>
        <v/>
      </c>
      <c r="Y262" t="str">
        <f t="shared" si="65"/>
        <v/>
      </c>
      <c r="Z262" t="str">
        <f t="shared" si="66"/>
        <v/>
      </c>
      <c r="AA262">
        <f t="shared" si="67"/>
        <v>0</v>
      </c>
      <c r="AB262" t="str">
        <f>IFERROR(V144+MATCH(AA262,V262:Z262,0)-1,"")</f>
        <v/>
      </c>
      <c r="AC262" t="str">
        <f t="shared" si="68"/>
        <v/>
      </c>
      <c r="AE262" t="str">
        <f>IF(ISNUMBER(MATCH("N/A",J262:N262,0)),"",IFERROR((5 * SUMPRODUCT(J144:N144,J262:N262) - PRODUCT(SUM(J144:N144),SUM(J262:N262))) / ((5 * SUM((J144^2)+(K144^2)+(L144^2)+(M144^2)+(N144^2))) - SUM(J144:N144)^2),""))</f>
        <v/>
      </c>
      <c r="AF262" t="str">
        <f>IFERROR(CORREL(J144:N144,J262:N262),"")</f>
        <v/>
      </c>
      <c r="AZ262">
        <f t="shared" si="69"/>
        <v>0</v>
      </c>
      <c r="BA262" t="str">
        <f>IF(AZ262=1,IF(Q262="","",IF(Q262=N144,"Yes","No")),"")</f>
        <v/>
      </c>
      <c r="BB262" t="str">
        <f t="shared" si="70"/>
        <v/>
      </c>
      <c r="BC262" t="str">
        <f>IF(AZ262=1,IF(S262="","",IF(S262=N144,"Yes","No")),"")</f>
        <v/>
      </c>
      <c r="BD262" t="str">
        <f t="shared" si="71"/>
        <v/>
      </c>
      <c r="BE262" t="str">
        <f t="shared" si="72"/>
        <v/>
      </c>
      <c r="BF262" t="str">
        <f t="shared" si="73"/>
        <v>No</v>
      </c>
      <c r="BG262" t="str">
        <f t="shared" si="74"/>
        <v>No</v>
      </c>
      <c r="BH262" t="str">
        <f t="shared" si="75"/>
        <v/>
      </c>
    </row>
    <row r="263" spans="9:60" x14ac:dyDescent="0.3">
      <c r="I263" t="str">
        <f t="shared" si="82"/>
        <v>N/A</v>
      </c>
      <c r="J263" t="str">
        <f t="shared" si="83"/>
        <v>N/A</v>
      </c>
      <c r="K263" t="str">
        <f t="shared" si="84"/>
        <v>N/A</v>
      </c>
      <c r="L263" t="str">
        <f t="shared" si="85"/>
        <v>N/A</v>
      </c>
      <c r="M263" t="str">
        <f t="shared" si="86"/>
        <v>N/A</v>
      </c>
      <c r="N263" t="str">
        <f t="shared" si="87"/>
        <v>N/A</v>
      </c>
      <c r="P263">
        <f t="shared" si="58"/>
        <v>0</v>
      </c>
      <c r="Q263" t="str">
        <f>IFERROR(J144+MATCH(P263,J263:N263,0)-1,"")</f>
        <v/>
      </c>
      <c r="R263" t="str">
        <f t="shared" si="59"/>
        <v/>
      </c>
      <c r="S263" t="str">
        <f>IFERROR(J144+MATCH(R263,J263:N263,0)-1,"")</f>
        <v/>
      </c>
      <c r="T263" t="str">
        <f t="shared" si="60"/>
        <v/>
      </c>
      <c r="U263" t="str">
        <f t="shared" si="61"/>
        <v/>
      </c>
      <c r="V263" t="str">
        <f t="shared" si="62"/>
        <v/>
      </c>
      <c r="W263" t="str">
        <f t="shared" si="63"/>
        <v/>
      </c>
      <c r="X263" t="str">
        <f t="shared" si="64"/>
        <v/>
      </c>
      <c r="Y263" t="str">
        <f t="shared" si="65"/>
        <v/>
      </c>
      <c r="Z263" t="str">
        <f t="shared" si="66"/>
        <v/>
      </c>
      <c r="AA263">
        <f t="shared" si="67"/>
        <v>0</v>
      </c>
      <c r="AB263" t="str">
        <f>IFERROR(V144+MATCH(AA263,V263:Z263,0)-1,"")</f>
        <v/>
      </c>
      <c r="AC263" t="str">
        <f t="shared" si="68"/>
        <v/>
      </c>
      <c r="AE263" t="str">
        <f>IF(ISNUMBER(MATCH("N/A",J263:N263,0)),"",IFERROR((5 * SUMPRODUCT(J144:N144,J263:N263) - PRODUCT(SUM(J144:N144),SUM(J263:N263))) / ((5 * SUM((J144^2)+(K144^2)+(L144^2)+(M144^2)+(N144^2))) - SUM(J144:N144)^2),""))</f>
        <v/>
      </c>
      <c r="AF263" t="str">
        <f>IFERROR(CORREL(J144:N144,J263:N263),"")</f>
        <v/>
      </c>
      <c r="AZ263">
        <f t="shared" si="69"/>
        <v>0</v>
      </c>
      <c r="BA263" t="str">
        <f>IF(AZ263=1,IF(Q263="","",IF(Q263=N144,"Yes","No")),"")</f>
        <v/>
      </c>
      <c r="BB263" t="str">
        <f t="shared" si="70"/>
        <v/>
      </c>
      <c r="BC263" t="str">
        <f>IF(AZ263=1,IF(S263="","",IF(S263=N144,"Yes","No")),"")</f>
        <v/>
      </c>
      <c r="BD263" t="str">
        <f t="shared" si="71"/>
        <v/>
      </c>
      <c r="BE263" t="str">
        <f t="shared" si="72"/>
        <v/>
      </c>
      <c r="BF263" t="str">
        <f t="shared" si="73"/>
        <v>No</v>
      </c>
      <c r="BG263" t="str">
        <f t="shared" si="74"/>
        <v>No</v>
      </c>
      <c r="BH263" t="str">
        <f t="shared" si="75"/>
        <v/>
      </c>
    </row>
    <row r="264" spans="9:60" x14ac:dyDescent="0.3">
      <c r="I264" t="str">
        <f t="shared" si="82"/>
        <v>N/A</v>
      </c>
      <c r="J264" t="str">
        <f t="shared" si="83"/>
        <v>N/A</v>
      </c>
      <c r="K264" t="str">
        <f t="shared" si="84"/>
        <v>N/A</v>
      </c>
      <c r="L264" t="str">
        <f t="shared" si="85"/>
        <v>N/A</v>
      </c>
      <c r="M264" t="str">
        <f t="shared" si="86"/>
        <v>N/A</v>
      </c>
      <c r="N264" t="str">
        <f t="shared" si="87"/>
        <v>N/A</v>
      </c>
      <c r="P264">
        <f t="shared" si="58"/>
        <v>0</v>
      </c>
      <c r="Q264" t="str">
        <f>IFERROR(J144+MATCH(P264,J264:N264,0)-1,"")</f>
        <v/>
      </c>
      <c r="R264" t="str">
        <f t="shared" si="59"/>
        <v/>
      </c>
      <c r="S264" t="str">
        <f>IFERROR(J144+MATCH(R264,J264:N264,0)-1,"")</f>
        <v/>
      </c>
      <c r="T264" t="str">
        <f t="shared" si="60"/>
        <v/>
      </c>
      <c r="U264" t="str">
        <f t="shared" si="61"/>
        <v/>
      </c>
      <c r="V264" t="str">
        <f t="shared" si="62"/>
        <v/>
      </c>
      <c r="W264" t="str">
        <f t="shared" si="63"/>
        <v/>
      </c>
      <c r="X264" t="str">
        <f t="shared" si="64"/>
        <v/>
      </c>
      <c r="Y264" t="str">
        <f t="shared" si="65"/>
        <v/>
      </c>
      <c r="Z264" t="str">
        <f t="shared" si="66"/>
        <v/>
      </c>
      <c r="AA264">
        <f t="shared" si="67"/>
        <v>0</v>
      </c>
      <c r="AB264" t="str">
        <f>IFERROR(V144+MATCH(AA264,V264:Z264,0)-1,"")</f>
        <v/>
      </c>
      <c r="AC264" t="str">
        <f t="shared" si="68"/>
        <v/>
      </c>
      <c r="AE264" t="str">
        <f>IF(ISNUMBER(MATCH("N/A",J264:N264,0)),"",IFERROR((5 * SUMPRODUCT(J144:N144,J264:N264) - PRODUCT(SUM(J144:N144),SUM(J264:N264))) / ((5 * SUM((J144^2)+(K144^2)+(L144^2)+(M144^2)+(N144^2))) - SUM(J144:N144)^2),""))</f>
        <v/>
      </c>
      <c r="AF264" t="str">
        <f>IFERROR(CORREL(J144:N144,J264:N264),"")</f>
        <v/>
      </c>
      <c r="AZ264">
        <f t="shared" si="69"/>
        <v>0</v>
      </c>
      <c r="BA264" t="str">
        <f>IF(AZ264=1,IF(Q264="","",IF(Q264=N144,"Yes","No")),"")</f>
        <v/>
      </c>
      <c r="BB264" t="str">
        <f t="shared" si="70"/>
        <v/>
      </c>
      <c r="BC264" t="str">
        <f>IF(AZ264=1,IF(S264="","",IF(S264=N144,"Yes","No")),"")</f>
        <v/>
      </c>
      <c r="BD264" t="str">
        <f t="shared" si="71"/>
        <v/>
      </c>
      <c r="BE264" t="str">
        <f t="shared" si="72"/>
        <v/>
      </c>
      <c r="BF264" t="str">
        <f t="shared" si="73"/>
        <v>No</v>
      </c>
      <c r="BG264" t="str">
        <f t="shared" si="74"/>
        <v>No</v>
      </c>
      <c r="BH264" t="str">
        <f t="shared" si="75"/>
        <v/>
      </c>
    </row>
    <row r="265" spans="9:60" x14ac:dyDescent="0.3">
      <c r="I265" t="str">
        <f t="shared" si="82"/>
        <v>N/A</v>
      </c>
      <c r="J265" t="str">
        <f t="shared" si="83"/>
        <v>N/A</v>
      </c>
      <c r="K265" t="str">
        <f t="shared" si="84"/>
        <v>N/A</v>
      </c>
      <c r="L265" t="str">
        <f t="shared" si="85"/>
        <v>N/A</v>
      </c>
      <c r="M265" t="str">
        <f t="shared" si="86"/>
        <v>N/A</v>
      </c>
      <c r="N265" t="str">
        <f t="shared" si="87"/>
        <v>N/A</v>
      </c>
      <c r="P265">
        <f t="shared" si="58"/>
        <v>0</v>
      </c>
      <c r="Q265" t="str">
        <f>IFERROR(J144+MATCH(P265,J265:N265,0)-1,"")</f>
        <v/>
      </c>
      <c r="R265" t="str">
        <f t="shared" si="59"/>
        <v/>
      </c>
      <c r="S265" t="str">
        <f>IFERROR(J144+MATCH(R265,J265:N265,0)-1,"")</f>
        <v/>
      </c>
      <c r="T265" t="str">
        <f t="shared" si="60"/>
        <v/>
      </c>
      <c r="U265" t="str">
        <f t="shared" si="61"/>
        <v/>
      </c>
      <c r="V265" t="str">
        <f t="shared" si="62"/>
        <v/>
      </c>
      <c r="W265" t="str">
        <f t="shared" si="63"/>
        <v/>
      </c>
      <c r="X265" t="str">
        <f t="shared" si="64"/>
        <v/>
      </c>
      <c r="Y265" t="str">
        <f t="shared" si="65"/>
        <v/>
      </c>
      <c r="Z265" t="str">
        <f t="shared" si="66"/>
        <v/>
      </c>
      <c r="AA265">
        <f t="shared" si="67"/>
        <v>0</v>
      </c>
      <c r="AB265" t="str">
        <f>IFERROR(V144+MATCH(AA265,V265:Z265,0)-1,"")</f>
        <v/>
      </c>
      <c r="AC265" t="str">
        <f t="shared" si="68"/>
        <v/>
      </c>
      <c r="AE265" t="str">
        <f>IF(ISNUMBER(MATCH("N/A",J265:N265,0)),"",IFERROR((5 * SUMPRODUCT(J144:N144,J265:N265) - PRODUCT(SUM(J144:N144),SUM(J265:N265))) / ((5 * SUM((J144^2)+(K144^2)+(L144^2)+(M144^2)+(N144^2))) - SUM(J144:N144)^2),""))</f>
        <v/>
      </c>
      <c r="AF265" t="str">
        <f>IFERROR(CORREL(J144:N144,J265:N265),"")</f>
        <v/>
      </c>
      <c r="AZ265">
        <f t="shared" si="69"/>
        <v>0</v>
      </c>
      <c r="BA265" t="str">
        <f>IF(AZ265=1,IF(Q265="","",IF(Q265=N144,"Yes","No")),"")</f>
        <v/>
      </c>
      <c r="BB265" t="str">
        <f t="shared" si="70"/>
        <v/>
      </c>
      <c r="BC265" t="str">
        <f>IF(AZ265=1,IF(S265="","",IF(S265=N144,"Yes","No")),"")</f>
        <v/>
      </c>
      <c r="BD265" t="str">
        <f t="shared" si="71"/>
        <v/>
      </c>
      <c r="BE265" t="str">
        <f t="shared" si="72"/>
        <v/>
      </c>
      <c r="BF265" t="str">
        <f t="shared" si="73"/>
        <v>No</v>
      </c>
      <c r="BG265" t="str">
        <f t="shared" si="74"/>
        <v>No</v>
      </c>
      <c r="BH265" t="str">
        <f t="shared" si="75"/>
        <v/>
      </c>
    </row>
    <row r="266" spans="9:60" x14ac:dyDescent="0.3">
      <c r="I266" t="str">
        <f t="shared" si="82"/>
        <v>N/A</v>
      </c>
      <c r="J266" t="str">
        <f t="shared" si="83"/>
        <v>N/A</v>
      </c>
      <c r="K266" t="str">
        <f t="shared" si="84"/>
        <v>N/A</v>
      </c>
      <c r="L266" t="str">
        <f t="shared" si="85"/>
        <v>N/A</v>
      </c>
      <c r="M266" t="str">
        <f t="shared" si="86"/>
        <v>N/A</v>
      </c>
      <c r="N266" t="str">
        <f t="shared" si="87"/>
        <v>N/A</v>
      </c>
      <c r="P266">
        <f t="shared" si="58"/>
        <v>0</v>
      </c>
      <c r="Q266" t="str">
        <f>IFERROR(J144+MATCH(P266,J266:N266,0)-1,"")</f>
        <v/>
      </c>
      <c r="R266" t="str">
        <f t="shared" si="59"/>
        <v/>
      </c>
      <c r="S266" t="str">
        <f>IFERROR(J144+MATCH(R266,J266:N266,0)-1,"")</f>
        <v/>
      </c>
      <c r="T266" t="str">
        <f t="shared" si="60"/>
        <v/>
      </c>
      <c r="U266" t="str">
        <f t="shared" si="61"/>
        <v/>
      </c>
      <c r="V266" t="str">
        <f t="shared" si="62"/>
        <v/>
      </c>
      <c r="W266" t="str">
        <f t="shared" si="63"/>
        <v/>
      </c>
      <c r="X266" t="str">
        <f t="shared" si="64"/>
        <v/>
      </c>
      <c r="Y266" t="str">
        <f t="shared" si="65"/>
        <v/>
      </c>
      <c r="Z266" t="str">
        <f t="shared" si="66"/>
        <v/>
      </c>
      <c r="AA266">
        <f t="shared" si="67"/>
        <v>0</v>
      </c>
      <c r="AB266" t="str">
        <f>IFERROR(V144+MATCH(AA266,V266:Z266,0)-1,"")</f>
        <v/>
      </c>
      <c r="AC266" t="str">
        <f t="shared" si="68"/>
        <v/>
      </c>
      <c r="AE266" t="str">
        <f>IF(ISNUMBER(MATCH("N/A",J266:N266,0)),"",IFERROR((5 * SUMPRODUCT(J144:N144,J266:N266) - PRODUCT(SUM(J144:N144),SUM(J266:N266))) / ((5 * SUM((J144^2)+(K144^2)+(L144^2)+(M144^2)+(N144^2))) - SUM(J144:N144)^2),""))</f>
        <v/>
      </c>
      <c r="AF266" t="str">
        <f>IFERROR(CORREL(J144:N144,J266:N266),"")</f>
        <v/>
      </c>
      <c r="AZ266">
        <f t="shared" si="69"/>
        <v>0</v>
      </c>
      <c r="BA266" t="str">
        <f>IF(AZ266=1,IF(Q266="","",IF(Q266=N144,"Yes","No")),"")</f>
        <v/>
      </c>
      <c r="BB266" t="str">
        <f t="shared" si="70"/>
        <v/>
      </c>
      <c r="BC266" t="str">
        <f>IF(AZ266=1,IF(S266="","",IF(S266=N144,"Yes","No")),"")</f>
        <v/>
      </c>
      <c r="BD266" t="str">
        <f t="shared" si="71"/>
        <v/>
      </c>
      <c r="BE266" t="str">
        <f t="shared" si="72"/>
        <v/>
      </c>
      <c r="BF266" t="str">
        <f t="shared" si="73"/>
        <v>No</v>
      </c>
      <c r="BG266" t="str">
        <f t="shared" si="74"/>
        <v>No</v>
      </c>
      <c r="BH266" t="str">
        <f t="shared" si="75"/>
        <v/>
      </c>
    </row>
    <row r="267" spans="9:60" x14ac:dyDescent="0.3">
      <c r="I267" t="str">
        <f t="shared" si="82"/>
        <v>N/A</v>
      </c>
      <c r="J267" t="str">
        <f t="shared" si="83"/>
        <v>N/A</v>
      </c>
      <c r="K267" t="str">
        <f t="shared" si="84"/>
        <v>N/A</v>
      </c>
      <c r="L267" t="str">
        <f t="shared" si="85"/>
        <v>N/A</v>
      </c>
      <c r="M267" t="str">
        <f t="shared" si="86"/>
        <v>N/A</v>
      </c>
      <c r="N267" t="str">
        <f t="shared" si="87"/>
        <v>N/A</v>
      </c>
      <c r="P267">
        <f t="shared" si="58"/>
        <v>0</v>
      </c>
      <c r="Q267" t="str">
        <f>IFERROR(J144+MATCH(P267,J267:N267,0)-1,"")</f>
        <v/>
      </c>
      <c r="R267" t="str">
        <f t="shared" si="59"/>
        <v/>
      </c>
      <c r="S267" t="str">
        <f>IFERROR(J144+MATCH(R267,J267:N267,0)-1,"")</f>
        <v/>
      </c>
      <c r="T267" t="str">
        <f t="shared" si="60"/>
        <v/>
      </c>
      <c r="U267" t="str">
        <f t="shared" si="61"/>
        <v/>
      </c>
      <c r="V267" t="str">
        <f t="shared" si="62"/>
        <v/>
      </c>
      <c r="W267" t="str">
        <f t="shared" si="63"/>
        <v/>
      </c>
      <c r="X267" t="str">
        <f t="shared" si="64"/>
        <v/>
      </c>
      <c r="Y267" t="str">
        <f t="shared" si="65"/>
        <v/>
      </c>
      <c r="Z267" t="str">
        <f t="shared" si="66"/>
        <v/>
      </c>
      <c r="AA267">
        <f t="shared" si="67"/>
        <v>0</v>
      </c>
      <c r="AB267" t="str">
        <f>IFERROR(V144+MATCH(AA267,V267:Z267,0)-1,"")</f>
        <v/>
      </c>
      <c r="AC267" t="str">
        <f t="shared" si="68"/>
        <v/>
      </c>
      <c r="AE267" t="str">
        <f>IF(ISNUMBER(MATCH("N/A",J267:N267,0)),"",IFERROR((5 * SUMPRODUCT(J144:N144,J267:N267) - PRODUCT(SUM(J144:N144),SUM(J267:N267))) / ((5 * SUM((J144^2)+(K144^2)+(L144^2)+(M144^2)+(N144^2))) - SUM(J144:N144)^2),""))</f>
        <v/>
      </c>
      <c r="AF267" t="str">
        <f>IFERROR(CORREL(J144:N144,J267:N267),"")</f>
        <v/>
      </c>
      <c r="AZ267">
        <f t="shared" si="69"/>
        <v>0</v>
      </c>
      <c r="BA267" t="str">
        <f>IF(AZ267=1,IF(Q267="","",IF(Q267=N144,"Yes","No")),"")</f>
        <v/>
      </c>
      <c r="BB267" t="str">
        <f t="shared" si="70"/>
        <v/>
      </c>
      <c r="BC267" t="str">
        <f>IF(AZ267=1,IF(S267="","",IF(S267=N144,"Yes","No")),"")</f>
        <v/>
      </c>
      <c r="BD267" t="str">
        <f t="shared" si="71"/>
        <v/>
      </c>
      <c r="BE267" t="str">
        <f t="shared" si="72"/>
        <v/>
      </c>
      <c r="BF267" t="str">
        <f t="shared" si="73"/>
        <v>No</v>
      </c>
      <c r="BG267" t="str">
        <f t="shared" si="74"/>
        <v>No</v>
      </c>
      <c r="BH267" t="str">
        <f t="shared" si="75"/>
        <v/>
      </c>
    </row>
    <row r="268" spans="9:60" x14ac:dyDescent="0.3">
      <c r="I268" t="str">
        <f t="shared" si="82"/>
        <v>N/A</v>
      </c>
      <c r="J268" t="str">
        <f t="shared" si="83"/>
        <v>N/A</v>
      </c>
      <c r="K268" t="str">
        <f t="shared" si="84"/>
        <v>N/A</v>
      </c>
      <c r="L268" t="str">
        <f t="shared" si="85"/>
        <v>N/A</v>
      </c>
      <c r="M268" t="str">
        <f t="shared" si="86"/>
        <v>N/A</v>
      </c>
      <c r="N268" t="str">
        <f t="shared" si="87"/>
        <v>N/A</v>
      </c>
      <c r="P268">
        <f t="shared" si="58"/>
        <v>0</v>
      </c>
      <c r="Q268" t="str">
        <f>IFERROR(J144+MATCH(P268,J268:N268,0)-1,"")</f>
        <v/>
      </c>
      <c r="R268" t="str">
        <f t="shared" si="59"/>
        <v/>
      </c>
      <c r="S268" t="str">
        <f>IFERROR(J144+MATCH(R268,J268:N268,0)-1,"")</f>
        <v/>
      </c>
      <c r="T268" t="str">
        <f t="shared" si="60"/>
        <v/>
      </c>
      <c r="U268" t="str">
        <f t="shared" si="61"/>
        <v/>
      </c>
      <c r="V268" t="str">
        <f t="shared" si="62"/>
        <v/>
      </c>
      <c r="W268" t="str">
        <f t="shared" si="63"/>
        <v/>
      </c>
      <c r="X268" t="str">
        <f t="shared" si="64"/>
        <v/>
      </c>
      <c r="Y268" t="str">
        <f t="shared" si="65"/>
        <v/>
      </c>
      <c r="Z268" t="str">
        <f t="shared" si="66"/>
        <v/>
      </c>
      <c r="AA268">
        <f t="shared" si="67"/>
        <v>0</v>
      </c>
      <c r="AB268" t="str">
        <f>IFERROR(V144+MATCH(AA268,V268:Z268,0)-1,"")</f>
        <v/>
      </c>
      <c r="AC268" t="str">
        <f t="shared" si="68"/>
        <v/>
      </c>
      <c r="AE268" t="str">
        <f>IF(ISNUMBER(MATCH("N/A",J268:N268,0)),"",IFERROR((5 * SUMPRODUCT(J144:N144,J268:N268) - PRODUCT(SUM(J144:N144),SUM(J268:N268))) / ((5 * SUM((J144^2)+(K144^2)+(L144^2)+(M144^2)+(N144^2))) - SUM(J144:N144)^2),""))</f>
        <v/>
      </c>
      <c r="AF268" t="str">
        <f>IFERROR(CORREL(J144:N144,J268:N268),"")</f>
        <v/>
      </c>
      <c r="AZ268">
        <f t="shared" si="69"/>
        <v>0</v>
      </c>
      <c r="BA268" t="str">
        <f>IF(AZ268=1,IF(Q268="","",IF(Q268=N144,"Yes","No")),"")</f>
        <v/>
      </c>
      <c r="BB268" t="str">
        <f t="shared" si="70"/>
        <v/>
      </c>
      <c r="BC268" t="str">
        <f>IF(AZ268=1,IF(S268="","",IF(S268=N144,"Yes","No")),"")</f>
        <v/>
      </c>
      <c r="BD268" t="str">
        <f t="shared" si="71"/>
        <v/>
      </c>
      <c r="BE268" t="str">
        <f t="shared" si="72"/>
        <v/>
      </c>
      <c r="BF268" t="str">
        <f t="shared" si="73"/>
        <v>No</v>
      </c>
      <c r="BG268" t="str">
        <f t="shared" si="74"/>
        <v>No</v>
      </c>
      <c r="BH268" t="str">
        <f t="shared" si="75"/>
        <v/>
      </c>
    </row>
    <row r="269" spans="9:60" x14ac:dyDescent="0.3">
      <c r="I269" t="str">
        <f t="shared" si="82"/>
        <v>N/A</v>
      </c>
      <c r="J269" t="str">
        <f t="shared" si="83"/>
        <v>N/A</v>
      </c>
      <c r="K269" t="str">
        <f t="shared" si="84"/>
        <v>N/A</v>
      </c>
      <c r="L269" t="str">
        <f t="shared" si="85"/>
        <v>N/A</v>
      </c>
      <c r="M269" t="str">
        <f t="shared" si="86"/>
        <v>N/A</v>
      </c>
      <c r="N269" t="str">
        <f t="shared" si="87"/>
        <v>N/A</v>
      </c>
      <c r="P269">
        <f t="shared" si="58"/>
        <v>0</v>
      </c>
      <c r="Q269" t="str">
        <f>IFERROR(J144+MATCH(P269,J269:N269,0)-1,"")</f>
        <v/>
      </c>
      <c r="R269" t="str">
        <f t="shared" si="59"/>
        <v/>
      </c>
      <c r="S269" t="str">
        <f>IFERROR(J144+MATCH(R269,J269:N269,0)-1,"")</f>
        <v/>
      </c>
      <c r="T269" t="str">
        <f t="shared" si="60"/>
        <v/>
      </c>
      <c r="U269" t="str">
        <f t="shared" si="61"/>
        <v/>
      </c>
      <c r="V269" t="str">
        <f t="shared" si="62"/>
        <v/>
      </c>
      <c r="W269" t="str">
        <f t="shared" si="63"/>
        <v/>
      </c>
      <c r="X269" t="str">
        <f t="shared" si="64"/>
        <v/>
      </c>
      <c r="Y269" t="str">
        <f t="shared" si="65"/>
        <v/>
      </c>
      <c r="Z269" t="str">
        <f t="shared" si="66"/>
        <v/>
      </c>
      <c r="AA269">
        <f t="shared" si="67"/>
        <v>0</v>
      </c>
      <c r="AB269" t="str">
        <f>IFERROR(V144+MATCH(AA269,V269:Z269,0)-1,"")</f>
        <v/>
      </c>
      <c r="AC269" t="str">
        <f t="shared" si="68"/>
        <v/>
      </c>
      <c r="AE269" t="str">
        <f>IF(ISNUMBER(MATCH("N/A",J269:N269,0)),"",IFERROR((5 * SUMPRODUCT(J144:N144,J269:N269) - PRODUCT(SUM(J144:N144),SUM(J269:N269))) / ((5 * SUM((J144^2)+(K144^2)+(L144^2)+(M144^2)+(N144^2))) - SUM(J144:N144)^2),""))</f>
        <v/>
      </c>
      <c r="AF269" t="str">
        <f>IFERROR(CORREL(J144:N144,J269:N269),"")</f>
        <v/>
      </c>
      <c r="AZ269">
        <f t="shared" si="69"/>
        <v>0</v>
      </c>
      <c r="BA269" t="str">
        <f>IF(AZ269=1,IF(Q269="","",IF(Q269=N144,"Yes","No")),"")</f>
        <v/>
      </c>
      <c r="BB269" t="str">
        <f t="shared" si="70"/>
        <v/>
      </c>
      <c r="BC269" t="str">
        <f>IF(AZ269=1,IF(S269="","",IF(S269=N144,"Yes","No")),"")</f>
        <v/>
      </c>
      <c r="BD269" t="str">
        <f t="shared" si="71"/>
        <v/>
      </c>
      <c r="BE269" t="str">
        <f t="shared" si="72"/>
        <v/>
      </c>
      <c r="BF269" t="str">
        <f t="shared" si="73"/>
        <v>No</v>
      </c>
      <c r="BG269" t="str">
        <f t="shared" si="74"/>
        <v>No</v>
      </c>
      <c r="BH269" t="str">
        <f t="shared" si="75"/>
        <v/>
      </c>
    </row>
    <row r="270" spans="9:60" x14ac:dyDescent="0.3">
      <c r="I270" t="str">
        <f t="shared" si="82"/>
        <v>N/A</v>
      </c>
      <c r="J270" t="str">
        <f t="shared" si="83"/>
        <v>N/A</v>
      </c>
      <c r="K270" t="str">
        <f t="shared" si="84"/>
        <v>N/A</v>
      </c>
      <c r="L270" t="str">
        <f t="shared" si="85"/>
        <v>N/A</v>
      </c>
      <c r="M270" t="str">
        <f t="shared" si="86"/>
        <v>N/A</v>
      </c>
      <c r="N270" t="str">
        <f t="shared" si="87"/>
        <v>N/A</v>
      </c>
      <c r="P270">
        <f t="shared" si="58"/>
        <v>0</v>
      </c>
      <c r="Q270" t="str">
        <f>IFERROR(J144+MATCH(P270,J270:N270,0)-1,"")</f>
        <v/>
      </c>
      <c r="R270" t="str">
        <f t="shared" si="59"/>
        <v/>
      </c>
      <c r="S270" t="str">
        <f>IFERROR(J144+MATCH(R270,J270:N270,0)-1,"")</f>
        <v/>
      </c>
      <c r="T270" t="str">
        <f t="shared" si="60"/>
        <v/>
      </c>
      <c r="U270" t="str">
        <f t="shared" si="61"/>
        <v/>
      </c>
      <c r="V270" t="str">
        <f t="shared" si="62"/>
        <v/>
      </c>
      <c r="W270" t="str">
        <f t="shared" si="63"/>
        <v/>
      </c>
      <c r="X270" t="str">
        <f t="shared" si="64"/>
        <v/>
      </c>
      <c r="Y270" t="str">
        <f t="shared" si="65"/>
        <v/>
      </c>
      <c r="Z270" t="str">
        <f t="shared" si="66"/>
        <v/>
      </c>
      <c r="AA270">
        <f t="shared" si="67"/>
        <v>0</v>
      </c>
      <c r="AB270" t="str">
        <f>IFERROR(V144+MATCH(AA270,V270:Z270,0)-1,"")</f>
        <v/>
      </c>
      <c r="AC270" t="str">
        <f t="shared" si="68"/>
        <v/>
      </c>
      <c r="AE270" t="str">
        <f>IF(ISNUMBER(MATCH("N/A",J270:N270,0)),"",IFERROR((5 * SUMPRODUCT(J144:N144,J270:N270) - PRODUCT(SUM(J144:N144),SUM(J270:N270))) / ((5 * SUM((J144^2)+(K144^2)+(L144^2)+(M144^2)+(N144^2))) - SUM(J144:N144)^2),""))</f>
        <v/>
      </c>
      <c r="AF270" t="str">
        <f>IFERROR(CORREL(J144:N144,J270:N270),"")</f>
        <v/>
      </c>
      <c r="AZ270">
        <f t="shared" si="69"/>
        <v>0</v>
      </c>
      <c r="BA270" t="str">
        <f>IF(AZ270=1,IF(Q270="","",IF(Q270=N144,"Yes","No")),"")</f>
        <v/>
      </c>
      <c r="BB270" t="str">
        <f t="shared" si="70"/>
        <v/>
      </c>
      <c r="BC270" t="str">
        <f>IF(AZ270=1,IF(S270="","",IF(S270=N144,"Yes","No")),"")</f>
        <v/>
      </c>
      <c r="BD270" t="str">
        <f t="shared" si="71"/>
        <v/>
      </c>
      <c r="BE270" t="str">
        <f t="shared" si="72"/>
        <v/>
      </c>
      <c r="BF270" t="str">
        <f t="shared" si="73"/>
        <v>No</v>
      </c>
      <c r="BG270" t="str">
        <f t="shared" si="74"/>
        <v>No</v>
      </c>
      <c r="BH270" t="str">
        <f t="shared" si="75"/>
        <v/>
      </c>
    </row>
    <row r="271" spans="9:60" x14ac:dyDescent="0.3">
      <c r="P271">
        <f t="shared" si="58"/>
        <v>0</v>
      </c>
      <c r="Q271" t="str">
        <f>IFERROR(J144+MATCH(P271,J271:N271,0)-1,"")</f>
        <v/>
      </c>
      <c r="R271" t="str">
        <f t="shared" si="59"/>
        <v/>
      </c>
      <c r="S271" t="str">
        <f>IFERROR(J144+MATCH(R271,J271:N271,0)-1,"")</f>
        <v/>
      </c>
      <c r="T271" t="str">
        <f t="shared" si="60"/>
        <v/>
      </c>
      <c r="U271" t="str">
        <f t="shared" si="61"/>
        <v/>
      </c>
      <c r="V271" t="str">
        <f t="shared" si="62"/>
        <v/>
      </c>
      <c r="W271" t="str">
        <f t="shared" si="63"/>
        <v/>
      </c>
      <c r="X271" t="str">
        <f t="shared" si="64"/>
        <v/>
      </c>
      <c r="Y271" t="str">
        <f t="shared" si="65"/>
        <v/>
      </c>
      <c r="Z271" t="str">
        <f t="shared" si="66"/>
        <v/>
      </c>
      <c r="AA271">
        <f t="shared" si="67"/>
        <v>0</v>
      </c>
      <c r="AB271" t="str">
        <f>IFERROR(V144+MATCH(AA271,V271:Z271,0)-1,"")</f>
        <v/>
      </c>
      <c r="AC271" t="str">
        <f t="shared" si="68"/>
        <v/>
      </c>
      <c r="AE271" t="str">
        <f>IF(ISNUMBER(MATCH("N/A",J271:N271,0)),"",IFERROR((5 * SUMPRODUCT(J144:N144,J271:N271) - PRODUCT(SUM(J144:N144),SUM(J271:N271))) / ((5 * SUM((J144^2)+(K144^2)+(L144^2)+(M144^2)+(N144^2))) - SUM(J144:N144)^2),""))</f>
        <v/>
      </c>
      <c r="AF271" t="str">
        <f>IFERROR(CORREL(J144:N144,J271:N271),"")</f>
        <v/>
      </c>
      <c r="AZ271">
        <f t="shared" si="69"/>
        <v>0</v>
      </c>
      <c r="BA271" t="str">
        <f>IF(AZ271=1,IF(Q271="","",IF(Q271=N144,"Yes","No")),"")</f>
        <v/>
      </c>
      <c r="BB271" t="str">
        <f t="shared" si="70"/>
        <v/>
      </c>
      <c r="BC271" t="str">
        <f>IF(AZ271=1,IF(S271="","",IF(S271=N144,"Yes","No")),"")</f>
        <v/>
      </c>
      <c r="BD271" t="str">
        <f t="shared" si="71"/>
        <v/>
      </c>
      <c r="BE271" t="str">
        <f t="shared" si="72"/>
        <v/>
      </c>
      <c r="BF271" t="str">
        <f t="shared" si="73"/>
        <v>No</v>
      </c>
      <c r="BG271" t="str">
        <f t="shared" si="74"/>
        <v>No</v>
      </c>
      <c r="BH271" t="str">
        <f t="shared" si="75"/>
        <v/>
      </c>
    </row>
    <row r="272" spans="9:60" x14ac:dyDescent="0.3">
      <c r="I272" t="str">
        <f t="shared" ref="I272:I310" si="88">IF(AND(K272&gt; J272, L272&gt; K272, M272&gt; L272, N272&gt; M272), "pos_trend", IF(AND(K272&lt; J272, L272&lt; K272, M272&lt; L272, N272&lt; M272), "neg_trend", "N/A"))</f>
        <v>N/A</v>
      </c>
      <c r="J272" t="str">
        <f t="shared" ref="J272:J310" si="89">IFERROR(IF(TRIM(C272)="-", "N/A", IF(RIGHT(C272,1)=")",IF(RIGHT(C272,2)="T)",-1000000000000*VALUE(MID(C272,2,LEN(C272)-3)),IF(RIGHT(C272,2)="M)",-1000000*VALUE(MID(C272,2,LEN(C272)-3)),IF(RIGHT(C272,2)="B)",-1000000000*VALUE(MID(C272,2,LEN(C272)-3)),IF(RIGHT(C272,2)="k)",-1000*VALUE(MID(C272,2,LEN(C272)-3)),VALUE(SUBSTITUTE(C272,",","")))))),IF(RIGHT(C272,1)="T",1000000000000*VALUE(LEFT(C272,LEN(C272)-1)),IF(RIGHT(C272,1)="M",1000000*VALUE(LEFT(C272,LEN(C272)-1)),IF(RIGHT(C272,1)="B",1000000000*VALUE(LEFT(C272,LEN(C272)-1)),IF(RIGHT(C272,1)="%",0.01*VALUE(LEFT(C272,LEN(C272)-1)),IF(RIGHT(C272,1)="k",1000*VALUE(LEFT(C272,LEN(C272)-1)),VALUE(SUBSTITUTE(C272,",",""))))))))),"N/A")</f>
        <v>N/A</v>
      </c>
      <c r="K272" t="str">
        <f t="shared" ref="K272:K310" si="90">IFERROR(IF(TRIM(D272)="-", "N/A", IF(RIGHT(D272,1)=")",IF(RIGHT(D272,2)="T)",-1000000000000*VALUE(MID(D272,2,LEN(D272)-3)),IF(RIGHT(D272,2)="M)",-1000000*VALUE(MID(D272,2,LEN(D272)-3)),IF(RIGHT(D272,2)="B)",-1000000000*VALUE(MID(D272,2,LEN(D272)-3)),IF(RIGHT(D272,2)="k)",-1000*VALUE(MID(D272,2,LEN(D272)-3)),VALUE(SUBSTITUTE(D272,",","")))))),IF(RIGHT(D272,1)="T",1000000000000*VALUE(LEFT(D272,LEN(D272)-1)),IF(RIGHT(D272,1)="M",1000000*VALUE(LEFT(D272,LEN(D272)-1)),IF(RIGHT(D272,1)="B",1000000000*VALUE(LEFT(D272,LEN(D272)-1)),IF(RIGHT(D272,1)="%",0.01*VALUE(LEFT(D272,LEN(D272)-1)),IF(RIGHT(D272,1)="k",1000*VALUE(LEFT(D272,LEN(D272)-1)),VALUE(SUBSTITUTE(D272,",",""))))))))),"N/A")</f>
        <v>N/A</v>
      </c>
      <c r="L272" t="str">
        <f t="shared" ref="L272:L310" si="91">IFERROR(IF(TRIM(E272)="-", "N/A", IF(RIGHT(E272,1)=")",IF(RIGHT(E272,2)="T)",-1000000000000*VALUE(MID(E272,2,LEN(E272)-3)),IF(RIGHT(E272,2)="M)",-1000000*VALUE(MID(E272,2,LEN(E272)-3)),IF(RIGHT(E272,2)="B)",-1000000000*VALUE(MID(E272,2,LEN(E272)-3)),IF(RIGHT(E272,2)="k)",-1000*VALUE(MID(E272,2,LEN(E272)-3)),VALUE(SUBSTITUTE(E272,",","")))))),IF(RIGHT(E272,1)="T",1000000000000*VALUE(LEFT(E272,LEN(E272)-1)),IF(RIGHT(E272,1)="M",1000000*VALUE(LEFT(E272,LEN(E272)-1)),IF(RIGHT(E272,1)="B",1000000000*VALUE(LEFT(E272,LEN(E272)-1)),IF(RIGHT(E272,1)="%",0.01*VALUE(LEFT(E272,LEN(E272)-1)),IF(RIGHT(E272,1)="k",1000*VALUE(LEFT(E272,LEN(E272)-1)),VALUE(SUBSTITUTE(E272,",",""))))))))),"N/A")</f>
        <v>N/A</v>
      </c>
      <c r="M272" t="str">
        <f t="shared" ref="M272:M310" si="92">IFERROR(IF(TRIM(F272)="-", "N/A", IF(RIGHT(F272,1)=")",IF(RIGHT(F272,2)="T)",-1000000000000*VALUE(MID(F272,2,LEN(F272)-3)),IF(RIGHT(F272,2)="M)",-1000000*VALUE(MID(F272,2,LEN(F272)-3)),IF(RIGHT(F272,2)="B)",-1000000000*VALUE(MID(F272,2,LEN(F272)-3)),IF(RIGHT(F272,2)="k)",-1000*VALUE(MID(F272,2,LEN(F272)-3)),VALUE(SUBSTITUTE(F272,",","")))))),IF(RIGHT(F272,1)="T",1000000000000*VALUE(LEFT(F272,LEN(F272)-1)),IF(RIGHT(F272,1)="M",1000000*VALUE(LEFT(F272,LEN(F272)-1)),IF(RIGHT(F272,1)="B",1000000000*VALUE(LEFT(F272,LEN(F272)-1)),IF(RIGHT(F272,1)="%",0.01*VALUE(LEFT(F272,LEN(F272)-1)),IF(RIGHT(F272,1)="k",1000*VALUE(LEFT(F272,LEN(F272)-1)),VALUE(SUBSTITUTE(F272,",",""))))))))),"N/A")</f>
        <v>N/A</v>
      </c>
      <c r="N272" t="str">
        <f t="shared" ref="N272:N310" si="93">IFERROR(IF(TRIM(G272)="-", "N/A", IF(RIGHT(G272,1)=")",IF(RIGHT(G272,2)="T)",-1000000000000*VALUE(MID(G272,2,LEN(G272)-3)),IF(RIGHT(G272,2)="M)",-1000000*VALUE(MID(G272,2,LEN(G272)-3)),IF(RIGHT(G272,2)="B)",-1000000000*VALUE(MID(G272,2,LEN(G272)-3)),IF(RIGHT(G272,2)="k)",-1000*VALUE(MID(G272,2,LEN(G272)-3)),VALUE(SUBSTITUTE(G272,",","")))))),IF(RIGHT(G272,1)="T",1000000000000*VALUE(LEFT(G272,LEN(G272)-1)),IF(RIGHT(G272,1)="M",1000000*VALUE(LEFT(G272,LEN(G272)-1)),IF(RIGHT(G272,1)="B",1000000000*VALUE(LEFT(G272,LEN(G272)-1)),IF(RIGHT(G272,1)="%",0.01*VALUE(LEFT(G272,LEN(G272)-1)),IF(RIGHT(G272,1)="k",1000*VALUE(LEFT(G272,LEN(G272)-1)),VALUE(SUBSTITUTE(G272,",",""))))))))),"N/A")</f>
        <v>N/A</v>
      </c>
      <c r="P272">
        <f t="shared" si="58"/>
        <v>0</v>
      </c>
      <c r="Q272" t="str">
        <f>IFERROR(J144+MATCH(P272,J272:N272,0)-1,"")</f>
        <v/>
      </c>
      <c r="R272" t="str">
        <f t="shared" si="59"/>
        <v/>
      </c>
      <c r="S272" t="str">
        <f>IFERROR(J144+MATCH(R272,J272:N272,0)-1,"")</f>
        <v/>
      </c>
      <c r="T272" t="str">
        <f t="shared" si="60"/>
        <v/>
      </c>
      <c r="U272" t="str">
        <f t="shared" si="61"/>
        <v/>
      </c>
      <c r="V272" t="str">
        <f t="shared" si="62"/>
        <v/>
      </c>
      <c r="W272" t="str">
        <f t="shared" si="63"/>
        <v/>
      </c>
      <c r="X272" t="str">
        <f t="shared" si="64"/>
        <v/>
      </c>
      <c r="Y272" t="str">
        <f t="shared" si="65"/>
        <v/>
      </c>
      <c r="Z272" t="str">
        <f t="shared" si="66"/>
        <v/>
      </c>
      <c r="AA272">
        <f t="shared" si="67"/>
        <v>0</v>
      </c>
      <c r="AB272" t="str">
        <f>IFERROR(V144+MATCH(AA272,V272:Z272,0)-1,"")</f>
        <v/>
      </c>
      <c r="AC272" t="str">
        <f t="shared" si="68"/>
        <v/>
      </c>
      <c r="AE272" t="str">
        <f>IF(ISNUMBER(MATCH("N/A",J272:N272,0)),"",IFERROR((5 * SUMPRODUCT(J144:N144,J272:N272) - PRODUCT(SUM(J144:N144),SUM(J272:N272))) / ((5 * SUM((J144^2)+(K144^2)+(L144^2)+(M144^2)+(N144^2))) - SUM(J144:N144)^2),""))</f>
        <v/>
      </c>
      <c r="AF272" t="str">
        <f>IFERROR(CORREL(J144:N144,J272:N272),"")</f>
        <v/>
      </c>
      <c r="AZ272">
        <f t="shared" si="69"/>
        <v>0</v>
      </c>
      <c r="BA272" t="str">
        <f>IF(AZ272=1,IF(Q272="","",IF(Q272=N144,"Yes","No")),"")</f>
        <v/>
      </c>
      <c r="BB272" t="str">
        <f t="shared" si="70"/>
        <v/>
      </c>
      <c r="BC272" t="str">
        <f>IF(AZ272=1,IF(S272="","",IF(S272=N144,"Yes","No")),"")</f>
        <v/>
      </c>
      <c r="BD272" t="str">
        <f t="shared" si="71"/>
        <v/>
      </c>
      <c r="BE272" t="str">
        <f t="shared" si="72"/>
        <v/>
      </c>
      <c r="BF272" t="str">
        <f t="shared" si="73"/>
        <v>No</v>
      </c>
      <c r="BG272" t="str">
        <f t="shared" si="74"/>
        <v>No</v>
      </c>
      <c r="BH272" t="str">
        <f t="shared" si="75"/>
        <v/>
      </c>
    </row>
    <row r="273" spans="9:60" x14ac:dyDescent="0.3">
      <c r="I273" t="str">
        <f t="shared" si="88"/>
        <v>N/A</v>
      </c>
      <c r="J273" t="str">
        <f t="shared" si="89"/>
        <v>N/A</v>
      </c>
      <c r="K273" t="str">
        <f t="shared" si="90"/>
        <v>N/A</v>
      </c>
      <c r="L273" t="str">
        <f t="shared" si="91"/>
        <v>N/A</v>
      </c>
      <c r="M273" t="str">
        <f t="shared" si="92"/>
        <v>N/A</v>
      </c>
      <c r="N273" t="str">
        <f t="shared" si="93"/>
        <v>N/A</v>
      </c>
      <c r="P273">
        <f t="shared" ref="P273:P336" si="94">MAX(J273:N273)</f>
        <v>0</v>
      </c>
      <c r="Q273" t="str">
        <f>IFERROR(J144+MATCH(P273,J273:N273,0)-1,"")</f>
        <v/>
      </c>
      <c r="R273" t="str">
        <f t="shared" ref="R273:R336" si="95">IF(Q273="","",MIN(J273:N273))</f>
        <v/>
      </c>
      <c r="S273" t="str">
        <f>IFERROR(J144+MATCH(R273,J273:N273,0)-1,"")</f>
        <v/>
      </c>
      <c r="T273" t="str">
        <f t="shared" ref="T273:T336" si="96">IFERROR(AVERAGE(J273:N273),"")</f>
        <v/>
      </c>
      <c r="U273" t="str">
        <f t="shared" ref="U273:U336" si="97">IFERROR(STDEV(J273:N273),"")</f>
        <v/>
      </c>
      <c r="V273" t="str">
        <f t="shared" ref="V273:V336" si="98">IFERROR(IF(C273="-","",IF(ISBLANK(B273),"",IF(OR(ISNUMBER(FIND("Growth",B273)),ISNUMBER(FIND("Margin",B273))),"",(J273-T273)/U273))),"")</f>
        <v/>
      </c>
      <c r="W273" t="str">
        <f t="shared" ref="W273:W336" si="99">IFERROR(IF(OR(D273="-",ISBLANK(D273)),"",(K273-T273)/U273),"")</f>
        <v/>
      </c>
      <c r="X273" t="str">
        <f t="shared" ref="X273:X336" si="100">IFERROR(IF(OR(E273="-",ISBLANK(E273)),"",(L273-T273)/U273),"")</f>
        <v/>
      </c>
      <c r="Y273" t="str">
        <f t="shared" ref="Y273:Y336" si="101">IFERROR(IF(OR(F273="-",ISBLANK(F273)),"",(M273-T273)/U273),"")</f>
        <v/>
      </c>
      <c r="Z273" t="str">
        <f t="shared" ref="Z273:Z336" si="102">IFERROR(IF(OR(G273="-",ISBLANK(G273)),"",(N273-T273)/U273),"")</f>
        <v/>
      </c>
      <c r="AA273">
        <f t="shared" ref="AA273:AA336" si="103">IF(MAX(MAX(V273:Z273),ABS(MIN(V273:Z273)))=ABS(MIN(V273:Z273)),MIN(V273:Z273),MAX(V273:Z273))</f>
        <v>0</v>
      </c>
      <c r="AB273" t="str">
        <f>IFERROR(V144+MATCH(AA273,V273:Z273,0)-1,"")</f>
        <v/>
      </c>
      <c r="AC273" t="str">
        <f t="shared" ref="AC273:AC336" si="104">IF(AB273&lt;&gt;"",IF(S273=AB273,"Low",IF(AB273=Q273,"High","")),"")</f>
        <v/>
      </c>
      <c r="AE273" t="str">
        <f>IF(ISNUMBER(MATCH("N/A",J273:N273,0)),"",IFERROR((5 * SUMPRODUCT(J144:N144,J273:N273) - PRODUCT(SUM(J144:N144),SUM(J273:N273))) / ((5 * SUM((J144^2)+(K144^2)+(L144^2)+(M144^2)+(N144^2))) - SUM(J144:N144)^2),""))</f>
        <v/>
      </c>
      <c r="AF273" t="str">
        <f>IFERROR(CORREL(J144:N144,J273:N273),"")</f>
        <v/>
      </c>
      <c r="AZ273">
        <f t="shared" ref="AZ273:AZ336" si="105">IF(Q273=S273,0,1)</f>
        <v>0</v>
      </c>
      <c r="BA273" t="str">
        <f>IF(AZ273=1,IF(Q273="","",IF(Q273=N144,"Yes","No")),"")</f>
        <v/>
      </c>
      <c r="BB273" t="str">
        <f t="shared" ref="BB273:BB336" si="106">IF(BA273="Yes",P273,"")</f>
        <v/>
      </c>
      <c r="BC273" t="str">
        <f>IF(AZ273=1,IF(S273="","",IF(S273=N144,"Yes","No")),"")</f>
        <v/>
      </c>
      <c r="BD273" t="str">
        <f t="shared" ref="BD273:BD336" si="107">IF(BC273="Yes",R273,"")</f>
        <v/>
      </c>
      <c r="BE273" t="str">
        <f t="shared" ref="BE273:BE336" si="108">IFERROR(IF(SIGN(AE273)=1,"Increasing",IF(SIGN(AE273)=-1,"Decreasing","")),"")</f>
        <v/>
      </c>
      <c r="BF273" t="str">
        <f t="shared" ref="BF273:BF336" si="109">IF(OR(AND(BE273="Increasing",BA273="Yes"),AND(BE273="Decreasing",BC273="Yes")),"Yes","No")</f>
        <v>No</v>
      </c>
      <c r="BG273" t="str">
        <f t="shared" ref="BG273:BG336" si="110">IF(I273="pos_trend","Yes","No")</f>
        <v>No</v>
      </c>
      <c r="BH273" t="str">
        <f t="shared" ref="BH273:BH336" si="111">IF(AF273&lt;&gt;"",IF(ABS(AF273)&gt;0.8,"Yes","No"),"")</f>
        <v/>
      </c>
    </row>
    <row r="274" spans="9:60" x14ac:dyDescent="0.3">
      <c r="I274" t="str">
        <f t="shared" si="88"/>
        <v>N/A</v>
      </c>
      <c r="J274" t="str">
        <f t="shared" si="89"/>
        <v>N/A</v>
      </c>
      <c r="K274" t="str">
        <f t="shared" si="90"/>
        <v>N/A</v>
      </c>
      <c r="L274" t="str">
        <f t="shared" si="91"/>
        <v>N/A</v>
      </c>
      <c r="M274" t="str">
        <f t="shared" si="92"/>
        <v>N/A</v>
      </c>
      <c r="N274" t="str">
        <f t="shared" si="93"/>
        <v>N/A</v>
      </c>
      <c r="P274">
        <f t="shared" si="94"/>
        <v>0</v>
      </c>
      <c r="Q274" t="str">
        <f>IFERROR(J144+MATCH(P274,J274:N274,0)-1,"")</f>
        <v/>
      </c>
      <c r="R274" t="str">
        <f t="shared" si="95"/>
        <v/>
      </c>
      <c r="S274" t="str">
        <f>IFERROR(J144+MATCH(R274,J274:N274,0)-1,"")</f>
        <v/>
      </c>
      <c r="T274" t="str">
        <f t="shared" si="96"/>
        <v/>
      </c>
      <c r="U274" t="str">
        <f t="shared" si="97"/>
        <v/>
      </c>
      <c r="V274" t="str">
        <f t="shared" si="98"/>
        <v/>
      </c>
      <c r="W274" t="str">
        <f t="shared" si="99"/>
        <v/>
      </c>
      <c r="X274" t="str">
        <f t="shared" si="100"/>
        <v/>
      </c>
      <c r="Y274" t="str">
        <f t="shared" si="101"/>
        <v/>
      </c>
      <c r="Z274" t="str">
        <f t="shared" si="102"/>
        <v/>
      </c>
      <c r="AA274">
        <f t="shared" si="103"/>
        <v>0</v>
      </c>
      <c r="AB274" t="str">
        <f>IFERROR(V144+MATCH(AA274,V274:Z274,0)-1,"")</f>
        <v/>
      </c>
      <c r="AC274" t="str">
        <f t="shared" si="104"/>
        <v/>
      </c>
      <c r="AE274" t="str">
        <f>IF(ISNUMBER(MATCH("N/A",J274:N274,0)),"",IFERROR((5 * SUMPRODUCT(J144:N144,J274:N274) - PRODUCT(SUM(J144:N144),SUM(J274:N274))) / ((5 * SUM((J144^2)+(K144^2)+(L144^2)+(M144^2)+(N144^2))) - SUM(J144:N144)^2),""))</f>
        <v/>
      </c>
      <c r="AF274" t="str">
        <f>IFERROR(CORREL(J144:N144,J274:N274),"")</f>
        <v/>
      </c>
      <c r="AZ274">
        <f t="shared" si="105"/>
        <v>0</v>
      </c>
      <c r="BA274" t="str">
        <f>IF(AZ274=1,IF(Q274="","",IF(Q274=N144,"Yes","No")),"")</f>
        <v/>
      </c>
      <c r="BB274" t="str">
        <f t="shared" si="106"/>
        <v/>
      </c>
      <c r="BC274" t="str">
        <f>IF(AZ274=1,IF(S274="","",IF(S274=N144,"Yes","No")),"")</f>
        <v/>
      </c>
      <c r="BD274" t="str">
        <f t="shared" si="107"/>
        <v/>
      </c>
      <c r="BE274" t="str">
        <f t="shared" si="108"/>
        <v/>
      </c>
      <c r="BF274" t="str">
        <f t="shared" si="109"/>
        <v>No</v>
      </c>
      <c r="BG274" t="str">
        <f t="shared" si="110"/>
        <v>No</v>
      </c>
      <c r="BH274" t="str">
        <f t="shared" si="111"/>
        <v/>
      </c>
    </row>
    <row r="275" spans="9:60" x14ac:dyDescent="0.3">
      <c r="I275" t="str">
        <f t="shared" si="88"/>
        <v>N/A</v>
      </c>
      <c r="J275" t="str">
        <f t="shared" si="89"/>
        <v>N/A</v>
      </c>
      <c r="K275" t="str">
        <f t="shared" si="90"/>
        <v>N/A</v>
      </c>
      <c r="L275" t="str">
        <f t="shared" si="91"/>
        <v>N/A</v>
      </c>
      <c r="M275" t="str">
        <f t="shared" si="92"/>
        <v>N/A</v>
      </c>
      <c r="N275" t="str">
        <f t="shared" si="93"/>
        <v>N/A</v>
      </c>
      <c r="P275">
        <f t="shared" si="94"/>
        <v>0</v>
      </c>
      <c r="Q275" t="str">
        <f>IFERROR(J144+MATCH(P275,J275:N275,0)-1,"")</f>
        <v/>
      </c>
      <c r="R275" t="str">
        <f t="shared" si="95"/>
        <v/>
      </c>
      <c r="S275" t="str">
        <f>IFERROR(J144+MATCH(R275,J275:N275,0)-1,"")</f>
        <v/>
      </c>
      <c r="T275" t="str">
        <f t="shared" si="96"/>
        <v/>
      </c>
      <c r="U275" t="str">
        <f t="shared" si="97"/>
        <v/>
      </c>
      <c r="V275" t="str">
        <f t="shared" si="98"/>
        <v/>
      </c>
      <c r="W275" t="str">
        <f t="shared" si="99"/>
        <v/>
      </c>
      <c r="X275" t="str">
        <f t="shared" si="100"/>
        <v/>
      </c>
      <c r="Y275" t="str">
        <f t="shared" si="101"/>
        <v/>
      </c>
      <c r="Z275" t="str">
        <f t="shared" si="102"/>
        <v/>
      </c>
      <c r="AA275">
        <f t="shared" si="103"/>
        <v>0</v>
      </c>
      <c r="AB275" t="str">
        <f>IFERROR(V144+MATCH(AA275,V275:Z275,0)-1,"")</f>
        <v/>
      </c>
      <c r="AC275" t="str">
        <f t="shared" si="104"/>
        <v/>
      </c>
      <c r="AE275" t="str">
        <f>IF(ISNUMBER(MATCH("N/A",J275:N275,0)),"",IFERROR((5 * SUMPRODUCT(J144:N144,J275:N275) - PRODUCT(SUM(J144:N144),SUM(J275:N275))) / ((5 * SUM((J144^2)+(K144^2)+(L144^2)+(M144^2)+(N144^2))) - SUM(J144:N144)^2),""))</f>
        <v/>
      </c>
      <c r="AF275" t="str">
        <f>IFERROR(CORREL(J144:N144,J275:N275),"")</f>
        <v/>
      </c>
      <c r="AZ275">
        <f t="shared" si="105"/>
        <v>0</v>
      </c>
      <c r="BA275" t="str">
        <f>IF(AZ275=1,IF(Q275="","",IF(Q275=N144,"Yes","No")),"")</f>
        <v/>
      </c>
      <c r="BB275" t="str">
        <f t="shared" si="106"/>
        <v/>
      </c>
      <c r="BC275" t="str">
        <f>IF(AZ275=1,IF(S275="","",IF(S275=N144,"Yes","No")),"")</f>
        <v/>
      </c>
      <c r="BD275" t="str">
        <f t="shared" si="107"/>
        <v/>
      </c>
      <c r="BE275" t="str">
        <f t="shared" si="108"/>
        <v/>
      </c>
      <c r="BF275" t="str">
        <f t="shared" si="109"/>
        <v>No</v>
      </c>
      <c r="BG275" t="str">
        <f t="shared" si="110"/>
        <v>No</v>
      </c>
      <c r="BH275" t="str">
        <f t="shared" si="111"/>
        <v/>
      </c>
    </row>
    <row r="276" spans="9:60" x14ac:dyDescent="0.3">
      <c r="I276" t="str">
        <f t="shared" si="88"/>
        <v>N/A</v>
      </c>
      <c r="J276" t="str">
        <f t="shared" si="89"/>
        <v>N/A</v>
      </c>
      <c r="K276" t="str">
        <f t="shared" si="90"/>
        <v>N/A</v>
      </c>
      <c r="L276" t="str">
        <f t="shared" si="91"/>
        <v>N/A</v>
      </c>
      <c r="M276" t="str">
        <f t="shared" si="92"/>
        <v>N/A</v>
      </c>
      <c r="N276" t="str">
        <f t="shared" si="93"/>
        <v>N/A</v>
      </c>
      <c r="P276">
        <f t="shared" si="94"/>
        <v>0</v>
      </c>
      <c r="Q276" t="str">
        <f>IFERROR(J144+MATCH(P276,J276:N276,0)-1,"")</f>
        <v/>
      </c>
      <c r="R276" t="str">
        <f t="shared" si="95"/>
        <v/>
      </c>
      <c r="S276" t="str">
        <f>IFERROR(J144+MATCH(R276,J276:N276,0)-1,"")</f>
        <v/>
      </c>
      <c r="T276" t="str">
        <f t="shared" si="96"/>
        <v/>
      </c>
      <c r="U276" t="str">
        <f t="shared" si="97"/>
        <v/>
      </c>
      <c r="V276" t="str">
        <f t="shared" si="98"/>
        <v/>
      </c>
      <c r="W276" t="str">
        <f t="shared" si="99"/>
        <v/>
      </c>
      <c r="X276" t="str">
        <f t="shared" si="100"/>
        <v/>
      </c>
      <c r="Y276" t="str">
        <f t="shared" si="101"/>
        <v/>
      </c>
      <c r="Z276" t="str">
        <f t="shared" si="102"/>
        <v/>
      </c>
      <c r="AA276">
        <f t="shared" si="103"/>
        <v>0</v>
      </c>
      <c r="AB276" t="str">
        <f>IFERROR(V144+MATCH(AA276,V276:Z276,0)-1,"")</f>
        <v/>
      </c>
      <c r="AC276" t="str">
        <f t="shared" si="104"/>
        <v/>
      </c>
      <c r="AE276" t="str">
        <f>IF(ISNUMBER(MATCH("N/A",J276:N276,0)),"",IFERROR((5 * SUMPRODUCT(J144:N144,J276:N276) - PRODUCT(SUM(J144:N144),SUM(J276:N276))) / ((5 * SUM((J144^2)+(K144^2)+(L144^2)+(M144^2)+(N144^2))) - SUM(J144:N144)^2),""))</f>
        <v/>
      </c>
      <c r="AF276" t="str">
        <f>IFERROR(CORREL(J144:N144,J276:N276),"")</f>
        <v/>
      </c>
      <c r="AZ276">
        <f t="shared" si="105"/>
        <v>0</v>
      </c>
      <c r="BA276" t="str">
        <f>IF(AZ276=1,IF(Q276="","",IF(Q276=N144,"Yes","No")),"")</f>
        <v/>
      </c>
      <c r="BB276" t="str">
        <f t="shared" si="106"/>
        <v/>
      </c>
      <c r="BC276" t="str">
        <f>IF(AZ276=1,IF(S276="","",IF(S276=N144,"Yes","No")),"")</f>
        <v/>
      </c>
      <c r="BD276" t="str">
        <f t="shared" si="107"/>
        <v/>
      </c>
      <c r="BE276" t="str">
        <f t="shared" si="108"/>
        <v/>
      </c>
      <c r="BF276" t="str">
        <f t="shared" si="109"/>
        <v>No</v>
      </c>
      <c r="BG276" t="str">
        <f t="shared" si="110"/>
        <v>No</v>
      </c>
      <c r="BH276" t="str">
        <f t="shared" si="111"/>
        <v/>
      </c>
    </row>
    <row r="277" spans="9:60" x14ac:dyDescent="0.3">
      <c r="I277" t="str">
        <f t="shared" si="88"/>
        <v>N/A</v>
      </c>
      <c r="J277" t="str">
        <f t="shared" si="89"/>
        <v>N/A</v>
      </c>
      <c r="K277" t="str">
        <f t="shared" si="90"/>
        <v>N/A</v>
      </c>
      <c r="L277" t="str">
        <f t="shared" si="91"/>
        <v>N/A</v>
      </c>
      <c r="M277" t="str">
        <f t="shared" si="92"/>
        <v>N/A</v>
      </c>
      <c r="N277" t="str">
        <f t="shared" si="93"/>
        <v>N/A</v>
      </c>
      <c r="P277">
        <f t="shared" si="94"/>
        <v>0</v>
      </c>
      <c r="Q277" t="str">
        <f>IFERROR(J144+MATCH(P277,J277:N277,0)-1,"")</f>
        <v/>
      </c>
      <c r="R277" t="str">
        <f t="shared" si="95"/>
        <v/>
      </c>
      <c r="S277" t="str">
        <f>IFERROR(J144+MATCH(R277,J277:N277,0)-1,"")</f>
        <v/>
      </c>
      <c r="T277" t="str">
        <f t="shared" si="96"/>
        <v/>
      </c>
      <c r="U277" t="str">
        <f t="shared" si="97"/>
        <v/>
      </c>
      <c r="V277" t="str">
        <f t="shared" si="98"/>
        <v/>
      </c>
      <c r="W277" t="str">
        <f t="shared" si="99"/>
        <v/>
      </c>
      <c r="X277" t="str">
        <f t="shared" si="100"/>
        <v/>
      </c>
      <c r="Y277" t="str">
        <f t="shared" si="101"/>
        <v/>
      </c>
      <c r="Z277" t="str">
        <f t="shared" si="102"/>
        <v/>
      </c>
      <c r="AA277">
        <f t="shared" si="103"/>
        <v>0</v>
      </c>
      <c r="AB277" t="str">
        <f>IFERROR(V144+MATCH(AA277,V277:Z277,0)-1,"")</f>
        <v/>
      </c>
      <c r="AC277" t="str">
        <f t="shared" si="104"/>
        <v/>
      </c>
      <c r="AE277" t="str">
        <f>IF(ISNUMBER(MATCH("N/A",J277:N277,0)),"",IFERROR((5 * SUMPRODUCT(J144:N144,J277:N277) - PRODUCT(SUM(J144:N144),SUM(J277:N277))) / ((5 * SUM((J144^2)+(K144^2)+(L144^2)+(M144^2)+(N144^2))) - SUM(J144:N144)^2),""))</f>
        <v/>
      </c>
      <c r="AF277" t="str">
        <f>IFERROR(CORREL(J144:N144,J277:N277),"")</f>
        <v/>
      </c>
      <c r="AZ277">
        <f t="shared" si="105"/>
        <v>0</v>
      </c>
      <c r="BA277" t="str">
        <f>IF(AZ277=1,IF(Q277="","",IF(Q277=N144,"Yes","No")),"")</f>
        <v/>
      </c>
      <c r="BB277" t="str">
        <f t="shared" si="106"/>
        <v/>
      </c>
      <c r="BC277" t="str">
        <f>IF(AZ277=1,IF(S277="","",IF(S277=N144,"Yes","No")),"")</f>
        <v/>
      </c>
      <c r="BD277" t="str">
        <f t="shared" si="107"/>
        <v/>
      </c>
      <c r="BE277" t="str">
        <f t="shared" si="108"/>
        <v/>
      </c>
      <c r="BF277" t="str">
        <f t="shared" si="109"/>
        <v>No</v>
      </c>
      <c r="BG277" t="str">
        <f t="shared" si="110"/>
        <v>No</v>
      </c>
      <c r="BH277" t="str">
        <f t="shared" si="111"/>
        <v/>
      </c>
    </row>
    <row r="278" spans="9:60" x14ac:dyDescent="0.3">
      <c r="I278" t="str">
        <f t="shared" si="88"/>
        <v>N/A</v>
      </c>
      <c r="J278" t="str">
        <f t="shared" si="89"/>
        <v>N/A</v>
      </c>
      <c r="K278" t="str">
        <f t="shared" si="90"/>
        <v>N/A</v>
      </c>
      <c r="L278" t="str">
        <f t="shared" si="91"/>
        <v>N/A</v>
      </c>
      <c r="M278" t="str">
        <f t="shared" si="92"/>
        <v>N/A</v>
      </c>
      <c r="N278" t="str">
        <f t="shared" si="93"/>
        <v>N/A</v>
      </c>
      <c r="P278">
        <f t="shared" si="94"/>
        <v>0</v>
      </c>
      <c r="Q278" t="str">
        <f>IFERROR(J144+MATCH(P278,J278:N278,0)-1,"")</f>
        <v/>
      </c>
      <c r="R278" t="str">
        <f t="shared" si="95"/>
        <v/>
      </c>
      <c r="S278" t="str">
        <f>IFERROR(J144+MATCH(R278,J278:N278,0)-1,"")</f>
        <v/>
      </c>
      <c r="T278" t="str">
        <f t="shared" si="96"/>
        <v/>
      </c>
      <c r="U278" t="str">
        <f t="shared" si="97"/>
        <v/>
      </c>
      <c r="V278" t="str">
        <f t="shared" si="98"/>
        <v/>
      </c>
      <c r="W278" t="str">
        <f t="shared" si="99"/>
        <v/>
      </c>
      <c r="X278" t="str">
        <f t="shared" si="100"/>
        <v/>
      </c>
      <c r="Y278" t="str">
        <f t="shared" si="101"/>
        <v/>
      </c>
      <c r="Z278" t="str">
        <f t="shared" si="102"/>
        <v/>
      </c>
      <c r="AA278">
        <f t="shared" si="103"/>
        <v>0</v>
      </c>
      <c r="AB278" t="str">
        <f>IFERROR(V144+MATCH(AA278,V278:Z278,0)-1,"")</f>
        <v/>
      </c>
      <c r="AC278" t="str">
        <f t="shared" si="104"/>
        <v/>
      </c>
      <c r="AE278" t="str">
        <f>IF(ISNUMBER(MATCH("N/A",J278:N278,0)),"",IFERROR((5 * SUMPRODUCT(J144:N144,J278:N278) - PRODUCT(SUM(J144:N144),SUM(J278:N278))) / ((5 * SUM((J144^2)+(K144^2)+(L144^2)+(M144^2)+(N144^2))) - SUM(J144:N144)^2),""))</f>
        <v/>
      </c>
      <c r="AF278" t="str">
        <f>IFERROR(CORREL(J144:N144,J278:N278),"")</f>
        <v/>
      </c>
      <c r="AZ278">
        <f t="shared" si="105"/>
        <v>0</v>
      </c>
      <c r="BA278" t="str">
        <f>IF(AZ278=1,IF(Q278="","",IF(Q278=N144,"Yes","No")),"")</f>
        <v/>
      </c>
      <c r="BB278" t="str">
        <f t="shared" si="106"/>
        <v/>
      </c>
      <c r="BC278" t="str">
        <f>IF(AZ278=1,IF(S278="","",IF(S278=N144,"Yes","No")),"")</f>
        <v/>
      </c>
      <c r="BD278" t="str">
        <f t="shared" si="107"/>
        <v/>
      </c>
      <c r="BE278" t="str">
        <f t="shared" si="108"/>
        <v/>
      </c>
      <c r="BF278" t="str">
        <f t="shared" si="109"/>
        <v>No</v>
      </c>
      <c r="BG278" t="str">
        <f t="shared" si="110"/>
        <v>No</v>
      </c>
      <c r="BH278" t="str">
        <f t="shared" si="111"/>
        <v/>
      </c>
    </row>
    <row r="279" spans="9:60" x14ac:dyDescent="0.3">
      <c r="I279" t="str">
        <f t="shared" si="88"/>
        <v>N/A</v>
      </c>
      <c r="J279" t="str">
        <f t="shared" si="89"/>
        <v>N/A</v>
      </c>
      <c r="K279" t="str">
        <f t="shared" si="90"/>
        <v>N/A</v>
      </c>
      <c r="L279" t="str">
        <f t="shared" si="91"/>
        <v>N/A</v>
      </c>
      <c r="M279" t="str">
        <f t="shared" si="92"/>
        <v>N/A</v>
      </c>
      <c r="N279" t="str">
        <f t="shared" si="93"/>
        <v>N/A</v>
      </c>
      <c r="P279">
        <f t="shared" si="94"/>
        <v>0</v>
      </c>
      <c r="Q279" t="str">
        <f>IFERROR(J144+MATCH(P279,J279:N279,0)-1,"")</f>
        <v/>
      </c>
      <c r="R279" t="str">
        <f t="shared" si="95"/>
        <v/>
      </c>
      <c r="S279" t="str">
        <f>IFERROR(J144+MATCH(R279,J279:N279,0)-1,"")</f>
        <v/>
      </c>
      <c r="T279" t="str">
        <f t="shared" si="96"/>
        <v/>
      </c>
      <c r="U279" t="str">
        <f t="shared" si="97"/>
        <v/>
      </c>
      <c r="V279" t="str">
        <f t="shared" si="98"/>
        <v/>
      </c>
      <c r="W279" t="str">
        <f t="shared" si="99"/>
        <v/>
      </c>
      <c r="X279" t="str">
        <f t="shared" si="100"/>
        <v/>
      </c>
      <c r="Y279" t="str">
        <f t="shared" si="101"/>
        <v/>
      </c>
      <c r="Z279" t="str">
        <f t="shared" si="102"/>
        <v/>
      </c>
      <c r="AA279">
        <f t="shared" si="103"/>
        <v>0</v>
      </c>
      <c r="AB279" t="str">
        <f>IFERROR(V144+MATCH(AA279,V279:Z279,0)-1,"")</f>
        <v/>
      </c>
      <c r="AC279" t="str">
        <f t="shared" si="104"/>
        <v/>
      </c>
      <c r="AE279" t="str">
        <f>IF(ISNUMBER(MATCH("N/A",J279:N279,0)),"",IFERROR((5 * SUMPRODUCT(J144:N144,J279:N279) - PRODUCT(SUM(J144:N144),SUM(J279:N279))) / ((5 * SUM((J144^2)+(K144^2)+(L144^2)+(M144^2)+(N144^2))) - SUM(J144:N144)^2),""))</f>
        <v/>
      </c>
      <c r="AF279" t="str">
        <f>IFERROR(CORREL(J144:N144,J279:N279),"")</f>
        <v/>
      </c>
      <c r="AZ279">
        <f t="shared" si="105"/>
        <v>0</v>
      </c>
      <c r="BA279" t="str">
        <f>IF(AZ279=1,IF(Q279="","",IF(Q279=N144,"Yes","No")),"")</f>
        <v/>
      </c>
      <c r="BB279" t="str">
        <f t="shared" si="106"/>
        <v/>
      </c>
      <c r="BC279" t="str">
        <f>IF(AZ279=1,IF(S279="","",IF(S279=N144,"Yes","No")),"")</f>
        <v/>
      </c>
      <c r="BD279" t="str">
        <f t="shared" si="107"/>
        <v/>
      </c>
      <c r="BE279" t="str">
        <f t="shared" si="108"/>
        <v/>
      </c>
      <c r="BF279" t="str">
        <f t="shared" si="109"/>
        <v>No</v>
      </c>
      <c r="BG279" t="str">
        <f t="shared" si="110"/>
        <v>No</v>
      </c>
      <c r="BH279" t="str">
        <f t="shared" si="111"/>
        <v/>
      </c>
    </row>
    <row r="280" spans="9:60" x14ac:dyDescent="0.3">
      <c r="I280" t="str">
        <f t="shared" si="88"/>
        <v>N/A</v>
      </c>
      <c r="J280" t="str">
        <f t="shared" si="89"/>
        <v>N/A</v>
      </c>
      <c r="K280" t="str">
        <f t="shared" si="90"/>
        <v>N/A</v>
      </c>
      <c r="L280" t="str">
        <f t="shared" si="91"/>
        <v>N/A</v>
      </c>
      <c r="M280" t="str">
        <f t="shared" si="92"/>
        <v>N/A</v>
      </c>
      <c r="N280" t="str">
        <f t="shared" si="93"/>
        <v>N/A</v>
      </c>
      <c r="P280">
        <f t="shared" si="94"/>
        <v>0</v>
      </c>
      <c r="Q280" t="str">
        <f>IFERROR(J144+MATCH(P280,J280:N280,0)-1,"")</f>
        <v/>
      </c>
      <c r="R280" t="str">
        <f t="shared" si="95"/>
        <v/>
      </c>
      <c r="S280" t="str">
        <f>IFERROR(J144+MATCH(R280,J280:N280,0)-1,"")</f>
        <v/>
      </c>
      <c r="T280" t="str">
        <f t="shared" si="96"/>
        <v/>
      </c>
      <c r="U280" t="str">
        <f t="shared" si="97"/>
        <v/>
      </c>
      <c r="V280" t="str">
        <f t="shared" si="98"/>
        <v/>
      </c>
      <c r="W280" t="str">
        <f t="shared" si="99"/>
        <v/>
      </c>
      <c r="X280" t="str">
        <f t="shared" si="100"/>
        <v/>
      </c>
      <c r="Y280" t="str">
        <f t="shared" si="101"/>
        <v/>
      </c>
      <c r="Z280" t="str">
        <f t="shared" si="102"/>
        <v/>
      </c>
      <c r="AA280">
        <f t="shared" si="103"/>
        <v>0</v>
      </c>
      <c r="AB280" t="str">
        <f>IFERROR(V144+MATCH(AA280,V280:Z280,0)-1,"")</f>
        <v/>
      </c>
      <c r="AC280" t="str">
        <f t="shared" si="104"/>
        <v/>
      </c>
      <c r="AE280" t="str">
        <f>IF(ISNUMBER(MATCH("N/A",J280:N280,0)),"",IFERROR((5 * SUMPRODUCT(J144:N144,J280:N280) - PRODUCT(SUM(J144:N144),SUM(J280:N280))) / ((5 * SUM((J144^2)+(K144^2)+(L144^2)+(M144^2)+(N144^2))) - SUM(J144:N144)^2),""))</f>
        <v/>
      </c>
      <c r="AF280" t="str">
        <f>IFERROR(CORREL(J144:N144,J280:N280),"")</f>
        <v/>
      </c>
      <c r="AZ280">
        <f t="shared" si="105"/>
        <v>0</v>
      </c>
      <c r="BA280" t="str">
        <f>IF(AZ280=1,IF(Q280="","",IF(Q280=N144,"Yes","No")),"")</f>
        <v/>
      </c>
      <c r="BB280" t="str">
        <f t="shared" si="106"/>
        <v/>
      </c>
      <c r="BC280" t="str">
        <f>IF(AZ280=1,IF(S280="","",IF(S280=N144,"Yes","No")),"")</f>
        <v/>
      </c>
      <c r="BD280" t="str">
        <f t="shared" si="107"/>
        <v/>
      </c>
      <c r="BE280" t="str">
        <f t="shared" si="108"/>
        <v/>
      </c>
      <c r="BF280" t="str">
        <f t="shared" si="109"/>
        <v>No</v>
      </c>
      <c r="BG280" t="str">
        <f t="shared" si="110"/>
        <v>No</v>
      </c>
      <c r="BH280" t="str">
        <f t="shared" si="111"/>
        <v/>
      </c>
    </row>
    <row r="281" spans="9:60" x14ac:dyDescent="0.3">
      <c r="I281" t="str">
        <f t="shared" si="88"/>
        <v>N/A</v>
      </c>
      <c r="J281" t="str">
        <f t="shared" si="89"/>
        <v>N/A</v>
      </c>
      <c r="K281" t="str">
        <f t="shared" si="90"/>
        <v>N/A</v>
      </c>
      <c r="L281" t="str">
        <f t="shared" si="91"/>
        <v>N/A</v>
      </c>
      <c r="M281" t="str">
        <f t="shared" si="92"/>
        <v>N/A</v>
      </c>
      <c r="N281" t="str">
        <f t="shared" si="93"/>
        <v>N/A</v>
      </c>
      <c r="P281">
        <f t="shared" si="94"/>
        <v>0</v>
      </c>
      <c r="Q281" t="str">
        <f>IFERROR(J144+MATCH(P281,J281:N281,0)-1,"")</f>
        <v/>
      </c>
      <c r="R281" t="str">
        <f t="shared" si="95"/>
        <v/>
      </c>
      <c r="S281" t="str">
        <f>IFERROR(J144+MATCH(R281,J281:N281,0)-1,"")</f>
        <v/>
      </c>
      <c r="T281" t="str">
        <f t="shared" si="96"/>
        <v/>
      </c>
      <c r="U281" t="str">
        <f t="shared" si="97"/>
        <v/>
      </c>
      <c r="V281" t="str">
        <f t="shared" si="98"/>
        <v/>
      </c>
      <c r="W281" t="str">
        <f t="shared" si="99"/>
        <v/>
      </c>
      <c r="X281" t="str">
        <f t="shared" si="100"/>
        <v/>
      </c>
      <c r="Y281" t="str">
        <f t="shared" si="101"/>
        <v/>
      </c>
      <c r="Z281" t="str">
        <f t="shared" si="102"/>
        <v/>
      </c>
      <c r="AA281">
        <f t="shared" si="103"/>
        <v>0</v>
      </c>
      <c r="AB281" t="str">
        <f>IFERROR(V144+MATCH(AA281,V281:Z281,0)-1,"")</f>
        <v/>
      </c>
      <c r="AC281" t="str">
        <f t="shared" si="104"/>
        <v/>
      </c>
      <c r="AE281" t="str">
        <f>IF(ISNUMBER(MATCH("N/A",J281:N281,0)),"",IFERROR((5 * SUMPRODUCT(J144:N144,J281:N281) - PRODUCT(SUM(J144:N144),SUM(J281:N281))) / ((5 * SUM((J144^2)+(K144^2)+(L144^2)+(M144^2)+(N144^2))) - SUM(J144:N144)^2),""))</f>
        <v/>
      </c>
      <c r="AF281" t="str">
        <f>IFERROR(CORREL(J144:N144,J281:N281),"")</f>
        <v/>
      </c>
      <c r="AZ281">
        <f t="shared" si="105"/>
        <v>0</v>
      </c>
      <c r="BA281" t="str">
        <f>IF(AZ281=1,IF(Q281="","",IF(Q281=N144,"Yes","No")),"")</f>
        <v/>
      </c>
      <c r="BB281" t="str">
        <f t="shared" si="106"/>
        <v/>
      </c>
      <c r="BC281" t="str">
        <f>IF(AZ281=1,IF(S281="","",IF(S281=N144,"Yes","No")),"")</f>
        <v/>
      </c>
      <c r="BD281" t="str">
        <f t="shared" si="107"/>
        <v/>
      </c>
      <c r="BE281" t="str">
        <f t="shared" si="108"/>
        <v/>
      </c>
      <c r="BF281" t="str">
        <f t="shared" si="109"/>
        <v>No</v>
      </c>
      <c r="BG281" t="str">
        <f t="shared" si="110"/>
        <v>No</v>
      </c>
      <c r="BH281" t="str">
        <f t="shared" si="111"/>
        <v/>
      </c>
    </row>
    <row r="282" spans="9:60" x14ac:dyDescent="0.3">
      <c r="I282" t="str">
        <f t="shared" si="88"/>
        <v>N/A</v>
      </c>
      <c r="J282" t="str">
        <f t="shared" si="89"/>
        <v>N/A</v>
      </c>
      <c r="K282" t="str">
        <f t="shared" si="90"/>
        <v>N/A</v>
      </c>
      <c r="L282" t="str">
        <f t="shared" si="91"/>
        <v>N/A</v>
      </c>
      <c r="M282" t="str">
        <f t="shared" si="92"/>
        <v>N/A</v>
      </c>
      <c r="N282" t="str">
        <f t="shared" si="93"/>
        <v>N/A</v>
      </c>
      <c r="P282">
        <f t="shared" si="94"/>
        <v>0</v>
      </c>
      <c r="Q282" t="str">
        <f>IFERROR(J144+MATCH(P282,J282:N282,0)-1,"")</f>
        <v/>
      </c>
      <c r="R282" t="str">
        <f t="shared" si="95"/>
        <v/>
      </c>
      <c r="S282" t="str">
        <f>IFERROR(J144+MATCH(R282,J282:N282,0)-1,"")</f>
        <v/>
      </c>
      <c r="T282" t="str">
        <f t="shared" si="96"/>
        <v/>
      </c>
      <c r="U282" t="str">
        <f t="shared" si="97"/>
        <v/>
      </c>
      <c r="V282" t="str">
        <f t="shared" si="98"/>
        <v/>
      </c>
      <c r="W282" t="str">
        <f t="shared" si="99"/>
        <v/>
      </c>
      <c r="X282" t="str">
        <f t="shared" si="100"/>
        <v/>
      </c>
      <c r="Y282" t="str">
        <f t="shared" si="101"/>
        <v/>
      </c>
      <c r="Z282" t="str">
        <f t="shared" si="102"/>
        <v/>
      </c>
      <c r="AA282">
        <f t="shared" si="103"/>
        <v>0</v>
      </c>
      <c r="AB282" t="str">
        <f>IFERROR(V144+MATCH(AA282,V282:Z282,0)-1,"")</f>
        <v/>
      </c>
      <c r="AC282" t="str">
        <f t="shared" si="104"/>
        <v/>
      </c>
      <c r="AE282" t="str">
        <f>IF(ISNUMBER(MATCH("N/A",J282:N282,0)),"",IFERROR((5 * SUMPRODUCT(J144:N144,J282:N282) - PRODUCT(SUM(J144:N144),SUM(J282:N282))) / ((5 * SUM((J144^2)+(K144^2)+(L144^2)+(M144^2)+(N144^2))) - SUM(J144:N144)^2),""))</f>
        <v/>
      </c>
      <c r="AF282" t="str">
        <f>IFERROR(CORREL(J144:N144,J282:N282),"")</f>
        <v/>
      </c>
      <c r="AZ282">
        <f t="shared" si="105"/>
        <v>0</v>
      </c>
      <c r="BA282" t="str">
        <f>IF(AZ282=1,IF(Q282="","",IF(Q282=N144,"Yes","No")),"")</f>
        <v/>
      </c>
      <c r="BB282" t="str">
        <f t="shared" si="106"/>
        <v/>
      </c>
      <c r="BC282" t="str">
        <f>IF(AZ282=1,IF(S282="","",IF(S282=N144,"Yes","No")),"")</f>
        <v/>
      </c>
      <c r="BD282" t="str">
        <f t="shared" si="107"/>
        <v/>
      </c>
      <c r="BE282" t="str">
        <f t="shared" si="108"/>
        <v/>
      </c>
      <c r="BF282" t="str">
        <f t="shared" si="109"/>
        <v>No</v>
      </c>
      <c r="BG282" t="str">
        <f t="shared" si="110"/>
        <v>No</v>
      </c>
      <c r="BH282" t="str">
        <f t="shared" si="111"/>
        <v/>
      </c>
    </row>
    <row r="283" spans="9:60" x14ac:dyDescent="0.3">
      <c r="I283" t="str">
        <f t="shared" si="88"/>
        <v>N/A</v>
      </c>
      <c r="J283" t="str">
        <f t="shared" si="89"/>
        <v>N/A</v>
      </c>
      <c r="K283" t="str">
        <f t="shared" si="90"/>
        <v>N/A</v>
      </c>
      <c r="L283" t="str">
        <f t="shared" si="91"/>
        <v>N/A</v>
      </c>
      <c r="M283" t="str">
        <f t="shared" si="92"/>
        <v>N/A</v>
      </c>
      <c r="N283" t="str">
        <f t="shared" si="93"/>
        <v>N/A</v>
      </c>
      <c r="P283">
        <f t="shared" si="94"/>
        <v>0</v>
      </c>
      <c r="Q283" t="str">
        <f>IFERROR(J144+MATCH(P283,J283:N283,0)-1,"")</f>
        <v/>
      </c>
      <c r="R283" t="str">
        <f t="shared" si="95"/>
        <v/>
      </c>
      <c r="S283" t="str">
        <f>IFERROR(J144+MATCH(R283,J283:N283,0)-1,"")</f>
        <v/>
      </c>
      <c r="T283" t="str">
        <f t="shared" si="96"/>
        <v/>
      </c>
      <c r="U283" t="str">
        <f t="shared" si="97"/>
        <v/>
      </c>
      <c r="V283" t="str">
        <f t="shared" si="98"/>
        <v/>
      </c>
      <c r="W283" t="str">
        <f t="shared" si="99"/>
        <v/>
      </c>
      <c r="X283" t="str">
        <f t="shared" si="100"/>
        <v/>
      </c>
      <c r="Y283" t="str">
        <f t="shared" si="101"/>
        <v/>
      </c>
      <c r="Z283" t="str">
        <f t="shared" si="102"/>
        <v/>
      </c>
      <c r="AA283">
        <f t="shared" si="103"/>
        <v>0</v>
      </c>
      <c r="AB283" t="str">
        <f>IFERROR(V144+MATCH(AA283,V283:Z283,0)-1,"")</f>
        <v/>
      </c>
      <c r="AC283" t="str">
        <f t="shared" si="104"/>
        <v/>
      </c>
      <c r="AE283" t="str">
        <f>IF(ISNUMBER(MATCH("N/A",J283:N283,0)),"",IFERROR((5 * SUMPRODUCT(J144:N144,J283:N283) - PRODUCT(SUM(J144:N144),SUM(J283:N283))) / ((5 * SUM((J144^2)+(K144^2)+(L144^2)+(M144^2)+(N144^2))) - SUM(J144:N144)^2),""))</f>
        <v/>
      </c>
      <c r="AF283" t="str">
        <f>IFERROR(CORREL(J144:N144,J283:N283),"")</f>
        <v/>
      </c>
      <c r="AZ283">
        <f t="shared" si="105"/>
        <v>0</v>
      </c>
      <c r="BA283" t="str">
        <f>IF(AZ283=1,IF(Q283="","",IF(Q283=N144,"Yes","No")),"")</f>
        <v/>
      </c>
      <c r="BB283" t="str">
        <f t="shared" si="106"/>
        <v/>
      </c>
      <c r="BC283" t="str">
        <f>IF(AZ283=1,IF(S283="","",IF(S283=N144,"Yes","No")),"")</f>
        <v/>
      </c>
      <c r="BD283" t="str">
        <f t="shared" si="107"/>
        <v/>
      </c>
      <c r="BE283" t="str">
        <f t="shared" si="108"/>
        <v/>
      </c>
      <c r="BF283" t="str">
        <f t="shared" si="109"/>
        <v>No</v>
      </c>
      <c r="BG283" t="str">
        <f t="shared" si="110"/>
        <v>No</v>
      </c>
      <c r="BH283" t="str">
        <f t="shared" si="111"/>
        <v/>
      </c>
    </row>
    <row r="284" spans="9:60" x14ac:dyDescent="0.3">
      <c r="I284" t="str">
        <f t="shared" si="88"/>
        <v>N/A</v>
      </c>
      <c r="J284" t="str">
        <f t="shared" si="89"/>
        <v>N/A</v>
      </c>
      <c r="K284" t="str">
        <f t="shared" si="90"/>
        <v>N/A</v>
      </c>
      <c r="L284" t="str">
        <f t="shared" si="91"/>
        <v>N/A</v>
      </c>
      <c r="M284" t="str">
        <f t="shared" si="92"/>
        <v>N/A</v>
      </c>
      <c r="N284" t="str">
        <f t="shared" si="93"/>
        <v>N/A</v>
      </c>
      <c r="P284">
        <f t="shared" si="94"/>
        <v>0</v>
      </c>
      <c r="Q284" t="str">
        <f>IFERROR(J144+MATCH(P284,J284:N284,0)-1,"")</f>
        <v/>
      </c>
      <c r="R284" t="str">
        <f t="shared" si="95"/>
        <v/>
      </c>
      <c r="S284" t="str">
        <f>IFERROR(J144+MATCH(R284,J284:N284,0)-1,"")</f>
        <v/>
      </c>
      <c r="T284" t="str">
        <f t="shared" si="96"/>
        <v/>
      </c>
      <c r="U284" t="str">
        <f t="shared" si="97"/>
        <v/>
      </c>
      <c r="V284" t="str">
        <f t="shared" si="98"/>
        <v/>
      </c>
      <c r="W284" t="str">
        <f t="shared" si="99"/>
        <v/>
      </c>
      <c r="X284" t="str">
        <f t="shared" si="100"/>
        <v/>
      </c>
      <c r="Y284" t="str">
        <f t="shared" si="101"/>
        <v/>
      </c>
      <c r="Z284" t="str">
        <f t="shared" si="102"/>
        <v/>
      </c>
      <c r="AA284">
        <f t="shared" si="103"/>
        <v>0</v>
      </c>
      <c r="AB284" t="str">
        <f>IFERROR(V144+MATCH(AA284,V284:Z284,0)-1,"")</f>
        <v/>
      </c>
      <c r="AC284" t="str">
        <f t="shared" si="104"/>
        <v/>
      </c>
      <c r="AE284" t="str">
        <f>IF(ISNUMBER(MATCH("N/A",J284:N284,0)),"",IFERROR((5 * SUMPRODUCT(J144:N144,J284:N284) - PRODUCT(SUM(J144:N144),SUM(J284:N284))) / ((5 * SUM((J144^2)+(K144^2)+(L144^2)+(M144^2)+(N144^2))) - SUM(J144:N144)^2),""))</f>
        <v/>
      </c>
      <c r="AF284" t="str">
        <f>IFERROR(CORREL(J144:N144,J284:N284),"")</f>
        <v/>
      </c>
      <c r="AZ284">
        <f t="shared" si="105"/>
        <v>0</v>
      </c>
      <c r="BA284" t="str">
        <f>IF(AZ284=1,IF(Q284="","",IF(Q284=N144,"Yes","No")),"")</f>
        <v/>
      </c>
      <c r="BB284" t="str">
        <f t="shared" si="106"/>
        <v/>
      </c>
      <c r="BC284" t="str">
        <f>IF(AZ284=1,IF(S284="","",IF(S284=N144,"Yes","No")),"")</f>
        <v/>
      </c>
      <c r="BD284" t="str">
        <f t="shared" si="107"/>
        <v/>
      </c>
      <c r="BE284" t="str">
        <f t="shared" si="108"/>
        <v/>
      </c>
      <c r="BF284" t="str">
        <f t="shared" si="109"/>
        <v>No</v>
      </c>
      <c r="BG284" t="str">
        <f t="shared" si="110"/>
        <v>No</v>
      </c>
      <c r="BH284" t="str">
        <f t="shared" si="111"/>
        <v/>
      </c>
    </row>
    <row r="285" spans="9:60" x14ac:dyDescent="0.3">
      <c r="I285" t="str">
        <f t="shared" si="88"/>
        <v>N/A</v>
      </c>
      <c r="J285" t="str">
        <f t="shared" si="89"/>
        <v>N/A</v>
      </c>
      <c r="K285" t="str">
        <f t="shared" si="90"/>
        <v>N/A</v>
      </c>
      <c r="L285" t="str">
        <f t="shared" si="91"/>
        <v>N/A</v>
      </c>
      <c r="M285" t="str">
        <f t="shared" si="92"/>
        <v>N/A</v>
      </c>
      <c r="N285" t="str">
        <f t="shared" si="93"/>
        <v>N/A</v>
      </c>
      <c r="P285">
        <f t="shared" si="94"/>
        <v>0</v>
      </c>
      <c r="Q285" t="str">
        <f>IFERROR(J144+MATCH(P285,J285:N285,0)-1,"")</f>
        <v/>
      </c>
      <c r="R285" t="str">
        <f t="shared" si="95"/>
        <v/>
      </c>
      <c r="S285" t="str">
        <f>IFERROR(J144+MATCH(R285,J285:N285,0)-1,"")</f>
        <v/>
      </c>
      <c r="T285" t="str">
        <f t="shared" si="96"/>
        <v/>
      </c>
      <c r="U285" t="str">
        <f t="shared" si="97"/>
        <v/>
      </c>
      <c r="V285" t="str">
        <f t="shared" si="98"/>
        <v/>
      </c>
      <c r="W285" t="str">
        <f t="shared" si="99"/>
        <v/>
      </c>
      <c r="X285" t="str">
        <f t="shared" si="100"/>
        <v/>
      </c>
      <c r="Y285" t="str">
        <f t="shared" si="101"/>
        <v/>
      </c>
      <c r="Z285" t="str">
        <f t="shared" si="102"/>
        <v/>
      </c>
      <c r="AA285">
        <f t="shared" si="103"/>
        <v>0</v>
      </c>
      <c r="AB285" t="str">
        <f>IFERROR(V144+MATCH(AA285,V285:Z285,0)-1,"")</f>
        <v/>
      </c>
      <c r="AC285" t="str">
        <f t="shared" si="104"/>
        <v/>
      </c>
      <c r="AE285" t="str">
        <f>IF(ISNUMBER(MATCH("N/A",J285:N285,0)),"",IFERROR((5 * SUMPRODUCT(J144:N144,J285:N285) - PRODUCT(SUM(J144:N144),SUM(J285:N285))) / ((5 * SUM((J144^2)+(K144^2)+(L144^2)+(M144^2)+(N144^2))) - SUM(J144:N144)^2),""))</f>
        <v/>
      </c>
      <c r="AF285" t="str">
        <f>IFERROR(CORREL(J144:N144,J285:N285),"")</f>
        <v/>
      </c>
      <c r="AZ285">
        <f t="shared" si="105"/>
        <v>0</v>
      </c>
      <c r="BA285" t="str">
        <f>IF(AZ285=1,IF(Q285="","",IF(Q285=N144,"Yes","No")),"")</f>
        <v/>
      </c>
      <c r="BB285" t="str">
        <f t="shared" si="106"/>
        <v/>
      </c>
      <c r="BC285" t="str">
        <f>IF(AZ285=1,IF(S285="","",IF(S285=N144,"Yes","No")),"")</f>
        <v/>
      </c>
      <c r="BD285" t="str">
        <f t="shared" si="107"/>
        <v/>
      </c>
      <c r="BE285" t="str">
        <f t="shared" si="108"/>
        <v/>
      </c>
      <c r="BF285" t="str">
        <f t="shared" si="109"/>
        <v>No</v>
      </c>
      <c r="BG285" t="str">
        <f t="shared" si="110"/>
        <v>No</v>
      </c>
      <c r="BH285" t="str">
        <f t="shared" si="111"/>
        <v/>
      </c>
    </row>
    <row r="286" spans="9:60" x14ac:dyDescent="0.3">
      <c r="I286" t="str">
        <f t="shared" si="88"/>
        <v>N/A</v>
      </c>
      <c r="J286" t="str">
        <f t="shared" si="89"/>
        <v>N/A</v>
      </c>
      <c r="K286" t="str">
        <f t="shared" si="90"/>
        <v>N/A</v>
      </c>
      <c r="L286" t="str">
        <f t="shared" si="91"/>
        <v>N/A</v>
      </c>
      <c r="M286" t="str">
        <f t="shared" si="92"/>
        <v>N/A</v>
      </c>
      <c r="N286" t="str">
        <f t="shared" si="93"/>
        <v>N/A</v>
      </c>
      <c r="P286">
        <f t="shared" si="94"/>
        <v>0</v>
      </c>
      <c r="Q286" t="str">
        <f>IFERROR(J144+MATCH(P286,J286:N286,0)-1,"")</f>
        <v/>
      </c>
      <c r="R286" t="str">
        <f t="shared" si="95"/>
        <v/>
      </c>
      <c r="S286" t="str">
        <f>IFERROR(J144+MATCH(R286,J286:N286,0)-1,"")</f>
        <v/>
      </c>
      <c r="T286" t="str">
        <f t="shared" si="96"/>
        <v/>
      </c>
      <c r="U286" t="str">
        <f t="shared" si="97"/>
        <v/>
      </c>
      <c r="V286" t="str">
        <f t="shared" si="98"/>
        <v/>
      </c>
      <c r="W286" t="str">
        <f t="shared" si="99"/>
        <v/>
      </c>
      <c r="X286" t="str">
        <f t="shared" si="100"/>
        <v/>
      </c>
      <c r="Y286" t="str">
        <f t="shared" si="101"/>
        <v/>
      </c>
      <c r="Z286" t="str">
        <f t="shared" si="102"/>
        <v/>
      </c>
      <c r="AA286">
        <f t="shared" si="103"/>
        <v>0</v>
      </c>
      <c r="AB286" t="str">
        <f>IFERROR(V144+MATCH(AA286,V286:Z286,0)-1,"")</f>
        <v/>
      </c>
      <c r="AC286" t="str">
        <f t="shared" si="104"/>
        <v/>
      </c>
      <c r="AE286" t="str">
        <f>IF(ISNUMBER(MATCH("N/A",J286:N286,0)),"",IFERROR((5 * SUMPRODUCT(J144:N144,J286:N286) - PRODUCT(SUM(J144:N144),SUM(J286:N286))) / ((5 * SUM((J144^2)+(K144^2)+(L144^2)+(M144^2)+(N144^2))) - SUM(J144:N144)^2),""))</f>
        <v/>
      </c>
      <c r="AF286" t="str">
        <f>IFERROR(CORREL(J144:N144,J286:N286),"")</f>
        <v/>
      </c>
      <c r="AZ286">
        <f t="shared" si="105"/>
        <v>0</v>
      </c>
      <c r="BA286" t="str">
        <f>IF(AZ286=1,IF(Q286="","",IF(Q286=N144,"Yes","No")),"")</f>
        <v/>
      </c>
      <c r="BB286" t="str">
        <f t="shared" si="106"/>
        <v/>
      </c>
      <c r="BC286" t="str">
        <f>IF(AZ286=1,IF(S286="","",IF(S286=N144,"Yes","No")),"")</f>
        <v/>
      </c>
      <c r="BD286" t="str">
        <f t="shared" si="107"/>
        <v/>
      </c>
      <c r="BE286" t="str">
        <f t="shared" si="108"/>
        <v/>
      </c>
      <c r="BF286" t="str">
        <f t="shared" si="109"/>
        <v>No</v>
      </c>
      <c r="BG286" t="str">
        <f t="shared" si="110"/>
        <v>No</v>
      </c>
      <c r="BH286" t="str">
        <f t="shared" si="111"/>
        <v/>
      </c>
    </row>
    <row r="287" spans="9:60" x14ac:dyDescent="0.3">
      <c r="I287" t="str">
        <f t="shared" si="88"/>
        <v>N/A</v>
      </c>
      <c r="J287" t="str">
        <f t="shared" si="89"/>
        <v>N/A</v>
      </c>
      <c r="K287" t="str">
        <f t="shared" si="90"/>
        <v>N/A</v>
      </c>
      <c r="L287" t="str">
        <f t="shared" si="91"/>
        <v>N/A</v>
      </c>
      <c r="M287" t="str">
        <f t="shared" si="92"/>
        <v>N/A</v>
      </c>
      <c r="N287" t="str">
        <f t="shared" si="93"/>
        <v>N/A</v>
      </c>
      <c r="P287">
        <f t="shared" si="94"/>
        <v>0</v>
      </c>
      <c r="Q287" t="str">
        <f>IFERROR(J144+MATCH(P287,J287:N287,0)-1,"")</f>
        <v/>
      </c>
      <c r="R287" t="str">
        <f t="shared" si="95"/>
        <v/>
      </c>
      <c r="S287" t="str">
        <f>IFERROR(J144+MATCH(R287,J287:N287,0)-1,"")</f>
        <v/>
      </c>
      <c r="T287" t="str">
        <f t="shared" si="96"/>
        <v/>
      </c>
      <c r="U287" t="str">
        <f t="shared" si="97"/>
        <v/>
      </c>
      <c r="V287" t="str">
        <f t="shared" si="98"/>
        <v/>
      </c>
      <c r="W287" t="str">
        <f t="shared" si="99"/>
        <v/>
      </c>
      <c r="X287" t="str">
        <f t="shared" si="100"/>
        <v/>
      </c>
      <c r="Y287" t="str">
        <f t="shared" si="101"/>
        <v/>
      </c>
      <c r="Z287" t="str">
        <f t="shared" si="102"/>
        <v/>
      </c>
      <c r="AA287">
        <f t="shared" si="103"/>
        <v>0</v>
      </c>
      <c r="AB287" t="str">
        <f>IFERROR(V144+MATCH(AA287,V287:Z287,0)-1,"")</f>
        <v/>
      </c>
      <c r="AC287" t="str">
        <f t="shared" si="104"/>
        <v/>
      </c>
      <c r="AE287" t="str">
        <f>IF(ISNUMBER(MATCH("N/A",J287:N287,0)),"",IFERROR((5 * SUMPRODUCT(J144:N144,J287:N287) - PRODUCT(SUM(J144:N144),SUM(J287:N287))) / ((5 * SUM((J144^2)+(K144^2)+(L144^2)+(M144^2)+(N144^2))) - SUM(J144:N144)^2),""))</f>
        <v/>
      </c>
      <c r="AF287" t="str">
        <f>IFERROR(CORREL(J144:N144,J287:N287),"")</f>
        <v/>
      </c>
      <c r="AZ287">
        <f t="shared" si="105"/>
        <v>0</v>
      </c>
      <c r="BA287" t="str">
        <f>IF(AZ287=1,IF(Q287="","",IF(Q287=N144,"Yes","No")),"")</f>
        <v/>
      </c>
      <c r="BB287" t="str">
        <f t="shared" si="106"/>
        <v/>
      </c>
      <c r="BC287" t="str">
        <f>IF(AZ287=1,IF(S287="","",IF(S287=N144,"Yes","No")),"")</f>
        <v/>
      </c>
      <c r="BD287" t="str">
        <f t="shared" si="107"/>
        <v/>
      </c>
      <c r="BE287" t="str">
        <f t="shared" si="108"/>
        <v/>
      </c>
      <c r="BF287" t="str">
        <f t="shared" si="109"/>
        <v>No</v>
      </c>
      <c r="BG287" t="str">
        <f t="shared" si="110"/>
        <v>No</v>
      </c>
      <c r="BH287" t="str">
        <f t="shared" si="111"/>
        <v/>
      </c>
    </row>
    <row r="288" spans="9:60" x14ac:dyDescent="0.3">
      <c r="I288" t="str">
        <f t="shared" si="88"/>
        <v>N/A</v>
      </c>
      <c r="J288" t="str">
        <f t="shared" si="89"/>
        <v>N/A</v>
      </c>
      <c r="K288" t="str">
        <f t="shared" si="90"/>
        <v>N/A</v>
      </c>
      <c r="L288" t="str">
        <f t="shared" si="91"/>
        <v>N/A</v>
      </c>
      <c r="M288" t="str">
        <f t="shared" si="92"/>
        <v>N/A</v>
      </c>
      <c r="N288" t="str">
        <f t="shared" si="93"/>
        <v>N/A</v>
      </c>
      <c r="P288">
        <f t="shared" si="94"/>
        <v>0</v>
      </c>
      <c r="Q288" t="str">
        <f>IFERROR(J144+MATCH(P288,J288:N288,0)-1,"")</f>
        <v/>
      </c>
      <c r="R288" t="str">
        <f t="shared" si="95"/>
        <v/>
      </c>
      <c r="S288" t="str">
        <f>IFERROR(J144+MATCH(R288,J288:N288,0)-1,"")</f>
        <v/>
      </c>
      <c r="T288" t="str">
        <f t="shared" si="96"/>
        <v/>
      </c>
      <c r="U288" t="str">
        <f t="shared" si="97"/>
        <v/>
      </c>
      <c r="V288" t="str">
        <f t="shared" si="98"/>
        <v/>
      </c>
      <c r="W288" t="str">
        <f t="shared" si="99"/>
        <v/>
      </c>
      <c r="X288" t="str">
        <f t="shared" si="100"/>
        <v/>
      </c>
      <c r="Y288" t="str">
        <f t="shared" si="101"/>
        <v/>
      </c>
      <c r="Z288" t="str">
        <f t="shared" si="102"/>
        <v/>
      </c>
      <c r="AA288">
        <f t="shared" si="103"/>
        <v>0</v>
      </c>
      <c r="AB288" t="str">
        <f>IFERROR(V144+MATCH(AA288,V288:Z288,0)-1,"")</f>
        <v/>
      </c>
      <c r="AC288" t="str">
        <f t="shared" si="104"/>
        <v/>
      </c>
      <c r="AE288" t="str">
        <f>IF(ISNUMBER(MATCH("N/A",J288:N288,0)),"",IFERROR((5 * SUMPRODUCT(J144:N144,J288:N288) - PRODUCT(SUM(J144:N144),SUM(J288:N288))) / ((5 * SUM((J144^2)+(K144^2)+(L144^2)+(M144^2)+(N144^2))) - SUM(J144:N144)^2),""))</f>
        <v/>
      </c>
      <c r="AF288" t="str">
        <f>IFERROR(CORREL(J144:N144,J288:N288),"")</f>
        <v/>
      </c>
      <c r="AZ288">
        <f t="shared" si="105"/>
        <v>0</v>
      </c>
      <c r="BA288" t="str">
        <f>IF(AZ288=1,IF(Q288="","",IF(Q288=N144,"Yes","No")),"")</f>
        <v/>
      </c>
      <c r="BB288" t="str">
        <f t="shared" si="106"/>
        <v/>
      </c>
      <c r="BC288" t="str">
        <f>IF(AZ288=1,IF(S288="","",IF(S288=N144,"Yes","No")),"")</f>
        <v/>
      </c>
      <c r="BD288" t="str">
        <f t="shared" si="107"/>
        <v/>
      </c>
      <c r="BE288" t="str">
        <f t="shared" si="108"/>
        <v/>
      </c>
      <c r="BF288" t="str">
        <f t="shared" si="109"/>
        <v>No</v>
      </c>
      <c r="BG288" t="str">
        <f t="shared" si="110"/>
        <v>No</v>
      </c>
      <c r="BH288" t="str">
        <f t="shared" si="111"/>
        <v/>
      </c>
    </row>
    <row r="289" spans="9:60" x14ac:dyDescent="0.3">
      <c r="I289" t="str">
        <f t="shared" si="88"/>
        <v>N/A</v>
      </c>
      <c r="J289" t="str">
        <f t="shared" si="89"/>
        <v>N/A</v>
      </c>
      <c r="K289" t="str">
        <f t="shared" si="90"/>
        <v>N/A</v>
      </c>
      <c r="L289" t="str">
        <f t="shared" si="91"/>
        <v>N/A</v>
      </c>
      <c r="M289" t="str">
        <f t="shared" si="92"/>
        <v>N/A</v>
      </c>
      <c r="N289" t="str">
        <f t="shared" si="93"/>
        <v>N/A</v>
      </c>
      <c r="P289">
        <f t="shared" si="94"/>
        <v>0</v>
      </c>
      <c r="Q289" t="str">
        <f>IFERROR(J144+MATCH(P289,J289:N289,0)-1,"")</f>
        <v/>
      </c>
      <c r="R289" t="str">
        <f t="shared" si="95"/>
        <v/>
      </c>
      <c r="S289" t="str">
        <f>IFERROR(J144+MATCH(R289,J289:N289,0)-1,"")</f>
        <v/>
      </c>
      <c r="T289" t="str">
        <f t="shared" si="96"/>
        <v/>
      </c>
      <c r="U289" t="str">
        <f t="shared" si="97"/>
        <v/>
      </c>
      <c r="V289" t="str">
        <f t="shared" si="98"/>
        <v/>
      </c>
      <c r="W289" t="str">
        <f t="shared" si="99"/>
        <v/>
      </c>
      <c r="X289" t="str">
        <f t="shared" si="100"/>
        <v/>
      </c>
      <c r="Y289" t="str">
        <f t="shared" si="101"/>
        <v/>
      </c>
      <c r="Z289" t="str">
        <f t="shared" si="102"/>
        <v/>
      </c>
      <c r="AA289">
        <f t="shared" si="103"/>
        <v>0</v>
      </c>
      <c r="AB289" t="str">
        <f>IFERROR(V144+MATCH(AA289,V289:Z289,0)-1,"")</f>
        <v/>
      </c>
      <c r="AC289" t="str">
        <f t="shared" si="104"/>
        <v/>
      </c>
      <c r="AE289" t="str">
        <f>IF(ISNUMBER(MATCH("N/A",J289:N289,0)),"",IFERROR((5 * SUMPRODUCT(J144:N144,J289:N289) - PRODUCT(SUM(J144:N144),SUM(J289:N289))) / ((5 * SUM((J144^2)+(K144^2)+(L144^2)+(M144^2)+(N144^2))) - SUM(J144:N144)^2),""))</f>
        <v/>
      </c>
      <c r="AF289" t="str">
        <f>IFERROR(CORREL(J144:N144,J289:N289),"")</f>
        <v/>
      </c>
      <c r="AZ289">
        <f t="shared" si="105"/>
        <v>0</v>
      </c>
      <c r="BA289" t="str">
        <f>IF(AZ289=1,IF(Q289="","",IF(Q289=N144,"Yes","No")),"")</f>
        <v/>
      </c>
      <c r="BB289" t="str">
        <f t="shared" si="106"/>
        <v/>
      </c>
      <c r="BC289" t="str">
        <f>IF(AZ289=1,IF(S289="","",IF(S289=N144,"Yes","No")),"")</f>
        <v/>
      </c>
      <c r="BD289" t="str">
        <f t="shared" si="107"/>
        <v/>
      </c>
      <c r="BE289" t="str">
        <f t="shared" si="108"/>
        <v/>
      </c>
      <c r="BF289" t="str">
        <f t="shared" si="109"/>
        <v>No</v>
      </c>
      <c r="BG289" t="str">
        <f t="shared" si="110"/>
        <v>No</v>
      </c>
      <c r="BH289" t="str">
        <f t="shared" si="111"/>
        <v/>
      </c>
    </row>
    <row r="290" spans="9:60" x14ac:dyDescent="0.3">
      <c r="I290" t="str">
        <f t="shared" si="88"/>
        <v>N/A</v>
      </c>
      <c r="J290" t="str">
        <f t="shared" si="89"/>
        <v>N/A</v>
      </c>
      <c r="K290" t="str">
        <f t="shared" si="90"/>
        <v>N/A</v>
      </c>
      <c r="L290" t="str">
        <f t="shared" si="91"/>
        <v>N/A</v>
      </c>
      <c r="M290" t="str">
        <f t="shared" si="92"/>
        <v>N/A</v>
      </c>
      <c r="N290" t="str">
        <f t="shared" si="93"/>
        <v>N/A</v>
      </c>
      <c r="P290">
        <f t="shared" si="94"/>
        <v>0</v>
      </c>
      <c r="Q290" t="str">
        <f>IFERROR(J144+MATCH(P290,J290:N290,0)-1,"")</f>
        <v/>
      </c>
      <c r="R290" t="str">
        <f t="shared" si="95"/>
        <v/>
      </c>
      <c r="S290" t="str">
        <f>IFERROR(J144+MATCH(R290,J290:N290,0)-1,"")</f>
        <v/>
      </c>
      <c r="T290" t="str">
        <f t="shared" si="96"/>
        <v/>
      </c>
      <c r="U290" t="str">
        <f t="shared" si="97"/>
        <v/>
      </c>
      <c r="V290" t="str">
        <f t="shared" si="98"/>
        <v/>
      </c>
      <c r="W290" t="str">
        <f t="shared" si="99"/>
        <v/>
      </c>
      <c r="X290" t="str">
        <f t="shared" si="100"/>
        <v/>
      </c>
      <c r="Y290" t="str">
        <f t="shared" si="101"/>
        <v/>
      </c>
      <c r="Z290" t="str">
        <f t="shared" si="102"/>
        <v/>
      </c>
      <c r="AA290">
        <f t="shared" si="103"/>
        <v>0</v>
      </c>
      <c r="AB290" t="str">
        <f>IFERROR(V144+MATCH(AA290,V290:Z290,0)-1,"")</f>
        <v/>
      </c>
      <c r="AC290" t="str">
        <f t="shared" si="104"/>
        <v/>
      </c>
      <c r="AE290" t="str">
        <f>IF(ISNUMBER(MATCH("N/A",J290:N290,0)),"",IFERROR((5 * SUMPRODUCT(J144:N144,J290:N290) - PRODUCT(SUM(J144:N144),SUM(J290:N290))) / ((5 * SUM((J144^2)+(K144^2)+(L144^2)+(M144^2)+(N144^2))) - SUM(J144:N144)^2),""))</f>
        <v/>
      </c>
      <c r="AF290" t="str">
        <f>IFERROR(CORREL(J144:N144,J290:N290),"")</f>
        <v/>
      </c>
      <c r="AZ290">
        <f t="shared" si="105"/>
        <v>0</v>
      </c>
      <c r="BA290" t="str">
        <f>IF(AZ290=1,IF(Q290="","",IF(Q290=N144,"Yes","No")),"")</f>
        <v/>
      </c>
      <c r="BB290" t="str">
        <f t="shared" si="106"/>
        <v/>
      </c>
      <c r="BC290" t="str">
        <f>IF(AZ290=1,IF(S290="","",IF(S290=N144,"Yes","No")),"")</f>
        <v/>
      </c>
      <c r="BD290" t="str">
        <f t="shared" si="107"/>
        <v/>
      </c>
      <c r="BE290" t="str">
        <f t="shared" si="108"/>
        <v/>
      </c>
      <c r="BF290" t="str">
        <f t="shared" si="109"/>
        <v>No</v>
      </c>
      <c r="BG290" t="str">
        <f t="shared" si="110"/>
        <v>No</v>
      </c>
      <c r="BH290" t="str">
        <f t="shared" si="111"/>
        <v/>
      </c>
    </row>
    <row r="291" spans="9:60" x14ac:dyDescent="0.3">
      <c r="I291" t="str">
        <f t="shared" si="88"/>
        <v>N/A</v>
      </c>
      <c r="J291" t="str">
        <f t="shared" si="89"/>
        <v>N/A</v>
      </c>
      <c r="K291" t="str">
        <f t="shared" si="90"/>
        <v>N/A</v>
      </c>
      <c r="L291" t="str">
        <f t="shared" si="91"/>
        <v>N/A</v>
      </c>
      <c r="M291" t="str">
        <f t="shared" si="92"/>
        <v>N/A</v>
      </c>
      <c r="N291" t="str">
        <f t="shared" si="93"/>
        <v>N/A</v>
      </c>
      <c r="P291">
        <f t="shared" si="94"/>
        <v>0</v>
      </c>
      <c r="Q291" t="str">
        <f>IFERROR(J144+MATCH(P291,J291:N291,0)-1,"")</f>
        <v/>
      </c>
      <c r="R291" t="str">
        <f t="shared" si="95"/>
        <v/>
      </c>
      <c r="S291" t="str">
        <f>IFERROR(J144+MATCH(R291,J291:N291,0)-1,"")</f>
        <v/>
      </c>
      <c r="T291" t="str">
        <f t="shared" si="96"/>
        <v/>
      </c>
      <c r="U291" t="str">
        <f t="shared" si="97"/>
        <v/>
      </c>
      <c r="V291" t="str">
        <f t="shared" si="98"/>
        <v/>
      </c>
      <c r="W291" t="str">
        <f t="shared" si="99"/>
        <v/>
      </c>
      <c r="X291" t="str">
        <f t="shared" si="100"/>
        <v/>
      </c>
      <c r="Y291" t="str">
        <f t="shared" si="101"/>
        <v/>
      </c>
      <c r="Z291" t="str">
        <f t="shared" si="102"/>
        <v/>
      </c>
      <c r="AA291">
        <f t="shared" si="103"/>
        <v>0</v>
      </c>
      <c r="AB291" t="str">
        <f>IFERROR(V144+MATCH(AA291,V291:Z291,0)-1,"")</f>
        <v/>
      </c>
      <c r="AC291" t="str">
        <f t="shared" si="104"/>
        <v/>
      </c>
      <c r="AE291" t="str">
        <f>IF(ISNUMBER(MATCH("N/A",J291:N291,0)),"",IFERROR((5 * SUMPRODUCT(J144:N144,J291:N291) - PRODUCT(SUM(J144:N144),SUM(J291:N291))) / ((5 * SUM((J144^2)+(K144^2)+(L144^2)+(M144^2)+(N144^2))) - SUM(J144:N144)^2),""))</f>
        <v/>
      </c>
      <c r="AF291" t="str">
        <f>IFERROR(CORREL(J144:N144,J291:N291),"")</f>
        <v/>
      </c>
      <c r="AZ291">
        <f t="shared" si="105"/>
        <v>0</v>
      </c>
      <c r="BA291" t="str">
        <f>IF(AZ291=1,IF(Q291="","",IF(Q291=N144,"Yes","No")),"")</f>
        <v/>
      </c>
      <c r="BB291" t="str">
        <f t="shared" si="106"/>
        <v/>
      </c>
      <c r="BC291" t="str">
        <f>IF(AZ291=1,IF(S291="","",IF(S291=N144,"Yes","No")),"")</f>
        <v/>
      </c>
      <c r="BD291" t="str">
        <f t="shared" si="107"/>
        <v/>
      </c>
      <c r="BE291" t="str">
        <f t="shared" si="108"/>
        <v/>
      </c>
      <c r="BF291" t="str">
        <f t="shared" si="109"/>
        <v>No</v>
      </c>
      <c r="BG291" t="str">
        <f t="shared" si="110"/>
        <v>No</v>
      </c>
      <c r="BH291" t="str">
        <f t="shared" si="111"/>
        <v/>
      </c>
    </row>
    <row r="292" spans="9:60" x14ac:dyDescent="0.3">
      <c r="I292" t="str">
        <f t="shared" si="88"/>
        <v>N/A</v>
      </c>
      <c r="J292" t="str">
        <f t="shared" si="89"/>
        <v>N/A</v>
      </c>
      <c r="K292" t="str">
        <f t="shared" si="90"/>
        <v>N/A</v>
      </c>
      <c r="L292" t="str">
        <f t="shared" si="91"/>
        <v>N/A</v>
      </c>
      <c r="M292" t="str">
        <f t="shared" si="92"/>
        <v>N/A</v>
      </c>
      <c r="N292" t="str">
        <f t="shared" si="93"/>
        <v>N/A</v>
      </c>
      <c r="P292">
        <f t="shared" si="94"/>
        <v>0</v>
      </c>
      <c r="Q292" t="str">
        <f>IFERROR(J144+MATCH(P292,J292:N292,0)-1,"")</f>
        <v/>
      </c>
      <c r="R292" t="str">
        <f t="shared" si="95"/>
        <v/>
      </c>
      <c r="S292" t="str">
        <f>IFERROR(J144+MATCH(R292,J292:N292,0)-1,"")</f>
        <v/>
      </c>
      <c r="T292" t="str">
        <f t="shared" si="96"/>
        <v/>
      </c>
      <c r="U292" t="str">
        <f t="shared" si="97"/>
        <v/>
      </c>
      <c r="V292" t="str">
        <f t="shared" si="98"/>
        <v/>
      </c>
      <c r="W292" t="str">
        <f t="shared" si="99"/>
        <v/>
      </c>
      <c r="X292" t="str">
        <f t="shared" si="100"/>
        <v/>
      </c>
      <c r="Y292" t="str">
        <f t="shared" si="101"/>
        <v/>
      </c>
      <c r="Z292" t="str">
        <f t="shared" si="102"/>
        <v/>
      </c>
      <c r="AA292">
        <f t="shared" si="103"/>
        <v>0</v>
      </c>
      <c r="AB292" t="str">
        <f>IFERROR(V144+MATCH(AA292,V292:Z292,0)-1,"")</f>
        <v/>
      </c>
      <c r="AC292" t="str">
        <f t="shared" si="104"/>
        <v/>
      </c>
      <c r="AE292" t="str">
        <f>IF(ISNUMBER(MATCH("N/A",J292:N292,0)),"",IFERROR((5 * SUMPRODUCT(J144:N144,J292:N292) - PRODUCT(SUM(J144:N144),SUM(J292:N292))) / ((5 * SUM((J144^2)+(K144^2)+(L144^2)+(M144^2)+(N144^2))) - SUM(J144:N144)^2),""))</f>
        <v/>
      </c>
      <c r="AF292" t="str">
        <f>IFERROR(CORREL(J144:N144,J292:N292),"")</f>
        <v/>
      </c>
      <c r="AZ292">
        <f t="shared" si="105"/>
        <v>0</v>
      </c>
      <c r="BA292" t="str">
        <f>IF(AZ292=1,IF(Q292="","",IF(Q292=N144,"Yes","No")),"")</f>
        <v/>
      </c>
      <c r="BB292" t="str">
        <f t="shared" si="106"/>
        <v/>
      </c>
      <c r="BC292" t="str">
        <f>IF(AZ292=1,IF(S292="","",IF(S292=N144,"Yes","No")),"")</f>
        <v/>
      </c>
      <c r="BD292" t="str">
        <f t="shared" si="107"/>
        <v/>
      </c>
      <c r="BE292" t="str">
        <f t="shared" si="108"/>
        <v/>
      </c>
      <c r="BF292" t="str">
        <f t="shared" si="109"/>
        <v>No</v>
      </c>
      <c r="BG292" t="str">
        <f t="shared" si="110"/>
        <v>No</v>
      </c>
      <c r="BH292" t="str">
        <f t="shared" si="111"/>
        <v/>
      </c>
    </row>
    <row r="293" spans="9:60" x14ac:dyDescent="0.3">
      <c r="I293" t="str">
        <f t="shared" si="88"/>
        <v>N/A</v>
      </c>
      <c r="J293" t="str">
        <f t="shared" si="89"/>
        <v>N/A</v>
      </c>
      <c r="K293" t="str">
        <f t="shared" si="90"/>
        <v>N/A</v>
      </c>
      <c r="L293" t="str">
        <f t="shared" si="91"/>
        <v>N/A</v>
      </c>
      <c r="M293" t="str">
        <f t="shared" si="92"/>
        <v>N/A</v>
      </c>
      <c r="N293" t="str">
        <f t="shared" si="93"/>
        <v>N/A</v>
      </c>
      <c r="P293">
        <f t="shared" si="94"/>
        <v>0</v>
      </c>
      <c r="Q293" t="str">
        <f>IFERROR(J144+MATCH(P293,J293:N293,0)-1,"")</f>
        <v/>
      </c>
      <c r="R293" t="str">
        <f t="shared" si="95"/>
        <v/>
      </c>
      <c r="S293" t="str">
        <f>IFERROR(J144+MATCH(R293,J293:N293,0)-1,"")</f>
        <v/>
      </c>
      <c r="T293" t="str">
        <f t="shared" si="96"/>
        <v/>
      </c>
      <c r="U293" t="str">
        <f t="shared" si="97"/>
        <v/>
      </c>
      <c r="V293" t="str">
        <f t="shared" si="98"/>
        <v/>
      </c>
      <c r="W293" t="str">
        <f t="shared" si="99"/>
        <v/>
      </c>
      <c r="X293" t="str">
        <f t="shared" si="100"/>
        <v/>
      </c>
      <c r="Y293" t="str">
        <f t="shared" si="101"/>
        <v/>
      </c>
      <c r="Z293" t="str">
        <f t="shared" si="102"/>
        <v/>
      </c>
      <c r="AA293">
        <f t="shared" si="103"/>
        <v>0</v>
      </c>
      <c r="AB293" t="str">
        <f>IFERROR(V144+MATCH(AA293,V293:Z293,0)-1,"")</f>
        <v/>
      </c>
      <c r="AC293" t="str">
        <f t="shared" si="104"/>
        <v/>
      </c>
      <c r="AE293" t="str">
        <f>IF(ISNUMBER(MATCH("N/A",J293:N293,0)),"",IFERROR((5 * SUMPRODUCT(J144:N144,J293:N293) - PRODUCT(SUM(J144:N144),SUM(J293:N293))) / ((5 * SUM((J144^2)+(K144^2)+(L144^2)+(M144^2)+(N144^2))) - SUM(J144:N144)^2),""))</f>
        <v/>
      </c>
      <c r="AF293" t="str">
        <f>IFERROR(CORREL(J144:N144,J293:N293),"")</f>
        <v/>
      </c>
      <c r="AZ293">
        <f t="shared" si="105"/>
        <v>0</v>
      </c>
      <c r="BA293" t="str">
        <f>IF(AZ293=1,IF(Q293="","",IF(Q293=N144,"Yes","No")),"")</f>
        <v/>
      </c>
      <c r="BB293" t="str">
        <f t="shared" si="106"/>
        <v/>
      </c>
      <c r="BC293" t="str">
        <f>IF(AZ293=1,IF(S293="","",IF(S293=N144,"Yes","No")),"")</f>
        <v/>
      </c>
      <c r="BD293" t="str">
        <f t="shared" si="107"/>
        <v/>
      </c>
      <c r="BE293" t="str">
        <f t="shared" si="108"/>
        <v/>
      </c>
      <c r="BF293" t="str">
        <f t="shared" si="109"/>
        <v>No</v>
      </c>
      <c r="BG293" t="str">
        <f t="shared" si="110"/>
        <v>No</v>
      </c>
      <c r="BH293" t="str">
        <f t="shared" si="111"/>
        <v/>
      </c>
    </row>
    <row r="294" spans="9:60" x14ac:dyDescent="0.3">
      <c r="I294" t="str">
        <f t="shared" si="88"/>
        <v>N/A</v>
      </c>
      <c r="J294" t="str">
        <f t="shared" si="89"/>
        <v>N/A</v>
      </c>
      <c r="K294" t="str">
        <f t="shared" si="90"/>
        <v>N/A</v>
      </c>
      <c r="L294" t="str">
        <f t="shared" si="91"/>
        <v>N/A</v>
      </c>
      <c r="M294" t="str">
        <f t="shared" si="92"/>
        <v>N/A</v>
      </c>
      <c r="N294" t="str">
        <f t="shared" si="93"/>
        <v>N/A</v>
      </c>
      <c r="P294">
        <f t="shared" si="94"/>
        <v>0</v>
      </c>
      <c r="Q294" t="str">
        <f>IFERROR(J144+MATCH(P294,J294:N294,0)-1,"")</f>
        <v/>
      </c>
      <c r="R294" t="str">
        <f t="shared" si="95"/>
        <v/>
      </c>
      <c r="S294" t="str">
        <f>IFERROR(J144+MATCH(R294,J294:N294,0)-1,"")</f>
        <v/>
      </c>
      <c r="T294" t="str">
        <f t="shared" si="96"/>
        <v/>
      </c>
      <c r="U294" t="str">
        <f t="shared" si="97"/>
        <v/>
      </c>
      <c r="V294" t="str">
        <f t="shared" si="98"/>
        <v/>
      </c>
      <c r="W294" t="str">
        <f t="shared" si="99"/>
        <v/>
      </c>
      <c r="X294" t="str">
        <f t="shared" si="100"/>
        <v/>
      </c>
      <c r="Y294" t="str">
        <f t="shared" si="101"/>
        <v/>
      </c>
      <c r="Z294" t="str">
        <f t="shared" si="102"/>
        <v/>
      </c>
      <c r="AA294">
        <f t="shared" si="103"/>
        <v>0</v>
      </c>
      <c r="AB294" t="str">
        <f>IFERROR(V144+MATCH(AA294,V294:Z294,0)-1,"")</f>
        <v/>
      </c>
      <c r="AC294" t="str">
        <f t="shared" si="104"/>
        <v/>
      </c>
      <c r="AE294" t="str">
        <f>IF(ISNUMBER(MATCH("N/A",J294:N294,0)),"",IFERROR((5 * SUMPRODUCT(J144:N144,J294:N294) - PRODUCT(SUM(J144:N144),SUM(J294:N294))) / ((5 * SUM((J144^2)+(K144^2)+(L144^2)+(M144^2)+(N144^2))) - SUM(J144:N144)^2),""))</f>
        <v/>
      </c>
      <c r="AF294" t="str">
        <f>IFERROR(CORREL(J144:N144,J294:N294),"")</f>
        <v/>
      </c>
      <c r="AZ294">
        <f t="shared" si="105"/>
        <v>0</v>
      </c>
      <c r="BA294" t="str">
        <f>IF(AZ294=1,IF(Q294="","",IF(Q294=N144,"Yes","No")),"")</f>
        <v/>
      </c>
      <c r="BB294" t="str">
        <f t="shared" si="106"/>
        <v/>
      </c>
      <c r="BC294" t="str">
        <f>IF(AZ294=1,IF(S294="","",IF(S294=N144,"Yes","No")),"")</f>
        <v/>
      </c>
      <c r="BD294" t="str">
        <f t="shared" si="107"/>
        <v/>
      </c>
      <c r="BE294" t="str">
        <f t="shared" si="108"/>
        <v/>
      </c>
      <c r="BF294" t="str">
        <f t="shared" si="109"/>
        <v>No</v>
      </c>
      <c r="BG294" t="str">
        <f t="shared" si="110"/>
        <v>No</v>
      </c>
      <c r="BH294" t="str">
        <f t="shared" si="111"/>
        <v/>
      </c>
    </row>
    <row r="295" spans="9:60" x14ac:dyDescent="0.3">
      <c r="I295" t="str">
        <f t="shared" si="88"/>
        <v>N/A</v>
      </c>
      <c r="J295" t="str">
        <f t="shared" si="89"/>
        <v>N/A</v>
      </c>
      <c r="K295" t="str">
        <f t="shared" si="90"/>
        <v>N/A</v>
      </c>
      <c r="L295" t="str">
        <f t="shared" si="91"/>
        <v>N/A</v>
      </c>
      <c r="M295" t="str">
        <f t="shared" si="92"/>
        <v>N/A</v>
      </c>
      <c r="N295" t="str">
        <f t="shared" si="93"/>
        <v>N/A</v>
      </c>
      <c r="P295">
        <f t="shared" si="94"/>
        <v>0</v>
      </c>
      <c r="Q295" t="str">
        <f>IFERROR(J144+MATCH(P295,J295:N295,0)-1,"")</f>
        <v/>
      </c>
      <c r="R295" t="str">
        <f t="shared" si="95"/>
        <v/>
      </c>
      <c r="S295" t="str">
        <f>IFERROR(J144+MATCH(R295,J295:N295,0)-1,"")</f>
        <v/>
      </c>
      <c r="T295" t="str">
        <f t="shared" si="96"/>
        <v/>
      </c>
      <c r="U295" t="str">
        <f t="shared" si="97"/>
        <v/>
      </c>
      <c r="V295" t="str">
        <f t="shared" si="98"/>
        <v/>
      </c>
      <c r="W295" t="str">
        <f t="shared" si="99"/>
        <v/>
      </c>
      <c r="X295" t="str">
        <f t="shared" si="100"/>
        <v/>
      </c>
      <c r="Y295" t="str">
        <f t="shared" si="101"/>
        <v/>
      </c>
      <c r="Z295" t="str">
        <f t="shared" si="102"/>
        <v/>
      </c>
      <c r="AA295">
        <f t="shared" si="103"/>
        <v>0</v>
      </c>
      <c r="AB295" t="str">
        <f>IFERROR(V144+MATCH(AA295,V295:Z295,0)-1,"")</f>
        <v/>
      </c>
      <c r="AC295" t="str">
        <f t="shared" si="104"/>
        <v/>
      </c>
      <c r="AE295" t="str">
        <f>IF(ISNUMBER(MATCH("N/A",J295:N295,0)),"",IFERROR((5 * SUMPRODUCT(J144:N144,J295:N295) - PRODUCT(SUM(J144:N144),SUM(J295:N295))) / ((5 * SUM((J144^2)+(K144^2)+(L144^2)+(M144^2)+(N144^2))) - SUM(J144:N144)^2),""))</f>
        <v/>
      </c>
      <c r="AF295" t="str">
        <f>IFERROR(CORREL(J144:N144,J295:N295),"")</f>
        <v/>
      </c>
      <c r="AZ295">
        <f t="shared" si="105"/>
        <v>0</v>
      </c>
      <c r="BA295" t="str">
        <f>IF(AZ295=1,IF(Q295="","",IF(Q295=N144,"Yes","No")),"")</f>
        <v/>
      </c>
      <c r="BB295" t="str">
        <f t="shared" si="106"/>
        <v/>
      </c>
      <c r="BC295" t="str">
        <f>IF(AZ295=1,IF(S295="","",IF(S295=N144,"Yes","No")),"")</f>
        <v/>
      </c>
      <c r="BD295" t="str">
        <f t="shared" si="107"/>
        <v/>
      </c>
      <c r="BE295" t="str">
        <f t="shared" si="108"/>
        <v/>
      </c>
      <c r="BF295" t="str">
        <f t="shared" si="109"/>
        <v>No</v>
      </c>
      <c r="BG295" t="str">
        <f t="shared" si="110"/>
        <v>No</v>
      </c>
      <c r="BH295" t="str">
        <f t="shared" si="111"/>
        <v/>
      </c>
    </row>
    <row r="296" spans="9:60" x14ac:dyDescent="0.3">
      <c r="I296" t="str">
        <f t="shared" si="88"/>
        <v>N/A</v>
      </c>
      <c r="J296" t="str">
        <f t="shared" si="89"/>
        <v>N/A</v>
      </c>
      <c r="K296" t="str">
        <f t="shared" si="90"/>
        <v>N/A</v>
      </c>
      <c r="L296" t="str">
        <f t="shared" si="91"/>
        <v>N/A</v>
      </c>
      <c r="M296" t="str">
        <f t="shared" si="92"/>
        <v>N/A</v>
      </c>
      <c r="N296" t="str">
        <f t="shared" si="93"/>
        <v>N/A</v>
      </c>
      <c r="P296">
        <f t="shared" si="94"/>
        <v>0</v>
      </c>
      <c r="Q296" t="str">
        <f>IFERROR(J144+MATCH(P296,J296:N296,0)-1,"")</f>
        <v/>
      </c>
      <c r="R296" t="str">
        <f t="shared" si="95"/>
        <v/>
      </c>
      <c r="S296" t="str">
        <f>IFERROR(J144+MATCH(R296,J296:N296,0)-1,"")</f>
        <v/>
      </c>
      <c r="T296" t="str">
        <f t="shared" si="96"/>
        <v/>
      </c>
      <c r="U296" t="str">
        <f t="shared" si="97"/>
        <v/>
      </c>
      <c r="V296" t="str">
        <f t="shared" si="98"/>
        <v/>
      </c>
      <c r="W296" t="str">
        <f t="shared" si="99"/>
        <v/>
      </c>
      <c r="X296" t="str">
        <f t="shared" si="100"/>
        <v/>
      </c>
      <c r="Y296" t="str">
        <f t="shared" si="101"/>
        <v/>
      </c>
      <c r="Z296" t="str">
        <f t="shared" si="102"/>
        <v/>
      </c>
      <c r="AA296">
        <f t="shared" si="103"/>
        <v>0</v>
      </c>
      <c r="AB296" t="str">
        <f>IFERROR(V144+MATCH(AA296,V296:Z296,0)-1,"")</f>
        <v/>
      </c>
      <c r="AC296" t="str">
        <f t="shared" si="104"/>
        <v/>
      </c>
      <c r="AE296" t="str">
        <f>IF(ISNUMBER(MATCH("N/A",J296:N296,0)),"",IFERROR((5 * SUMPRODUCT(J144:N144,J296:N296) - PRODUCT(SUM(J144:N144),SUM(J296:N296))) / ((5 * SUM((J144^2)+(K144^2)+(L144^2)+(M144^2)+(N144^2))) - SUM(J144:N144)^2),""))</f>
        <v/>
      </c>
      <c r="AF296" t="str">
        <f>IFERROR(CORREL(J144:N144,J296:N296),"")</f>
        <v/>
      </c>
      <c r="AZ296">
        <f t="shared" si="105"/>
        <v>0</v>
      </c>
      <c r="BA296" t="str">
        <f>IF(AZ296=1,IF(Q296="","",IF(Q296=N144,"Yes","No")),"")</f>
        <v/>
      </c>
      <c r="BB296" t="str">
        <f t="shared" si="106"/>
        <v/>
      </c>
      <c r="BC296" t="str">
        <f>IF(AZ296=1,IF(S296="","",IF(S296=N144,"Yes","No")),"")</f>
        <v/>
      </c>
      <c r="BD296" t="str">
        <f t="shared" si="107"/>
        <v/>
      </c>
      <c r="BE296" t="str">
        <f t="shared" si="108"/>
        <v/>
      </c>
      <c r="BF296" t="str">
        <f t="shared" si="109"/>
        <v>No</v>
      </c>
      <c r="BG296" t="str">
        <f t="shared" si="110"/>
        <v>No</v>
      </c>
      <c r="BH296" t="str">
        <f t="shared" si="111"/>
        <v/>
      </c>
    </row>
    <row r="297" spans="9:60" x14ac:dyDescent="0.3">
      <c r="I297" t="str">
        <f t="shared" si="88"/>
        <v>N/A</v>
      </c>
      <c r="J297" t="str">
        <f t="shared" si="89"/>
        <v>N/A</v>
      </c>
      <c r="K297" t="str">
        <f t="shared" si="90"/>
        <v>N/A</v>
      </c>
      <c r="L297" t="str">
        <f t="shared" si="91"/>
        <v>N/A</v>
      </c>
      <c r="M297" t="str">
        <f t="shared" si="92"/>
        <v>N/A</v>
      </c>
      <c r="N297" t="str">
        <f t="shared" si="93"/>
        <v>N/A</v>
      </c>
      <c r="P297">
        <f t="shared" si="94"/>
        <v>0</v>
      </c>
      <c r="Q297" t="str">
        <f>IFERROR(J144+MATCH(P297,J297:N297,0)-1,"")</f>
        <v/>
      </c>
      <c r="R297" t="str">
        <f t="shared" si="95"/>
        <v/>
      </c>
      <c r="S297" t="str">
        <f>IFERROR(J144+MATCH(R297,J297:N297,0)-1,"")</f>
        <v/>
      </c>
      <c r="T297" t="str">
        <f t="shared" si="96"/>
        <v/>
      </c>
      <c r="U297" t="str">
        <f t="shared" si="97"/>
        <v/>
      </c>
      <c r="V297" t="str">
        <f t="shared" si="98"/>
        <v/>
      </c>
      <c r="W297" t="str">
        <f t="shared" si="99"/>
        <v/>
      </c>
      <c r="X297" t="str">
        <f t="shared" si="100"/>
        <v/>
      </c>
      <c r="Y297" t="str">
        <f t="shared" si="101"/>
        <v/>
      </c>
      <c r="Z297" t="str">
        <f t="shared" si="102"/>
        <v/>
      </c>
      <c r="AA297">
        <f t="shared" si="103"/>
        <v>0</v>
      </c>
      <c r="AB297" t="str">
        <f>IFERROR(V144+MATCH(AA297,V297:Z297,0)-1,"")</f>
        <v/>
      </c>
      <c r="AC297" t="str">
        <f t="shared" si="104"/>
        <v/>
      </c>
      <c r="AE297" t="str">
        <f>IF(ISNUMBER(MATCH("N/A",J297:N297,0)),"",IFERROR((5 * SUMPRODUCT(J144:N144,J297:N297) - PRODUCT(SUM(J144:N144),SUM(J297:N297))) / ((5 * SUM((J144^2)+(K144^2)+(L144^2)+(M144^2)+(N144^2))) - SUM(J144:N144)^2),""))</f>
        <v/>
      </c>
      <c r="AF297" t="str">
        <f>IFERROR(CORREL(J144:N144,J297:N297),"")</f>
        <v/>
      </c>
      <c r="AZ297">
        <f t="shared" si="105"/>
        <v>0</v>
      </c>
      <c r="BA297" t="str">
        <f>IF(AZ297=1,IF(Q297="","",IF(Q297=N144,"Yes","No")),"")</f>
        <v/>
      </c>
      <c r="BB297" t="str">
        <f t="shared" si="106"/>
        <v/>
      </c>
      <c r="BC297" t="str">
        <f>IF(AZ297=1,IF(S297="","",IF(S297=N144,"Yes","No")),"")</f>
        <v/>
      </c>
      <c r="BD297" t="str">
        <f t="shared" si="107"/>
        <v/>
      </c>
      <c r="BE297" t="str">
        <f t="shared" si="108"/>
        <v/>
      </c>
      <c r="BF297" t="str">
        <f t="shared" si="109"/>
        <v>No</v>
      </c>
      <c r="BG297" t="str">
        <f t="shared" si="110"/>
        <v>No</v>
      </c>
      <c r="BH297" t="str">
        <f t="shared" si="111"/>
        <v/>
      </c>
    </row>
    <row r="298" spans="9:60" x14ac:dyDescent="0.3">
      <c r="I298" t="str">
        <f t="shared" si="88"/>
        <v>N/A</v>
      </c>
      <c r="J298" t="str">
        <f t="shared" si="89"/>
        <v>N/A</v>
      </c>
      <c r="K298" t="str">
        <f t="shared" si="90"/>
        <v>N/A</v>
      </c>
      <c r="L298" t="str">
        <f t="shared" si="91"/>
        <v>N/A</v>
      </c>
      <c r="M298" t="str">
        <f t="shared" si="92"/>
        <v>N/A</v>
      </c>
      <c r="N298" t="str">
        <f t="shared" si="93"/>
        <v>N/A</v>
      </c>
      <c r="P298">
        <f t="shared" si="94"/>
        <v>0</v>
      </c>
      <c r="Q298" t="str">
        <f>IFERROR(J144+MATCH(P298,J298:N298,0)-1,"")</f>
        <v/>
      </c>
      <c r="R298" t="str">
        <f t="shared" si="95"/>
        <v/>
      </c>
      <c r="S298" t="str">
        <f>IFERROR(J144+MATCH(R298,J298:N298,0)-1,"")</f>
        <v/>
      </c>
      <c r="T298" t="str">
        <f t="shared" si="96"/>
        <v/>
      </c>
      <c r="U298" t="str">
        <f t="shared" si="97"/>
        <v/>
      </c>
      <c r="V298" t="str">
        <f t="shared" si="98"/>
        <v/>
      </c>
      <c r="W298" t="str">
        <f t="shared" si="99"/>
        <v/>
      </c>
      <c r="X298" t="str">
        <f t="shared" si="100"/>
        <v/>
      </c>
      <c r="Y298" t="str">
        <f t="shared" si="101"/>
        <v/>
      </c>
      <c r="Z298" t="str">
        <f t="shared" si="102"/>
        <v/>
      </c>
      <c r="AA298">
        <f t="shared" si="103"/>
        <v>0</v>
      </c>
      <c r="AB298" t="str">
        <f>IFERROR(V144+MATCH(AA298,V298:Z298,0)-1,"")</f>
        <v/>
      </c>
      <c r="AC298" t="str">
        <f t="shared" si="104"/>
        <v/>
      </c>
      <c r="AE298" t="str">
        <f>IF(ISNUMBER(MATCH("N/A",J298:N298,0)),"",IFERROR((5 * SUMPRODUCT(J144:N144,J298:N298) - PRODUCT(SUM(J144:N144),SUM(J298:N298))) / ((5 * SUM((J144^2)+(K144^2)+(L144^2)+(M144^2)+(N144^2))) - SUM(J144:N144)^2),""))</f>
        <v/>
      </c>
      <c r="AF298" t="str">
        <f>IFERROR(CORREL(J144:N144,J298:N298),"")</f>
        <v/>
      </c>
      <c r="AZ298">
        <f t="shared" si="105"/>
        <v>0</v>
      </c>
      <c r="BA298" t="str">
        <f>IF(AZ298=1,IF(Q298="","",IF(Q298=N144,"Yes","No")),"")</f>
        <v/>
      </c>
      <c r="BB298" t="str">
        <f t="shared" si="106"/>
        <v/>
      </c>
      <c r="BC298" t="str">
        <f>IF(AZ298=1,IF(S298="","",IF(S298=N144,"Yes","No")),"")</f>
        <v/>
      </c>
      <c r="BD298" t="str">
        <f t="shared" si="107"/>
        <v/>
      </c>
      <c r="BE298" t="str">
        <f t="shared" si="108"/>
        <v/>
      </c>
      <c r="BF298" t="str">
        <f t="shared" si="109"/>
        <v>No</v>
      </c>
      <c r="BG298" t="str">
        <f t="shared" si="110"/>
        <v>No</v>
      </c>
      <c r="BH298" t="str">
        <f t="shared" si="111"/>
        <v/>
      </c>
    </row>
    <row r="299" spans="9:60" x14ac:dyDescent="0.3">
      <c r="I299" t="str">
        <f t="shared" si="88"/>
        <v>N/A</v>
      </c>
      <c r="J299" t="str">
        <f t="shared" si="89"/>
        <v>N/A</v>
      </c>
      <c r="K299" t="str">
        <f t="shared" si="90"/>
        <v>N/A</v>
      </c>
      <c r="L299" t="str">
        <f t="shared" si="91"/>
        <v>N/A</v>
      </c>
      <c r="M299" t="str">
        <f t="shared" si="92"/>
        <v>N/A</v>
      </c>
      <c r="N299" t="str">
        <f t="shared" si="93"/>
        <v>N/A</v>
      </c>
      <c r="P299">
        <f t="shared" si="94"/>
        <v>0</v>
      </c>
      <c r="Q299" t="str">
        <f>IFERROR(J144+MATCH(P299,J299:N299,0)-1,"")</f>
        <v/>
      </c>
      <c r="R299" t="str">
        <f t="shared" si="95"/>
        <v/>
      </c>
      <c r="S299" t="str">
        <f>IFERROR(J144+MATCH(R299,J299:N299,0)-1,"")</f>
        <v/>
      </c>
      <c r="T299" t="str">
        <f t="shared" si="96"/>
        <v/>
      </c>
      <c r="U299" t="str">
        <f t="shared" si="97"/>
        <v/>
      </c>
      <c r="V299" t="str">
        <f t="shared" si="98"/>
        <v/>
      </c>
      <c r="W299" t="str">
        <f t="shared" si="99"/>
        <v/>
      </c>
      <c r="X299" t="str">
        <f t="shared" si="100"/>
        <v/>
      </c>
      <c r="Y299" t="str">
        <f t="shared" si="101"/>
        <v/>
      </c>
      <c r="Z299" t="str">
        <f t="shared" si="102"/>
        <v/>
      </c>
      <c r="AA299">
        <f t="shared" si="103"/>
        <v>0</v>
      </c>
      <c r="AB299" t="str">
        <f>IFERROR(V144+MATCH(AA299,V299:Z299,0)-1,"")</f>
        <v/>
      </c>
      <c r="AC299" t="str">
        <f t="shared" si="104"/>
        <v/>
      </c>
      <c r="AE299" t="str">
        <f>IF(ISNUMBER(MATCH("N/A",J299:N299,0)),"",IFERROR((5 * SUMPRODUCT(J144:N144,J299:N299) - PRODUCT(SUM(J144:N144),SUM(J299:N299))) / ((5 * SUM((J144^2)+(K144^2)+(L144^2)+(M144^2)+(N144^2))) - SUM(J144:N144)^2),""))</f>
        <v/>
      </c>
      <c r="AF299" t="str">
        <f>IFERROR(CORREL(J144:N144,J299:N299),"")</f>
        <v/>
      </c>
      <c r="AZ299">
        <f t="shared" si="105"/>
        <v>0</v>
      </c>
      <c r="BA299" t="str">
        <f>IF(AZ299=1,IF(Q299="","",IF(Q299=N144,"Yes","No")),"")</f>
        <v/>
      </c>
      <c r="BB299" t="str">
        <f t="shared" si="106"/>
        <v/>
      </c>
      <c r="BC299" t="str">
        <f>IF(AZ299=1,IF(S299="","",IF(S299=N144,"Yes","No")),"")</f>
        <v/>
      </c>
      <c r="BD299" t="str">
        <f t="shared" si="107"/>
        <v/>
      </c>
      <c r="BE299" t="str">
        <f t="shared" si="108"/>
        <v/>
      </c>
      <c r="BF299" t="str">
        <f t="shared" si="109"/>
        <v>No</v>
      </c>
      <c r="BG299" t="str">
        <f t="shared" si="110"/>
        <v>No</v>
      </c>
      <c r="BH299" t="str">
        <f t="shared" si="111"/>
        <v/>
      </c>
    </row>
    <row r="300" spans="9:60" x14ac:dyDescent="0.3">
      <c r="I300" t="str">
        <f t="shared" si="88"/>
        <v>N/A</v>
      </c>
      <c r="J300" t="str">
        <f t="shared" si="89"/>
        <v>N/A</v>
      </c>
      <c r="K300" t="str">
        <f t="shared" si="90"/>
        <v>N/A</v>
      </c>
      <c r="L300" t="str">
        <f t="shared" si="91"/>
        <v>N/A</v>
      </c>
      <c r="M300" t="str">
        <f t="shared" si="92"/>
        <v>N/A</v>
      </c>
      <c r="N300" t="str">
        <f t="shared" si="93"/>
        <v>N/A</v>
      </c>
      <c r="P300">
        <f t="shared" si="94"/>
        <v>0</v>
      </c>
      <c r="Q300" t="str">
        <f>IFERROR(J144+MATCH(P300,J300:N300,0)-1,"")</f>
        <v/>
      </c>
      <c r="R300" t="str">
        <f t="shared" si="95"/>
        <v/>
      </c>
      <c r="S300" t="str">
        <f>IFERROR(J144+MATCH(R300,J300:N300,0)-1,"")</f>
        <v/>
      </c>
      <c r="T300" t="str">
        <f t="shared" si="96"/>
        <v/>
      </c>
      <c r="U300" t="str">
        <f t="shared" si="97"/>
        <v/>
      </c>
      <c r="V300" t="str">
        <f t="shared" si="98"/>
        <v/>
      </c>
      <c r="W300" t="str">
        <f t="shared" si="99"/>
        <v/>
      </c>
      <c r="X300" t="str">
        <f t="shared" si="100"/>
        <v/>
      </c>
      <c r="Y300" t="str">
        <f t="shared" si="101"/>
        <v/>
      </c>
      <c r="Z300" t="str">
        <f t="shared" si="102"/>
        <v/>
      </c>
      <c r="AA300">
        <f t="shared" si="103"/>
        <v>0</v>
      </c>
      <c r="AB300" t="str">
        <f>IFERROR(V144+MATCH(AA300,V300:Z300,0)-1,"")</f>
        <v/>
      </c>
      <c r="AC300" t="str">
        <f t="shared" si="104"/>
        <v/>
      </c>
      <c r="AE300" t="str">
        <f>IF(ISNUMBER(MATCH("N/A",J300:N300,0)),"",IFERROR((5 * SUMPRODUCT(J144:N144,J300:N300) - PRODUCT(SUM(J144:N144),SUM(J300:N300))) / ((5 * SUM((J144^2)+(K144^2)+(L144^2)+(M144^2)+(N144^2))) - SUM(J144:N144)^2),""))</f>
        <v/>
      </c>
      <c r="AF300" t="str">
        <f>IFERROR(CORREL(J144:N144,J300:N300),"")</f>
        <v/>
      </c>
      <c r="AZ300">
        <f t="shared" si="105"/>
        <v>0</v>
      </c>
      <c r="BA300" t="str">
        <f>IF(AZ300=1,IF(Q300="","",IF(Q300=N144,"Yes","No")),"")</f>
        <v/>
      </c>
      <c r="BB300" t="str">
        <f t="shared" si="106"/>
        <v/>
      </c>
      <c r="BC300" t="str">
        <f>IF(AZ300=1,IF(S300="","",IF(S300=N144,"Yes","No")),"")</f>
        <v/>
      </c>
      <c r="BD300" t="str">
        <f t="shared" si="107"/>
        <v/>
      </c>
      <c r="BE300" t="str">
        <f t="shared" si="108"/>
        <v/>
      </c>
      <c r="BF300" t="str">
        <f t="shared" si="109"/>
        <v>No</v>
      </c>
      <c r="BG300" t="str">
        <f t="shared" si="110"/>
        <v>No</v>
      </c>
      <c r="BH300" t="str">
        <f t="shared" si="111"/>
        <v/>
      </c>
    </row>
    <row r="301" spans="9:60" x14ac:dyDescent="0.3">
      <c r="I301" t="str">
        <f t="shared" si="88"/>
        <v>N/A</v>
      </c>
      <c r="J301" t="str">
        <f t="shared" si="89"/>
        <v>N/A</v>
      </c>
      <c r="K301" t="str">
        <f t="shared" si="90"/>
        <v>N/A</v>
      </c>
      <c r="L301" t="str">
        <f t="shared" si="91"/>
        <v>N/A</v>
      </c>
      <c r="M301" t="str">
        <f t="shared" si="92"/>
        <v>N/A</v>
      </c>
      <c r="N301" t="str">
        <f t="shared" si="93"/>
        <v>N/A</v>
      </c>
      <c r="P301">
        <f t="shared" si="94"/>
        <v>0</v>
      </c>
      <c r="Q301" t="str">
        <f>IFERROR(J144+MATCH(P301,J301:N301,0)-1,"")</f>
        <v/>
      </c>
      <c r="R301" t="str">
        <f t="shared" si="95"/>
        <v/>
      </c>
      <c r="S301" t="str">
        <f>IFERROR(J144+MATCH(R301,J301:N301,0)-1,"")</f>
        <v/>
      </c>
      <c r="T301" t="str">
        <f t="shared" si="96"/>
        <v/>
      </c>
      <c r="U301" t="str">
        <f t="shared" si="97"/>
        <v/>
      </c>
      <c r="V301" t="str">
        <f t="shared" si="98"/>
        <v/>
      </c>
      <c r="W301" t="str">
        <f t="shared" si="99"/>
        <v/>
      </c>
      <c r="X301" t="str">
        <f t="shared" si="100"/>
        <v/>
      </c>
      <c r="Y301" t="str">
        <f t="shared" si="101"/>
        <v/>
      </c>
      <c r="Z301" t="str">
        <f t="shared" si="102"/>
        <v/>
      </c>
      <c r="AA301">
        <f t="shared" si="103"/>
        <v>0</v>
      </c>
      <c r="AB301" t="str">
        <f>IFERROR(V144+MATCH(AA301,V301:Z301,0)-1,"")</f>
        <v/>
      </c>
      <c r="AC301" t="str">
        <f t="shared" si="104"/>
        <v/>
      </c>
      <c r="AE301" t="str">
        <f>IF(ISNUMBER(MATCH("N/A",J301:N301,0)),"",IFERROR((5 * SUMPRODUCT(J144:N144,J301:N301) - PRODUCT(SUM(J144:N144),SUM(J301:N301))) / ((5 * SUM((J144^2)+(K144^2)+(L144^2)+(M144^2)+(N144^2))) - SUM(J144:N144)^2),""))</f>
        <v/>
      </c>
      <c r="AF301" t="str">
        <f>IFERROR(CORREL(J144:N144,J301:N301),"")</f>
        <v/>
      </c>
      <c r="AZ301">
        <f t="shared" si="105"/>
        <v>0</v>
      </c>
      <c r="BA301" t="str">
        <f>IF(AZ301=1,IF(Q301="","",IF(Q301=N144,"Yes","No")),"")</f>
        <v/>
      </c>
      <c r="BB301" t="str">
        <f t="shared" si="106"/>
        <v/>
      </c>
      <c r="BC301" t="str">
        <f>IF(AZ301=1,IF(S301="","",IF(S301=N144,"Yes","No")),"")</f>
        <v/>
      </c>
      <c r="BD301" t="str">
        <f t="shared" si="107"/>
        <v/>
      </c>
      <c r="BE301" t="str">
        <f t="shared" si="108"/>
        <v/>
      </c>
      <c r="BF301" t="str">
        <f t="shared" si="109"/>
        <v>No</v>
      </c>
      <c r="BG301" t="str">
        <f t="shared" si="110"/>
        <v>No</v>
      </c>
      <c r="BH301" t="str">
        <f t="shared" si="111"/>
        <v/>
      </c>
    </row>
    <row r="302" spans="9:60" x14ac:dyDescent="0.3">
      <c r="I302" t="str">
        <f t="shared" si="88"/>
        <v>N/A</v>
      </c>
      <c r="J302" t="str">
        <f t="shared" si="89"/>
        <v>N/A</v>
      </c>
      <c r="K302" t="str">
        <f t="shared" si="90"/>
        <v>N/A</v>
      </c>
      <c r="L302" t="str">
        <f t="shared" si="91"/>
        <v>N/A</v>
      </c>
      <c r="M302" t="str">
        <f t="shared" si="92"/>
        <v>N/A</v>
      </c>
      <c r="N302" t="str">
        <f t="shared" si="93"/>
        <v>N/A</v>
      </c>
      <c r="P302">
        <f t="shared" si="94"/>
        <v>0</v>
      </c>
      <c r="Q302" t="str">
        <f>IFERROR(J144+MATCH(P302,J302:N302,0)-1,"")</f>
        <v/>
      </c>
      <c r="R302" t="str">
        <f t="shared" si="95"/>
        <v/>
      </c>
      <c r="S302" t="str">
        <f>IFERROR(J144+MATCH(R302,J302:N302,0)-1,"")</f>
        <v/>
      </c>
      <c r="T302" t="str">
        <f t="shared" si="96"/>
        <v/>
      </c>
      <c r="U302" t="str">
        <f t="shared" si="97"/>
        <v/>
      </c>
      <c r="V302" t="str">
        <f t="shared" si="98"/>
        <v/>
      </c>
      <c r="W302" t="str">
        <f t="shared" si="99"/>
        <v/>
      </c>
      <c r="X302" t="str">
        <f t="shared" si="100"/>
        <v/>
      </c>
      <c r="Y302" t="str">
        <f t="shared" si="101"/>
        <v/>
      </c>
      <c r="Z302" t="str">
        <f t="shared" si="102"/>
        <v/>
      </c>
      <c r="AA302">
        <f t="shared" si="103"/>
        <v>0</v>
      </c>
      <c r="AB302" t="str">
        <f>IFERROR(V144+MATCH(AA302,V302:Z302,0)-1,"")</f>
        <v/>
      </c>
      <c r="AC302" t="str">
        <f t="shared" si="104"/>
        <v/>
      </c>
      <c r="AE302" t="str">
        <f>IF(ISNUMBER(MATCH("N/A",J302:N302,0)),"",IFERROR((5 * SUMPRODUCT(J144:N144,J302:N302) - PRODUCT(SUM(J144:N144),SUM(J302:N302))) / ((5 * SUM((J144^2)+(K144^2)+(L144^2)+(M144^2)+(N144^2))) - SUM(J144:N144)^2),""))</f>
        <v/>
      </c>
      <c r="AF302" t="str">
        <f>IFERROR(CORREL(J144:N144,J302:N302),"")</f>
        <v/>
      </c>
      <c r="AZ302">
        <f t="shared" si="105"/>
        <v>0</v>
      </c>
      <c r="BA302" t="str">
        <f>IF(AZ302=1,IF(Q302="","",IF(Q302=N144,"Yes","No")),"")</f>
        <v/>
      </c>
      <c r="BB302" t="str">
        <f t="shared" si="106"/>
        <v/>
      </c>
      <c r="BC302" t="str">
        <f>IF(AZ302=1,IF(S302="","",IF(S302=N144,"Yes","No")),"")</f>
        <v/>
      </c>
      <c r="BD302" t="str">
        <f t="shared" si="107"/>
        <v/>
      </c>
      <c r="BE302" t="str">
        <f t="shared" si="108"/>
        <v/>
      </c>
      <c r="BF302" t="str">
        <f t="shared" si="109"/>
        <v>No</v>
      </c>
      <c r="BG302" t="str">
        <f t="shared" si="110"/>
        <v>No</v>
      </c>
      <c r="BH302" t="str">
        <f t="shared" si="111"/>
        <v/>
      </c>
    </row>
    <row r="303" spans="9:60" x14ac:dyDescent="0.3">
      <c r="I303" t="str">
        <f t="shared" si="88"/>
        <v>N/A</v>
      </c>
      <c r="J303" t="str">
        <f t="shared" si="89"/>
        <v>N/A</v>
      </c>
      <c r="K303" t="str">
        <f t="shared" si="90"/>
        <v>N/A</v>
      </c>
      <c r="L303" t="str">
        <f t="shared" si="91"/>
        <v>N/A</v>
      </c>
      <c r="M303" t="str">
        <f t="shared" si="92"/>
        <v>N/A</v>
      </c>
      <c r="N303" t="str">
        <f t="shared" si="93"/>
        <v>N/A</v>
      </c>
      <c r="P303">
        <f t="shared" si="94"/>
        <v>0</v>
      </c>
      <c r="Q303" t="str">
        <f>IFERROR(J144+MATCH(P303,J303:N303,0)-1,"")</f>
        <v/>
      </c>
      <c r="R303" t="str">
        <f t="shared" si="95"/>
        <v/>
      </c>
      <c r="S303" t="str">
        <f>IFERROR(J144+MATCH(R303,J303:N303,0)-1,"")</f>
        <v/>
      </c>
      <c r="T303" t="str">
        <f t="shared" si="96"/>
        <v/>
      </c>
      <c r="U303" t="str">
        <f t="shared" si="97"/>
        <v/>
      </c>
      <c r="V303" t="str">
        <f t="shared" si="98"/>
        <v/>
      </c>
      <c r="W303" t="str">
        <f t="shared" si="99"/>
        <v/>
      </c>
      <c r="X303" t="str">
        <f t="shared" si="100"/>
        <v/>
      </c>
      <c r="Y303" t="str">
        <f t="shared" si="101"/>
        <v/>
      </c>
      <c r="Z303" t="str">
        <f t="shared" si="102"/>
        <v/>
      </c>
      <c r="AA303">
        <f t="shared" si="103"/>
        <v>0</v>
      </c>
      <c r="AB303" t="str">
        <f>IFERROR(V144+MATCH(AA303,V303:Z303,0)-1,"")</f>
        <v/>
      </c>
      <c r="AC303" t="str">
        <f t="shared" si="104"/>
        <v/>
      </c>
      <c r="AE303" t="str">
        <f>IF(ISNUMBER(MATCH("N/A",J303:N303,0)),"",IFERROR((5 * SUMPRODUCT(J144:N144,J303:N303) - PRODUCT(SUM(J144:N144),SUM(J303:N303))) / ((5 * SUM((J144^2)+(K144^2)+(L144^2)+(M144^2)+(N144^2))) - SUM(J144:N144)^2),""))</f>
        <v/>
      </c>
      <c r="AF303" t="str">
        <f>IFERROR(CORREL(J144:N144,J303:N303),"")</f>
        <v/>
      </c>
      <c r="AZ303">
        <f t="shared" si="105"/>
        <v>0</v>
      </c>
      <c r="BA303" t="str">
        <f>IF(AZ303=1,IF(Q303="","",IF(Q303=N144,"Yes","No")),"")</f>
        <v/>
      </c>
      <c r="BB303" t="str">
        <f t="shared" si="106"/>
        <v/>
      </c>
      <c r="BC303" t="str">
        <f>IF(AZ303=1,IF(S303="","",IF(S303=N144,"Yes","No")),"")</f>
        <v/>
      </c>
      <c r="BD303" t="str">
        <f t="shared" si="107"/>
        <v/>
      </c>
      <c r="BE303" t="str">
        <f t="shared" si="108"/>
        <v/>
      </c>
      <c r="BF303" t="str">
        <f t="shared" si="109"/>
        <v>No</v>
      </c>
      <c r="BG303" t="str">
        <f t="shared" si="110"/>
        <v>No</v>
      </c>
      <c r="BH303" t="str">
        <f t="shared" si="111"/>
        <v/>
      </c>
    </row>
    <row r="304" spans="9:60" x14ac:dyDescent="0.3">
      <c r="I304" t="str">
        <f t="shared" si="88"/>
        <v>N/A</v>
      </c>
      <c r="J304" t="str">
        <f t="shared" si="89"/>
        <v>N/A</v>
      </c>
      <c r="K304" t="str">
        <f t="shared" si="90"/>
        <v>N/A</v>
      </c>
      <c r="L304" t="str">
        <f t="shared" si="91"/>
        <v>N/A</v>
      </c>
      <c r="M304" t="str">
        <f t="shared" si="92"/>
        <v>N/A</v>
      </c>
      <c r="N304" t="str">
        <f t="shared" si="93"/>
        <v>N/A</v>
      </c>
      <c r="P304">
        <f t="shared" si="94"/>
        <v>0</v>
      </c>
      <c r="Q304" t="str">
        <f>IFERROR(J144+MATCH(P304,J304:N304,0)-1,"")</f>
        <v/>
      </c>
      <c r="R304" t="str">
        <f t="shared" si="95"/>
        <v/>
      </c>
      <c r="S304" t="str">
        <f>IFERROR(J144+MATCH(R304,J304:N304,0)-1,"")</f>
        <v/>
      </c>
      <c r="T304" t="str">
        <f t="shared" si="96"/>
        <v/>
      </c>
      <c r="U304" t="str">
        <f t="shared" si="97"/>
        <v/>
      </c>
      <c r="V304" t="str">
        <f t="shared" si="98"/>
        <v/>
      </c>
      <c r="W304" t="str">
        <f t="shared" si="99"/>
        <v/>
      </c>
      <c r="X304" t="str">
        <f t="shared" si="100"/>
        <v/>
      </c>
      <c r="Y304" t="str">
        <f t="shared" si="101"/>
        <v/>
      </c>
      <c r="Z304" t="str">
        <f t="shared" si="102"/>
        <v/>
      </c>
      <c r="AA304">
        <f t="shared" si="103"/>
        <v>0</v>
      </c>
      <c r="AB304" t="str">
        <f>IFERROR(V144+MATCH(AA304,V304:Z304,0)-1,"")</f>
        <v/>
      </c>
      <c r="AC304" t="str">
        <f t="shared" si="104"/>
        <v/>
      </c>
      <c r="AE304" t="str">
        <f>IF(ISNUMBER(MATCH("N/A",J304:N304,0)),"",IFERROR((5 * SUMPRODUCT(J144:N144,J304:N304) - PRODUCT(SUM(J144:N144),SUM(J304:N304))) / ((5 * SUM((J144^2)+(K144^2)+(L144^2)+(M144^2)+(N144^2))) - SUM(J144:N144)^2),""))</f>
        <v/>
      </c>
      <c r="AF304" t="str">
        <f>IFERROR(CORREL(J144:N144,J304:N304),"")</f>
        <v/>
      </c>
      <c r="AZ304">
        <f t="shared" si="105"/>
        <v>0</v>
      </c>
      <c r="BA304" t="str">
        <f>IF(AZ304=1,IF(Q304="","",IF(Q304=N144,"Yes","No")),"")</f>
        <v/>
      </c>
      <c r="BB304" t="str">
        <f t="shared" si="106"/>
        <v/>
      </c>
      <c r="BC304" t="str">
        <f>IF(AZ304=1,IF(S304="","",IF(S304=N144,"Yes","No")),"")</f>
        <v/>
      </c>
      <c r="BD304" t="str">
        <f t="shared" si="107"/>
        <v/>
      </c>
      <c r="BE304" t="str">
        <f t="shared" si="108"/>
        <v/>
      </c>
      <c r="BF304" t="str">
        <f t="shared" si="109"/>
        <v>No</v>
      </c>
      <c r="BG304" t="str">
        <f t="shared" si="110"/>
        <v>No</v>
      </c>
      <c r="BH304" t="str">
        <f t="shared" si="111"/>
        <v/>
      </c>
    </row>
    <row r="305" spans="9:60" x14ac:dyDescent="0.3">
      <c r="I305" t="str">
        <f t="shared" si="88"/>
        <v>N/A</v>
      </c>
      <c r="J305" t="str">
        <f t="shared" si="89"/>
        <v>N/A</v>
      </c>
      <c r="K305" t="str">
        <f t="shared" si="90"/>
        <v>N/A</v>
      </c>
      <c r="L305" t="str">
        <f t="shared" si="91"/>
        <v>N/A</v>
      </c>
      <c r="M305" t="str">
        <f t="shared" si="92"/>
        <v>N/A</v>
      </c>
      <c r="N305" t="str">
        <f t="shared" si="93"/>
        <v>N/A</v>
      </c>
      <c r="P305">
        <f t="shared" si="94"/>
        <v>0</v>
      </c>
      <c r="Q305" t="str">
        <f>IFERROR(J144+MATCH(P305,J305:N305,0)-1,"")</f>
        <v/>
      </c>
      <c r="R305" t="str">
        <f t="shared" si="95"/>
        <v/>
      </c>
      <c r="S305" t="str">
        <f>IFERROR(J144+MATCH(R305,J305:N305,0)-1,"")</f>
        <v/>
      </c>
      <c r="T305" t="str">
        <f t="shared" si="96"/>
        <v/>
      </c>
      <c r="U305" t="str">
        <f t="shared" si="97"/>
        <v/>
      </c>
      <c r="V305" t="str">
        <f t="shared" si="98"/>
        <v/>
      </c>
      <c r="W305" t="str">
        <f t="shared" si="99"/>
        <v/>
      </c>
      <c r="X305" t="str">
        <f t="shared" si="100"/>
        <v/>
      </c>
      <c r="Y305" t="str">
        <f t="shared" si="101"/>
        <v/>
      </c>
      <c r="Z305" t="str">
        <f t="shared" si="102"/>
        <v/>
      </c>
      <c r="AA305">
        <f t="shared" si="103"/>
        <v>0</v>
      </c>
      <c r="AB305" t="str">
        <f>IFERROR(V144+MATCH(AA305,V305:Z305,0)-1,"")</f>
        <v/>
      </c>
      <c r="AC305" t="str">
        <f t="shared" si="104"/>
        <v/>
      </c>
      <c r="AE305" t="str">
        <f>IF(ISNUMBER(MATCH("N/A",J305:N305,0)),"",IFERROR((5 * SUMPRODUCT(J144:N144,J305:N305) - PRODUCT(SUM(J144:N144),SUM(J305:N305))) / ((5 * SUM((J144^2)+(K144^2)+(L144^2)+(M144^2)+(N144^2))) - SUM(J144:N144)^2),""))</f>
        <v/>
      </c>
      <c r="AF305" t="str">
        <f>IFERROR(CORREL(J144:N144,J305:N305),"")</f>
        <v/>
      </c>
      <c r="AZ305">
        <f t="shared" si="105"/>
        <v>0</v>
      </c>
      <c r="BA305" t="str">
        <f>IF(AZ305=1,IF(Q305="","",IF(Q305=N144,"Yes","No")),"")</f>
        <v/>
      </c>
      <c r="BB305" t="str">
        <f t="shared" si="106"/>
        <v/>
      </c>
      <c r="BC305" t="str">
        <f>IF(AZ305=1,IF(S305="","",IF(S305=N144,"Yes","No")),"")</f>
        <v/>
      </c>
      <c r="BD305" t="str">
        <f t="shared" si="107"/>
        <v/>
      </c>
      <c r="BE305" t="str">
        <f t="shared" si="108"/>
        <v/>
      </c>
      <c r="BF305" t="str">
        <f t="shared" si="109"/>
        <v>No</v>
      </c>
      <c r="BG305" t="str">
        <f t="shared" si="110"/>
        <v>No</v>
      </c>
      <c r="BH305" t="str">
        <f t="shared" si="111"/>
        <v/>
      </c>
    </row>
    <row r="306" spans="9:60" x14ac:dyDescent="0.3">
      <c r="I306" t="str">
        <f t="shared" si="88"/>
        <v>N/A</v>
      </c>
      <c r="J306" t="str">
        <f t="shared" si="89"/>
        <v>N/A</v>
      </c>
      <c r="K306" t="str">
        <f t="shared" si="90"/>
        <v>N/A</v>
      </c>
      <c r="L306" t="str">
        <f t="shared" si="91"/>
        <v>N/A</v>
      </c>
      <c r="M306" t="str">
        <f t="shared" si="92"/>
        <v>N/A</v>
      </c>
      <c r="N306" t="str">
        <f t="shared" si="93"/>
        <v>N/A</v>
      </c>
      <c r="P306">
        <f t="shared" si="94"/>
        <v>0</v>
      </c>
      <c r="Q306" t="str">
        <f>IFERROR(J144+MATCH(P306,J306:N306,0)-1,"")</f>
        <v/>
      </c>
      <c r="R306" t="str">
        <f t="shared" si="95"/>
        <v/>
      </c>
      <c r="S306" t="str">
        <f>IFERROR(J144+MATCH(R306,J306:N306,0)-1,"")</f>
        <v/>
      </c>
      <c r="T306" t="str">
        <f t="shared" si="96"/>
        <v/>
      </c>
      <c r="U306" t="str">
        <f t="shared" si="97"/>
        <v/>
      </c>
      <c r="V306" t="str">
        <f t="shared" si="98"/>
        <v/>
      </c>
      <c r="W306" t="str">
        <f t="shared" si="99"/>
        <v/>
      </c>
      <c r="X306" t="str">
        <f t="shared" si="100"/>
        <v/>
      </c>
      <c r="Y306" t="str">
        <f t="shared" si="101"/>
        <v/>
      </c>
      <c r="Z306" t="str">
        <f t="shared" si="102"/>
        <v/>
      </c>
      <c r="AA306">
        <f t="shared" si="103"/>
        <v>0</v>
      </c>
      <c r="AB306" t="str">
        <f>IFERROR(V144+MATCH(AA306,V306:Z306,0)-1,"")</f>
        <v/>
      </c>
      <c r="AC306" t="str">
        <f t="shared" si="104"/>
        <v/>
      </c>
      <c r="AE306" t="str">
        <f>IF(ISNUMBER(MATCH("N/A",J306:N306,0)),"",IFERROR((5 * SUMPRODUCT(J144:N144,J306:N306) - PRODUCT(SUM(J144:N144),SUM(J306:N306))) / ((5 * SUM((J144^2)+(K144^2)+(L144^2)+(M144^2)+(N144^2))) - SUM(J144:N144)^2),""))</f>
        <v/>
      </c>
      <c r="AF306" t="str">
        <f>IFERROR(CORREL(J144:N144,J306:N306),"")</f>
        <v/>
      </c>
      <c r="AZ306">
        <f t="shared" si="105"/>
        <v>0</v>
      </c>
      <c r="BA306" t="str">
        <f>IF(AZ306=1,IF(Q306="","",IF(Q306=N144,"Yes","No")),"")</f>
        <v/>
      </c>
      <c r="BB306" t="str">
        <f t="shared" si="106"/>
        <v/>
      </c>
      <c r="BC306" t="str">
        <f>IF(AZ306=1,IF(S306="","",IF(S306=N144,"Yes","No")),"")</f>
        <v/>
      </c>
      <c r="BD306" t="str">
        <f t="shared" si="107"/>
        <v/>
      </c>
      <c r="BE306" t="str">
        <f t="shared" si="108"/>
        <v/>
      </c>
      <c r="BF306" t="str">
        <f t="shared" si="109"/>
        <v>No</v>
      </c>
      <c r="BG306" t="str">
        <f t="shared" si="110"/>
        <v>No</v>
      </c>
      <c r="BH306" t="str">
        <f t="shared" si="111"/>
        <v/>
      </c>
    </row>
    <row r="307" spans="9:60" x14ac:dyDescent="0.3">
      <c r="I307" t="str">
        <f t="shared" si="88"/>
        <v>N/A</v>
      </c>
      <c r="J307" t="str">
        <f t="shared" si="89"/>
        <v>N/A</v>
      </c>
      <c r="K307" t="str">
        <f t="shared" si="90"/>
        <v>N/A</v>
      </c>
      <c r="L307" t="str">
        <f t="shared" si="91"/>
        <v>N/A</v>
      </c>
      <c r="M307" t="str">
        <f t="shared" si="92"/>
        <v>N/A</v>
      </c>
      <c r="N307" t="str">
        <f t="shared" si="93"/>
        <v>N/A</v>
      </c>
      <c r="P307">
        <f t="shared" si="94"/>
        <v>0</v>
      </c>
      <c r="Q307" t="str">
        <f>IFERROR(J144+MATCH(P307,J307:N307,0)-1,"")</f>
        <v/>
      </c>
      <c r="R307" t="str">
        <f t="shared" si="95"/>
        <v/>
      </c>
      <c r="S307" t="str">
        <f>IFERROR(J144+MATCH(R307,J307:N307,0)-1,"")</f>
        <v/>
      </c>
      <c r="T307" t="str">
        <f t="shared" si="96"/>
        <v/>
      </c>
      <c r="U307" t="str">
        <f t="shared" si="97"/>
        <v/>
      </c>
      <c r="V307" t="str">
        <f t="shared" si="98"/>
        <v/>
      </c>
      <c r="W307" t="str">
        <f t="shared" si="99"/>
        <v/>
      </c>
      <c r="X307" t="str">
        <f t="shared" si="100"/>
        <v/>
      </c>
      <c r="Y307" t="str">
        <f t="shared" si="101"/>
        <v/>
      </c>
      <c r="Z307" t="str">
        <f t="shared" si="102"/>
        <v/>
      </c>
      <c r="AA307">
        <f t="shared" si="103"/>
        <v>0</v>
      </c>
      <c r="AB307" t="str">
        <f>IFERROR(V144+MATCH(AA307,V307:Z307,0)-1,"")</f>
        <v/>
      </c>
      <c r="AC307" t="str">
        <f t="shared" si="104"/>
        <v/>
      </c>
      <c r="AE307" t="str">
        <f>IF(ISNUMBER(MATCH("N/A",J307:N307,0)),"",IFERROR((5 * SUMPRODUCT(J144:N144,J307:N307) - PRODUCT(SUM(J144:N144),SUM(J307:N307))) / ((5 * SUM((J144^2)+(K144^2)+(L144^2)+(M144^2)+(N144^2))) - SUM(J144:N144)^2),""))</f>
        <v/>
      </c>
      <c r="AF307" t="str">
        <f>IFERROR(CORREL(J144:N144,J307:N307),"")</f>
        <v/>
      </c>
      <c r="AZ307">
        <f t="shared" si="105"/>
        <v>0</v>
      </c>
      <c r="BA307" t="str">
        <f>IF(AZ307=1,IF(Q307="","",IF(Q307=N144,"Yes","No")),"")</f>
        <v/>
      </c>
      <c r="BB307" t="str">
        <f t="shared" si="106"/>
        <v/>
      </c>
      <c r="BC307" t="str">
        <f>IF(AZ307=1,IF(S307="","",IF(S307=N144,"Yes","No")),"")</f>
        <v/>
      </c>
      <c r="BD307" t="str">
        <f t="shared" si="107"/>
        <v/>
      </c>
      <c r="BE307" t="str">
        <f t="shared" si="108"/>
        <v/>
      </c>
      <c r="BF307" t="str">
        <f t="shared" si="109"/>
        <v>No</v>
      </c>
      <c r="BG307" t="str">
        <f t="shared" si="110"/>
        <v>No</v>
      </c>
      <c r="BH307" t="str">
        <f t="shared" si="111"/>
        <v/>
      </c>
    </row>
    <row r="308" spans="9:60" x14ac:dyDescent="0.3">
      <c r="I308" t="str">
        <f t="shared" si="88"/>
        <v>N/A</v>
      </c>
      <c r="J308" t="str">
        <f t="shared" si="89"/>
        <v>N/A</v>
      </c>
      <c r="K308" t="str">
        <f t="shared" si="90"/>
        <v>N/A</v>
      </c>
      <c r="L308" t="str">
        <f t="shared" si="91"/>
        <v>N/A</v>
      </c>
      <c r="M308" t="str">
        <f t="shared" si="92"/>
        <v>N/A</v>
      </c>
      <c r="N308" t="str">
        <f t="shared" si="93"/>
        <v>N/A</v>
      </c>
      <c r="P308">
        <f t="shared" si="94"/>
        <v>0</v>
      </c>
      <c r="Q308" t="str">
        <f>IFERROR(J144+MATCH(P308,J308:N308,0)-1,"")</f>
        <v/>
      </c>
      <c r="R308" t="str">
        <f t="shared" si="95"/>
        <v/>
      </c>
      <c r="S308" t="str">
        <f>IFERROR(J144+MATCH(R308,J308:N308,0)-1,"")</f>
        <v/>
      </c>
      <c r="T308" t="str">
        <f t="shared" si="96"/>
        <v/>
      </c>
      <c r="U308" t="str">
        <f t="shared" si="97"/>
        <v/>
      </c>
      <c r="V308" t="str">
        <f t="shared" si="98"/>
        <v/>
      </c>
      <c r="W308" t="str">
        <f t="shared" si="99"/>
        <v/>
      </c>
      <c r="X308" t="str">
        <f t="shared" si="100"/>
        <v/>
      </c>
      <c r="Y308" t="str">
        <f t="shared" si="101"/>
        <v/>
      </c>
      <c r="Z308" t="str">
        <f t="shared" si="102"/>
        <v/>
      </c>
      <c r="AA308">
        <f t="shared" si="103"/>
        <v>0</v>
      </c>
      <c r="AB308" t="str">
        <f>IFERROR(V144+MATCH(AA308,V308:Z308,0)-1,"")</f>
        <v/>
      </c>
      <c r="AC308" t="str">
        <f t="shared" si="104"/>
        <v/>
      </c>
      <c r="AE308" t="str">
        <f>IF(ISNUMBER(MATCH("N/A",J308:N308,0)),"",IFERROR((5 * SUMPRODUCT(J144:N144,J308:N308) - PRODUCT(SUM(J144:N144),SUM(J308:N308))) / ((5 * SUM((J144^2)+(K144^2)+(L144^2)+(M144^2)+(N144^2))) - SUM(J144:N144)^2),""))</f>
        <v/>
      </c>
      <c r="AF308" t="str">
        <f>IFERROR(CORREL(J144:N144,J308:N308),"")</f>
        <v/>
      </c>
      <c r="AZ308">
        <f t="shared" si="105"/>
        <v>0</v>
      </c>
      <c r="BA308" t="str">
        <f>IF(AZ308=1,IF(Q308="","",IF(Q308=N144,"Yes","No")),"")</f>
        <v/>
      </c>
      <c r="BB308" t="str">
        <f t="shared" si="106"/>
        <v/>
      </c>
      <c r="BC308" t="str">
        <f>IF(AZ308=1,IF(S308="","",IF(S308=N144,"Yes","No")),"")</f>
        <v/>
      </c>
      <c r="BD308" t="str">
        <f t="shared" si="107"/>
        <v/>
      </c>
      <c r="BE308" t="str">
        <f t="shared" si="108"/>
        <v/>
      </c>
      <c r="BF308" t="str">
        <f t="shared" si="109"/>
        <v>No</v>
      </c>
      <c r="BG308" t="str">
        <f t="shared" si="110"/>
        <v>No</v>
      </c>
      <c r="BH308" t="str">
        <f t="shared" si="111"/>
        <v/>
      </c>
    </row>
    <row r="309" spans="9:60" x14ac:dyDescent="0.3">
      <c r="I309" t="str">
        <f t="shared" si="88"/>
        <v>N/A</v>
      </c>
      <c r="J309" t="str">
        <f t="shared" si="89"/>
        <v>N/A</v>
      </c>
      <c r="K309" t="str">
        <f t="shared" si="90"/>
        <v>N/A</v>
      </c>
      <c r="L309" t="str">
        <f t="shared" si="91"/>
        <v>N/A</v>
      </c>
      <c r="M309" t="str">
        <f t="shared" si="92"/>
        <v>N/A</v>
      </c>
      <c r="N309" t="str">
        <f t="shared" si="93"/>
        <v>N/A</v>
      </c>
      <c r="P309">
        <f t="shared" si="94"/>
        <v>0</v>
      </c>
      <c r="Q309" t="str">
        <f>IFERROR(J144+MATCH(P309,J309:N309,0)-1,"")</f>
        <v/>
      </c>
      <c r="R309" t="str">
        <f t="shared" si="95"/>
        <v/>
      </c>
      <c r="S309" t="str">
        <f>IFERROR(J144+MATCH(R309,J309:N309,0)-1,"")</f>
        <v/>
      </c>
      <c r="T309" t="str">
        <f t="shared" si="96"/>
        <v/>
      </c>
      <c r="U309" t="str">
        <f t="shared" si="97"/>
        <v/>
      </c>
      <c r="V309" t="str">
        <f t="shared" si="98"/>
        <v/>
      </c>
      <c r="W309" t="str">
        <f t="shared" si="99"/>
        <v/>
      </c>
      <c r="X309" t="str">
        <f t="shared" si="100"/>
        <v/>
      </c>
      <c r="Y309" t="str">
        <f t="shared" si="101"/>
        <v/>
      </c>
      <c r="Z309" t="str">
        <f t="shared" si="102"/>
        <v/>
      </c>
      <c r="AA309">
        <f t="shared" si="103"/>
        <v>0</v>
      </c>
      <c r="AB309" t="str">
        <f>IFERROR(V144+MATCH(AA309,V309:Z309,0)-1,"")</f>
        <v/>
      </c>
      <c r="AC309" t="str">
        <f t="shared" si="104"/>
        <v/>
      </c>
      <c r="AE309" t="str">
        <f>IF(ISNUMBER(MATCH("N/A",J309:N309,0)),"",IFERROR((5 * SUMPRODUCT(J144:N144,J309:N309) - PRODUCT(SUM(J144:N144),SUM(J309:N309))) / ((5 * SUM((J144^2)+(K144^2)+(L144^2)+(M144^2)+(N144^2))) - SUM(J144:N144)^2),""))</f>
        <v/>
      </c>
      <c r="AF309" t="str">
        <f>IFERROR(CORREL(J144:N144,J309:N309),"")</f>
        <v/>
      </c>
      <c r="AZ309">
        <f t="shared" si="105"/>
        <v>0</v>
      </c>
      <c r="BA309" t="str">
        <f>IF(AZ309=1,IF(Q309="","",IF(Q309=N144,"Yes","No")),"")</f>
        <v/>
      </c>
      <c r="BB309" t="str">
        <f t="shared" si="106"/>
        <v/>
      </c>
      <c r="BC309" t="str">
        <f>IF(AZ309=1,IF(S309="","",IF(S309=N144,"Yes","No")),"")</f>
        <v/>
      </c>
      <c r="BD309" t="str">
        <f t="shared" si="107"/>
        <v/>
      </c>
      <c r="BE309" t="str">
        <f t="shared" si="108"/>
        <v/>
      </c>
      <c r="BF309" t="str">
        <f t="shared" si="109"/>
        <v>No</v>
      </c>
      <c r="BG309" t="str">
        <f t="shared" si="110"/>
        <v>No</v>
      </c>
      <c r="BH309" t="str">
        <f t="shared" si="111"/>
        <v/>
      </c>
    </row>
    <row r="310" spans="9:60" x14ac:dyDescent="0.3">
      <c r="I310" t="str">
        <f t="shared" si="88"/>
        <v>N/A</v>
      </c>
      <c r="J310" t="str">
        <f t="shared" si="89"/>
        <v>N/A</v>
      </c>
      <c r="K310" t="str">
        <f t="shared" si="90"/>
        <v>N/A</v>
      </c>
      <c r="L310" t="str">
        <f t="shared" si="91"/>
        <v>N/A</v>
      </c>
      <c r="M310" t="str">
        <f t="shared" si="92"/>
        <v>N/A</v>
      </c>
      <c r="N310" t="str">
        <f t="shared" si="93"/>
        <v>N/A</v>
      </c>
      <c r="P310">
        <f t="shared" si="94"/>
        <v>0</v>
      </c>
      <c r="Q310" t="str">
        <f>IFERROR(J144+MATCH(P310,J310:N310,0)-1,"")</f>
        <v/>
      </c>
      <c r="R310" t="str">
        <f t="shared" si="95"/>
        <v/>
      </c>
      <c r="S310" t="str">
        <f>IFERROR(J144+MATCH(R310,J310:N310,0)-1,"")</f>
        <v/>
      </c>
      <c r="T310" t="str">
        <f t="shared" si="96"/>
        <v/>
      </c>
      <c r="U310" t="str">
        <f t="shared" si="97"/>
        <v/>
      </c>
      <c r="V310" t="str">
        <f t="shared" si="98"/>
        <v/>
      </c>
      <c r="W310" t="str">
        <f t="shared" si="99"/>
        <v/>
      </c>
      <c r="X310" t="str">
        <f t="shared" si="100"/>
        <v/>
      </c>
      <c r="Y310" t="str">
        <f t="shared" si="101"/>
        <v/>
      </c>
      <c r="Z310" t="str">
        <f t="shared" si="102"/>
        <v/>
      </c>
      <c r="AA310">
        <f t="shared" si="103"/>
        <v>0</v>
      </c>
      <c r="AB310" t="str">
        <f>IFERROR(V144+MATCH(AA310,V310:Z310,0)-1,"")</f>
        <v/>
      </c>
      <c r="AC310" t="str">
        <f t="shared" si="104"/>
        <v/>
      </c>
      <c r="AE310" t="str">
        <f>IF(ISNUMBER(MATCH("N/A",J310:N310,0)),"",IFERROR((5 * SUMPRODUCT(J144:N144,J310:N310) - PRODUCT(SUM(J144:N144),SUM(J310:N310))) / ((5 * SUM((J144^2)+(K144^2)+(L144^2)+(M144^2)+(N144^2))) - SUM(J144:N144)^2),""))</f>
        <v/>
      </c>
      <c r="AF310" t="str">
        <f>IFERROR(CORREL(J144:N144,J310:N310),"")</f>
        <v/>
      </c>
      <c r="AZ310">
        <f t="shared" si="105"/>
        <v>0</v>
      </c>
      <c r="BA310" t="str">
        <f>IF(AZ310=1,IF(Q310="","",IF(Q310=N144,"Yes","No")),"")</f>
        <v/>
      </c>
      <c r="BB310" t="str">
        <f t="shared" si="106"/>
        <v/>
      </c>
      <c r="BC310" t="str">
        <f>IF(AZ310=1,IF(S310="","",IF(S310=N144,"Yes","No")),"")</f>
        <v/>
      </c>
      <c r="BD310" t="str">
        <f t="shared" si="107"/>
        <v/>
      </c>
      <c r="BE310" t="str">
        <f t="shared" si="108"/>
        <v/>
      </c>
      <c r="BF310" t="str">
        <f t="shared" si="109"/>
        <v>No</v>
      </c>
      <c r="BG310" t="str">
        <f t="shared" si="110"/>
        <v>No</v>
      </c>
      <c r="BH310" t="str">
        <f t="shared" si="111"/>
        <v/>
      </c>
    </row>
    <row r="311" spans="9:60" x14ac:dyDescent="0.3">
      <c r="P311">
        <f t="shared" si="94"/>
        <v>0</v>
      </c>
      <c r="Q311" t="str">
        <f>IFERROR(J144+MATCH(P311,J311:N311,0)-1,"")</f>
        <v/>
      </c>
      <c r="R311" t="str">
        <f t="shared" si="95"/>
        <v/>
      </c>
      <c r="S311" t="str">
        <f>IFERROR(J144+MATCH(R311,J311:N311,0)-1,"")</f>
        <v/>
      </c>
      <c r="T311" t="str">
        <f t="shared" si="96"/>
        <v/>
      </c>
      <c r="U311" t="str">
        <f t="shared" si="97"/>
        <v/>
      </c>
      <c r="V311" t="str">
        <f t="shared" si="98"/>
        <v/>
      </c>
      <c r="W311" t="str">
        <f t="shared" si="99"/>
        <v/>
      </c>
      <c r="X311" t="str">
        <f t="shared" si="100"/>
        <v/>
      </c>
      <c r="Y311" t="str">
        <f t="shared" si="101"/>
        <v/>
      </c>
      <c r="Z311" t="str">
        <f t="shared" si="102"/>
        <v/>
      </c>
      <c r="AA311">
        <f t="shared" si="103"/>
        <v>0</v>
      </c>
      <c r="AB311" t="str">
        <f>IFERROR(V144+MATCH(AA311,V311:Z311,0)-1,"")</f>
        <v/>
      </c>
      <c r="AC311" t="str">
        <f t="shared" si="104"/>
        <v/>
      </c>
      <c r="AE311" t="str">
        <f>IF(ISNUMBER(MATCH("N/A",J311:N311,0)),"",IFERROR((5 * SUMPRODUCT(J144:N144,J311:N311) - PRODUCT(SUM(J144:N144),SUM(J311:N311))) / ((5 * SUM((J144^2)+(K144^2)+(L144^2)+(M144^2)+(N144^2))) - SUM(J144:N144)^2),""))</f>
        <v/>
      </c>
      <c r="AF311" t="str">
        <f>IFERROR(CORREL(J144:N144,J311:N311),"")</f>
        <v/>
      </c>
      <c r="AZ311">
        <f t="shared" si="105"/>
        <v>0</v>
      </c>
      <c r="BA311" t="str">
        <f>IF(AZ311=1,IF(Q311="","",IF(Q311=N144,"Yes","No")),"")</f>
        <v/>
      </c>
      <c r="BB311" t="str">
        <f t="shared" si="106"/>
        <v/>
      </c>
      <c r="BC311" t="str">
        <f>IF(AZ311=1,IF(S311="","",IF(S311=N144,"Yes","No")),"")</f>
        <v/>
      </c>
      <c r="BD311" t="str">
        <f t="shared" si="107"/>
        <v/>
      </c>
      <c r="BE311" t="str">
        <f t="shared" si="108"/>
        <v/>
      </c>
      <c r="BF311" t="str">
        <f t="shared" si="109"/>
        <v>No</v>
      </c>
      <c r="BG311" t="str">
        <f t="shared" si="110"/>
        <v>No</v>
      </c>
      <c r="BH311" t="str">
        <f t="shared" si="111"/>
        <v/>
      </c>
    </row>
    <row r="312" spans="9:60" x14ac:dyDescent="0.3">
      <c r="I312" t="str">
        <f t="shared" ref="I312:I327" si="112">IF(AND(K312&gt; J312, L312&gt; K312, M312&gt; L312, N312&gt; M312), "pos_trend", IF(AND(K312&lt; J312, L312&lt; K312, M312&lt; L312, N312&lt; M312), "neg_trend", "N/A"))</f>
        <v>N/A</v>
      </c>
      <c r="J312" t="str">
        <f t="shared" ref="J312:J327" si="113">IFERROR(IF(TRIM(C312)="-", "N/A", IF(RIGHT(C312,1)=")",IF(RIGHT(C312,2)="T)",-1000000000000*VALUE(MID(C312,2,LEN(C312)-3)),IF(RIGHT(C312,2)="M)",-1000000*VALUE(MID(C312,2,LEN(C312)-3)),IF(RIGHT(C312,2)="B)",-1000000000*VALUE(MID(C312,2,LEN(C312)-3)),IF(RIGHT(C312,2)="k)",-1000*VALUE(MID(C312,2,LEN(C312)-3)),VALUE(SUBSTITUTE(C312,",","")))))),IF(RIGHT(C312,1)="T",1000000000000*VALUE(LEFT(C312,LEN(C312)-1)),IF(RIGHT(C312,1)="M",1000000*VALUE(LEFT(C312,LEN(C312)-1)),IF(RIGHT(C312,1)="B",1000000000*VALUE(LEFT(C312,LEN(C312)-1)),IF(RIGHT(C312,1)="%",0.01*VALUE(LEFT(C312,LEN(C312)-1)),IF(RIGHT(C312,1)="k",1000*VALUE(LEFT(C312,LEN(C312)-1)),VALUE(SUBSTITUTE(C312,",",""))))))))),"N/A")</f>
        <v>N/A</v>
      </c>
      <c r="K312" t="str">
        <f t="shared" ref="K312:K327" si="114">IFERROR(IF(TRIM(D312)="-", "N/A", IF(RIGHT(D312,1)=")",IF(RIGHT(D312,2)="T)",-1000000000000*VALUE(MID(D312,2,LEN(D312)-3)),IF(RIGHT(D312,2)="M)",-1000000*VALUE(MID(D312,2,LEN(D312)-3)),IF(RIGHT(D312,2)="B)",-1000000000*VALUE(MID(D312,2,LEN(D312)-3)),IF(RIGHT(D312,2)="k)",-1000*VALUE(MID(D312,2,LEN(D312)-3)),VALUE(SUBSTITUTE(D312,",","")))))),IF(RIGHT(D312,1)="T",1000000000000*VALUE(LEFT(D312,LEN(D312)-1)),IF(RIGHT(D312,1)="M",1000000*VALUE(LEFT(D312,LEN(D312)-1)),IF(RIGHT(D312,1)="B",1000000000*VALUE(LEFT(D312,LEN(D312)-1)),IF(RIGHT(D312,1)="%",0.01*VALUE(LEFT(D312,LEN(D312)-1)),IF(RIGHT(D312,1)="k",1000*VALUE(LEFT(D312,LEN(D312)-1)),VALUE(SUBSTITUTE(D312,",",""))))))))),"N/A")</f>
        <v>N/A</v>
      </c>
      <c r="L312" t="str">
        <f t="shared" ref="L312:L327" si="115">IFERROR(IF(TRIM(E312)="-", "N/A", IF(RIGHT(E312,1)=")",IF(RIGHT(E312,2)="T)",-1000000000000*VALUE(MID(E312,2,LEN(E312)-3)),IF(RIGHT(E312,2)="M)",-1000000*VALUE(MID(E312,2,LEN(E312)-3)),IF(RIGHT(E312,2)="B)",-1000000000*VALUE(MID(E312,2,LEN(E312)-3)),IF(RIGHT(E312,2)="k)",-1000*VALUE(MID(E312,2,LEN(E312)-3)),VALUE(SUBSTITUTE(E312,",","")))))),IF(RIGHT(E312,1)="T",1000000000000*VALUE(LEFT(E312,LEN(E312)-1)),IF(RIGHT(E312,1)="M",1000000*VALUE(LEFT(E312,LEN(E312)-1)),IF(RIGHT(E312,1)="B",1000000000*VALUE(LEFT(E312,LEN(E312)-1)),IF(RIGHT(E312,1)="%",0.01*VALUE(LEFT(E312,LEN(E312)-1)),IF(RIGHT(E312,1)="k",1000*VALUE(LEFT(E312,LEN(E312)-1)),VALUE(SUBSTITUTE(E312,",",""))))))))),"N/A")</f>
        <v>N/A</v>
      </c>
      <c r="M312" t="str">
        <f t="shared" ref="M312:M327" si="116">IFERROR(IF(TRIM(F312)="-", "N/A", IF(RIGHT(F312,1)=")",IF(RIGHT(F312,2)="T)",-1000000000000*VALUE(MID(F312,2,LEN(F312)-3)),IF(RIGHT(F312,2)="M)",-1000000*VALUE(MID(F312,2,LEN(F312)-3)),IF(RIGHT(F312,2)="B)",-1000000000*VALUE(MID(F312,2,LEN(F312)-3)),IF(RIGHT(F312,2)="k)",-1000*VALUE(MID(F312,2,LEN(F312)-3)),VALUE(SUBSTITUTE(F312,",","")))))),IF(RIGHT(F312,1)="T",1000000000000*VALUE(LEFT(F312,LEN(F312)-1)),IF(RIGHT(F312,1)="M",1000000*VALUE(LEFT(F312,LEN(F312)-1)),IF(RIGHT(F312,1)="B",1000000000*VALUE(LEFT(F312,LEN(F312)-1)),IF(RIGHT(F312,1)="%",0.01*VALUE(LEFT(F312,LEN(F312)-1)),IF(RIGHT(F312,1)="k",1000*VALUE(LEFT(F312,LEN(F312)-1)),VALUE(SUBSTITUTE(F312,",",""))))))))),"N/A")</f>
        <v>N/A</v>
      </c>
      <c r="N312" t="str">
        <f t="shared" ref="N312:N327" si="117">IFERROR(IF(TRIM(G312)="-", "N/A", IF(RIGHT(G312,1)=")",IF(RIGHT(G312,2)="T)",-1000000000000*VALUE(MID(G312,2,LEN(G312)-3)),IF(RIGHT(G312,2)="M)",-1000000*VALUE(MID(G312,2,LEN(G312)-3)),IF(RIGHT(G312,2)="B)",-1000000000*VALUE(MID(G312,2,LEN(G312)-3)),IF(RIGHT(G312,2)="k)",-1000*VALUE(MID(G312,2,LEN(G312)-3)),VALUE(SUBSTITUTE(G312,",","")))))),IF(RIGHT(G312,1)="T",1000000000000*VALUE(LEFT(G312,LEN(G312)-1)),IF(RIGHT(G312,1)="M",1000000*VALUE(LEFT(G312,LEN(G312)-1)),IF(RIGHT(G312,1)="B",1000000000*VALUE(LEFT(G312,LEN(G312)-1)),IF(RIGHT(G312,1)="%",0.01*VALUE(LEFT(G312,LEN(G312)-1)),IF(RIGHT(G312,1)="k",1000*VALUE(LEFT(G312,LEN(G312)-1)),VALUE(SUBSTITUTE(G312,",",""))))))))),"N/A")</f>
        <v>N/A</v>
      </c>
      <c r="P312">
        <f t="shared" si="94"/>
        <v>0</v>
      </c>
      <c r="Q312" t="str">
        <f>IFERROR(J144+MATCH(P312,J312:N312,0)-1,"")</f>
        <v/>
      </c>
      <c r="R312" t="str">
        <f t="shared" si="95"/>
        <v/>
      </c>
      <c r="S312" t="str">
        <f>IFERROR(J144+MATCH(R312,J312:N312,0)-1,"")</f>
        <v/>
      </c>
      <c r="T312" t="str">
        <f t="shared" si="96"/>
        <v/>
      </c>
      <c r="U312" t="str">
        <f t="shared" si="97"/>
        <v/>
      </c>
      <c r="V312" t="str">
        <f t="shared" si="98"/>
        <v/>
      </c>
      <c r="W312" t="str">
        <f t="shared" si="99"/>
        <v/>
      </c>
      <c r="X312" t="str">
        <f t="shared" si="100"/>
        <v/>
      </c>
      <c r="Y312" t="str">
        <f t="shared" si="101"/>
        <v/>
      </c>
      <c r="Z312" t="str">
        <f t="shared" si="102"/>
        <v/>
      </c>
      <c r="AA312">
        <f t="shared" si="103"/>
        <v>0</v>
      </c>
      <c r="AB312" t="str">
        <f>IFERROR(V144+MATCH(AA312,V312:Z312,0)-1,"")</f>
        <v/>
      </c>
      <c r="AC312" t="str">
        <f t="shared" si="104"/>
        <v/>
      </c>
      <c r="AE312" t="str">
        <f>IF(ISNUMBER(MATCH("N/A",J312:N312,0)),"",IFERROR((5 * SUMPRODUCT(J144:N144,J312:N312) - PRODUCT(SUM(J144:N144),SUM(J312:N312))) / ((5 * SUM((J144^2)+(K144^2)+(L144^2)+(M144^2)+(N144^2))) - SUM(J144:N144)^2),""))</f>
        <v/>
      </c>
      <c r="AF312" t="str">
        <f>IFERROR(CORREL(J144:N144,J312:N312),"")</f>
        <v/>
      </c>
      <c r="AZ312">
        <f t="shared" si="105"/>
        <v>0</v>
      </c>
      <c r="BA312" t="str">
        <f>IF(AZ312=1,IF(Q312="","",IF(Q312=N144,"Yes","No")),"")</f>
        <v/>
      </c>
      <c r="BB312" t="str">
        <f t="shared" si="106"/>
        <v/>
      </c>
      <c r="BC312" t="str">
        <f>IF(AZ312=1,IF(S312="","",IF(S312=N144,"Yes","No")),"")</f>
        <v/>
      </c>
      <c r="BD312" t="str">
        <f t="shared" si="107"/>
        <v/>
      </c>
      <c r="BE312" t="str">
        <f t="shared" si="108"/>
        <v/>
      </c>
      <c r="BF312" t="str">
        <f t="shared" si="109"/>
        <v>No</v>
      </c>
      <c r="BG312" t="str">
        <f t="shared" si="110"/>
        <v>No</v>
      </c>
      <c r="BH312" t="str">
        <f t="shared" si="111"/>
        <v/>
      </c>
    </row>
    <row r="313" spans="9:60" x14ac:dyDescent="0.3">
      <c r="I313" t="str">
        <f t="shared" si="112"/>
        <v>N/A</v>
      </c>
      <c r="J313" t="str">
        <f t="shared" si="113"/>
        <v>N/A</v>
      </c>
      <c r="K313" t="str">
        <f t="shared" si="114"/>
        <v>N/A</v>
      </c>
      <c r="L313" t="str">
        <f t="shared" si="115"/>
        <v>N/A</v>
      </c>
      <c r="M313" t="str">
        <f t="shared" si="116"/>
        <v>N/A</v>
      </c>
      <c r="N313" t="str">
        <f t="shared" si="117"/>
        <v>N/A</v>
      </c>
      <c r="P313">
        <f t="shared" si="94"/>
        <v>0</v>
      </c>
      <c r="Q313" t="str">
        <f>IFERROR(J144+MATCH(P313,J313:N313,0)-1,"")</f>
        <v/>
      </c>
      <c r="R313" t="str">
        <f t="shared" si="95"/>
        <v/>
      </c>
      <c r="S313" t="str">
        <f>IFERROR(J144+MATCH(R313,J313:N313,0)-1,"")</f>
        <v/>
      </c>
      <c r="T313" t="str">
        <f t="shared" si="96"/>
        <v/>
      </c>
      <c r="U313" t="str">
        <f t="shared" si="97"/>
        <v/>
      </c>
      <c r="V313" t="str">
        <f t="shared" si="98"/>
        <v/>
      </c>
      <c r="W313" t="str">
        <f t="shared" si="99"/>
        <v/>
      </c>
      <c r="X313" t="str">
        <f t="shared" si="100"/>
        <v/>
      </c>
      <c r="Y313" t="str">
        <f t="shared" si="101"/>
        <v/>
      </c>
      <c r="Z313" t="str">
        <f t="shared" si="102"/>
        <v/>
      </c>
      <c r="AA313">
        <f t="shared" si="103"/>
        <v>0</v>
      </c>
      <c r="AB313" t="str">
        <f>IFERROR(V144+MATCH(AA313,V313:Z313,0)-1,"")</f>
        <v/>
      </c>
      <c r="AC313" t="str">
        <f t="shared" si="104"/>
        <v/>
      </c>
      <c r="AE313" t="str">
        <f>IF(ISNUMBER(MATCH("N/A",J313:N313,0)),"",IFERROR((5 * SUMPRODUCT(J144:N144,J313:N313) - PRODUCT(SUM(J144:N144),SUM(J313:N313))) / ((5 * SUM((J144^2)+(K144^2)+(L144^2)+(M144^2)+(N144^2))) - SUM(J144:N144)^2),""))</f>
        <v/>
      </c>
      <c r="AF313" t="str">
        <f>IFERROR(CORREL(J144:N144,J313:N313),"")</f>
        <v/>
      </c>
      <c r="AZ313">
        <f t="shared" si="105"/>
        <v>0</v>
      </c>
      <c r="BA313" t="str">
        <f>IF(AZ313=1,IF(Q313="","",IF(Q313=N144,"Yes","No")),"")</f>
        <v/>
      </c>
      <c r="BB313" t="str">
        <f t="shared" si="106"/>
        <v/>
      </c>
      <c r="BC313" t="str">
        <f>IF(AZ313=1,IF(S313="","",IF(S313=N144,"Yes","No")),"")</f>
        <v/>
      </c>
      <c r="BD313" t="str">
        <f t="shared" si="107"/>
        <v/>
      </c>
      <c r="BE313" t="str">
        <f t="shared" si="108"/>
        <v/>
      </c>
      <c r="BF313" t="str">
        <f t="shared" si="109"/>
        <v>No</v>
      </c>
      <c r="BG313" t="str">
        <f t="shared" si="110"/>
        <v>No</v>
      </c>
      <c r="BH313" t="str">
        <f t="shared" si="111"/>
        <v/>
      </c>
    </row>
    <row r="314" spans="9:60" x14ac:dyDescent="0.3">
      <c r="I314" t="str">
        <f t="shared" si="112"/>
        <v>N/A</v>
      </c>
      <c r="J314" t="str">
        <f t="shared" si="113"/>
        <v>N/A</v>
      </c>
      <c r="K314" t="str">
        <f t="shared" si="114"/>
        <v>N/A</v>
      </c>
      <c r="L314" t="str">
        <f t="shared" si="115"/>
        <v>N/A</v>
      </c>
      <c r="M314" t="str">
        <f t="shared" si="116"/>
        <v>N/A</v>
      </c>
      <c r="N314" t="str">
        <f t="shared" si="117"/>
        <v>N/A</v>
      </c>
      <c r="P314">
        <f t="shared" si="94"/>
        <v>0</v>
      </c>
      <c r="Q314" t="str">
        <f>IFERROR(J144+MATCH(P314,J314:N314,0)-1,"")</f>
        <v/>
      </c>
      <c r="R314" t="str">
        <f t="shared" si="95"/>
        <v/>
      </c>
      <c r="S314" t="str">
        <f>IFERROR(J144+MATCH(R314,J314:N314,0)-1,"")</f>
        <v/>
      </c>
      <c r="T314" t="str">
        <f t="shared" si="96"/>
        <v/>
      </c>
      <c r="U314" t="str">
        <f t="shared" si="97"/>
        <v/>
      </c>
      <c r="V314" t="str">
        <f t="shared" si="98"/>
        <v/>
      </c>
      <c r="W314" t="str">
        <f t="shared" si="99"/>
        <v/>
      </c>
      <c r="X314" t="str">
        <f t="shared" si="100"/>
        <v/>
      </c>
      <c r="Y314" t="str">
        <f t="shared" si="101"/>
        <v/>
      </c>
      <c r="Z314" t="str">
        <f t="shared" si="102"/>
        <v/>
      </c>
      <c r="AA314">
        <f t="shared" si="103"/>
        <v>0</v>
      </c>
      <c r="AB314" t="str">
        <f>IFERROR(V144+MATCH(AA314,V314:Z314,0)-1,"")</f>
        <v/>
      </c>
      <c r="AC314" t="str">
        <f t="shared" si="104"/>
        <v/>
      </c>
      <c r="AE314" t="str">
        <f>IF(ISNUMBER(MATCH("N/A",J314:N314,0)),"",IFERROR((5 * SUMPRODUCT(J144:N144,J314:N314) - PRODUCT(SUM(J144:N144),SUM(J314:N314))) / ((5 * SUM((J144^2)+(K144^2)+(L144^2)+(M144^2)+(N144^2))) - SUM(J144:N144)^2),""))</f>
        <v/>
      </c>
      <c r="AF314" t="str">
        <f>IFERROR(CORREL(J144:N144,J314:N314),"")</f>
        <v/>
      </c>
      <c r="AZ314">
        <f t="shared" si="105"/>
        <v>0</v>
      </c>
      <c r="BA314" t="str">
        <f>IF(AZ314=1,IF(Q314="","",IF(Q314=N144,"Yes","No")),"")</f>
        <v/>
      </c>
      <c r="BB314" t="str">
        <f t="shared" si="106"/>
        <v/>
      </c>
      <c r="BC314" t="str">
        <f>IF(AZ314=1,IF(S314="","",IF(S314=N144,"Yes","No")),"")</f>
        <v/>
      </c>
      <c r="BD314" t="str">
        <f t="shared" si="107"/>
        <v/>
      </c>
      <c r="BE314" t="str">
        <f t="shared" si="108"/>
        <v/>
      </c>
      <c r="BF314" t="str">
        <f t="shared" si="109"/>
        <v>No</v>
      </c>
      <c r="BG314" t="str">
        <f t="shared" si="110"/>
        <v>No</v>
      </c>
      <c r="BH314" t="str">
        <f t="shared" si="111"/>
        <v/>
      </c>
    </row>
    <row r="315" spans="9:60" x14ac:dyDescent="0.3">
      <c r="I315" t="str">
        <f t="shared" si="112"/>
        <v>N/A</v>
      </c>
      <c r="J315" t="str">
        <f t="shared" si="113"/>
        <v>N/A</v>
      </c>
      <c r="K315" t="str">
        <f t="shared" si="114"/>
        <v>N/A</v>
      </c>
      <c r="L315" t="str">
        <f t="shared" si="115"/>
        <v>N/A</v>
      </c>
      <c r="M315" t="str">
        <f t="shared" si="116"/>
        <v>N/A</v>
      </c>
      <c r="N315" t="str">
        <f t="shared" si="117"/>
        <v>N/A</v>
      </c>
      <c r="P315">
        <f t="shared" si="94"/>
        <v>0</v>
      </c>
      <c r="Q315" t="str">
        <f>IFERROR(J144+MATCH(P315,J315:N315,0)-1,"")</f>
        <v/>
      </c>
      <c r="R315" t="str">
        <f t="shared" si="95"/>
        <v/>
      </c>
      <c r="S315" t="str">
        <f>IFERROR(J144+MATCH(R315,J315:N315,0)-1,"")</f>
        <v/>
      </c>
      <c r="T315" t="str">
        <f t="shared" si="96"/>
        <v/>
      </c>
      <c r="U315" t="str">
        <f t="shared" si="97"/>
        <v/>
      </c>
      <c r="V315" t="str">
        <f t="shared" si="98"/>
        <v/>
      </c>
      <c r="W315" t="str">
        <f t="shared" si="99"/>
        <v/>
      </c>
      <c r="X315" t="str">
        <f t="shared" si="100"/>
        <v/>
      </c>
      <c r="Y315" t="str">
        <f t="shared" si="101"/>
        <v/>
      </c>
      <c r="Z315" t="str">
        <f t="shared" si="102"/>
        <v/>
      </c>
      <c r="AA315">
        <f t="shared" si="103"/>
        <v>0</v>
      </c>
      <c r="AB315" t="str">
        <f>IFERROR(V144+MATCH(AA315,V315:Z315,0)-1,"")</f>
        <v/>
      </c>
      <c r="AC315" t="str">
        <f t="shared" si="104"/>
        <v/>
      </c>
      <c r="AE315" t="str">
        <f>IF(ISNUMBER(MATCH("N/A",J315:N315,0)),"",IFERROR((5 * SUMPRODUCT(J144:N144,J315:N315) - PRODUCT(SUM(J144:N144),SUM(J315:N315))) / ((5 * SUM((J144^2)+(K144^2)+(L144^2)+(M144^2)+(N144^2))) - SUM(J144:N144)^2),""))</f>
        <v/>
      </c>
      <c r="AF315" t="str">
        <f>IFERROR(CORREL(J144:N144,J315:N315),"")</f>
        <v/>
      </c>
      <c r="AZ315">
        <f t="shared" si="105"/>
        <v>0</v>
      </c>
      <c r="BA315" t="str">
        <f>IF(AZ315=1,IF(Q315="","",IF(Q315=N144,"Yes","No")),"")</f>
        <v/>
      </c>
      <c r="BB315" t="str">
        <f t="shared" si="106"/>
        <v/>
      </c>
      <c r="BC315" t="str">
        <f>IF(AZ315=1,IF(S315="","",IF(S315=N144,"Yes","No")),"")</f>
        <v/>
      </c>
      <c r="BD315" t="str">
        <f t="shared" si="107"/>
        <v/>
      </c>
      <c r="BE315" t="str">
        <f t="shared" si="108"/>
        <v/>
      </c>
      <c r="BF315" t="str">
        <f t="shared" si="109"/>
        <v>No</v>
      </c>
      <c r="BG315" t="str">
        <f t="shared" si="110"/>
        <v>No</v>
      </c>
      <c r="BH315" t="str">
        <f t="shared" si="111"/>
        <v/>
      </c>
    </row>
    <row r="316" spans="9:60" x14ac:dyDescent="0.3">
      <c r="I316" t="str">
        <f t="shared" si="112"/>
        <v>N/A</v>
      </c>
      <c r="J316" t="str">
        <f t="shared" si="113"/>
        <v>N/A</v>
      </c>
      <c r="K316" t="str">
        <f t="shared" si="114"/>
        <v>N/A</v>
      </c>
      <c r="L316" t="str">
        <f t="shared" si="115"/>
        <v>N/A</v>
      </c>
      <c r="M316" t="str">
        <f t="shared" si="116"/>
        <v>N/A</v>
      </c>
      <c r="N316" t="str">
        <f t="shared" si="117"/>
        <v>N/A</v>
      </c>
      <c r="P316">
        <f t="shared" si="94"/>
        <v>0</v>
      </c>
      <c r="Q316" t="str">
        <f>IFERROR(J144+MATCH(P316,J316:N316,0)-1,"")</f>
        <v/>
      </c>
      <c r="R316" t="str">
        <f t="shared" si="95"/>
        <v/>
      </c>
      <c r="S316" t="str">
        <f>IFERROR(J144+MATCH(R316,J316:N316,0)-1,"")</f>
        <v/>
      </c>
      <c r="T316" t="str">
        <f t="shared" si="96"/>
        <v/>
      </c>
      <c r="U316" t="str">
        <f t="shared" si="97"/>
        <v/>
      </c>
      <c r="V316" t="str">
        <f t="shared" si="98"/>
        <v/>
      </c>
      <c r="W316" t="str">
        <f t="shared" si="99"/>
        <v/>
      </c>
      <c r="X316" t="str">
        <f t="shared" si="100"/>
        <v/>
      </c>
      <c r="Y316" t="str">
        <f t="shared" si="101"/>
        <v/>
      </c>
      <c r="Z316" t="str">
        <f t="shared" si="102"/>
        <v/>
      </c>
      <c r="AA316">
        <f t="shared" si="103"/>
        <v>0</v>
      </c>
      <c r="AB316" t="str">
        <f>IFERROR(V144+MATCH(AA316,V316:Z316,0)-1,"")</f>
        <v/>
      </c>
      <c r="AC316" t="str">
        <f t="shared" si="104"/>
        <v/>
      </c>
      <c r="AE316" t="str">
        <f>IF(ISNUMBER(MATCH("N/A",J316:N316,0)),"",IFERROR((5 * SUMPRODUCT(J144:N144,J316:N316) - PRODUCT(SUM(J144:N144),SUM(J316:N316))) / ((5 * SUM((J144^2)+(K144^2)+(L144^2)+(M144^2)+(N144^2))) - SUM(J144:N144)^2),""))</f>
        <v/>
      </c>
      <c r="AF316" t="str">
        <f>IFERROR(CORREL(J144:N144,J316:N316),"")</f>
        <v/>
      </c>
      <c r="AZ316">
        <f t="shared" si="105"/>
        <v>0</v>
      </c>
      <c r="BA316" t="str">
        <f>IF(AZ316=1,IF(Q316="","",IF(Q316=N144,"Yes","No")),"")</f>
        <v/>
      </c>
      <c r="BB316" t="str">
        <f t="shared" si="106"/>
        <v/>
      </c>
      <c r="BC316" t="str">
        <f>IF(AZ316=1,IF(S316="","",IF(S316=N144,"Yes","No")),"")</f>
        <v/>
      </c>
      <c r="BD316" t="str">
        <f t="shared" si="107"/>
        <v/>
      </c>
      <c r="BE316" t="str">
        <f t="shared" si="108"/>
        <v/>
      </c>
      <c r="BF316" t="str">
        <f t="shared" si="109"/>
        <v>No</v>
      </c>
      <c r="BG316" t="str">
        <f t="shared" si="110"/>
        <v>No</v>
      </c>
      <c r="BH316" t="str">
        <f t="shared" si="111"/>
        <v/>
      </c>
    </row>
    <row r="317" spans="9:60" x14ac:dyDescent="0.3">
      <c r="I317" t="str">
        <f t="shared" si="112"/>
        <v>N/A</v>
      </c>
      <c r="J317" t="str">
        <f t="shared" si="113"/>
        <v>N/A</v>
      </c>
      <c r="K317" t="str">
        <f t="shared" si="114"/>
        <v>N/A</v>
      </c>
      <c r="L317" t="str">
        <f t="shared" si="115"/>
        <v>N/A</v>
      </c>
      <c r="M317" t="str">
        <f t="shared" si="116"/>
        <v>N/A</v>
      </c>
      <c r="N317" t="str">
        <f t="shared" si="117"/>
        <v>N/A</v>
      </c>
      <c r="P317">
        <f t="shared" si="94"/>
        <v>0</v>
      </c>
      <c r="Q317" t="str">
        <f>IFERROR(J144+MATCH(P317,J317:N317,0)-1,"")</f>
        <v/>
      </c>
      <c r="R317" t="str">
        <f t="shared" si="95"/>
        <v/>
      </c>
      <c r="S317" t="str">
        <f>IFERROR(J144+MATCH(R317,J317:N317,0)-1,"")</f>
        <v/>
      </c>
      <c r="T317" t="str">
        <f t="shared" si="96"/>
        <v/>
      </c>
      <c r="U317" t="str">
        <f t="shared" si="97"/>
        <v/>
      </c>
      <c r="V317" t="str">
        <f t="shared" si="98"/>
        <v/>
      </c>
      <c r="W317" t="str">
        <f t="shared" si="99"/>
        <v/>
      </c>
      <c r="X317" t="str">
        <f t="shared" si="100"/>
        <v/>
      </c>
      <c r="Y317" t="str">
        <f t="shared" si="101"/>
        <v/>
      </c>
      <c r="Z317" t="str">
        <f t="shared" si="102"/>
        <v/>
      </c>
      <c r="AA317">
        <f t="shared" si="103"/>
        <v>0</v>
      </c>
      <c r="AB317" t="str">
        <f>IFERROR(V144+MATCH(AA317,V317:Z317,0)-1,"")</f>
        <v/>
      </c>
      <c r="AC317" t="str">
        <f t="shared" si="104"/>
        <v/>
      </c>
      <c r="AE317" t="str">
        <f>IF(ISNUMBER(MATCH("N/A",J317:N317,0)),"",IFERROR((5 * SUMPRODUCT(J144:N144,J317:N317) - PRODUCT(SUM(J144:N144),SUM(J317:N317))) / ((5 * SUM((J144^2)+(K144^2)+(L144^2)+(M144^2)+(N144^2))) - SUM(J144:N144)^2),""))</f>
        <v/>
      </c>
      <c r="AF317" t="str">
        <f>IFERROR(CORREL(J144:N144,J317:N317),"")</f>
        <v/>
      </c>
      <c r="AZ317">
        <f t="shared" si="105"/>
        <v>0</v>
      </c>
      <c r="BA317" t="str">
        <f>IF(AZ317=1,IF(Q317="","",IF(Q317=N144,"Yes","No")),"")</f>
        <v/>
      </c>
      <c r="BB317" t="str">
        <f t="shared" si="106"/>
        <v/>
      </c>
      <c r="BC317" t="str">
        <f>IF(AZ317=1,IF(S317="","",IF(S317=N144,"Yes","No")),"")</f>
        <v/>
      </c>
      <c r="BD317" t="str">
        <f t="shared" si="107"/>
        <v/>
      </c>
      <c r="BE317" t="str">
        <f t="shared" si="108"/>
        <v/>
      </c>
      <c r="BF317" t="str">
        <f t="shared" si="109"/>
        <v>No</v>
      </c>
      <c r="BG317" t="str">
        <f t="shared" si="110"/>
        <v>No</v>
      </c>
      <c r="BH317" t="str">
        <f t="shared" si="111"/>
        <v/>
      </c>
    </row>
    <row r="318" spans="9:60" x14ac:dyDescent="0.3">
      <c r="I318" t="str">
        <f t="shared" si="112"/>
        <v>N/A</v>
      </c>
      <c r="J318" t="str">
        <f t="shared" si="113"/>
        <v>N/A</v>
      </c>
      <c r="K318" t="str">
        <f t="shared" si="114"/>
        <v>N/A</v>
      </c>
      <c r="L318" t="str">
        <f t="shared" si="115"/>
        <v>N/A</v>
      </c>
      <c r="M318" t="str">
        <f t="shared" si="116"/>
        <v>N/A</v>
      </c>
      <c r="N318" t="str">
        <f t="shared" si="117"/>
        <v>N/A</v>
      </c>
      <c r="P318">
        <f t="shared" si="94"/>
        <v>0</v>
      </c>
      <c r="Q318" t="str">
        <f>IFERROR(J144+MATCH(P318,J318:N318,0)-1,"")</f>
        <v/>
      </c>
      <c r="R318" t="str">
        <f t="shared" si="95"/>
        <v/>
      </c>
      <c r="S318" t="str">
        <f>IFERROR(J144+MATCH(R318,J318:N318,0)-1,"")</f>
        <v/>
      </c>
      <c r="T318" t="str">
        <f t="shared" si="96"/>
        <v/>
      </c>
      <c r="U318" t="str">
        <f t="shared" si="97"/>
        <v/>
      </c>
      <c r="V318" t="str">
        <f t="shared" si="98"/>
        <v/>
      </c>
      <c r="W318" t="str">
        <f t="shared" si="99"/>
        <v/>
      </c>
      <c r="X318" t="str">
        <f t="shared" si="100"/>
        <v/>
      </c>
      <c r="Y318" t="str">
        <f t="shared" si="101"/>
        <v/>
      </c>
      <c r="Z318" t="str">
        <f t="shared" si="102"/>
        <v/>
      </c>
      <c r="AA318">
        <f t="shared" si="103"/>
        <v>0</v>
      </c>
      <c r="AB318" t="str">
        <f>IFERROR(V144+MATCH(AA318,V318:Z318,0)-1,"")</f>
        <v/>
      </c>
      <c r="AC318" t="str">
        <f t="shared" si="104"/>
        <v/>
      </c>
      <c r="AE318" t="str">
        <f>IF(ISNUMBER(MATCH("N/A",J318:N318,0)),"",IFERROR((5 * SUMPRODUCT(J144:N144,J318:N318) - PRODUCT(SUM(J144:N144),SUM(J318:N318))) / ((5 * SUM((J144^2)+(K144^2)+(L144^2)+(M144^2)+(N144^2))) - SUM(J144:N144)^2),""))</f>
        <v/>
      </c>
      <c r="AF318" t="str">
        <f>IFERROR(CORREL(J144:N144,J318:N318),"")</f>
        <v/>
      </c>
      <c r="AZ318">
        <f t="shared" si="105"/>
        <v>0</v>
      </c>
      <c r="BA318" t="str">
        <f>IF(AZ318=1,IF(Q318="","",IF(Q318=N144,"Yes","No")),"")</f>
        <v/>
      </c>
      <c r="BB318" t="str">
        <f t="shared" si="106"/>
        <v/>
      </c>
      <c r="BC318" t="str">
        <f>IF(AZ318=1,IF(S318="","",IF(S318=N144,"Yes","No")),"")</f>
        <v/>
      </c>
      <c r="BD318" t="str">
        <f t="shared" si="107"/>
        <v/>
      </c>
      <c r="BE318" t="str">
        <f t="shared" si="108"/>
        <v/>
      </c>
      <c r="BF318" t="str">
        <f t="shared" si="109"/>
        <v>No</v>
      </c>
      <c r="BG318" t="str">
        <f t="shared" si="110"/>
        <v>No</v>
      </c>
      <c r="BH318" t="str">
        <f t="shared" si="111"/>
        <v/>
      </c>
    </row>
    <row r="319" spans="9:60" x14ac:dyDescent="0.3">
      <c r="I319" t="str">
        <f t="shared" si="112"/>
        <v>N/A</v>
      </c>
      <c r="J319" t="str">
        <f t="shared" si="113"/>
        <v>N/A</v>
      </c>
      <c r="K319" t="str">
        <f t="shared" si="114"/>
        <v>N/A</v>
      </c>
      <c r="L319" t="str">
        <f t="shared" si="115"/>
        <v>N/A</v>
      </c>
      <c r="M319" t="str">
        <f t="shared" si="116"/>
        <v>N/A</v>
      </c>
      <c r="N319" t="str">
        <f t="shared" si="117"/>
        <v>N/A</v>
      </c>
      <c r="P319">
        <f t="shared" si="94"/>
        <v>0</v>
      </c>
      <c r="Q319" t="str">
        <f>IFERROR(J144+MATCH(P319,J319:N319,0)-1,"")</f>
        <v/>
      </c>
      <c r="R319" t="str">
        <f t="shared" si="95"/>
        <v/>
      </c>
      <c r="S319" t="str">
        <f>IFERROR(J144+MATCH(R319,J319:N319,0)-1,"")</f>
        <v/>
      </c>
      <c r="T319" t="str">
        <f t="shared" si="96"/>
        <v/>
      </c>
      <c r="U319" t="str">
        <f t="shared" si="97"/>
        <v/>
      </c>
      <c r="V319" t="str">
        <f t="shared" si="98"/>
        <v/>
      </c>
      <c r="W319" t="str">
        <f t="shared" si="99"/>
        <v/>
      </c>
      <c r="X319" t="str">
        <f t="shared" si="100"/>
        <v/>
      </c>
      <c r="Y319" t="str">
        <f t="shared" si="101"/>
        <v/>
      </c>
      <c r="Z319" t="str">
        <f t="shared" si="102"/>
        <v/>
      </c>
      <c r="AA319">
        <f t="shared" si="103"/>
        <v>0</v>
      </c>
      <c r="AB319" t="str">
        <f>IFERROR(V144+MATCH(AA319,V319:Z319,0)-1,"")</f>
        <v/>
      </c>
      <c r="AC319" t="str">
        <f t="shared" si="104"/>
        <v/>
      </c>
      <c r="AE319" t="str">
        <f>IF(ISNUMBER(MATCH("N/A",J319:N319,0)),"",IFERROR((5 * SUMPRODUCT(J144:N144,J319:N319) - PRODUCT(SUM(J144:N144),SUM(J319:N319))) / ((5 * SUM((J144^2)+(K144^2)+(L144^2)+(M144^2)+(N144^2))) - SUM(J144:N144)^2),""))</f>
        <v/>
      </c>
      <c r="AF319" t="str">
        <f>IFERROR(CORREL(J144:N144,J319:N319),"")</f>
        <v/>
      </c>
      <c r="AZ319">
        <f t="shared" si="105"/>
        <v>0</v>
      </c>
      <c r="BA319" t="str">
        <f>IF(AZ319=1,IF(Q319="","",IF(Q319=N144,"Yes","No")),"")</f>
        <v/>
      </c>
      <c r="BB319" t="str">
        <f t="shared" si="106"/>
        <v/>
      </c>
      <c r="BC319" t="str">
        <f>IF(AZ319=1,IF(S319="","",IF(S319=N144,"Yes","No")),"")</f>
        <v/>
      </c>
      <c r="BD319" t="str">
        <f t="shared" si="107"/>
        <v/>
      </c>
      <c r="BE319" t="str">
        <f t="shared" si="108"/>
        <v/>
      </c>
      <c r="BF319" t="str">
        <f t="shared" si="109"/>
        <v>No</v>
      </c>
      <c r="BG319" t="str">
        <f t="shared" si="110"/>
        <v>No</v>
      </c>
      <c r="BH319" t="str">
        <f t="shared" si="111"/>
        <v/>
      </c>
    </row>
    <row r="320" spans="9:60" x14ac:dyDescent="0.3">
      <c r="I320" t="str">
        <f t="shared" si="112"/>
        <v>N/A</v>
      </c>
      <c r="J320" t="str">
        <f t="shared" si="113"/>
        <v>N/A</v>
      </c>
      <c r="K320" t="str">
        <f t="shared" si="114"/>
        <v>N/A</v>
      </c>
      <c r="L320" t="str">
        <f t="shared" si="115"/>
        <v>N/A</v>
      </c>
      <c r="M320" t="str">
        <f t="shared" si="116"/>
        <v>N/A</v>
      </c>
      <c r="N320" t="str">
        <f t="shared" si="117"/>
        <v>N/A</v>
      </c>
      <c r="P320">
        <f t="shared" si="94"/>
        <v>0</v>
      </c>
      <c r="Q320" t="str">
        <f>IFERROR(J144+MATCH(P320,J320:N320,0)-1,"")</f>
        <v/>
      </c>
      <c r="R320" t="str">
        <f t="shared" si="95"/>
        <v/>
      </c>
      <c r="S320" t="str">
        <f>IFERROR(J144+MATCH(R320,J320:N320,0)-1,"")</f>
        <v/>
      </c>
      <c r="T320" t="str">
        <f t="shared" si="96"/>
        <v/>
      </c>
      <c r="U320" t="str">
        <f t="shared" si="97"/>
        <v/>
      </c>
      <c r="V320" t="str">
        <f t="shared" si="98"/>
        <v/>
      </c>
      <c r="W320" t="str">
        <f t="shared" si="99"/>
        <v/>
      </c>
      <c r="X320" t="str">
        <f t="shared" si="100"/>
        <v/>
      </c>
      <c r="Y320" t="str">
        <f t="shared" si="101"/>
        <v/>
      </c>
      <c r="Z320" t="str">
        <f t="shared" si="102"/>
        <v/>
      </c>
      <c r="AA320">
        <f t="shared" si="103"/>
        <v>0</v>
      </c>
      <c r="AB320" t="str">
        <f>IFERROR(V144+MATCH(AA320,V320:Z320,0)-1,"")</f>
        <v/>
      </c>
      <c r="AC320" t="str">
        <f t="shared" si="104"/>
        <v/>
      </c>
      <c r="AE320" t="str">
        <f>IF(ISNUMBER(MATCH("N/A",J320:N320,0)),"",IFERROR((5 * SUMPRODUCT(J144:N144,J320:N320) - PRODUCT(SUM(J144:N144),SUM(J320:N320))) / ((5 * SUM((J144^2)+(K144^2)+(L144^2)+(M144^2)+(N144^2))) - SUM(J144:N144)^2),""))</f>
        <v/>
      </c>
      <c r="AF320" t="str">
        <f>IFERROR(CORREL(J144:N144,J320:N320),"")</f>
        <v/>
      </c>
      <c r="AZ320">
        <f t="shared" si="105"/>
        <v>0</v>
      </c>
      <c r="BA320" t="str">
        <f>IF(AZ320=1,IF(Q320="","",IF(Q320=N144,"Yes","No")),"")</f>
        <v/>
      </c>
      <c r="BB320" t="str">
        <f t="shared" si="106"/>
        <v/>
      </c>
      <c r="BC320" t="str">
        <f>IF(AZ320=1,IF(S320="","",IF(S320=N144,"Yes","No")),"")</f>
        <v/>
      </c>
      <c r="BD320" t="str">
        <f t="shared" si="107"/>
        <v/>
      </c>
      <c r="BE320" t="str">
        <f t="shared" si="108"/>
        <v/>
      </c>
      <c r="BF320" t="str">
        <f t="shared" si="109"/>
        <v>No</v>
      </c>
      <c r="BG320" t="str">
        <f t="shared" si="110"/>
        <v>No</v>
      </c>
      <c r="BH320" t="str">
        <f t="shared" si="111"/>
        <v/>
      </c>
    </row>
    <row r="321" spans="9:60" x14ac:dyDescent="0.3">
      <c r="I321" t="str">
        <f t="shared" si="112"/>
        <v>N/A</v>
      </c>
      <c r="J321" t="str">
        <f t="shared" si="113"/>
        <v>N/A</v>
      </c>
      <c r="K321" t="str">
        <f t="shared" si="114"/>
        <v>N/A</v>
      </c>
      <c r="L321" t="str">
        <f t="shared" si="115"/>
        <v>N/A</v>
      </c>
      <c r="M321" t="str">
        <f t="shared" si="116"/>
        <v>N/A</v>
      </c>
      <c r="N321" t="str">
        <f t="shared" si="117"/>
        <v>N/A</v>
      </c>
      <c r="P321">
        <f t="shared" si="94"/>
        <v>0</v>
      </c>
      <c r="Q321" t="str">
        <f>IFERROR(J144+MATCH(P321,J321:N321,0)-1,"")</f>
        <v/>
      </c>
      <c r="R321" t="str">
        <f t="shared" si="95"/>
        <v/>
      </c>
      <c r="S321" t="str">
        <f>IFERROR(J144+MATCH(R321,J321:N321,0)-1,"")</f>
        <v/>
      </c>
      <c r="T321" t="str">
        <f t="shared" si="96"/>
        <v/>
      </c>
      <c r="U321" t="str">
        <f t="shared" si="97"/>
        <v/>
      </c>
      <c r="V321" t="str">
        <f t="shared" si="98"/>
        <v/>
      </c>
      <c r="W321" t="str">
        <f t="shared" si="99"/>
        <v/>
      </c>
      <c r="X321" t="str">
        <f t="shared" si="100"/>
        <v/>
      </c>
      <c r="Y321" t="str">
        <f t="shared" si="101"/>
        <v/>
      </c>
      <c r="Z321" t="str">
        <f t="shared" si="102"/>
        <v/>
      </c>
      <c r="AA321">
        <f t="shared" si="103"/>
        <v>0</v>
      </c>
      <c r="AB321" t="str">
        <f>IFERROR(V144+MATCH(AA321,V321:Z321,0)-1,"")</f>
        <v/>
      </c>
      <c r="AC321" t="str">
        <f t="shared" si="104"/>
        <v/>
      </c>
      <c r="AE321" t="str">
        <f>IF(ISNUMBER(MATCH("N/A",J321:N321,0)),"",IFERROR((5 * SUMPRODUCT(J144:N144,J321:N321) - PRODUCT(SUM(J144:N144),SUM(J321:N321))) / ((5 * SUM((J144^2)+(K144^2)+(L144^2)+(M144^2)+(N144^2))) - SUM(J144:N144)^2),""))</f>
        <v/>
      </c>
      <c r="AF321" t="str">
        <f>IFERROR(CORREL(J144:N144,J321:N321),"")</f>
        <v/>
      </c>
      <c r="AZ321">
        <f t="shared" si="105"/>
        <v>0</v>
      </c>
      <c r="BA321" t="str">
        <f>IF(AZ321=1,IF(Q321="","",IF(Q321=N144,"Yes","No")),"")</f>
        <v/>
      </c>
      <c r="BB321" t="str">
        <f t="shared" si="106"/>
        <v/>
      </c>
      <c r="BC321" t="str">
        <f>IF(AZ321=1,IF(S321="","",IF(S321=N144,"Yes","No")),"")</f>
        <v/>
      </c>
      <c r="BD321" t="str">
        <f t="shared" si="107"/>
        <v/>
      </c>
      <c r="BE321" t="str">
        <f t="shared" si="108"/>
        <v/>
      </c>
      <c r="BF321" t="str">
        <f t="shared" si="109"/>
        <v>No</v>
      </c>
      <c r="BG321" t="str">
        <f t="shared" si="110"/>
        <v>No</v>
      </c>
      <c r="BH321" t="str">
        <f t="shared" si="111"/>
        <v/>
      </c>
    </row>
    <row r="322" spans="9:60" x14ac:dyDescent="0.3">
      <c r="I322" t="str">
        <f t="shared" si="112"/>
        <v>N/A</v>
      </c>
      <c r="J322" t="str">
        <f t="shared" si="113"/>
        <v>N/A</v>
      </c>
      <c r="K322" t="str">
        <f t="shared" si="114"/>
        <v>N/A</v>
      </c>
      <c r="L322" t="str">
        <f t="shared" si="115"/>
        <v>N/A</v>
      </c>
      <c r="M322" t="str">
        <f t="shared" si="116"/>
        <v>N/A</v>
      </c>
      <c r="N322" t="str">
        <f t="shared" si="117"/>
        <v>N/A</v>
      </c>
      <c r="P322">
        <f t="shared" si="94"/>
        <v>0</v>
      </c>
      <c r="Q322" t="str">
        <f>IFERROR(J144+MATCH(P322,J322:N322,0)-1,"")</f>
        <v/>
      </c>
      <c r="R322" t="str">
        <f t="shared" si="95"/>
        <v/>
      </c>
      <c r="S322" t="str">
        <f>IFERROR(J144+MATCH(R322,J322:N322,0)-1,"")</f>
        <v/>
      </c>
      <c r="T322" t="str">
        <f t="shared" si="96"/>
        <v/>
      </c>
      <c r="U322" t="str">
        <f t="shared" si="97"/>
        <v/>
      </c>
      <c r="V322" t="str">
        <f t="shared" si="98"/>
        <v/>
      </c>
      <c r="W322" t="str">
        <f t="shared" si="99"/>
        <v/>
      </c>
      <c r="X322" t="str">
        <f t="shared" si="100"/>
        <v/>
      </c>
      <c r="Y322" t="str">
        <f t="shared" si="101"/>
        <v/>
      </c>
      <c r="Z322" t="str">
        <f t="shared" si="102"/>
        <v/>
      </c>
      <c r="AA322">
        <f t="shared" si="103"/>
        <v>0</v>
      </c>
      <c r="AB322" t="str">
        <f>IFERROR(V144+MATCH(AA322,V322:Z322,0)-1,"")</f>
        <v/>
      </c>
      <c r="AC322" t="str">
        <f t="shared" si="104"/>
        <v/>
      </c>
      <c r="AE322" t="str">
        <f>IF(ISNUMBER(MATCH("N/A",J322:N322,0)),"",IFERROR((5 * SUMPRODUCT(J144:N144,J322:N322) - PRODUCT(SUM(J144:N144),SUM(J322:N322))) / ((5 * SUM((J144^2)+(K144^2)+(L144^2)+(M144^2)+(N144^2))) - SUM(J144:N144)^2),""))</f>
        <v/>
      </c>
      <c r="AF322" t="str">
        <f>IFERROR(CORREL(J144:N144,J322:N322),"")</f>
        <v/>
      </c>
      <c r="AZ322">
        <f t="shared" si="105"/>
        <v>0</v>
      </c>
      <c r="BA322" t="str">
        <f>IF(AZ322=1,IF(Q322="","",IF(Q322=N144,"Yes","No")),"")</f>
        <v/>
      </c>
      <c r="BB322" t="str">
        <f t="shared" si="106"/>
        <v/>
      </c>
      <c r="BC322" t="str">
        <f>IF(AZ322=1,IF(S322="","",IF(S322=N144,"Yes","No")),"")</f>
        <v/>
      </c>
      <c r="BD322" t="str">
        <f t="shared" si="107"/>
        <v/>
      </c>
      <c r="BE322" t="str">
        <f t="shared" si="108"/>
        <v/>
      </c>
      <c r="BF322" t="str">
        <f t="shared" si="109"/>
        <v>No</v>
      </c>
      <c r="BG322" t="str">
        <f t="shared" si="110"/>
        <v>No</v>
      </c>
      <c r="BH322" t="str">
        <f t="shared" si="111"/>
        <v/>
      </c>
    </row>
    <row r="323" spans="9:60" x14ac:dyDescent="0.3">
      <c r="I323" t="str">
        <f t="shared" si="112"/>
        <v>N/A</v>
      </c>
      <c r="J323" t="str">
        <f t="shared" si="113"/>
        <v>N/A</v>
      </c>
      <c r="K323" t="str">
        <f t="shared" si="114"/>
        <v>N/A</v>
      </c>
      <c r="L323" t="str">
        <f t="shared" si="115"/>
        <v>N/A</v>
      </c>
      <c r="M323" t="str">
        <f t="shared" si="116"/>
        <v>N/A</v>
      </c>
      <c r="N323" t="str">
        <f t="shared" si="117"/>
        <v>N/A</v>
      </c>
      <c r="P323">
        <f t="shared" si="94"/>
        <v>0</v>
      </c>
      <c r="Q323" t="str">
        <f>IFERROR(J144+MATCH(P323,J323:N323,0)-1,"")</f>
        <v/>
      </c>
      <c r="R323" t="str">
        <f t="shared" si="95"/>
        <v/>
      </c>
      <c r="S323" t="str">
        <f>IFERROR(J144+MATCH(R323,J323:N323,0)-1,"")</f>
        <v/>
      </c>
      <c r="T323" t="str">
        <f t="shared" si="96"/>
        <v/>
      </c>
      <c r="U323" t="str">
        <f t="shared" si="97"/>
        <v/>
      </c>
      <c r="V323" t="str">
        <f t="shared" si="98"/>
        <v/>
      </c>
      <c r="W323" t="str">
        <f t="shared" si="99"/>
        <v/>
      </c>
      <c r="X323" t="str">
        <f t="shared" si="100"/>
        <v/>
      </c>
      <c r="Y323" t="str">
        <f t="shared" si="101"/>
        <v/>
      </c>
      <c r="Z323" t="str">
        <f t="shared" si="102"/>
        <v/>
      </c>
      <c r="AA323">
        <f t="shared" si="103"/>
        <v>0</v>
      </c>
      <c r="AB323" t="str">
        <f>IFERROR(V144+MATCH(AA323,V323:Z323,0)-1,"")</f>
        <v/>
      </c>
      <c r="AC323" t="str">
        <f t="shared" si="104"/>
        <v/>
      </c>
      <c r="AE323" t="str">
        <f>IF(ISNUMBER(MATCH("N/A",J323:N323,0)),"",IFERROR((5 * SUMPRODUCT(J144:N144,J323:N323) - PRODUCT(SUM(J144:N144),SUM(J323:N323))) / ((5 * SUM((J144^2)+(K144^2)+(L144^2)+(M144^2)+(N144^2))) - SUM(J144:N144)^2),""))</f>
        <v/>
      </c>
      <c r="AF323" t="str">
        <f>IFERROR(CORREL(J144:N144,J323:N323),"")</f>
        <v/>
      </c>
      <c r="AZ323">
        <f t="shared" si="105"/>
        <v>0</v>
      </c>
      <c r="BA323" t="str">
        <f>IF(AZ323=1,IF(Q323="","",IF(Q323=N144,"Yes","No")),"")</f>
        <v/>
      </c>
      <c r="BB323" t="str">
        <f t="shared" si="106"/>
        <v/>
      </c>
      <c r="BC323" t="str">
        <f>IF(AZ323=1,IF(S323="","",IF(S323=N144,"Yes","No")),"")</f>
        <v/>
      </c>
      <c r="BD323" t="str">
        <f t="shared" si="107"/>
        <v/>
      </c>
      <c r="BE323" t="str">
        <f t="shared" si="108"/>
        <v/>
      </c>
      <c r="BF323" t="str">
        <f t="shared" si="109"/>
        <v>No</v>
      </c>
      <c r="BG323" t="str">
        <f t="shared" si="110"/>
        <v>No</v>
      </c>
      <c r="BH323" t="str">
        <f t="shared" si="111"/>
        <v/>
      </c>
    </row>
    <row r="324" spans="9:60" x14ac:dyDescent="0.3">
      <c r="I324" t="str">
        <f t="shared" si="112"/>
        <v>N/A</v>
      </c>
      <c r="J324" t="str">
        <f t="shared" si="113"/>
        <v>N/A</v>
      </c>
      <c r="K324" t="str">
        <f t="shared" si="114"/>
        <v>N/A</v>
      </c>
      <c r="L324" t="str">
        <f t="shared" si="115"/>
        <v>N/A</v>
      </c>
      <c r="M324" t="str">
        <f t="shared" si="116"/>
        <v>N/A</v>
      </c>
      <c r="N324" t="str">
        <f t="shared" si="117"/>
        <v>N/A</v>
      </c>
      <c r="P324">
        <f t="shared" si="94"/>
        <v>0</v>
      </c>
      <c r="Q324" t="str">
        <f>IFERROR(J144+MATCH(P324,J324:N324,0)-1,"")</f>
        <v/>
      </c>
      <c r="R324" t="str">
        <f t="shared" si="95"/>
        <v/>
      </c>
      <c r="S324" t="str">
        <f>IFERROR(J144+MATCH(R324,J324:N324,0)-1,"")</f>
        <v/>
      </c>
      <c r="T324" t="str">
        <f t="shared" si="96"/>
        <v/>
      </c>
      <c r="U324" t="str">
        <f t="shared" si="97"/>
        <v/>
      </c>
      <c r="V324" t="str">
        <f t="shared" si="98"/>
        <v/>
      </c>
      <c r="W324" t="str">
        <f t="shared" si="99"/>
        <v/>
      </c>
      <c r="X324" t="str">
        <f t="shared" si="100"/>
        <v/>
      </c>
      <c r="Y324" t="str">
        <f t="shared" si="101"/>
        <v/>
      </c>
      <c r="Z324" t="str">
        <f t="shared" si="102"/>
        <v/>
      </c>
      <c r="AA324">
        <f t="shared" si="103"/>
        <v>0</v>
      </c>
      <c r="AB324" t="str">
        <f>IFERROR(V144+MATCH(AA324,V324:Z324,0)-1,"")</f>
        <v/>
      </c>
      <c r="AC324" t="str">
        <f t="shared" si="104"/>
        <v/>
      </c>
      <c r="AE324" t="str">
        <f>IF(ISNUMBER(MATCH("N/A",J324:N324,0)),"",IFERROR((5 * SUMPRODUCT(J144:N144,J324:N324) - PRODUCT(SUM(J144:N144),SUM(J324:N324))) / ((5 * SUM((J144^2)+(K144^2)+(L144^2)+(M144^2)+(N144^2))) - SUM(J144:N144)^2),""))</f>
        <v/>
      </c>
      <c r="AF324" t="str">
        <f>IFERROR(CORREL(J144:N144,J324:N324),"")</f>
        <v/>
      </c>
      <c r="AZ324">
        <f t="shared" si="105"/>
        <v>0</v>
      </c>
      <c r="BA324" t="str">
        <f>IF(AZ324=1,IF(Q324="","",IF(Q324=N144,"Yes","No")),"")</f>
        <v/>
      </c>
      <c r="BB324" t="str">
        <f t="shared" si="106"/>
        <v/>
      </c>
      <c r="BC324" t="str">
        <f>IF(AZ324=1,IF(S324="","",IF(S324=N144,"Yes","No")),"")</f>
        <v/>
      </c>
      <c r="BD324" t="str">
        <f t="shared" si="107"/>
        <v/>
      </c>
      <c r="BE324" t="str">
        <f t="shared" si="108"/>
        <v/>
      </c>
      <c r="BF324" t="str">
        <f t="shared" si="109"/>
        <v>No</v>
      </c>
      <c r="BG324" t="str">
        <f t="shared" si="110"/>
        <v>No</v>
      </c>
      <c r="BH324" t="str">
        <f t="shared" si="111"/>
        <v/>
      </c>
    </row>
    <row r="325" spans="9:60" x14ac:dyDescent="0.3">
      <c r="I325" t="str">
        <f t="shared" si="112"/>
        <v>N/A</v>
      </c>
      <c r="J325" t="str">
        <f t="shared" si="113"/>
        <v>N/A</v>
      </c>
      <c r="K325" t="str">
        <f t="shared" si="114"/>
        <v>N/A</v>
      </c>
      <c r="L325" t="str">
        <f t="shared" si="115"/>
        <v>N/A</v>
      </c>
      <c r="M325" t="str">
        <f t="shared" si="116"/>
        <v>N/A</v>
      </c>
      <c r="N325" t="str">
        <f t="shared" si="117"/>
        <v>N/A</v>
      </c>
      <c r="P325">
        <f t="shared" si="94"/>
        <v>0</v>
      </c>
      <c r="Q325" t="str">
        <f>IFERROR(J144+MATCH(P325,J325:N325,0)-1,"")</f>
        <v/>
      </c>
      <c r="R325" t="str">
        <f t="shared" si="95"/>
        <v/>
      </c>
      <c r="S325" t="str">
        <f>IFERROR(J144+MATCH(R325,J325:N325,0)-1,"")</f>
        <v/>
      </c>
      <c r="T325" t="str">
        <f t="shared" si="96"/>
        <v/>
      </c>
      <c r="U325" t="str">
        <f t="shared" si="97"/>
        <v/>
      </c>
      <c r="V325" t="str">
        <f t="shared" si="98"/>
        <v/>
      </c>
      <c r="W325" t="str">
        <f t="shared" si="99"/>
        <v/>
      </c>
      <c r="X325" t="str">
        <f t="shared" si="100"/>
        <v/>
      </c>
      <c r="Y325" t="str">
        <f t="shared" si="101"/>
        <v/>
      </c>
      <c r="Z325" t="str">
        <f t="shared" si="102"/>
        <v/>
      </c>
      <c r="AA325">
        <f t="shared" si="103"/>
        <v>0</v>
      </c>
      <c r="AB325" t="str">
        <f>IFERROR(V144+MATCH(AA325,V325:Z325,0)-1,"")</f>
        <v/>
      </c>
      <c r="AC325" t="str">
        <f t="shared" si="104"/>
        <v/>
      </c>
      <c r="AE325" t="str">
        <f>IF(ISNUMBER(MATCH("N/A",J325:N325,0)),"",IFERROR((5 * SUMPRODUCT(J144:N144,J325:N325) - PRODUCT(SUM(J144:N144),SUM(J325:N325))) / ((5 * SUM((J144^2)+(K144^2)+(L144^2)+(M144^2)+(N144^2))) - SUM(J144:N144)^2),""))</f>
        <v/>
      </c>
      <c r="AF325" t="str">
        <f>IFERROR(CORREL(J144:N144,J325:N325),"")</f>
        <v/>
      </c>
      <c r="AZ325">
        <f t="shared" si="105"/>
        <v>0</v>
      </c>
      <c r="BA325" t="str">
        <f>IF(AZ325=1,IF(Q325="","",IF(Q325=N144,"Yes","No")),"")</f>
        <v/>
      </c>
      <c r="BB325" t="str">
        <f t="shared" si="106"/>
        <v/>
      </c>
      <c r="BC325" t="str">
        <f>IF(AZ325=1,IF(S325="","",IF(S325=N144,"Yes","No")),"")</f>
        <v/>
      </c>
      <c r="BD325" t="str">
        <f t="shared" si="107"/>
        <v/>
      </c>
      <c r="BE325" t="str">
        <f t="shared" si="108"/>
        <v/>
      </c>
      <c r="BF325" t="str">
        <f t="shared" si="109"/>
        <v>No</v>
      </c>
      <c r="BG325" t="str">
        <f t="shared" si="110"/>
        <v>No</v>
      </c>
      <c r="BH325" t="str">
        <f t="shared" si="111"/>
        <v/>
      </c>
    </row>
    <row r="326" spans="9:60" x14ac:dyDescent="0.3">
      <c r="I326" t="str">
        <f t="shared" si="112"/>
        <v>N/A</v>
      </c>
      <c r="J326" t="str">
        <f t="shared" si="113"/>
        <v>N/A</v>
      </c>
      <c r="K326" t="str">
        <f t="shared" si="114"/>
        <v>N/A</v>
      </c>
      <c r="L326" t="str">
        <f t="shared" si="115"/>
        <v>N/A</v>
      </c>
      <c r="M326" t="str">
        <f t="shared" si="116"/>
        <v>N/A</v>
      </c>
      <c r="N326" t="str">
        <f t="shared" si="117"/>
        <v>N/A</v>
      </c>
      <c r="P326">
        <f t="shared" si="94"/>
        <v>0</v>
      </c>
      <c r="Q326" t="str">
        <f>IFERROR(J144+MATCH(P326,J326:N326,0)-1,"")</f>
        <v/>
      </c>
      <c r="R326" t="str">
        <f t="shared" si="95"/>
        <v/>
      </c>
      <c r="S326" t="str">
        <f>IFERROR(J144+MATCH(R326,J326:N326,0)-1,"")</f>
        <v/>
      </c>
      <c r="T326" t="str">
        <f t="shared" si="96"/>
        <v/>
      </c>
      <c r="U326" t="str">
        <f t="shared" si="97"/>
        <v/>
      </c>
      <c r="V326" t="str">
        <f t="shared" si="98"/>
        <v/>
      </c>
      <c r="W326" t="str">
        <f t="shared" si="99"/>
        <v/>
      </c>
      <c r="X326" t="str">
        <f t="shared" si="100"/>
        <v/>
      </c>
      <c r="Y326" t="str">
        <f t="shared" si="101"/>
        <v/>
      </c>
      <c r="Z326" t="str">
        <f t="shared" si="102"/>
        <v/>
      </c>
      <c r="AA326">
        <f t="shared" si="103"/>
        <v>0</v>
      </c>
      <c r="AB326" t="str">
        <f>IFERROR(V144+MATCH(AA326,V326:Z326,0)-1,"")</f>
        <v/>
      </c>
      <c r="AC326" t="str">
        <f t="shared" si="104"/>
        <v/>
      </c>
      <c r="AE326" t="str">
        <f>IF(ISNUMBER(MATCH("N/A",J326:N326,0)),"",IFERROR((5 * SUMPRODUCT(J144:N144,J326:N326) - PRODUCT(SUM(J144:N144),SUM(J326:N326))) / ((5 * SUM((J144^2)+(K144^2)+(L144^2)+(M144^2)+(N144^2))) - SUM(J144:N144)^2),""))</f>
        <v/>
      </c>
      <c r="AF326" t="str">
        <f>IFERROR(CORREL(J144:N144,J326:N326),"")</f>
        <v/>
      </c>
      <c r="AZ326">
        <f t="shared" si="105"/>
        <v>0</v>
      </c>
      <c r="BA326" t="str">
        <f>IF(AZ326=1,IF(Q326="","",IF(Q326=N144,"Yes","No")),"")</f>
        <v/>
      </c>
      <c r="BB326" t="str">
        <f t="shared" si="106"/>
        <v/>
      </c>
      <c r="BC326" t="str">
        <f>IF(AZ326=1,IF(S326="","",IF(S326=N144,"Yes","No")),"")</f>
        <v/>
      </c>
      <c r="BD326" t="str">
        <f t="shared" si="107"/>
        <v/>
      </c>
      <c r="BE326" t="str">
        <f t="shared" si="108"/>
        <v/>
      </c>
      <c r="BF326" t="str">
        <f t="shared" si="109"/>
        <v>No</v>
      </c>
      <c r="BG326" t="str">
        <f t="shared" si="110"/>
        <v>No</v>
      </c>
      <c r="BH326" t="str">
        <f t="shared" si="111"/>
        <v/>
      </c>
    </row>
    <row r="327" spans="9:60" x14ac:dyDescent="0.3">
      <c r="I327" t="str">
        <f t="shared" si="112"/>
        <v>N/A</v>
      </c>
      <c r="J327" t="str">
        <f t="shared" si="113"/>
        <v>N/A</v>
      </c>
      <c r="K327" t="str">
        <f t="shared" si="114"/>
        <v>N/A</v>
      </c>
      <c r="L327" t="str">
        <f t="shared" si="115"/>
        <v>N/A</v>
      </c>
      <c r="M327" t="str">
        <f t="shared" si="116"/>
        <v>N/A</v>
      </c>
      <c r="N327" t="str">
        <f t="shared" si="117"/>
        <v>N/A</v>
      </c>
      <c r="P327">
        <f t="shared" si="94"/>
        <v>0</v>
      </c>
      <c r="Q327" t="str">
        <f>IFERROR(J144+MATCH(P327,J327:N327,0)-1,"")</f>
        <v/>
      </c>
      <c r="R327" t="str">
        <f t="shared" si="95"/>
        <v/>
      </c>
      <c r="S327" t="str">
        <f>IFERROR(J144+MATCH(R327,J327:N327,0)-1,"")</f>
        <v/>
      </c>
      <c r="T327" t="str">
        <f t="shared" si="96"/>
        <v/>
      </c>
      <c r="U327" t="str">
        <f t="shared" si="97"/>
        <v/>
      </c>
      <c r="V327" t="str">
        <f t="shared" si="98"/>
        <v/>
      </c>
      <c r="W327" t="str">
        <f t="shared" si="99"/>
        <v/>
      </c>
      <c r="X327" t="str">
        <f t="shared" si="100"/>
        <v/>
      </c>
      <c r="Y327" t="str">
        <f t="shared" si="101"/>
        <v/>
      </c>
      <c r="Z327" t="str">
        <f t="shared" si="102"/>
        <v/>
      </c>
      <c r="AA327">
        <f t="shared" si="103"/>
        <v>0</v>
      </c>
      <c r="AB327" t="str">
        <f>IFERROR(V144+MATCH(AA327,V327:Z327,0)-1,"")</f>
        <v/>
      </c>
      <c r="AC327" t="str">
        <f t="shared" si="104"/>
        <v/>
      </c>
      <c r="AE327" t="str">
        <f>IF(ISNUMBER(MATCH("N/A",J327:N327,0)),"",IFERROR((5 * SUMPRODUCT(J144:N144,J327:N327) - PRODUCT(SUM(J144:N144),SUM(J327:N327))) / ((5 * SUM((J144^2)+(K144^2)+(L144^2)+(M144^2)+(N144^2))) - SUM(J144:N144)^2),""))</f>
        <v/>
      </c>
      <c r="AF327" t="str">
        <f>IFERROR(CORREL(J144:N144,J327:N327),"")</f>
        <v/>
      </c>
      <c r="AZ327">
        <f t="shared" si="105"/>
        <v>0</v>
      </c>
      <c r="BA327" t="str">
        <f>IF(AZ327=1,IF(Q327="","",IF(Q327=N144,"Yes","No")),"")</f>
        <v/>
      </c>
      <c r="BB327" t="str">
        <f t="shared" si="106"/>
        <v/>
      </c>
      <c r="BC327" t="str">
        <f>IF(AZ327=1,IF(S327="","",IF(S327=N144,"Yes","No")),"")</f>
        <v/>
      </c>
      <c r="BD327" t="str">
        <f t="shared" si="107"/>
        <v/>
      </c>
      <c r="BE327" t="str">
        <f t="shared" si="108"/>
        <v/>
      </c>
      <c r="BF327" t="str">
        <f t="shared" si="109"/>
        <v>No</v>
      </c>
      <c r="BG327" t="str">
        <f t="shared" si="110"/>
        <v>No</v>
      </c>
      <c r="BH327" t="str">
        <f t="shared" si="111"/>
        <v/>
      </c>
    </row>
    <row r="328" spans="9:60" x14ac:dyDescent="0.3">
      <c r="P328">
        <f t="shared" si="94"/>
        <v>0</v>
      </c>
      <c r="Q328" t="str">
        <f>IFERROR(J144+MATCH(P328,J328:N328,0)-1,"")</f>
        <v/>
      </c>
      <c r="R328" t="str">
        <f t="shared" si="95"/>
        <v/>
      </c>
      <c r="S328" t="str">
        <f>IFERROR(J144+MATCH(R328,J328:N328,0)-1,"")</f>
        <v/>
      </c>
      <c r="T328" t="str">
        <f t="shared" si="96"/>
        <v/>
      </c>
      <c r="U328" t="str">
        <f t="shared" si="97"/>
        <v/>
      </c>
      <c r="V328" t="str">
        <f t="shared" si="98"/>
        <v/>
      </c>
      <c r="W328" t="str">
        <f t="shared" si="99"/>
        <v/>
      </c>
      <c r="X328" t="str">
        <f t="shared" si="100"/>
        <v/>
      </c>
      <c r="Y328" t="str">
        <f t="shared" si="101"/>
        <v/>
      </c>
      <c r="Z328" t="str">
        <f t="shared" si="102"/>
        <v/>
      </c>
      <c r="AA328">
        <f t="shared" si="103"/>
        <v>0</v>
      </c>
      <c r="AB328" t="str">
        <f>IFERROR(V144+MATCH(AA328,V328:Z328,0)-1,"")</f>
        <v/>
      </c>
      <c r="AC328" t="str">
        <f t="shared" si="104"/>
        <v/>
      </c>
      <c r="AE328" t="str">
        <f>IF(ISNUMBER(MATCH("N/A",J328:N328,0)),"",IFERROR((5 * SUMPRODUCT(J144:N144,J328:N328) - PRODUCT(SUM(J144:N144),SUM(J328:N328))) / ((5 * SUM((J144^2)+(K144^2)+(L144^2)+(M144^2)+(N144^2))) - SUM(J144:N144)^2),""))</f>
        <v/>
      </c>
      <c r="AF328" t="str">
        <f>IFERROR(CORREL(J144:N144,J328:N328),"")</f>
        <v/>
      </c>
      <c r="AZ328">
        <f t="shared" si="105"/>
        <v>0</v>
      </c>
      <c r="BA328" t="str">
        <f>IF(AZ328=1,IF(Q328="","",IF(Q328=N144,"Yes","No")),"")</f>
        <v/>
      </c>
      <c r="BB328" t="str">
        <f t="shared" si="106"/>
        <v/>
      </c>
      <c r="BC328" t="str">
        <f>IF(AZ328=1,IF(S328="","",IF(S328=N144,"Yes","No")),"")</f>
        <v/>
      </c>
      <c r="BD328" t="str">
        <f t="shared" si="107"/>
        <v/>
      </c>
      <c r="BE328" t="str">
        <f t="shared" si="108"/>
        <v/>
      </c>
      <c r="BF328" t="str">
        <f t="shared" si="109"/>
        <v>No</v>
      </c>
      <c r="BG328" t="str">
        <f t="shared" si="110"/>
        <v>No</v>
      </c>
      <c r="BH328" t="str">
        <f t="shared" si="111"/>
        <v/>
      </c>
    </row>
    <row r="329" spans="9:60" x14ac:dyDescent="0.3">
      <c r="I329" t="str">
        <f t="shared" ref="I329:I360" si="118">IF(AND(K329&gt; J329, L329&gt; K329, M329&gt; L329, N329&gt; M329), "pos_trend", IF(AND(K329&lt; J329, L329&lt; K329, M329&lt; L329, N329&lt; M329), "neg_trend", "N/A"))</f>
        <v>N/A</v>
      </c>
      <c r="J329" t="str">
        <f t="shared" ref="J329:J360" si="119">IFERROR(IF(TRIM(C329)="-", "N/A", IF(RIGHT(C329,1)=")",IF(RIGHT(C329,2)="T)",-1000000000000*VALUE(MID(C329,2,LEN(C329)-3)),IF(RIGHT(C329,2)="M)",-1000000*VALUE(MID(C329,2,LEN(C329)-3)),IF(RIGHT(C329,2)="B)",-1000000000*VALUE(MID(C329,2,LEN(C329)-3)),IF(RIGHT(C329,2)="k)",-1000*VALUE(MID(C329,2,LEN(C329)-3)),VALUE(SUBSTITUTE(C329,",","")))))),IF(RIGHT(C329,1)="T",1000000000000*VALUE(LEFT(C329,LEN(C329)-1)),IF(RIGHT(C329,1)="M",1000000*VALUE(LEFT(C329,LEN(C329)-1)),IF(RIGHT(C329,1)="B",1000000000*VALUE(LEFT(C329,LEN(C329)-1)),IF(RIGHT(C329,1)="%",0.01*VALUE(LEFT(C329,LEN(C329)-1)),IF(RIGHT(C329,1)="k",1000*VALUE(LEFT(C329,LEN(C329)-1)),VALUE(SUBSTITUTE(C329,",",""))))))))),"N/A")</f>
        <v>N/A</v>
      </c>
      <c r="K329" t="str">
        <f t="shared" ref="K329:K360" si="120">IFERROR(IF(TRIM(D329)="-", "N/A", IF(RIGHT(D329,1)=")",IF(RIGHT(D329,2)="T)",-1000000000000*VALUE(MID(D329,2,LEN(D329)-3)),IF(RIGHT(D329,2)="M)",-1000000*VALUE(MID(D329,2,LEN(D329)-3)),IF(RIGHT(D329,2)="B)",-1000000000*VALUE(MID(D329,2,LEN(D329)-3)),IF(RIGHT(D329,2)="k)",-1000*VALUE(MID(D329,2,LEN(D329)-3)),VALUE(SUBSTITUTE(D329,",","")))))),IF(RIGHT(D329,1)="T",1000000000000*VALUE(LEFT(D329,LEN(D329)-1)),IF(RIGHT(D329,1)="M",1000000*VALUE(LEFT(D329,LEN(D329)-1)),IF(RIGHT(D329,1)="B",1000000000*VALUE(LEFT(D329,LEN(D329)-1)),IF(RIGHT(D329,1)="%",0.01*VALUE(LEFT(D329,LEN(D329)-1)),IF(RIGHT(D329,1)="k",1000*VALUE(LEFT(D329,LEN(D329)-1)),VALUE(SUBSTITUTE(D329,",",""))))))))),"N/A")</f>
        <v>N/A</v>
      </c>
      <c r="L329" t="str">
        <f t="shared" ref="L329:L360" si="121">IFERROR(IF(TRIM(E329)="-", "N/A", IF(RIGHT(E329,1)=")",IF(RIGHT(E329,2)="T)",-1000000000000*VALUE(MID(E329,2,LEN(E329)-3)),IF(RIGHT(E329,2)="M)",-1000000*VALUE(MID(E329,2,LEN(E329)-3)),IF(RIGHT(E329,2)="B)",-1000000000*VALUE(MID(E329,2,LEN(E329)-3)),IF(RIGHT(E329,2)="k)",-1000*VALUE(MID(E329,2,LEN(E329)-3)),VALUE(SUBSTITUTE(E329,",","")))))),IF(RIGHT(E329,1)="T",1000000000000*VALUE(LEFT(E329,LEN(E329)-1)),IF(RIGHT(E329,1)="M",1000000*VALUE(LEFT(E329,LEN(E329)-1)),IF(RIGHT(E329,1)="B",1000000000*VALUE(LEFT(E329,LEN(E329)-1)),IF(RIGHT(E329,1)="%",0.01*VALUE(LEFT(E329,LEN(E329)-1)),IF(RIGHT(E329,1)="k",1000*VALUE(LEFT(E329,LEN(E329)-1)),VALUE(SUBSTITUTE(E329,",",""))))))))),"N/A")</f>
        <v>N/A</v>
      </c>
      <c r="M329" t="str">
        <f t="shared" ref="M329:M360" si="122">IFERROR(IF(TRIM(F329)="-", "N/A", IF(RIGHT(F329,1)=")",IF(RIGHT(F329,2)="T)",-1000000000000*VALUE(MID(F329,2,LEN(F329)-3)),IF(RIGHT(F329,2)="M)",-1000000*VALUE(MID(F329,2,LEN(F329)-3)),IF(RIGHT(F329,2)="B)",-1000000000*VALUE(MID(F329,2,LEN(F329)-3)),IF(RIGHT(F329,2)="k)",-1000*VALUE(MID(F329,2,LEN(F329)-3)),VALUE(SUBSTITUTE(F329,",","")))))),IF(RIGHT(F329,1)="T",1000000000000*VALUE(LEFT(F329,LEN(F329)-1)),IF(RIGHT(F329,1)="M",1000000*VALUE(LEFT(F329,LEN(F329)-1)),IF(RIGHT(F329,1)="B",1000000000*VALUE(LEFT(F329,LEN(F329)-1)),IF(RIGHT(F329,1)="%",0.01*VALUE(LEFT(F329,LEN(F329)-1)),IF(RIGHT(F329,1)="k",1000*VALUE(LEFT(F329,LEN(F329)-1)),VALUE(SUBSTITUTE(F329,",",""))))))))),"N/A")</f>
        <v>N/A</v>
      </c>
      <c r="N329" t="str">
        <f t="shared" ref="N329:N360" si="123">IFERROR(IF(TRIM(G329)="-", "N/A", IF(RIGHT(G329,1)=")",IF(RIGHT(G329,2)="T)",-1000000000000*VALUE(MID(G329,2,LEN(G329)-3)),IF(RIGHT(G329,2)="M)",-1000000*VALUE(MID(G329,2,LEN(G329)-3)),IF(RIGHT(G329,2)="B)",-1000000000*VALUE(MID(G329,2,LEN(G329)-3)),IF(RIGHT(G329,2)="k)",-1000*VALUE(MID(G329,2,LEN(G329)-3)),VALUE(SUBSTITUTE(G329,",","")))))),IF(RIGHT(G329,1)="T",1000000000000*VALUE(LEFT(G329,LEN(G329)-1)),IF(RIGHT(G329,1)="M",1000000*VALUE(LEFT(G329,LEN(G329)-1)),IF(RIGHT(G329,1)="B",1000000000*VALUE(LEFT(G329,LEN(G329)-1)),IF(RIGHT(G329,1)="%",0.01*VALUE(LEFT(G329,LEN(G329)-1)),IF(RIGHT(G329,1)="k",1000*VALUE(LEFT(G329,LEN(G329)-1)),VALUE(SUBSTITUTE(G329,",",""))))))))),"N/A")</f>
        <v>N/A</v>
      </c>
      <c r="P329">
        <f t="shared" si="94"/>
        <v>0</v>
      </c>
      <c r="Q329" t="str">
        <f>IFERROR(J144+MATCH(P329,J329:N329,0)-1,"")</f>
        <v/>
      </c>
      <c r="R329" t="str">
        <f t="shared" si="95"/>
        <v/>
      </c>
      <c r="S329" t="str">
        <f>IFERROR(J144+MATCH(R329,J329:N329,0)-1,"")</f>
        <v/>
      </c>
      <c r="T329" t="str">
        <f t="shared" si="96"/>
        <v/>
      </c>
      <c r="U329" t="str">
        <f t="shared" si="97"/>
        <v/>
      </c>
      <c r="V329" t="str">
        <f t="shared" si="98"/>
        <v/>
      </c>
      <c r="W329" t="str">
        <f t="shared" si="99"/>
        <v/>
      </c>
      <c r="X329" t="str">
        <f t="shared" si="100"/>
        <v/>
      </c>
      <c r="Y329" t="str">
        <f t="shared" si="101"/>
        <v/>
      </c>
      <c r="Z329" t="str">
        <f t="shared" si="102"/>
        <v/>
      </c>
      <c r="AA329">
        <f t="shared" si="103"/>
        <v>0</v>
      </c>
      <c r="AB329" t="str">
        <f>IFERROR(V144+MATCH(AA329,V329:Z329,0)-1,"")</f>
        <v/>
      </c>
      <c r="AC329" t="str">
        <f t="shared" si="104"/>
        <v/>
      </c>
      <c r="AE329" t="str">
        <f>IF(ISNUMBER(MATCH("N/A",J329:N329,0)),"",IFERROR((5 * SUMPRODUCT(J144:N144,J329:N329) - PRODUCT(SUM(J144:N144),SUM(J329:N329))) / ((5 * SUM((J144^2)+(K144^2)+(L144^2)+(M144^2)+(N144^2))) - SUM(J144:N144)^2),""))</f>
        <v/>
      </c>
      <c r="AF329" t="str">
        <f>IFERROR(CORREL(J144:N144,J329:N329),"")</f>
        <v/>
      </c>
      <c r="AZ329">
        <f t="shared" si="105"/>
        <v>0</v>
      </c>
      <c r="BA329" t="str">
        <f>IF(AZ329=1,IF(Q329="","",IF(Q329=N144,"Yes","No")),"")</f>
        <v/>
      </c>
      <c r="BB329" t="str">
        <f t="shared" si="106"/>
        <v/>
      </c>
      <c r="BC329" t="str">
        <f>IF(AZ329=1,IF(S329="","",IF(S329=N144,"Yes","No")),"")</f>
        <v/>
      </c>
      <c r="BD329" t="str">
        <f t="shared" si="107"/>
        <v/>
      </c>
      <c r="BE329" t="str">
        <f t="shared" si="108"/>
        <v/>
      </c>
      <c r="BF329" t="str">
        <f t="shared" si="109"/>
        <v>No</v>
      </c>
      <c r="BG329" t="str">
        <f t="shared" si="110"/>
        <v>No</v>
      </c>
      <c r="BH329" t="str">
        <f t="shared" si="111"/>
        <v/>
      </c>
    </row>
    <row r="330" spans="9:60" x14ac:dyDescent="0.3">
      <c r="I330" t="str">
        <f t="shared" si="118"/>
        <v>N/A</v>
      </c>
      <c r="J330" t="str">
        <f t="shared" si="119"/>
        <v>N/A</v>
      </c>
      <c r="K330" t="str">
        <f t="shared" si="120"/>
        <v>N/A</v>
      </c>
      <c r="L330" t="str">
        <f t="shared" si="121"/>
        <v>N/A</v>
      </c>
      <c r="M330" t="str">
        <f t="shared" si="122"/>
        <v>N/A</v>
      </c>
      <c r="N330" t="str">
        <f t="shared" si="123"/>
        <v>N/A</v>
      </c>
      <c r="P330">
        <f t="shared" si="94"/>
        <v>0</v>
      </c>
      <c r="Q330" t="str">
        <f>IFERROR(J144+MATCH(P330,J330:N330,0)-1,"")</f>
        <v/>
      </c>
      <c r="R330" t="str">
        <f t="shared" si="95"/>
        <v/>
      </c>
      <c r="S330" t="str">
        <f>IFERROR(J144+MATCH(R330,J330:N330,0)-1,"")</f>
        <v/>
      </c>
      <c r="T330" t="str">
        <f t="shared" si="96"/>
        <v/>
      </c>
      <c r="U330" t="str">
        <f t="shared" si="97"/>
        <v/>
      </c>
      <c r="V330" t="str">
        <f t="shared" si="98"/>
        <v/>
      </c>
      <c r="W330" t="str">
        <f t="shared" si="99"/>
        <v/>
      </c>
      <c r="X330" t="str">
        <f t="shared" si="100"/>
        <v/>
      </c>
      <c r="Y330" t="str">
        <f t="shared" si="101"/>
        <v/>
      </c>
      <c r="Z330" t="str">
        <f t="shared" si="102"/>
        <v/>
      </c>
      <c r="AA330">
        <f t="shared" si="103"/>
        <v>0</v>
      </c>
      <c r="AB330" t="str">
        <f>IFERROR(V144+MATCH(AA330,V330:Z330,0)-1,"")</f>
        <v/>
      </c>
      <c r="AC330" t="str">
        <f t="shared" si="104"/>
        <v/>
      </c>
      <c r="AE330" t="str">
        <f>IF(ISNUMBER(MATCH("N/A",J330:N330,0)),"",IFERROR((5 * SUMPRODUCT(J144:N144,J330:N330) - PRODUCT(SUM(J144:N144),SUM(J330:N330))) / ((5 * SUM((J144^2)+(K144^2)+(L144^2)+(M144^2)+(N144^2))) - SUM(J144:N144)^2),""))</f>
        <v/>
      </c>
      <c r="AF330" t="str">
        <f>IFERROR(CORREL(J144:N144,J330:N330),"")</f>
        <v/>
      </c>
      <c r="AZ330">
        <f t="shared" si="105"/>
        <v>0</v>
      </c>
      <c r="BA330" t="str">
        <f>IF(AZ330=1,IF(Q330="","",IF(Q330=N144,"Yes","No")),"")</f>
        <v/>
      </c>
      <c r="BB330" t="str">
        <f t="shared" si="106"/>
        <v/>
      </c>
      <c r="BC330" t="str">
        <f>IF(AZ330=1,IF(S330="","",IF(S330=N144,"Yes","No")),"")</f>
        <v/>
      </c>
      <c r="BD330" t="str">
        <f t="shared" si="107"/>
        <v/>
      </c>
      <c r="BE330" t="str">
        <f t="shared" si="108"/>
        <v/>
      </c>
      <c r="BF330" t="str">
        <f t="shared" si="109"/>
        <v>No</v>
      </c>
      <c r="BG330" t="str">
        <f t="shared" si="110"/>
        <v>No</v>
      </c>
      <c r="BH330" t="str">
        <f t="shared" si="111"/>
        <v/>
      </c>
    </row>
    <row r="331" spans="9:60" x14ac:dyDescent="0.3">
      <c r="I331" t="str">
        <f t="shared" si="118"/>
        <v>N/A</v>
      </c>
      <c r="J331" t="str">
        <f t="shared" si="119"/>
        <v>N/A</v>
      </c>
      <c r="K331" t="str">
        <f t="shared" si="120"/>
        <v>N/A</v>
      </c>
      <c r="L331" t="str">
        <f t="shared" si="121"/>
        <v>N/A</v>
      </c>
      <c r="M331" t="str">
        <f t="shared" si="122"/>
        <v>N/A</v>
      </c>
      <c r="N331" t="str">
        <f t="shared" si="123"/>
        <v>N/A</v>
      </c>
      <c r="P331">
        <f t="shared" si="94"/>
        <v>0</v>
      </c>
      <c r="Q331" t="str">
        <f>IFERROR(J144+MATCH(P331,J331:N331,0)-1,"")</f>
        <v/>
      </c>
      <c r="R331" t="str">
        <f t="shared" si="95"/>
        <v/>
      </c>
      <c r="S331" t="str">
        <f>IFERROR(J144+MATCH(R331,J331:N331,0)-1,"")</f>
        <v/>
      </c>
      <c r="T331" t="str">
        <f t="shared" si="96"/>
        <v/>
      </c>
      <c r="U331" t="str">
        <f t="shared" si="97"/>
        <v/>
      </c>
      <c r="V331" t="str">
        <f t="shared" si="98"/>
        <v/>
      </c>
      <c r="W331" t="str">
        <f t="shared" si="99"/>
        <v/>
      </c>
      <c r="X331" t="str">
        <f t="shared" si="100"/>
        <v/>
      </c>
      <c r="Y331" t="str">
        <f t="shared" si="101"/>
        <v/>
      </c>
      <c r="Z331" t="str">
        <f t="shared" si="102"/>
        <v/>
      </c>
      <c r="AA331">
        <f t="shared" si="103"/>
        <v>0</v>
      </c>
      <c r="AB331" t="str">
        <f>IFERROR(V144+MATCH(AA331,V331:Z331,0)-1,"")</f>
        <v/>
      </c>
      <c r="AC331" t="str">
        <f t="shared" si="104"/>
        <v/>
      </c>
      <c r="AE331" t="str">
        <f>IF(ISNUMBER(MATCH("N/A",J331:N331,0)),"",IFERROR((5 * SUMPRODUCT(J144:N144,J331:N331) - PRODUCT(SUM(J144:N144),SUM(J331:N331))) / ((5 * SUM((J144^2)+(K144^2)+(L144^2)+(M144^2)+(N144^2))) - SUM(J144:N144)^2),""))</f>
        <v/>
      </c>
      <c r="AF331" t="str">
        <f>IFERROR(CORREL(J144:N144,J331:N331),"")</f>
        <v/>
      </c>
      <c r="AZ331">
        <f t="shared" si="105"/>
        <v>0</v>
      </c>
      <c r="BA331" t="str">
        <f>IF(AZ331=1,IF(Q331="","",IF(Q331=N144,"Yes","No")),"")</f>
        <v/>
      </c>
      <c r="BB331" t="str">
        <f t="shared" si="106"/>
        <v/>
      </c>
      <c r="BC331" t="str">
        <f>IF(AZ331=1,IF(S331="","",IF(S331=N144,"Yes","No")),"")</f>
        <v/>
      </c>
      <c r="BD331" t="str">
        <f t="shared" si="107"/>
        <v/>
      </c>
      <c r="BE331" t="str">
        <f t="shared" si="108"/>
        <v/>
      </c>
      <c r="BF331" t="str">
        <f t="shared" si="109"/>
        <v>No</v>
      </c>
      <c r="BG331" t="str">
        <f t="shared" si="110"/>
        <v>No</v>
      </c>
      <c r="BH331" t="str">
        <f t="shared" si="111"/>
        <v/>
      </c>
    </row>
    <row r="332" spans="9:60" x14ac:dyDescent="0.3">
      <c r="I332" t="str">
        <f t="shared" si="118"/>
        <v>N/A</v>
      </c>
      <c r="J332" t="str">
        <f t="shared" si="119"/>
        <v>N/A</v>
      </c>
      <c r="K332" t="str">
        <f t="shared" si="120"/>
        <v>N/A</v>
      </c>
      <c r="L332" t="str">
        <f t="shared" si="121"/>
        <v>N/A</v>
      </c>
      <c r="M332" t="str">
        <f t="shared" si="122"/>
        <v>N/A</v>
      </c>
      <c r="N332" t="str">
        <f t="shared" si="123"/>
        <v>N/A</v>
      </c>
      <c r="P332">
        <f t="shared" si="94"/>
        <v>0</v>
      </c>
      <c r="Q332" t="str">
        <f>IFERROR(J144+MATCH(P332,J332:N332,0)-1,"")</f>
        <v/>
      </c>
      <c r="R332" t="str">
        <f t="shared" si="95"/>
        <v/>
      </c>
      <c r="S332" t="str">
        <f>IFERROR(J144+MATCH(R332,J332:N332,0)-1,"")</f>
        <v/>
      </c>
      <c r="T332" t="str">
        <f t="shared" si="96"/>
        <v/>
      </c>
      <c r="U332" t="str">
        <f t="shared" si="97"/>
        <v/>
      </c>
      <c r="V332" t="str">
        <f t="shared" si="98"/>
        <v/>
      </c>
      <c r="W332" t="str">
        <f t="shared" si="99"/>
        <v/>
      </c>
      <c r="X332" t="str">
        <f t="shared" si="100"/>
        <v/>
      </c>
      <c r="Y332" t="str">
        <f t="shared" si="101"/>
        <v/>
      </c>
      <c r="Z332" t="str">
        <f t="shared" si="102"/>
        <v/>
      </c>
      <c r="AA332">
        <f t="shared" si="103"/>
        <v>0</v>
      </c>
      <c r="AB332" t="str">
        <f>IFERROR(V144+MATCH(AA332,V332:Z332,0)-1,"")</f>
        <v/>
      </c>
      <c r="AC332" t="str">
        <f t="shared" si="104"/>
        <v/>
      </c>
      <c r="AE332" t="str">
        <f>IF(ISNUMBER(MATCH("N/A",J332:N332,0)),"",IFERROR((5 * SUMPRODUCT(J144:N144,J332:N332) - PRODUCT(SUM(J144:N144),SUM(J332:N332))) / ((5 * SUM((J144^2)+(K144^2)+(L144^2)+(M144^2)+(N144^2))) - SUM(J144:N144)^2),""))</f>
        <v/>
      </c>
      <c r="AF332" t="str">
        <f>IFERROR(CORREL(J144:N144,J332:N332),"")</f>
        <v/>
      </c>
      <c r="AZ332">
        <f t="shared" si="105"/>
        <v>0</v>
      </c>
      <c r="BA332" t="str">
        <f>IF(AZ332=1,IF(Q332="","",IF(Q332=N144,"Yes","No")),"")</f>
        <v/>
      </c>
      <c r="BB332" t="str">
        <f t="shared" si="106"/>
        <v/>
      </c>
      <c r="BC332" t="str">
        <f>IF(AZ332=1,IF(S332="","",IF(S332=N144,"Yes","No")),"")</f>
        <v/>
      </c>
      <c r="BD332" t="str">
        <f t="shared" si="107"/>
        <v/>
      </c>
      <c r="BE332" t="str">
        <f t="shared" si="108"/>
        <v/>
      </c>
      <c r="BF332" t="str">
        <f t="shared" si="109"/>
        <v>No</v>
      </c>
      <c r="BG332" t="str">
        <f t="shared" si="110"/>
        <v>No</v>
      </c>
      <c r="BH332" t="str">
        <f t="shared" si="111"/>
        <v/>
      </c>
    </row>
    <row r="333" spans="9:60" x14ac:dyDescent="0.3">
      <c r="I333" t="str">
        <f t="shared" si="118"/>
        <v>N/A</v>
      </c>
      <c r="J333" t="str">
        <f t="shared" si="119"/>
        <v>N/A</v>
      </c>
      <c r="K333" t="str">
        <f t="shared" si="120"/>
        <v>N/A</v>
      </c>
      <c r="L333" t="str">
        <f t="shared" si="121"/>
        <v>N/A</v>
      </c>
      <c r="M333" t="str">
        <f t="shared" si="122"/>
        <v>N/A</v>
      </c>
      <c r="N333" t="str">
        <f t="shared" si="123"/>
        <v>N/A</v>
      </c>
      <c r="P333">
        <f t="shared" si="94"/>
        <v>0</v>
      </c>
      <c r="Q333" t="str">
        <f>IFERROR(J144+MATCH(P333,J333:N333,0)-1,"")</f>
        <v/>
      </c>
      <c r="R333" t="str">
        <f t="shared" si="95"/>
        <v/>
      </c>
      <c r="S333" t="str">
        <f>IFERROR(J144+MATCH(R333,J333:N333,0)-1,"")</f>
        <v/>
      </c>
      <c r="T333" t="str">
        <f t="shared" si="96"/>
        <v/>
      </c>
      <c r="U333" t="str">
        <f t="shared" si="97"/>
        <v/>
      </c>
      <c r="V333" t="str">
        <f t="shared" si="98"/>
        <v/>
      </c>
      <c r="W333" t="str">
        <f t="shared" si="99"/>
        <v/>
      </c>
      <c r="X333" t="str">
        <f t="shared" si="100"/>
        <v/>
      </c>
      <c r="Y333" t="str">
        <f t="shared" si="101"/>
        <v/>
      </c>
      <c r="Z333" t="str">
        <f t="shared" si="102"/>
        <v/>
      </c>
      <c r="AA333">
        <f t="shared" si="103"/>
        <v>0</v>
      </c>
      <c r="AB333" t="str">
        <f>IFERROR(V144+MATCH(AA333,V333:Z333,0)-1,"")</f>
        <v/>
      </c>
      <c r="AC333" t="str">
        <f t="shared" si="104"/>
        <v/>
      </c>
      <c r="AE333" t="str">
        <f>IF(ISNUMBER(MATCH("N/A",J333:N333,0)),"",IFERROR((5 * SUMPRODUCT(J144:N144,J333:N333) - PRODUCT(SUM(J144:N144),SUM(J333:N333))) / ((5 * SUM((J144^2)+(K144^2)+(L144^2)+(M144^2)+(N144^2))) - SUM(J144:N144)^2),""))</f>
        <v/>
      </c>
      <c r="AF333" t="str">
        <f>IFERROR(CORREL(J144:N144,J333:N333),"")</f>
        <v/>
      </c>
      <c r="AZ333">
        <f t="shared" si="105"/>
        <v>0</v>
      </c>
      <c r="BA333" t="str">
        <f>IF(AZ333=1,IF(Q333="","",IF(Q333=N144,"Yes","No")),"")</f>
        <v/>
      </c>
      <c r="BB333" t="str">
        <f t="shared" si="106"/>
        <v/>
      </c>
      <c r="BC333" t="str">
        <f>IF(AZ333=1,IF(S333="","",IF(S333=N144,"Yes","No")),"")</f>
        <v/>
      </c>
      <c r="BD333" t="str">
        <f t="shared" si="107"/>
        <v/>
      </c>
      <c r="BE333" t="str">
        <f t="shared" si="108"/>
        <v/>
      </c>
      <c r="BF333" t="str">
        <f t="shared" si="109"/>
        <v>No</v>
      </c>
      <c r="BG333" t="str">
        <f t="shared" si="110"/>
        <v>No</v>
      </c>
      <c r="BH333" t="str">
        <f t="shared" si="111"/>
        <v/>
      </c>
    </row>
    <row r="334" spans="9:60" x14ac:dyDescent="0.3">
      <c r="I334" t="str">
        <f t="shared" si="118"/>
        <v>N/A</v>
      </c>
      <c r="J334" t="str">
        <f t="shared" si="119"/>
        <v>N/A</v>
      </c>
      <c r="K334" t="str">
        <f t="shared" si="120"/>
        <v>N/A</v>
      </c>
      <c r="L334" t="str">
        <f t="shared" si="121"/>
        <v>N/A</v>
      </c>
      <c r="M334" t="str">
        <f t="shared" si="122"/>
        <v>N/A</v>
      </c>
      <c r="N334" t="str">
        <f t="shared" si="123"/>
        <v>N/A</v>
      </c>
      <c r="P334">
        <f t="shared" si="94"/>
        <v>0</v>
      </c>
      <c r="Q334" t="str">
        <f>IFERROR(J144+MATCH(P334,J334:N334,0)-1,"")</f>
        <v/>
      </c>
      <c r="R334" t="str">
        <f t="shared" si="95"/>
        <v/>
      </c>
      <c r="S334" t="str">
        <f>IFERROR(J144+MATCH(R334,J334:N334,0)-1,"")</f>
        <v/>
      </c>
      <c r="T334" t="str">
        <f t="shared" si="96"/>
        <v/>
      </c>
      <c r="U334" t="str">
        <f t="shared" si="97"/>
        <v/>
      </c>
      <c r="V334" t="str">
        <f t="shared" si="98"/>
        <v/>
      </c>
      <c r="W334" t="str">
        <f t="shared" si="99"/>
        <v/>
      </c>
      <c r="X334" t="str">
        <f t="shared" si="100"/>
        <v/>
      </c>
      <c r="Y334" t="str">
        <f t="shared" si="101"/>
        <v/>
      </c>
      <c r="Z334" t="str">
        <f t="shared" si="102"/>
        <v/>
      </c>
      <c r="AA334">
        <f t="shared" si="103"/>
        <v>0</v>
      </c>
      <c r="AB334" t="str">
        <f>IFERROR(V144+MATCH(AA334,V334:Z334,0)-1,"")</f>
        <v/>
      </c>
      <c r="AC334" t="str">
        <f t="shared" si="104"/>
        <v/>
      </c>
      <c r="AE334" t="str">
        <f>IF(ISNUMBER(MATCH("N/A",J334:N334,0)),"",IFERROR((5 * SUMPRODUCT(J144:N144,J334:N334) - PRODUCT(SUM(J144:N144),SUM(J334:N334))) / ((5 * SUM((J144^2)+(K144^2)+(L144^2)+(M144^2)+(N144^2))) - SUM(J144:N144)^2),""))</f>
        <v/>
      </c>
      <c r="AF334" t="str">
        <f>IFERROR(CORREL(J144:N144,J334:N334),"")</f>
        <v/>
      </c>
      <c r="AZ334">
        <f t="shared" si="105"/>
        <v>0</v>
      </c>
      <c r="BA334" t="str">
        <f>IF(AZ334=1,IF(Q334="","",IF(Q334=N144,"Yes","No")),"")</f>
        <v/>
      </c>
      <c r="BB334" t="str">
        <f t="shared" si="106"/>
        <v/>
      </c>
      <c r="BC334" t="str">
        <f>IF(AZ334=1,IF(S334="","",IF(S334=N144,"Yes","No")),"")</f>
        <v/>
      </c>
      <c r="BD334" t="str">
        <f t="shared" si="107"/>
        <v/>
      </c>
      <c r="BE334" t="str">
        <f t="shared" si="108"/>
        <v/>
      </c>
      <c r="BF334" t="str">
        <f t="shared" si="109"/>
        <v>No</v>
      </c>
      <c r="BG334" t="str">
        <f t="shared" si="110"/>
        <v>No</v>
      </c>
      <c r="BH334" t="str">
        <f t="shared" si="111"/>
        <v/>
      </c>
    </row>
    <row r="335" spans="9:60" x14ac:dyDescent="0.3">
      <c r="I335" t="str">
        <f t="shared" si="118"/>
        <v>N/A</v>
      </c>
      <c r="J335" t="str">
        <f t="shared" si="119"/>
        <v>N/A</v>
      </c>
      <c r="K335" t="str">
        <f t="shared" si="120"/>
        <v>N/A</v>
      </c>
      <c r="L335" t="str">
        <f t="shared" si="121"/>
        <v>N/A</v>
      </c>
      <c r="M335" t="str">
        <f t="shared" si="122"/>
        <v>N/A</v>
      </c>
      <c r="N335" t="str">
        <f t="shared" si="123"/>
        <v>N/A</v>
      </c>
      <c r="P335">
        <f t="shared" si="94"/>
        <v>0</v>
      </c>
      <c r="Q335" t="str">
        <f>IFERROR(J144+MATCH(P335,J335:N335,0)-1,"")</f>
        <v/>
      </c>
      <c r="R335" t="str">
        <f t="shared" si="95"/>
        <v/>
      </c>
      <c r="S335" t="str">
        <f>IFERROR(J144+MATCH(R335,J335:N335,0)-1,"")</f>
        <v/>
      </c>
      <c r="T335" t="str">
        <f t="shared" si="96"/>
        <v/>
      </c>
      <c r="U335" t="str">
        <f t="shared" si="97"/>
        <v/>
      </c>
      <c r="V335" t="str">
        <f t="shared" si="98"/>
        <v/>
      </c>
      <c r="W335" t="str">
        <f t="shared" si="99"/>
        <v/>
      </c>
      <c r="X335" t="str">
        <f t="shared" si="100"/>
        <v/>
      </c>
      <c r="Y335" t="str">
        <f t="shared" si="101"/>
        <v/>
      </c>
      <c r="Z335" t="str">
        <f t="shared" si="102"/>
        <v/>
      </c>
      <c r="AA335">
        <f t="shared" si="103"/>
        <v>0</v>
      </c>
      <c r="AB335" t="str">
        <f>IFERROR(V144+MATCH(AA335,V335:Z335,0)-1,"")</f>
        <v/>
      </c>
      <c r="AC335" t="str">
        <f t="shared" si="104"/>
        <v/>
      </c>
      <c r="AE335" t="str">
        <f>IF(ISNUMBER(MATCH("N/A",J335:N335,0)),"",IFERROR((5 * SUMPRODUCT(J144:N144,J335:N335) - PRODUCT(SUM(J144:N144),SUM(J335:N335))) / ((5 * SUM((J144^2)+(K144^2)+(L144^2)+(M144^2)+(N144^2))) - SUM(J144:N144)^2),""))</f>
        <v/>
      </c>
      <c r="AF335" t="str">
        <f>IFERROR(CORREL(J144:N144,J335:N335),"")</f>
        <v/>
      </c>
      <c r="AZ335">
        <f t="shared" si="105"/>
        <v>0</v>
      </c>
      <c r="BA335" t="str">
        <f>IF(AZ335=1,IF(Q335="","",IF(Q335=N144,"Yes","No")),"")</f>
        <v/>
      </c>
      <c r="BB335" t="str">
        <f t="shared" si="106"/>
        <v/>
      </c>
      <c r="BC335" t="str">
        <f>IF(AZ335=1,IF(S335="","",IF(S335=N144,"Yes","No")),"")</f>
        <v/>
      </c>
      <c r="BD335" t="str">
        <f t="shared" si="107"/>
        <v/>
      </c>
      <c r="BE335" t="str">
        <f t="shared" si="108"/>
        <v/>
      </c>
      <c r="BF335" t="str">
        <f t="shared" si="109"/>
        <v>No</v>
      </c>
      <c r="BG335" t="str">
        <f t="shared" si="110"/>
        <v>No</v>
      </c>
      <c r="BH335" t="str">
        <f t="shared" si="111"/>
        <v/>
      </c>
    </row>
    <row r="336" spans="9:60" x14ac:dyDescent="0.3">
      <c r="I336" t="str">
        <f t="shared" si="118"/>
        <v>N/A</v>
      </c>
      <c r="J336" t="str">
        <f t="shared" si="119"/>
        <v>N/A</v>
      </c>
      <c r="K336" t="str">
        <f t="shared" si="120"/>
        <v>N/A</v>
      </c>
      <c r="L336" t="str">
        <f t="shared" si="121"/>
        <v>N/A</v>
      </c>
      <c r="M336" t="str">
        <f t="shared" si="122"/>
        <v>N/A</v>
      </c>
      <c r="N336" t="str">
        <f t="shared" si="123"/>
        <v>N/A</v>
      </c>
      <c r="P336">
        <f t="shared" si="94"/>
        <v>0</v>
      </c>
      <c r="Q336" t="str">
        <f>IFERROR(J144+MATCH(P336,J336:N336,0)-1,"")</f>
        <v/>
      </c>
      <c r="R336" t="str">
        <f t="shared" si="95"/>
        <v/>
      </c>
      <c r="S336" t="str">
        <f>IFERROR(J144+MATCH(R336,J336:N336,0)-1,"")</f>
        <v/>
      </c>
      <c r="T336" t="str">
        <f t="shared" si="96"/>
        <v/>
      </c>
      <c r="U336" t="str">
        <f t="shared" si="97"/>
        <v/>
      </c>
      <c r="V336" t="str">
        <f t="shared" si="98"/>
        <v/>
      </c>
      <c r="W336" t="str">
        <f t="shared" si="99"/>
        <v/>
      </c>
      <c r="X336" t="str">
        <f t="shared" si="100"/>
        <v/>
      </c>
      <c r="Y336" t="str">
        <f t="shared" si="101"/>
        <v/>
      </c>
      <c r="Z336" t="str">
        <f t="shared" si="102"/>
        <v/>
      </c>
      <c r="AA336">
        <f t="shared" si="103"/>
        <v>0</v>
      </c>
      <c r="AB336" t="str">
        <f>IFERROR(V144+MATCH(AA336,V336:Z336,0)-1,"")</f>
        <v/>
      </c>
      <c r="AC336" t="str">
        <f t="shared" si="104"/>
        <v/>
      </c>
      <c r="AE336" t="str">
        <f>IF(ISNUMBER(MATCH("N/A",J336:N336,0)),"",IFERROR((5 * SUMPRODUCT(J144:N144,J336:N336) - PRODUCT(SUM(J144:N144),SUM(J336:N336))) / ((5 * SUM((J144^2)+(K144^2)+(L144^2)+(M144^2)+(N144^2))) - SUM(J144:N144)^2),""))</f>
        <v/>
      </c>
      <c r="AF336" t="str">
        <f>IFERROR(CORREL(J144:N144,J336:N336),"")</f>
        <v/>
      </c>
      <c r="AZ336">
        <f t="shared" si="105"/>
        <v>0</v>
      </c>
      <c r="BA336" t="str">
        <f>IF(AZ336=1,IF(Q336="","",IF(Q336=N144,"Yes","No")),"")</f>
        <v/>
      </c>
      <c r="BB336" t="str">
        <f t="shared" si="106"/>
        <v/>
      </c>
      <c r="BC336" t="str">
        <f>IF(AZ336=1,IF(S336="","",IF(S336=N144,"Yes","No")),"")</f>
        <v/>
      </c>
      <c r="BD336" t="str">
        <f t="shared" si="107"/>
        <v/>
      </c>
      <c r="BE336" t="str">
        <f t="shared" si="108"/>
        <v/>
      </c>
      <c r="BF336" t="str">
        <f t="shared" si="109"/>
        <v>No</v>
      </c>
      <c r="BG336" t="str">
        <f t="shared" si="110"/>
        <v>No</v>
      </c>
      <c r="BH336" t="str">
        <f t="shared" si="111"/>
        <v/>
      </c>
    </row>
    <row r="337" spans="9:60" x14ac:dyDescent="0.3">
      <c r="I337" t="str">
        <f t="shared" si="118"/>
        <v>N/A</v>
      </c>
      <c r="J337" t="str">
        <f t="shared" si="119"/>
        <v>N/A</v>
      </c>
      <c r="K337" t="str">
        <f t="shared" si="120"/>
        <v>N/A</v>
      </c>
      <c r="L337" t="str">
        <f t="shared" si="121"/>
        <v>N/A</v>
      </c>
      <c r="M337" t="str">
        <f t="shared" si="122"/>
        <v>N/A</v>
      </c>
      <c r="N337" t="str">
        <f t="shared" si="123"/>
        <v>N/A</v>
      </c>
      <c r="P337">
        <f t="shared" ref="P337:P353" si="124">MAX(J337:N337)</f>
        <v>0</v>
      </c>
      <c r="Q337" t="str">
        <f>IFERROR(J144+MATCH(P337,J337:N337,0)-1,"")</f>
        <v/>
      </c>
      <c r="R337" t="str">
        <f t="shared" ref="R337:R400" si="125">IF(Q337="","",MIN(J337:N337))</f>
        <v/>
      </c>
      <c r="S337" t="str">
        <f>IFERROR(J144+MATCH(R337,J337:N337,0)-1,"")</f>
        <v/>
      </c>
      <c r="T337" t="str">
        <f t="shared" ref="T337:T353" si="126">IFERROR(AVERAGE(J337:N337),"")</f>
        <v/>
      </c>
      <c r="U337" t="str">
        <f t="shared" ref="U337:U353" si="127">IFERROR(STDEV(J337:N337),"")</f>
        <v/>
      </c>
      <c r="V337" t="str">
        <f t="shared" ref="V337:V400" si="128">IFERROR(IF(C337="-","",IF(ISBLANK(B337),"",IF(OR(ISNUMBER(FIND("Growth",B337)),ISNUMBER(FIND("Margin",B337))),"",(J337-T337)/U337))),"")</f>
        <v/>
      </c>
      <c r="W337" t="str">
        <f t="shared" ref="W337:W353" si="129">IFERROR(IF(OR(D337="-",ISBLANK(D337)),"",(K337-T337)/U337),"")</f>
        <v/>
      </c>
      <c r="X337" t="str">
        <f t="shared" ref="X337:X353" si="130">IFERROR(IF(OR(E337="-",ISBLANK(E337)),"",(L337-T337)/U337),"")</f>
        <v/>
      </c>
      <c r="Y337" t="str">
        <f t="shared" ref="Y337:Y353" si="131">IFERROR(IF(OR(F337="-",ISBLANK(F337)),"",(M337-T337)/U337),"")</f>
        <v/>
      </c>
      <c r="Z337" t="str">
        <f t="shared" ref="Z337:Z353" si="132">IFERROR(IF(OR(G337="-",ISBLANK(G337)),"",(N337-T337)/U337),"")</f>
        <v/>
      </c>
      <c r="AA337">
        <f t="shared" ref="AA337:AA400" si="133">IF(MAX(MAX(V337:Z337),ABS(MIN(V337:Z337)))=ABS(MIN(V337:Z337)),MIN(V337:Z337),MAX(V337:Z337))</f>
        <v>0</v>
      </c>
      <c r="AB337" t="str">
        <f>IFERROR(V144+MATCH(AA337,V337:Z337,0)-1,"")</f>
        <v/>
      </c>
      <c r="AC337" t="str">
        <f t="shared" ref="AC337:AC400" si="134">IF(AB337&lt;&gt;"",IF(S337=AB337,"Low",IF(AB337=Q337,"High","")),"")</f>
        <v/>
      </c>
      <c r="AE337" t="str">
        <f>IF(ISNUMBER(MATCH("N/A",J337:N337,0)),"",IFERROR((5 * SUMPRODUCT(J144:N144,J337:N337) - PRODUCT(SUM(J144:N144),SUM(J337:N337))) / ((5 * SUM((J144^2)+(K144^2)+(L144^2)+(M144^2)+(N144^2))) - SUM(J144:N144)^2),""))</f>
        <v/>
      </c>
      <c r="AF337" t="str">
        <f>IFERROR(CORREL(J144:N144,J337:N337),"")</f>
        <v/>
      </c>
      <c r="AZ337">
        <f t="shared" ref="AZ337:AZ352" si="135">IF(Q337=S337,0,1)</f>
        <v>0</v>
      </c>
      <c r="BA337" t="str">
        <f>IF(AZ337=1,IF(Q337="","",IF(Q337=N144,"Yes","No")),"")</f>
        <v/>
      </c>
      <c r="BB337" t="str">
        <f t="shared" ref="BB337:BB400" si="136">IF(BA337="Yes",P337,"")</f>
        <v/>
      </c>
      <c r="BC337" t="str">
        <f>IF(AZ337=1,IF(S337="","",IF(S337=N144,"Yes","No")),"")</f>
        <v/>
      </c>
      <c r="BD337" t="str">
        <f t="shared" ref="BD337:BD400" si="137">IF(BC337="Yes",R337,"")</f>
        <v/>
      </c>
      <c r="BE337" t="str">
        <f t="shared" ref="BE337:BE352" si="138">IFERROR(IF(SIGN(AE337)=1,"Increasing",IF(SIGN(AE337)=-1,"Decreasing","")),"")</f>
        <v/>
      </c>
      <c r="BF337" t="str">
        <f t="shared" ref="BF337:BF400" si="139">IF(OR(AND(BE337="Increasing",BA337="Yes"),AND(BE337="Decreasing",BC337="Yes")),"Yes","No")</f>
        <v>No</v>
      </c>
      <c r="BG337" t="str">
        <f t="shared" ref="BG337:BG352" si="140">IF(I337="pos_trend","Yes","No")</f>
        <v>No</v>
      </c>
      <c r="BH337" t="str">
        <f t="shared" ref="BH337:BH352" si="141">IF(AF337&lt;&gt;"",IF(ABS(AF337)&gt;0.8,"Yes","No"),"")</f>
        <v/>
      </c>
    </row>
    <row r="338" spans="9:60" x14ac:dyDescent="0.3">
      <c r="I338" t="str">
        <f t="shared" si="118"/>
        <v>N/A</v>
      </c>
      <c r="J338" t="str">
        <f t="shared" si="119"/>
        <v>N/A</v>
      </c>
      <c r="K338" t="str">
        <f t="shared" si="120"/>
        <v>N/A</v>
      </c>
      <c r="L338" t="str">
        <f t="shared" si="121"/>
        <v>N/A</v>
      </c>
      <c r="M338" t="str">
        <f t="shared" si="122"/>
        <v>N/A</v>
      </c>
      <c r="N338" t="str">
        <f t="shared" si="123"/>
        <v>N/A</v>
      </c>
      <c r="P338">
        <f t="shared" si="124"/>
        <v>0</v>
      </c>
      <c r="Q338" t="str">
        <f>IFERROR(J144+MATCH(P338,J338:N338,0)-1,"")</f>
        <v/>
      </c>
      <c r="R338" t="str">
        <f t="shared" si="125"/>
        <v/>
      </c>
      <c r="S338" t="str">
        <f>IFERROR(J144+MATCH(R338,J338:N338,0)-1,"")</f>
        <v/>
      </c>
      <c r="T338" t="str">
        <f t="shared" si="126"/>
        <v/>
      </c>
      <c r="U338" t="str">
        <f t="shared" si="127"/>
        <v/>
      </c>
      <c r="V338" t="str">
        <f t="shared" si="128"/>
        <v/>
      </c>
      <c r="W338" t="str">
        <f t="shared" si="129"/>
        <v/>
      </c>
      <c r="X338" t="str">
        <f t="shared" si="130"/>
        <v/>
      </c>
      <c r="Y338" t="str">
        <f t="shared" si="131"/>
        <v/>
      </c>
      <c r="Z338" t="str">
        <f t="shared" si="132"/>
        <v/>
      </c>
      <c r="AA338">
        <f t="shared" si="133"/>
        <v>0</v>
      </c>
      <c r="AB338" t="str">
        <f>IFERROR(V144+MATCH(AA338,V338:Z338,0)-1,"")</f>
        <v/>
      </c>
      <c r="AC338" t="str">
        <f t="shared" si="134"/>
        <v/>
      </c>
      <c r="AE338" t="str">
        <f>IF(ISNUMBER(MATCH("N/A",J338:N338,0)),"",IFERROR((5 * SUMPRODUCT(J144:N144,J338:N338) - PRODUCT(SUM(J144:N144),SUM(J338:N338))) / ((5 * SUM((J144^2)+(K144^2)+(L144^2)+(M144^2)+(N144^2))) - SUM(J144:N144)^2),""))</f>
        <v/>
      </c>
      <c r="AF338" t="str">
        <f>IFERROR(CORREL(J144:N144,J338:N338),"")</f>
        <v/>
      </c>
      <c r="AZ338">
        <f t="shared" si="135"/>
        <v>0</v>
      </c>
      <c r="BA338" t="str">
        <f>IF(AZ338=1,IF(Q338="","",IF(Q338=N144,"Yes","No")),"")</f>
        <v/>
      </c>
      <c r="BB338" t="str">
        <f t="shared" si="136"/>
        <v/>
      </c>
      <c r="BC338" t="str">
        <f>IF(AZ338=1,IF(S338="","",IF(S338=N144,"Yes","No")),"")</f>
        <v/>
      </c>
      <c r="BD338" t="str">
        <f t="shared" si="137"/>
        <v/>
      </c>
      <c r="BE338" t="str">
        <f t="shared" si="138"/>
        <v/>
      </c>
      <c r="BF338" t="str">
        <f t="shared" si="139"/>
        <v>No</v>
      </c>
      <c r="BG338" t="str">
        <f t="shared" si="140"/>
        <v>No</v>
      </c>
      <c r="BH338" t="str">
        <f t="shared" si="141"/>
        <v/>
      </c>
    </row>
    <row r="339" spans="9:60" x14ac:dyDescent="0.3">
      <c r="I339" t="str">
        <f t="shared" si="118"/>
        <v>N/A</v>
      </c>
      <c r="J339" t="str">
        <f t="shared" si="119"/>
        <v>N/A</v>
      </c>
      <c r="K339" t="str">
        <f t="shared" si="120"/>
        <v>N/A</v>
      </c>
      <c r="L339" t="str">
        <f t="shared" si="121"/>
        <v>N/A</v>
      </c>
      <c r="M339" t="str">
        <f t="shared" si="122"/>
        <v>N/A</v>
      </c>
      <c r="N339" t="str">
        <f t="shared" si="123"/>
        <v>N/A</v>
      </c>
      <c r="P339">
        <f t="shared" si="124"/>
        <v>0</v>
      </c>
      <c r="Q339" t="str">
        <f>IFERROR(J144+MATCH(P339,J339:N339,0)-1,"")</f>
        <v/>
      </c>
      <c r="R339" t="str">
        <f t="shared" si="125"/>
        <v/>
      </c>
      <c r="S339" t="str">
        <f>IFERROR(J144+MATCH(R339,J339:N339,0)-1,"")</f>
        <v/>
      </c>
      <c r="T339" t="str">
        <f t="shared" si="126"/>
        <v/>
      </c>
      <c r="U339" t="str">
        <f t="shared" si="127"/>
        <v/>
      </c>
      <c r="V339" t="str">
        <f t="shared" si="128"/>
        <v/>
      </c>
      <c r="W339" t="str">
        <f t="shared" si="129"/>
        <v/>
      </c>
      <c r="X339" t="str">
        <f t="shared" si="130"/>
        <v/>
      </c>
      <c r="Y339" t="str">
        <f t="shared" si="131"/>
        <v/>
      </c>
      <c r="Z339" t="str">
        <f t="shared" si="132"/>
        <v/>
      </c>
      <c r="AA339">
        <f t="shared" si="133"/>
        <v>0</v>
      </c>
      <c r="AB339" t="str">
        <f>IFERROR(V144+MATCH(AA339,V339:Z339,0)-1,"")</f>
        <v/>
      </c>
      <c r="AC339" t="str">
        <f t="shared" si="134"/>
        <v/>
      </c>
      <c r="AE339" t="str">
        <f>IF(ISNUMBER(MATCH("N/A",J339:N339,0)),"",IFERROR((5 * SUMPRODUCT(J144:N144,J339:N339) - PRODUCT(SUM(J144:N144),SUM(J339:N339))) / ((5 * SUM((J144^2)+(K144^2)+(L144^2)+(M144^2)+(N144^2))) - SUM(J144:N144)^2),""))</f>
        <v/>
      </c>
      <c r="AF339" t="str">
        <f>IFERROR(CORREL(J144:N144,J339:N339),"")</f>
        <v/>
      </c>
      <c r="AZ339">
        <f t="shared" si="135"/>
        <v>0</v>
      </c>
      <c r="BA339" t="str">
        <f>IF(AZ339=1,IF(Q339="","",IF(Q339=N144,"Yes","No")),"")</f>
        <v/>
      </c>
      <c r="BB339" t="str">
        <f t="shared" si="136"/>
        <v/>
      </c>
      <c r="BC339" t="str">
        <f>IF(AZ339=1,IF(S339="","",IF(S339=N144,"Yes","No")),"")</f>
        <v/>
      </c>
      <c r="BD339" t="str">
        <f t="shared" si="137"/>
        <v/>
      </c>
      <c r="BE339" t="str">
        <f t="shared" si="138"/>
        <v/>
      </c>
      <c r="BF339" t="str">
        <f t="shared" si="139"/>
        <v>No</v>
      </c>
      <c r="BG339" t="str">
        <f t="shared" si="140"/>
        <v>No</v>
      </c>
      <c r="BH339" t="str">
        <f t="shared" si="141"/>
        <v/>
      </c>
    </row>
    <row r="340" spans="9:60" x14ac:dyDescent="0.3">
      <c r="I340" t="str">
        <f t="shared" si="118"/>
        <v>N/A</v>
      </c>
      <c r="J340" t="str">
        <f t="shared" si="119"/>
        <v>N/A</v>
      </c>
      <c r="K340" t="str">
        <f t="shared" si="120"/>
        <v>N/A</v>
      </c>
      <c r="L340" t="str">
        <f t="shared" si="121"/>
        <v>N/A</v>
      </c>
      <c r="M340" t="str">
        <f t="shared" si="122"/>
        <v>N/A</v>
      </c>
      <c r="N340" t="str">
        <f t="shared" si="123"/>
        <v>N/A</v>
      </c>
      <c r="P340">
        <f t="shared" si="124"/>
        <v>0</v>
      </c>
      <c r="Q340" t="str">
        <f>IFERROR(J144+MATCH(P340,J340:N340,0)-1,"")</f>
        <v/>
      </c>
      <c r="R340" t="str">
        <f t="shared" si="125"/>
        <v/>
      </c>
      <c r="S340" t="str">
        <f>IFERROR(J144+MATCH(R340,J340:N340,0)-1,"")</f>
        <v/>
      </c>
      <c r="T340" t="str">
        <f t="shared" si="126"/>
        <v/>
      </c>
      <c r="U340" t="str">
        <f t="shared" si="127"/>
        <v/>
      </c>
      <c r="V340" t="str">
        <f t="shared" si="128"/>
        <v/>
      </c>
      <c r="W340" t="str">
        <f t="shared" si="129"/>
        <v/>
      </c>
      <c r="X340" t="str">
        <f t="shared" si="130"/>
        <v/>
      </c>
      <c r="Y340" t="str">
        <f t="shared" si="131"/>
        <v/>
      </c>
      <c r="Z340" t="str">
        <f t="shared" si="132"/>
        <v/>
      </c>
      <c r="AA340">
        <f t="shared" si="133"/>
        <v>0</v>
      </c>
      <c r="AB340" t="str">
        <f>IFERROR(V144+MATCH(AA340,V340:Z340,0)-1,"")</f>
        <v/>
      </c>
      <c r="AC340" t="str">
        <f t="shared" si="134"/>
        <v/>
      </c>
      <c r="AE340" t="str">
        <f>IF(ISNUMBER(MATCH("N/A",J340:N340,0)),"",IFERROR((5 * SUMPRODUCT(J144:N144,J340:N340) - PRODUCT(SUM(J144:N144),SUM(J340:N340))) / ((5 * SUM((J144^2)+(K144^2)+(L144^2)+(M144^2)+(N144^2))) - SUM(J144:N144)^2),""))</f>
        <v/>
      </c>
      <c r="AF340" t="str">
        <f>IFERROR(CORREL(J144:N144,J340:N340),"")</f>
        <v/>
      </c>
      <c r="AZ340">
        <f t="shared" si="135"/>
        <v>0</v>
      </c>
      <c r="BA340" t="str">
        <f>IF(AZ340=1,IF(Q340="","",IF(Q340=N144,"Yes","No")),"")</f>
        <v/>
      </c>
      <c r="BB340" t="str">
        <f t="shared" si="136"/>
        <v/>
      </c>
      <c r="BC340" t="str">
        <f>IF(AZ340=1,IF(S340="","",IF(S340=N144,"Yes","No")),"")</f>
        <v/>
      </c>
      <c r="BD340" t="str">
        <f t="shared" si="137"/>
        <v/>
      </c>
      <c r="BE340" t="str">
        <f t="shared" si="138"/>
        <v/>
      </c>
      <c r="BF340" t="str">
        <f t="shared" si="139"/>
        <v>No</v>
      </c>
      <c r="BG340" t="str">
        <f t="shared" si="140"/>
        <v>No</v>
      </c>
      <c r="BH340" t="str">
        <f t="shared" si="141"/>
        <v/>
      </c>
    </row>
    <row r="341" spans="9:60" x14ac:dyDescent="0.3">
      <c r="I341" t="str">
        <f t="shared" si="118"/>
        <v>N/A</v>
      </c>
      <c r="J341" t="str">
        <f t="shared" si="119"/>
        <v>N/A</v>
      </c>
      <c r="K341" t="str">
        <f t="shared" si="120"/>
        <v>N/A</v>
      </c>
      <c r="L341" t="str">
        <f t="shared" si="121"/>
        <v>N/A</v>
      </c>
      <c r="M341" t="str">
        <f t="shared" si="122"/>
        <v>N/A</v>
      </c>
      <c r="N341" t="str">
        <f t="shared" si="123"/>
        <v>N/A</v>
      </c>
      <c r="P341">
        <f t="shared" si="124"/>
        <v>0</v>
      </c>
      <c r="Q341" t="str">
        <f>IFERROR(J144+MATCH(P341,J341:N341,0)-1,"")</f>
        <v/>
      </c>
      <c r="R341" t="str">
        <f t="shared" si="125"/>
        <v/>
      </c>
      <c r="S341" t="str">
        <f>IFERROR(J144+MATCH(R341,J341:N341,0)-1,"")</f>
        <v/>
      </c>
      <c r="T341" t="str">
        <f t="shared" si="126"/>
        <v/>
      </c>
      <c r="U341" t="str">
        <f t="shared" si="127"/>
        <v/>
      </c>
      <c r="V341" t="str">
        <f t="shared" si="128"/>
        <v/>
      </c>
      <c r="W341" t="str">
        <f t="shared" si="129"/>
        <v/>
      </c>
      <c r="X341" t="str">
        <f t="shared" si="130"/>
        <v/>
      </c>
      <c r="Y341" t="str">
        <f t="shared" si="131"/>
        <v/>
      </c>
      <c r="Z341" t="str">
        <f t="shared" si="132"/>
        <v/>
      </c>
      <c r="AA341">
        <f t="shared" si="133"/>
        <v>0</v>
      </c>
      <c r="AB341" t="str">
        <f>IFERROR(V144+MATCH(AA341,V341:Z341,0)-1,"")</f>
        <v/>
      </c>
      <c r="AC341" t="str">
        <f t="shared" si="134"/>
        <v/>
      </c>
      <c r="AE341" t="str">
        <f>IF(ISNUMBER(MATCH("N/A",J341:N341,0)),"",IFERROR((5 * SUMPRODUCT(J144:N144,J341:N341) - PRODUCT(SUM(J144:N144),SUM(J341:N341))) / ((5 * SUM((J144^2)+(K144^2)+(L144^2)+(M144^2)+(N144^2))) - SUM(J144:N144)^2),""))</f>
        <v/>
      </c>
      <c r="AF341" t="str">
        <f>IFERROR(CORREL(J144:N144,J341:N341),"")</f>
        <v/>
      </c>
      <c r="AZ341">
        <f t="shared" si="135"/>
        <v>0</v>
      </c>
      <c r="BA341" t="str">
        <f>IF(AZ341=1,IF(Q341="","",IF(Q341=N144,"Yes","No")),"")</f>
        <v/>
      </c>
      <c r="BB341" t="str">
        <f t="shared" si="136"/>
        <v/>
      </c>
      <c r="BC341" t="str">
        <f>IF(AZ341=1,IF(S341="","",IF(S341=N144,"Yes","No")),"")</f>
        <v/>
      </c>
      <c r="BD341" t="str">
        <f t="shared" si="137"/>
        <v/>
      </c>
      <c r="BE341" t="str">
        <f t="shared" si="138"/>
        <v/>
      </c>
      <c r="BF341" t="str">
        <f t="shared" si="139"/>
        <v>No</v>
      </c>
      <c r="BG341" t="str">
        <f t="shared" si="140"/>
        <v>No</v>
      </c>
      <c r="BH341" t="str">
        <f t="shared" si="141"/>
        <v/>
      </c>
    </row>
    <row r="342" spans="9:60" x14ac:dyDescent="0.3">
      <c r="I342" t="str">
        <f t="shared" si="118"/>
        <v>N/A</v>
      </c>
      <c r="J342" t="str">
        <f t="shared" si="119"/>
        <v>N/A</v>
      </c>
      <c r="K342" t="str">
        <f t="shared" si="120"/>
        <v>N/A</v>
      </c>
      <c r="L342" t="str">
        <f t="shared" si="121"/>
        <v>N/A</v>
      </c>
      <c r="M342" t="str">
        <f t="shared" si="122"/>
        <v>N/A</v>
      </c>
      <c r="N342" t="str">
        <f t="shared" si="123"/>
        <v>N/A</v>
      </c>
      <c r="P342">
        <f t="shared" si="124"/>
        <v>0</v>
      </c>
      <c r="Q342" t="str">
        <f>IFERROR(J144+MATCH(P342,J342:N342,0)-1,"")</f>
        <v/>
      </c>
      <c r="R342" t="str">
        <f t="shared" si="125"/>
        <v/>
      </c>
      <c r="S342" t="str">
        <f>IFERROR(J144+MATCH(R342,J342:N342,0)-1,"")</f>
        <v/>
      </c>
      <c r="T342" t="str">
        <f t="shared" si="126"/>
        <v/>
      </c>
      <c r="U342" t="str">
        <f t="shared" si="127"/>
        <v/>
      </c>
      <c r="V342" t="str">
        <f t="shared" si="128"/>
        <v/>
      </c>
      <c r="W342" t="str">
        <f t="shared" si="129"/>
        <v/>
      </c>
      <c r="X342" t="str">
        <f t="shared" si="130"/>
        <v/>
      </c>
      <c r="Y342" t="str">
        <f t="shared" si="131"/>
        <v/>
      </c>
      <c r="Z342" t="str">
        <f t="shared" si="132"/>
        <v/>
      </c>
      <c r="AA342">
        <f t="shared" si="133"/>
        <v>0</v>
      </c>
      <c r="AB342" t="str">
        <f>IFERROR(V144+MATCH(AA342,V342:Z342,0)-1,"")</f>
        <v/>
      </c>
      <c r="AC342" t="str">
        <f t="shared" si="134"/>
        <v/>
      </c>
      <c r="AE342" t="str">
        <f>IF(ISNUMBER(MATCH("N/A",J342:N342,0)),"",IFERROR((5 * SUMPRODUCT(J144:N144,J342:N342) - PRODUCT(SUM(J144:N144),SUM(J342:N342))) / ((5 * SUM((J144^2)+(K144^2)+(L144^2)+(M144^2)+(N144^2))) - SUM(J144:N144)^2),""))</f>
        <v/>
      </c>
      <c r="AF342" t="str">
        <f>IFERROR(CORREL(J144:N144,J342:N342),"")</f>
        <v/>
      </c>
      <c r="AZ342">
        <f t="shared" si="135"/>
        <v>0</v>
      </c>
      <c r="BA342" t="str">
        <f>IF(AZ342=1,IF(Q342="","",IF(Q342=N144,"Yes","No")),"")</f>
        <v/>
      </c>
      <c r="BB342" t="str">
        <f t="shared" si="136"/>
        <v/>
      </c>
      <c r="BC342" t="str">
        <f>IF(AZ342=1,IF(S342="","",IF(S342=N144,"Yes","No")),"")</f>
        <v/>
      </c>
      <c r="BD342" t="str">
        <f t="shared" si="137"/>
        <v/>
      </c>
      <c r="BE342" t="str">
        <f t="shared" si="138"/>
        <v/>
      </c>
      <c r="BF342" t="str">
        <f t="shared" si="139"/>
        <v>No</v>
      </c>
      <c r="BG342" t="str">
        <f t="shared" si="140"/>
        <v>No</v>
      </c>
      <c r="BH342" t="str">
        <f t="shared" si="141"/>
        <v/>
      </c>
    </row>
    <row r="343" spans="9:60" x14ac:dyDescent="0.3">
      <c r="I343" t="str">
        <f t="shared" si="118"/>
        <v>N/A</v>
      </c>
      <c r="J343" t="str">
        <f t="shared" si="119"/>
        <v>N/A</v>
      </c>
      <c r="K343" t="str">
        <f t="shared" si="120"/>
        <v>N/A</v>
      </c>
      <c r="L343" t="str">
        <f t="shared" si="121"/>
        <v>N/A</v>
      </c>
      <c r="M343" t="str">
        <f t="shared" si="122"/>
        <v>N/A</v>
      </c>
      <c r="N343" t="str">
        <f t="shared" si="123"/>
        <v>N/A</v>
      </c>
      <c r="P343">
        <f t="shared" si="124"/>
        <v>0</v>
      </c>
      <c r="Q343" t="str">
        <f>IFERROR(J144+MATCH(P343,J343:N343,0)-1,"")</f>
        <v/>
      </c>
      <c r="R343" t="str">
        <f t="shared" si="125"/>
        <v/>
      </c>
      <c r="S343" t="str">
        <f>IFERROR(J144+MATCH(R343,J343:N343,0)-1,"")</f>
        <v/>
      </c>
      <c r="T343" t="str">
        <f t="shared" si="126"/>
        <v/>
      </c>
      <c r="U343" t="str">
        <f t="shared" si="127"/>
        <v/>
      </c>
      <c r="V343" t="str">
        <f t="shared" si="128"/>
        <v/>
      </c>
      <c r="W343" t="str">
        <f t="shared" si="129"/>
        <v/>
      </c>
      <c r="X343" t="str">
        <f t="shared" si="130"/>
        <v/>
      </c>
      <c r="Y343" t="str">
        <f t="shared" si="131"/>
        <v/>
      </c>
      <c r="Z343" t="str">
        <f t="shared" si="132"/>
        <v/>
      </c>
      <c r="AA343">
        <f t="shared" si="133"/>
        <v>0</v>
      </c>
      <c r="AB343" t="str">
        <f>IFERROR(V144+MATCH(AA343,V343:Z343,0)-1,"")</f>
        <v/>
      </c>
      <c r="AC343" t="str">
        <f t="shared" si="134"/>
        <v/>
      </c>
      <c r="AE343" t="str">
        <f>IF(ISNUMBER(MATCH("N/A",J343:N343,0)),"",IFERROR((5 * SUMPRODUCT(J144:N144,J343:N343) - PRODUCT(SUM(J144:N144),SUM(J343:N343))) / ((5 * SUM((J144^2)+(K144^2)+(L144^2)+(M144^2)+(N144^2))) - SUM(J144:N144)^2),""))</f>
        <v/>
      </c>
      <c r="AF343" t="str">
        <f>IFERROR(CORREL(J144:N144,J343:N343),"")</f>
        <v/>
      </c>
      <c r="AZ343">
        <f t="shared" si="135"/>
        <v>0</v>
      </c>
      <c r="BA343" t="str">
        <f>IF(AZ343=1,IF(Q343="","",IF(Q343=N144,"Yes","No")),"")</f>
        <v/>
      </c>
      <c r="BB343" t="str">
        <f t="shared" si="136"/>
        <v/>
      </c>
      <c r="BC343" t="str">
        <f>IF(AZ343=1,IF(S343="","",IF(S343=N144,"Yes","No")),"")</f>
        <v/>
      </c>
      <c r="BD343" t="str">
        <f t="shared" si="137"/>
        <v/>
      </c>
      <c r="BE343" t="str">
        <f t="shared" si="138"/>
        <v/>
      </c>
      <c r="BF343" t="str">
        <f t="shared" si="139"/>
        <v>No</v>
      </c>
      <c r="BG343" t="str">
        <f t="shared" si="140"/>
        <v>No</v>
      </c>
      <c r="BH343" t="str">
        <f t="shared" si="141"/>
        <v/>
      </c>
    </row>
    <row r="344" spans="9:60" x14ac:dyDescent="0.3">
      <c r="I344" t="str">
        <f t="shared" si="118"/>
        <v>N/A</v>
      </c>
      <c r="J344" t="str">
        <f t="shared" si="119"/>
        <v>N/A</v>
      </c>
      <c r="K344" t="str">
        <f t="shared" si="120"/>
        <v>N/A</v>
      </c>
      <c r="L344" t="str">
        <f t="shared" si="121"/>
        <v>N/A</v>
      </c>
      <c r="M344" t="str">
        <f t="shared" si="122"/>
        <v>N/A</v>
      </c>
      <c r="N344" t="str">
        <f t="shared" si="123"/>
        <v>N/A</v>
      </c>
      <c r="P344">
        <f t="shared" si="124"/>
        <v>0</v>
      </c>
      <c r="Q344" t="str">
        <f>IFERROR(J144+MATCH(P344,J344:N344,0)-1,"")</f>
        <v/>
      </c>
      <c r="R344" t="str">
        <f t="shared" si="125"/>
        <v/>
      </c>
      <c r="S344" t="str">
        <f>IFERROR(J144+MATCH(R344,J344:N344,0)-1,"")</f>
        <v/>
      </c>
      <c r="T344" t="str">
        <f t="shared" si="126"/>
        <v/>
      </c>
      <c r="U344" t="str">
        <f t="shared" si="127"/>
        <v/>
      </c>
      <c r="V344" t="str">
        <f t="shared" si="128"/>
        <v/>
      </c>
      <c r="W344" t="str">
        <f t="shared" si="129"/>
        <v/>
      </c>
      <c r="X344" t="str">
        <f t="shared" si="130"/>
        <v/>
      </c>
      <c r="Y344" t="str">
        <f t="shared" si="131"/>
        <v/>
      </c>
      <c r="Z344" t="str">
        <f t="shared" si="132"/>
        <v/>
      </c>
      <c r="AA344">
        <f t="shared" si="133"/>
        <v>0</v>
      </c>
      <c r="AB344" t="str">
        <f>IFERROR(V144+MATCH(AA344,V344:Z344,0)-1,"")</f>
        <v/>
      </c>
      <c r="AC344" t="str">
        <f t="shared" si="134"/>
        <v/>
      </c>
      <c r="AE344" t="str">
        <f>IF(ISNUMBER(MATCH("N/A",J344:N344,0)),"",IFERROR((5 * SUMPRODUCT(J144:N144,J344:N344) - PRODUCT(SUM(J144:N144),SUM(J344:N344))) / ((5 * SUM((J144^2)+(K144^2)+(L144^2)+(M144^2)+(N144^2))) - SUM(J144:N144)^2),""))</f>
        <v/>
      </c>
      <c r="AF344" t="str">
        <f>IFERROR(CORREL(J144:N144,J344:N344),"")</f>
        <v/>
      </c>
      <c r="AZ344">
        <f t="shared" si="135"/>
        <v>0</v>
      </c>
      <c r="BA344" t="str">
        <f>IF(AZ344=1,IF(Q344="","",IF(Q344=N144,"Yes","No")),"")</f>
        <v/>
      </c>
      <c r="BB344" t="str">
        <f t="shared" si="136"/>
        <v/>
      </c>
      <c r="BC344" t="str">
        <f>IF(AZ344=1,IF(S344="","",IF(S344=N144,"Yes","No")),"")</f>
        <v/>
      </c>
      <c r="BD344" t="str">
        <f t="shared" si="137"/>
        <v/>
      </c>
      <c r="BE344" t="str">
        <f t="shared" si="138"/>
        <v/>
      </c>
      <c r="BF344" t="str">
        <f t="shared" si="139"/>
        <v>No</v>
      </c>
      <c r="BG344" t="str">
        <f t="shared" si="140"/>
        <v>No</v>
      </c>
      <c r="BH344" t="str">
        <f t="shared" si="141"/>
        <v/>
      </c>
    </row>
    <row r="345" spans="9:60" x14ac:dyDescent="0.3">
      <c r="I345" t="str">
        <f t="shared" si="118"/>
        <v>N/A</v>
      </c>
      <c r="J345" t="str">
        <f t="shared" si="119"/>
        <v>N/A</v>
      </c>
      <c r="K345" t="str">
        <f t="shared" si="120"/>
        <v>N/A</v>
      </c>
      <c r="L345" t="str">
        <f t="shared" si="121"/>
        <v>N/A</v>
      </c>
      <c r="M345" t="str">
        <f t="shared" si="122"/>
        <v>N/A</v>
      </c>
      <c r="N345" t="str">
        <f t="shared" si="123"/>
        <v>N/A</v>
      </c>
      <c r="P345">
        <f t="shared" si="124"/>
        <v>0</v>
      </c>
      <c r="Q345" t="str">
        <f>IFERROR(J144+MATCH(P345,J345:N345,0)-1,"")</f>
        <v/>
      </c>
      <c r="R345" t="str">
        <f t="shared" si="125"/>
        <v/>
      </c>
      <c r="S345" t="str">
        <f>IFERROR(J144+MATCH(R345,J345:N345,0)-1,"")</f>
        <v/>
      </c>
      <c r="T345" t="str">
        <f t="shared" si="126"/>
        <v/>
      </c>
      <c r="U345" t="str">
        <f t="shared" si="127"/>
        <v/>
      </c>
      <c r="V345" t="str">
        <f t="shared" si="128"/>
        <v/>
      </c>
      <c r="W345" t="str">
        <f t="shared" si="129"/>
        <v/>
      </c>
      <c r="X345" t="str">
        <f t="shared" si="130"/>
        <v/>
      </c>
      <c r="Y345" t="str">
        <f t="shared" si="131"/>
        <v/>
      </c>
      <c r="Z345" t="str">
        <f t="shared" si="132"/>
        <v/>
      </c>
      <c r="AA345">
        <f t="shared" si="133"/>
        <v>0</v>
      </c>
      <c r="AB345" t="str">
        <f>IFERROR(V144+MATCH(AA345,V345:Z345,0)-1,"")</f>
        <v/>
      </c>
      <c r="AC345" t="str">
        <f t="shared" si="134"/>
        <v/>
      </c>
      <c r="AE345" t="str">
        <f>IF(ISNUMBER(MATCH("N/A",J345:N345,0)),"",IFERROR((5 * SUMPRODUCT(J144:N144,J345:N345) - PRODUCT(SUM(J144:N144),SUM(J345:N345))) / ((5 * SUM((J144^2)+(K144^2)+(L144^2)+(M144^2)+(N144^2))) - SUM(J144:N144)^2),""))</f>
        <v/>
      </c>
      <c r="AF345" t="str">
        <f>IFERROR(CORREL(J144:N144,J345:N345),"")</f>
        <v/>
      </c>
      <c r="AZ345">
        <f t="shared" si="135"/>
        <v>0</v>
      </c>
      <c r="BA345" t="str">
        <f>IF(AZ345=1,IF(Q345="","",IF(Q345=N144,"Yes","No")),"")</f>
        <v/>
      </c>
      <c r="BB345" t="str">
        <f t="shared" si="136"/>
        <v/>
      </c>
      <c r="BC345" t="str">
        <f>IF(AZ345=1,IF(S345="","",IF(S345=N144,"Yes","No")),"")</f>
        <v/>
      </c>
      <c r="BD345" t="str">
        <f t="shared" si="137"/>
        <v/>
      </c>
      <c r="BE345" t="str">
        <f t="shared" si="138"/>
        <v/>
      </c>
      <c r="BF345" t="str">
        <f t="shared" si="139"/>
        <v>No</v>
      </c>
      <c r="BG345" t="str">
        <f t="shared" si="140"/>
        <v>No</v>
      </c>
      <c r="BH345" t="str">
        <f t="shared" si="141"/>
        <v/>
      </c>
    </row>
    <row r="346" spans="9:60" x14ac:dyDescent="0.3">
      <c r="I346" t="str">
        <f t="shared" si="118"/>
        <v>N/A</v>
      </c>
      <c r="J346" t="str">
        <f t="shared" si="119"/>
        <v>N/A</v>
      </c>
      <c r="K346" t="str">
        <f t="shared" si="120"/>
        <v>N/A</v>
      </c>
      <c r="L346" t="str">
        <f t="shared" si="121"/>
        <v>N/A</v>
      </c>
      <c r="M346" t="str">
        <f t="shared" si="122"/>
        <v>N/A</v>
      </c>
      <c r="N346" t="str">
        <f t="shared" si="123"/>
        <v>N/A</v>
      </c>
      <c r="P346">
        <f t="shared" si="124"/>
        <v>0</v>
      </c>
      <c r="Q346" t="str">
        <f>IFERROR(J144+MATCH(P346,J346:N346,0)-1,"")</f>
        <v/>
      </c>
      <c r="R346" t="str">
        <f t="shared" si="125"/>
        <v/>
      </c>
      <c r="S346" t="str">
        <f>IFERROR(J144+MATCH(R346,J346:N346,0)-1,"")</f>
        <v/>
      </c>
      <c r="T346" t="str">
        <f t="shared" si="126"/>
        <v/>
      </c>
      <c r="U346" t="str">
        <f t="shared" si="127"/>
        <v/>
      </c>
      <c r="V346" t="str">
        <f t="shared" si="128"/>
        <v/>
      </c>
      <c r="W346" t="str">
        <f t="shared" si="129"/>
        <v/>
      </c>
      <c r="X346" t="str">
        <f t="shared" si="130"/>
        <v/>
      </c>
      <c r="Y346" t="str">
        <f t="shared" si="131"/>
        <v/>
      </c>
      <c r="Z346" t="str">
        <f t="shared" si="132"/>
        <v/>
      </c>
      <c r="AA346">
        <f t="shared" si="133"/>
        <v>0</v>
      </c>
      <c r="AB346" t="str">
        <f>IFERROR(V144+MATCH(AA346,V346:Z346,0)-1,"")</f>
        <v/>
      </c>
      <c r="AC346" t="str">
        <f t="shared" si="134"/>
        <v/>
      </c>
      <c r="AE346" t="str">
        <f>IF(ISNUMBER(MATCH("N/A",J346:N346,0)),"",IFERROR((5 * SUMPRODUCT(J144:N144,J346:N346) - PRODUCT(SUM(J144:N144),SUM(J346:N346))) / ((5 * SUM((J144^2)+(K144^2)+(L144^2)+(M144^2)+(N144^2))) - SUM(J144:N144)^2),""))</f>
        <v/>
      </c>
      <c r="AF346" t="str">
        <f>IFERROR(CORREL(J144:N144,J346:N346),"")</f>
        <v/>
      </c>
      <c r="AZ346">
        <f t="shared" si="135"/>
        <v>0</v>
      </c>
      <c r="BA346" t="str">
        <f>IF(AZ346=1,IF(Q346="","",IF(Q346=N144,"Yes","No")),"")</f>
        <v/>
      </c>
      <c r="BB346" t="str">
        <f t="shared" si="136"/>
        <v/>
      </c>
      <c r="BC346" t="str">
        <f>IF(AZ346=1,IF(S346="","",IF(S346=N144,"Yes","No")),"")</f>
        <v/>
      </c>
      <c r="BD346" t="str">
        <f t="shared" si="137"/>
        <v/>
      </c>
      <c r="BE346" t="str">
        <f t="shared" si="138"/>
        <v/>
      </c>
      <c r="BF346" t="str">
        <f t="shared" si="139"/>
        <v>No</v>
      </c>
      <c r="BG346" t="str">
        <f t="shared" si="140"/>
        <v>No</v>
      </c>
      <c r="BH346" t="str">
        <f t="shared" si="141"/>
        <v/>
      </c>
    </row>
    <row r="347" spans="9:60" x14ac:dyDescent="0.3">
      <c r="I347" t="str">
        <f t="shared" si="118"/>
        <v>N/A</v>
      </c>
      <c r="J347" t="str">
        <f t="shared" si="119"/>
        <v>N/A</v>
      </c>
      <c r="K347" t="str">
        <f t="shared" si="120"/>
        <v>N/A</v>
      </c>
      <c r="L347" t="str">
        <f t="shared" si="121"/>
        <v>N/A</v>
      </c>
      <c r="M347" t="str">
        <f t="shared" si="122"/>
        <v>N/A</v>
      </c>
      <c r="N347" t="str">
        <f t="shared" si="123"/>
        <v>N/A</v>
      </c>
      <c r="P347">
        <f t="shared" si="124"/>
        <v>0</v>
      </c>
      <c r="Q347" t="str">
        <f>IFERROR(J144+MATCH(P347,J347:N347,0)-1,"")</f>
        <v/>
      </c>
      <c r="R347" t="str">
        <f t="shared" si="125"/>
        <v/>
      </c>
      <c r="S347" t="str">
        <f>IFERROR(J144+MATCH(R347,J347:N347,0)-1,"")</f>
        <v/>
      </c>
      <c r="T347" t="str">
        <f t="shared" si="126"/>
        <v/>
      </c>
      <c r="U347" t="str">
        <f t="shared" si="127"/>
        <v/>
      </c>
      <c r="V347" t="str">
        <f t="shared" si="128"/>
        <v/>
      </c>
      <c r="W347" t="str">
        <f t="shared" si="129"/>
        <v/>
      </c>
      <c r="X347" t="str">
        <f t="shared" si="130"/>
        <v/>
      </c>
      <c r="Y347" t="str">
        <f t="shared" si="131"/>
        <v/>
      </c>
      <c r="Z347" t="str">
        <f t="shared" si="132"/>
        <v/>
      </c>
      <c r="AA347">
        <f t="shared" si="133"/>
        <v>0</v>
      </c>
      <c r="AB347" t="str">
        <f>IFERROR(V144+MATCH(AA347,V347:Z347,0)-1,"")</f>
        <v/>
      </c>
      <c r="AC347" t="str">
        <f t="shared" si="134"/>
        <v/>
      </c>
      <c r="AE347" t="str">
        <f>IF(ISNUMBER(MATCH("N/A",J347:N347,0)),"",IFERROR((5 * SUMPRODUCT(J144:N144,J347:N347) - PRODUCT(SUM(J144:N144),SUM(J347:N347))) / ((5 * SUM((J144^2)+(K144^2)+(L144^2)+(M144^2)+(N144^2))) - SUM(J144:N144)^2),""))</f>
        <v/>
      </c>
      <c r="AF347" t="str">
        <f>IFERROR(CORREL(J144:N144,J347:N347),"")</f>
        <v/>
      </c>
      <c r="AZ347">
        <f t="shared" si="135"/>
        <v>0</v>
      </c>
      <c r="BA347" t="str">
        <f>IF(AZ347=1,IF(Q347="","",IF(Q347=N144,"Yes","No")),"")</f>
        <v/>
      </c>
      <c r="BB347" t="str">
        <f t="shared" si="136"/>
        <v/>
      </c>
      <c r="BC347" t="str">
        <f>IF(AZ347=1,IF(S347="","",IF(S347=N144,"Yes","No")),"")</f>
        <v/>
      </c>
      <c r="BD347" t="str">
        <f t="shared" si="137"/>
        <v/>
      </c>
      <c r="BE347" t="str">
        <f t="shared" si="138"/>
        <v/>
      </c>
      <c r="BF347" t="str">
        <f t="shared" si="139"/>
        <v>No</v>
      </c>
      <c r="BG347" t="str">
        <f t="shared" si="140"/>
        <v>No</v>
      </c>
      <c r="BH347" t="str">
        <f t="shared" si="141"/>
        <v/>
      </c>
    </row>
    <row r="348" spans="9:60" x14ac:dyDescent="0.3">
      <c r="I348" t="str">
        <f t="shared" si="118"/>
        <v>N/A</v>
      </c>
      <c r="J348" t="str">
        <f t="shared" si="119"/>
        <v>N/A</v>
      </c>
      <c r="K348" t="str">
        <f t="shared" si="120"/>
        <v>N/A</v>
      </c>
      <c r="L348" t="str">
        <f t="shared" si="121"/>
        <v>N/A</v>
      </c>
      <c r="M348" t="str">
        <f t="shared" si="122"/>
        <v>N/A</v>
      </c>
      <c r="N348" t="str">
        <f t="shared" si="123"/>
        <v>N/A</v>
      </c>
      <c r="P348">
        <f t="shared" si="124"/>
        <v>0</v>
      </c>
      <c r="Q348" t="str">
        <f>IFERROR(J144+MATCH(P348,J348:N348,0)-1,"")</f>
        <v/>
      </c>
      <c r="R348" t="str">
        <f t="shared" si="125"/>
        <v/>
      </c>
      <c r="S348" t="str">
        <f>IFERROR(J144+MATCH(R348,J348:N348,0)-1,"")</f>
        <v/>
      </c>
      <c r="T348" t="str">
        <f t="shared" si="126"/>
        <v/>
      </c>
      <c r="U348" t="str">
        <f t="shared" si="127"/>
        <v/>
      </c>
      <c r="V348" t="str">
        <f t="shared" si="128"/>
        <v/>
      </c>
      <c r="W348" t="str">
        <f t="shared" si="129"/>
        <v/>
      </c>
      <c r="X348" t="str">
        <f t="shared" si="130"/>
        <v/>
      </c>
      <c r="Y348" t="str">
        <f t="shared" si="131"/>
        <v/>
      </c>
      <c r="Z348" t="str">
        <f t="shared" si="132"/>
        <v/>
      </c>
      <c r="AA348">
        <f t="shared" si="133"/>
        <v>0</v>
      </c>
      <c r="AB348" t="str">
        <f>IFERROR(V144+MATCH(AA348,V348:Z348,0)-1,"")</f>
        <v/>
      </c>
      <c r="AC348" t="str">
        <f t="shared" si="134"/>
        <v/>
      </c>
      <c r="AE348" t="str">
        <f>IF(ISNUMBER(MATCH("N/A",J348:N348,0)),"",IFERROR((5 * SUMPRODUCT(J144:N144,J348:N348) - PRODUCT(SUM(J144:N144),SUM(J348:N348))) / ((5 * SUM((J144^2)+(K144^2)+(L144^2)+(M144^2)+(N144^2))) - SUM(J144:N144)^2),""))</f>
        <v/>
      </c>
      <c r="AF348" t="str">
        <f>IFERROR(CORREL(J144:N144,J348:N348),"")</f>
        <v/>
      </c>
      <c r="AZ348">
        <f t="shared" si="135"/>
        <v>0</v>
      </c>
      <c r="BA348" t="str">
        <f>IF(AZ348=1,IF(Q348="","",IF(Q348=N144,"Yes","No")),"")</f>
        <v/>
      </c>
      <c r="BB348" t="str">
        <f t="shared" si="136"/>
        <v/>
      </c>
      <c r="BC348" t="str">
        <f>IF(AZ348=1,IF(S348="","",IF(S348=N144,"Yes","No")),"")</f>
        <v/>
      </c>
      <c r="BD348" t="str">
        <f t="shared" si="137"/>
        <v/>
      </c>
      <c r="BE348" t="str">
        <f t="shared" si="138"/>
        <v/>
      </c>
      <c r="BF348" t="str">
        <f t="shared" si="139"/>
        <v>No</v>
      </c>
      <c r="BG348" t="str">
        <f t="shared" si="140"/>
        <v>No</v>
      </c>
      <c r="BH348" t="str">
        <f t="shared" si="141"/>
        <v/>
      </c>
    </row>
    <row r="349" spans="9:60" x14ac:dyDescent="0.3">
      <c r="I349" t="str">
        <f t="shared" si="118"/>
        <v>N/A</v>
      </c>
      <c r="J349" t="str">
        <f t="shared" si="119"/>
        <v>N/A</v>
      </c>
      <c r="K349" t="str">
        <f t="shared" si="120"/>
        <v>N/A</v>
      </c>
      <c r="L349" t="str">
        <f t="shared" si="121"/>
        <v>N/A</v>
      </c>
      <c r="M349" t="str">
        <f t="shared" si="122"/>
        <v>N/A</v>
      </c>
      <c r="N349" t="str">
        <f t="shared" si="123"/>
        <v>N/A</v>
      </c>
      <c r="P349">
        <f t="shared" si="124"/>
        <v>0</v>
      </c>
      <c r="Q349" t="str">
        <f>IFERROR(J144+MATCH(P349,J349:N349,0)-1,"")</f>
        <v/>
      </c>
      <c r="R349" t="str">
        <f t="shared" si="125"/>
        <v/>
      </c>
      <c r="S349" t="str">
        <f>IFERROR(J144+MATCH(R349,J349:N349,0)-1,"")</f>
        <v/>
      </c>
      <c r="T349" t="str">
        <f t="shared" si="126"/>
        <v/>
      </c>
      <c r="U349" t="str">
        <f t="shared" si="127"/>
        <v/>
      </c>
      <c r="V349" t="str">
        <f t="shared" si="128"/>
        <v/>
      </c>
      <c r="W349" t="str">
        <f t="shared" si="129"/>
        <v/>
      </c>
      <c r="X349" t="str">
        <f t="shared" si="130"/>
        <v/>
      </c>
      <c r="Y349" t="str">
        <f t="shared" si="131"/>
        <v/>
      </c>
      <c r="Z349" t="str">
        <f t="shared" si="132"/>
        <v/>
      </c>
      <c r="AA349">
        <f t="shared" si="133"/>
        <v>0</v>
      </c>
      <c r="AB349" t="str">
        <f>IFERROR(V144+MATCH(AA349,V349:Z349,0)-1,"")</f>
        <v/>
      </c>
      <c r="AC349" t="str">
        <f t="shared" si="134"/>
        <v/>
      </c>
      <c r="AE349" t="str">
        <f>IF(ISNUMBER(MATCH("N/A",J349:N349,0)),"",IFERROR((5 * SUMPRODUCT(J144:N144,J349:N349) - PRODUCT(SUM(J144:N144),SUM(J349:N349))) / ((5 * SUM((J144^2)+(K144^2)+(L144^2)+(M144^2)+(N144^2))) - SUM(J144:N144)^2),""))</f>
        <v/>
      </c>
      <c r="AF349" t="str">
        <f>IFERROR(CORREL(J144:N144,J349:N349),"")</f>
        <v/>
      </c>
      <c r="AZ349">
        <f t="shared" si="135"/>
        <v>0</v>
      </c>
      <c r="BA349" t="str">
        <f>IF(AZ349=1,IF(Q349="","",IF(Q349=N144,"Yes","No")),"")</f>
        <v/>
      </c>
      <c r="BB349" t="str">
        <f t="shared" si="136"/>
        <v/>
      </c>
      <c r="BC349" t="str">
        <f>IF(AZ349=1,IF(S349="","",IF(S349=N144,"Yes","No")),"")</f>
        <v/>
      </c>
      <c r="BD349" t="str">
        <f t="shared" si="137"/>
        <v/>
      </c>
      <c r="BE349" t="str">
        <f t="shared" si="138"/>
        <v/>
      </c>
      <c r="BF349" t="str">
        <f t="shared" si="139"/>
        <v>No</v>
      </c>
      <c r="BG349" t="str">
        <f t="shared" si="140"/>
        <v>No</v>
      </c>
      <c r="BH349" t="str">
        <f t="shared" si="141"/>
        <v/>
      </c>
    </row>
    <row r="350" spans="9:60" x14ac:dyDescent="0.3">
      <c r="I350" t="str">
        <f t="shared" si="118"/>
        <v>N/A</v>
      </c>
      <c r="J350" t="str">
        <f t="shared" si="119"/>
        <v>N/A</v>
      </c>
      <c r="K350" t="str">
        <f t="shared" si="120"/>
        <v>N/A</v>
      </c>
      <c r="L350" t="str">
        <f t="shared" si="121"/>
        <v>N/A</v>
      </c>
      <c r="M350" t="str">
        <f t="shared" si="122"/>
        <v>N/A</v>
      </c>
      <c r="N350" t="str">
        <f t="shared" si="123"/>
        <v>N/A</v>
      </c>
      <c r="P350">
        <f t="shared" si="124"/>
        <v>0</v>
      </c>
      <c r="Q350" t="str">
        <f>IFERROR(J144+MATCH(P350,J350:N350,0)-1,"")</f>
        <v/>
      </c>
      <c r="R350" t="str">
        <f t="shared" si="125"/>
        <v/>
      </c>
      <c r="S350" t="str">
        <f>IFERROR(J144+MATCH(R350,J350:N350,0)-1,"")</f>
        <v/>
      </c>
      <c r="T350" t="str">
        <f t="shared" si="126"/>
        <v/>
      </c>
      <c r="U350" t="str">
        <f t="shared" si="127"/>
        <v/>
      </c>
      <c r="V350" t="str">
        <f t="shared" si="128"/>
        <v/>
      </c>
      <c r="W350" t="str">
        <f t="shared" si="129"/>
        <v/>
      </c>
      <c r="X350" t="str">
        <f t="shared" si="130"/>
        <v/>
      </c>
      <c r="Y350" t="str">
        <f t="shared" si="131"/>
        <v/>
      </c>
      <c r="Z350" t="str">
        <f t="shared" si="132"/>
        <v/>
      </c>
      <c r="AA350">
        <f t="shared" si="133"/>
        <v>0</v>
      </c>
      <c r="AB350" t="str">
        <f>IFERROR(V144+MATCH(AA350,V350:Z350,0)-1,"")</f>
        <v/>
      </c>
      <c r="AC350" t="str">
        <f t="shared" si="134"/>
        <v/>
      </c>
      <c r="AE350" t="str">
        <f>IF(ISNUMBER(MATCH("N/A",J350:N350,0)),"",IFERROR((5 * SUMPRODUCT(J144:N144,J350:N350) - PRODUCT(SUM(J144:N144),SUM(J350:N350))) / ((5 * SUM((J144^2)+(K144^2)+(L144^2)+(M144^2)+(N144^2))) - SUM(J144:N144)^2),""))</f>
        <v/>
      </c>
      <c r="AF350" t="str">
        <f>IFERROR(CORREL(J144:N144,J350:N350),"")</f>
        <v/>
      </c>
      <c r="AZ350">
        <f t="shared" si="135"/>
        <v>0</v>
      </c>
      <c r="BA350" t="str">
        <f>IF(AZ350=1,IF(Q350="","",IF(Q350=N144,"Yes","No")),"")</f>
        <v/>
      </c>
      <c r="BB350" t="str">
        <f t="shared" si="136"/>
        <v/>
      </c>
      <c r="BC350" t="str">
        <f>IF(AZ350=1,IF(S350="","",IF(S350=N144,"Yes","No")),"")</f>
        <v/>
      </c>
      <c r="BD350" t="str">
        <f t="shared" si="137"/>
        <v/>
      </c>
      <c r="BE350" t="str">
        <f t="shared" si="138"/>
        <v/>
      </c>
      <c r="BF350" t="str">
        <f t="shared" si="139"/>
        <v>No</v>
      </c>
      <c r="BG350" t="str">
        <f t="shared" si="140"/>
        <v>No</v>
      </c>
      <c r="BH350" t="str">
        <f t="shared" si="141"/>
        <v/>
      </c>
    </row>
    <row r="351" spans="9:60" x14ac:dyDescent="0.3">
      <c r="I351" t="str">
        <f t="shared" si="118"/>
        <v>N/A</v>
      </c>
      <c r="J351" t="str">
        <f t="shared" si="119"/>
        <v>N/A</v>
      </c>
      <c r="K351" t="str">
        <f t="shared" si="120"/>
        <v>N/A</v>
      </c>
      <c r="L351" t="str">
        <f t="shared" si="121"/>
        <v>N/A</v>
      </c>
      <c r="M351" t="str">
        <f t="shared" si="122"/>
        <v>N/A</v>
      </c>
      <c r="N351" t="str">
        <f t="shared" si="123"/>
        <v>N/A</v>
      </c>
      <c r="P351">
        <f t="shared" si="124"/>
        <v>0</v>
      </c>
      <c r="Q351" t="str">
        <f>IFERROR(J144+MATCH(P351,J351:N351,0)-1,"")</f>
        <v/>
      </c>
      <c r="R351" t="str">
        <f t="shared" si="125"/>
        <v/>
      </c>
      <c r="S351" t="str">
        <f>IFERROR(J144+MATCH(R351,J351:N351,0)-1,"")</f>
        <v/>
      </c>
      <c r="T351" t="str">
        <f t="shared" si="126"/>
        <v/>
      </c>
      <c r="U351" t="str">
        <f t="shared" si="127"/>
        <v/>
      </c>
      <c r="V351" t="str">
        <f t="shared" si="128"/>
        <v/>
      </c>
      <c r="W351" t="str">
        <f t="shared" si="129"/>
        <v/>
      </c>
      <c r="X351" t="str">
        <f t="shared" si="130"/>
        <v/>
      </c>
      <c r="Y351" t="str">
        <f t="shared" si="131"/>
        <v/>
      </c>
      <c r="Z351" t="str">
        <f t="shared" si="132"/>
        <v/>
      </c>
      <c r="AA351">
        <f t="shared" si="133"/>
        <v>0</v>
      </c>
      <c r="AB351" t="str">
        <f>IFERROR(V144+MATCH(AA351,V351:Z351,0)-1,"")</f>
        <v/>
      </c>
      <c r="AC351" t="str">
        <f t="shared" si="134"/>
        <v/>
      </c>
      <c r="AE351" t="str">
        <f>IF(ISNUMBER(MATCH("N/A",J351:N351,0)),"",IFERROR((5 * SUMPRODUCT(J144:N144,J351:N351) - PRODUCT(SUM(J144:N144),SUM(J351:N351))) / ((5 * SUM((J144^2)+(K144^2)+(L144^2)+(M144^2)+(N144^2))) - SUM(J144:N144)^2),""))</f>
        <v/>
      </c>
      <c r="AF351" t="str">
        <f>IFERROR(CORREL(J144:N144,J351:N351),"")</f>
        <v/>
      </c>
      <c r="AZ351">
        <f t="shared" si="135"/>
        <v>0</v>
      </c>
      <c r="BA351" t="str">
        <f>IF(AZ351=1,IF(Q351="","",IF(Q351=N144,"Yes","No")),"")</f>
        <v/>
      </c>
      <c r="BB351" t="str">
        <f t="shared" si="136"/>
        <v/>
      </c>
      <c r="BC351" t="str">
        <f>IF(AZ351=1,IF(S351="","",IF(S351=N144,"Yes","No")),"")</f>
        <v/>
      </c>
      <c r="BD351" t="str">
        <f t="shared" si="137"/>
        <v/>
      </c>
      <c r="BE351" t="str">
        <f t="shared" si="138"/>
        <v/>
      </c>
      <c r="BF351" t="str">
        <f t="shared" si="139"/>
        <v>No</v>
      </c>
      <c r="BG351" t="str">
        <f t="shared" si="140"/>
        <v>No</v>
      </c>
      <c r="BH351" t="str">
        <f t="shared" si="141"/>
        <v/>
      </c>
    </row>
    <row r="352" spans="9:60" x14ac:dyDescent="0.3">
      <c r="I352" t="str">
        <f t="shared" si="118"/>
        <v>N/A</v>
      </c>
      <c r="J352" t="str">
        <f t="shared" si="119"/>
        <v>N/A</v>
      </c>
      <c r="K352" t="str">
        <f t="shared" si="120"/>
        <v>N/A</v>
      </c>
      <c r="L352" t="str">
        <f t="shared" si="121"/>
        <v>N/A</v>
      </c>
      <c r="M352" t="str">
        <f t="shared" si="122"/>
        <v>N/A</v>
      </c>
      <c r="N352" t="str">
        <f t="shared" si="123"/>
        <v>N/A</v>
      </c>
      <c r="P352">
        <f t="shared" si="124"/>
        <v>0</v>
      </c>
      <c r="Q352" t="str">
        <f>IFERROR(J144+MATCH(P352,J352:N352,0)-1,"")</f>
        <v/>
      </c>
      <c r="R352" t="str">
        <f t="shared" si="125"/>
        <v/>
      </c>
      <c r="S352" t="str">
        <f>IFERROR(J144+MATCH(R352,J352:N352,0)-1,"")</f>
        <v/>
      </c>
      <c r="T352" t="str">
        <f t="shared" si="126"/>
        <v/>
      </c>
      <c r="U352" t="str">
        <f t="shared" si="127"/>
        <v/>
      </c>
      <c r="V352" t="str">
        <f t="shared" si="128"/>
        <v/>
      </c>
      <c r="W352" t="str">
        <f t="shared" si="129"/>
        <v/>
      </c>
      <c r="X352" t="str">
        <f t="shared" si="130"/>
        <v/>
      </c>
      <c r="Y352" t="str">
        <f t="shared" si="131"/>
        <v/>
      </c>
      <c r="Z352" t="str">
        <f t="shared" si="132"/>
        <v/>
      </c>
      <c r="AA352">
        <f t="shared" si="133"/>
        <v>0</v>
      </c>
      <c r="AB352" t="str">
        <f>IFERROR(V144+MATCH(AA352,V352:Z352,0)-1,"")</f>
        <v/>
      </c>
      <c r="AC352" t="str">
        <f t="shared" si="134"/>
        <v/>
      </c>
      <c r="AE352" t="str">
        <f>IF(ISNUMBER(MATCH("N/A",J352:N352,0)),"",IFERROR((5 * SUMPRODUCT(J144:N144,J352:N352) - PRODUCT(SUM(J144:N144),SUM(J352:N352))) / ((5 * SUM((J144^2)+(K144^2)+(L144^2)+(M144^2)+(N144^2))) - SUM(J144:N144)^2),""))</f>
        <v/>
      </c>
      <c r="AF352" t="str">
        <f>IFERROR(CORREL(J144:N144,J352:N352),"")</f>
        <v/>
      </c>
      <c r="AZ352">
        <f t="shared" si="135"/>
        <v>0</v>
      </c>
      <c r="BA352" t="str">
        <f>IF(AZ352=1,IF(Q352="","",IF(Q352=N144,"Yes","No")),"")</f>
        <v/>
      </c>
      <c r="BB352" t="str">
        <f t="shared" si="136"/>
        <v/>
      </c>
      <c r="BC352" t="str">
        <f>IF(AZ352=1,IF(S352="","",IF(S352=N144,"Yes","No")),"")</f>
        <v/>
      </c>
      <c r="BD352" t="str">
        <f t="shared" si="137"/>
        <v/>
      </c>
      <c r="BE352" t="str">
        <f t="shared" si="138"/>
        <v/>
      </c>
      <c r="BF352" t="str">
        <f t="shared" si="139"/>
        <v>No</v>
      </c>
      <c r="BG352" t="str">
        <f t="shared" si="140"/>
        <v>No</v>
      </c>
      <c r="BH352" t="str">
        <f t="shared" si="141"/>
        <v/>
      </c>
    </row>
    <row r="353" spans="9:29" x14ac:dyDescent="0.3">
      <c r="I353" t="str">
        <f t="shared" si="118"/>
        <v>N/A</v>
      </c>
      <c r="J353" t="str">
        <f t="shared" si="119"/>
        <v>N/A</v>
      </c>
      <c r="K353" t="str">
        <f t="shared" si="120"/>
        <v>N/A</v>
      </c>
      <c r="L353" t="str">
        <f t="shared" si="121"/>
        <v>N/A</v>
      </c>
      <c r="M353" t="str">
        <f t="shared" si="122"/>
        <v>N/A</v>
      </c>
      <c r="N353" t="str">
        <f t="shared" si="123"/>
        <v>N/A</v>
      </c>
      <c r="P353">
        <f t="shared" si="124"/>
        <v>0</v>
      </c>
      <c r="Q353" t="str">
        <f>IFERROR(J144+MATCH(P353,J353:N353,0)-1,"")</f>
        <v/>
      </c>
      <c r="R353" t="str">
        <f t="shared" si="125"/>
        <v/>
      </c>
      <c r="T353" t="str">
        <f t="shared" si="126"/>
        <v/>
      </c>
      <c r="U353" t="str">
        <f t="shared" si="127"/>
        <v/>
      </c>
      <c r="V353" t="str">
        <f t="shared" si="128"/>
        <v/>
      </c>
      <c r="W353" t="str">
        <f t="shared" si="129"/>
        <v/>
      </c>
      <c r="X353" t="str">
        <f t="shared" si="130"/>
        <v/>
      </c>
      <c r="Y353" t="str">
        <f t="shared" si="131"/>
        <v/>
      </c>
      <c r="Z353" t="str">
        <f t="shared" si="132"/>
        <v/>
      </c>
      <c r="AA353">
        <f t="shared" si="133"/>
        <v>0</v>
      </c>
      <c r="AB353" t="str">
        <f>IFERROR(V144+MATCH(AA353,V353:Z353,0)-1,"")</f>
        <v/>
      </c>
      <c r="AC353" t="str">
        <f>IF(S353=AB353,"Low",IF(AB353=Q353,"High",""))</f>
        <v>Low</v>
      </c>
    </row>
    <row r="354" spans="9:29" x14ac:dyDescent="0.3">
      <c r="I354" t="str">
        <f t="shared" si="118"/>
        <v>N/A</v>
      </c>
      <c r="J354" t="str">
        <f t="shared" si="119"/>
        <v>N/A</v>
      </c>
      <c r="K354" t="str">
        <f t="shared" si="120"/>
        <v>N/A</v>
      </c>
      <c r="L354" t="str">
        <f t="shared" si="121"/>
        <v>N/A</v>
      </c>
      <c r="M354" t="str">
        <f t="shared" si="122"/>
        <v>N/A</v>
      </c>
      <c r="N354" t="str">
        <f t="shared" si="123"/>
        <v>N/A</v>
      </c>
      <c r="V354">
        <f>MAX(V145:V353)</f>
        <v>0</v>
      </c>
      <c r="W354">
        <f>MAX(W145:W353)</f>
        <v>0</v>
      </c>
      <c r="X354">
        <f>MAX(X145:X353)</f>
        <v>0</v>
      </c>
      <c r="Y354">
        <f>MAX(Y145:Y353)</f>
        <v>0</v>
      </c>
      <c r="Z354">
        <f>MAX(Z145:Z353)</f>
        <v>0</v>
      </c>
    </row>
    <row r="355" spans="9:29" x14ac:dyDescent="0.3">
      <c r="I355" t="str">
        <f t="shared" si="118"/>
        <v>N/A</v>
      </c>
      <c r="J355" t="str">
        <f t="shared" si="119"/>
        <v>N/A</v>
      </c>
      <c r="K355" t="str">
        <f t="shared" si="120"/>
        <v>N/A</v>
      </c>
      <c r="L355" t="str">
        <f t="shared" si="121"/>
        <v>N/A</v>
      </c>
      <c r="M355" t="str">
        <f t="shared" si="122"/>
        <v>N/A</v>
      </c>
      <c r="N355" t="str">
        <f t="shared" si="123"/>
        <v>N/A</v>
      </c>
      <c r="V355">
        <f>MIN(V145:V353)</f>
        <v>0</v>
      </c>
      <c r="W355">
        <f>MIN(W145:W353)</f>
        <v>0</v>
      </c>
      <c r="X355">
        <f>MIN(X145:X353)</f>
        <v>0</v>
      </c>
      <c r="Y355">
        <f>MIN(Y145:Y353)</f>
        <v>0</v>
      </c>
      <c r="Z355">
        <f>MIN(Z145:Z353)</f>
        <v>0</v>
      </c>
    </row>
    <row r="356" spans="9:29" x14ac:dyDescent="0.3">
      <c r="I356" t="str">
        <f t="shared" si="118"/>
        <v>N/A</v>
      </c>
      <c r="J356" t="str">
        <f t="shared" si="119"/>
        <v>N/A</v>
      </c>
      <c r="K356" t="str">
        <f t="shared" si="120"/>
        <v>N/A</v>
      </c>
      <c r="L356" t="str">
        <f t="shared" si="121"/>
        <v>N/A</v>
      </c>
      <c r="M356" t="str">
        <f t="shared" si="122"/>
        <v>N/A</v>
      </c>
      <c r="N356" t="str">
        <f t="shared" si="123"/>
        <v>N/A</v>
      </c>
      <c r="V356">
        <f>COUNTIF(V145:V353,"&gt;1.5")</f>
        <v>0</v>
      </c>
      <c r="W356">
        <f>COUNTIF(W145:W353,"&gt;1.5")</f>
        <v>0</v>
      </c>
      <c r="X356">
        <f>COUNTIF(X145:X353,"&gt;1.5")</f>
        <v>0</v>
      </c>
      <c r="Y356">
        <f>COUNTIF(Y145:Y353,"&gt;1.5")</f>
        <v>0</v>
      </c>
      <c r="Z356">
        <f>COUNTIF(Z145:Z353,"&gt;1.5")</f>
        <v>0</v>
      </c>
    </row>
    <row r="357" spans="9:29" x14ac:dyDescent="0.3">
      <c r="I357" t="str">
        <f t="shared" si="118"/>
        <v>N/A</v>
      </c>
      <c r="J357" t="str">
        <f t="shared" si="119"/>
        <v>N/A</v>
      </c>
      <c r="K357" t="str">
        <f t="shared" si="120"/>
        <v>N/A</v>
      </c>
      <c r="L357" t="str">
        <f t="shared" si="121"/>
        <v>N/A</v>
      </c>
      <c r="M357" t="str">
        <f t="shared" si="122"/>
        <v>N/A</v>
      </c>
      <c r="N357" t="str">
        <f t="shared" si="123"/>
        <v>N/A</v>
      </c>
      <c r="V357">
        <f>COUNTIF(V145:V353,"&lt;-1.5")</f>
        <v>0</v>
      </c>
      <c r="W357">
        <f>COUNTIF(W145:W353,"&lt;-1.5")</f>
        <v>0</v>
      </c>
      <c r="X357">
        <f>COUNTIF(X145:X353,"&lt;-1.5")</f>
        <v>0</v>
      </c>
      <c r="Y357">
        <f>COUNTIF(Y145:Y353,"&lt;-1.5")</f>
        <v>0</v>
      </c>
      <c r="Z357">
        <f>COUNTIF(Z145:Z353,"&lt;-1.5")</f>
        <v>0</v>
      </c>
    </row>
    <row r="358" spans="9:29" x14ac:dyDescent="0.3">
      <c r="I358" t="str">
        <f t="shared" si="118"/>
        <v>N/A</v>
      </c>
      <c r="J358" t="str">
        <f t="shared" si="119"/>
        <v>N/A</v>
      </c>
      <c r="K358" t="str">
        <f t="shared" si="120"/>
        <v>N/A</v>
      </c>
      <c r="L358" t="str">
        <f t="shared" si="121"/>
        <v>N/A</v>
      </c>
      <c r="M358" t="str">
        <f t="shared" si="122"/>
        <v>N/A</v>
      </c>
      <c r="N358" t="str">
        <f t="shared" si="123"/>
        <v>N/A</v>
      </c>
      <c r="V358">
        <f>SUM(V356:V357)</f>
        <v>0</v>
      </c>
      <c r="W358">
        <f>SUM(W356:W357)</f>
        <v>0</v>
      </c>
      <c r="X358">
        <f>SUM(X356:X357)</f>
        <v>0</v>
      </c>
      <c r="Y358">
        <f>SUM(Y356:Y357)</f>
        <v>0</v>
      </c>
      <c r="Z358">
        <f>SUM(Z356:Z357)</f>
        <v>0</v>
      </c>
    </row>
    <row r="359" spans="9:29" x14ac:dyDescent="0.3">
      <c r="I359" t="str">
        <f t="shared" si="118"/>
        <v>N/A</v>
      </c>
      <c r="J359" t="str">
        <f t="shared" si="119"/>
        <v>N/A</v>
      </c>
      <c r="K359" t="str">
        <f t="shared" si="120"/>
        <v>N/A</v>
      </c>
      <c r="L359" t="str">
        <f t="shared" si="121"/>
        <v>N/A</v>
      </c>
      <c r="M359" t="str">
        <f t="shared" si="122"/>
        <v>N/A</v>
      </c>
      <c r="N359" t="str">
        <f t="shared" si="123"/>
        <v>N/A</v>
      </c>
    </row>
    <row r="360" spans="9:29" x14ac:dyDescent="0.3">
      <c r="I360" t="str">
        <f t="shared" si="118"/>
        <v>N/A</v>
      </c>
      <c r="J360" t="str">
        <f t="shared" si="119"/>
        <v>N/A</v>
      </c>
      <c r="K360" t="str">
        <f t="shared" si="120"/>
        <v>N/A</v>
      </c>
      <c r="L360" t="str">
        <f t="shared" si="121"/>
        <v>N/A</v>
      </c>
      <c r="M360" t="str">
        <f t="shared" si="122"/>
        <v>N/A</v>
      </c>
      <c r="N360" t="str">
        <f t="shared" si="123"/>
        <v>N/A</v>
      </c>
      <c r="V360" t="str">
        <f>"Most Variable Year"</f>
        <v>Most Variable Year</v>
      </c>
      <c r="X360" t="e">
        <f>V144+MATCH(MAX(V358:Z358),V358:Z358,0)-1</f>
        <v>#VALUE!</v>
      </c>
    </row>
    <row r="361" spans="9:29" x14ac:dyDescent="0.3">
      <c r="I361" t="str">
        <f t="shared" ref="I361:I392" si="142">IF(AND(K361&gt; J361, L361&gt; K361, M361&gt; L361, N361&gt; M361), "pos_trend", IF(AND(K361&lt; J361, L361&lt; K361, M361&lt; L361, N361&lt; M361), "neg_trend", "N/A"))</f>
        <v>N/A</v>
      </c>
      <c r="J361" t="str">
        <f t="shared" ref="J361:J392" si="143">IFERROR(IF(TRIM(C361)="-", "N/A", IF(RIGHT(C361,1)=")",IF(RIGHT(C361,2)="T)",-1000000000000*VALUE(MID(C361,2,LEN(C361)-3)),IF(RIGHT(C361,2)="M)",-1000000*VALUE(MID(C361,2,LEN(C361)-3)),IF(RIGHT(C361,2)="B)",-1000000000*VALUE(MID(C361,2,LEN(C361)-3)),IF(RIGHT(C361,2)="k)",-1000*VALUE(MID(C361,2,LEN(C361)-3)),VALUE(SUBSTITUTE(C361,",","")))))),IF(RIGHT(C361,1)="T",1000000000000*VALUE(LEFT(C361,LEN(C361)-1)),IF(RIGHT(C361,1)="M",1000000*VALUE(LEFT(C361,LEN(C361)-1)),IF(RIGHT(C361,1)="B",1000000000*VALUE(LEFT(C361,LEN(C361)-1)),IF(RIGHT(C361,1)="%",0.01*VALUE(LEFT(C361,LEN(C361)-1)),IF(RIGHT(C361,1)="k",1000*VALUE(LEFT(C361,LEN(C361)-1)),VALUE(SUBSTITUTE(C361,",",""))))))))),"N/A")</f>
        <v>N/A</v>
      </c>
      <c r="K361" t="str">
        <f t="shared" ref="K361:K392" si="144">IFERROR(IF(TRIM(D361)="-", "N/A", IF(RIGHT(D361,1)=")",IF(RIGHT(D361,2)="T)",-1000000000000*VALUE(MID(D361,2,LEN(D361)-3)),IF(RIGHT(D361,2)="M)",-1000000*VALUE(MID(D361,2,LEN(D361)-3)),IF(RIGHT(D361,2)="B)",-1000000000*VALUE(MID(D361,2,LEN(D361)-3)),IF(RIGHT(D361,2)="k)",-1000*VALUE(MID(D361,2,LEN(D361)-3)),VALUE(SUBSTITUTE(D361,",","")))))),IF(RIGHT(D361,1)="T",1000000000000*VALUE(LEFT(D361,LEN(D361)-1)),IF(RIGHT(D361,1)="M",1000000*VALUE(LEFT(D361,LEN(D361)-1)),IF(RIGHT(D361,1)="B",1000000000*VALUE(LEFT(D361,LEN(D361)-1)),IF(RIGHT(D361,1)="%",0.01*VALUE(LEFT(D361,LEN(D361)-1)),IF(RIGHT(D361,1)="k",1000*VALUE(LEFT(D361,LEN(D361)-1)),VALUE(SUBSTITUTE(D361,",",""))))))))),"N/A")</f>
        <v>N/A</v>
      </c>
      <c r="L361" t="str">
        <f t="shared" ref="L361:L392" si="145">IFERROR(IF(TRIM(E361)="-", "N/A", IF(RIGHT(E361,1)=")",IF(RIGHT(E361,2)="T)",-1000000000000*VALUE(MID(E361,2,LEN(E361)-3)),IF(RIGHT(E361,2)="M)",-1000000*VALUE(MID(E361,2,LEN(E361)-3)),IF(RIGHT(E361,2)="B)",-1000000000*VALUE(MID(E361,2,LEN(E361)-3)),IF(RIGHT(E361,2)="k)",-1000*VALUE(MID(E361,2,LEN(E361)-3)),VALUE(SUBSTITUTE(E361,",","")))))),IF(RIGHT(E361,1)="T",1000000000000*VALUE(LEFT(E361,LEN(E361)-1)),IF(RIGHT(E361,1)="M",1000000*VALUE(LEFT(E361,LEN(E361)-1)),IF(RIGHT(E361,1)="B",1000000000*VALUE(LEFT(E361,LEN(E361)-1)),IF(RIGHT(E361,1)="%",0.01*VALUE(LEFT(E361,LEN(E361)-1)),IF(RIGHT(E361,1)="k",1000*VALUE(LEFT(E361,LEN(E361)-1)),VALUE(SUBSTITUTE(E361,",",""))))))))),"N/A")</f>
        <v>N/A</v>
      </c>
      <c r="M361" t="str">
        <f t="shared" ref="M361:M392" si="146">IFERROR(IF(TRIM(F361)="-", "N/A", IF(RIGHT(F361,1)=")",IF(RIGHT(F361,2)="T)",-1000000000000*VALUE(MID(F361,2,LEN(F361)-3)),IF(RIGHT(F361,2)="M)",-1000000*VALUE(MID(F361,2,LEN(F361)-3)),IF(RIGHT(F361,2)="B)",-1000000000*VALUE(MID(F361,2,LEN(F361)-3)),IF(RIGHT(F361,2)="k)",-1000*VALUE(MID(F361,2,LEN(F361)-3)),VALUE(SUBSTITUTE(F361,",","")))))),IF(RIGHT(F361,1)="T",1000000000000*VALUE(LEFT(F361,LEN(F361)-1)),IF(RIGHT(F361,1)="M",1000000*VALUE(LEFT(F361,LEN(F361)-1)),IF(RIGHT(F361,1)="B",1000000000*VALUE(LEFT(F361,LEN(F361)-1)),IF(RIGHT(F361,1)="%",0.01*VALUE(LEFT(F361,LEN(F361)-1)),IF(RIGHT(F361,1)="k",1000*VALUE(LEFT(F361,LEN(F361)-1)),VALUE(SUBSTITUTE(F361,",",""))))))))),"N/A")</f>
        <v>N/A</v>
      </c>
      <c r="N361" t="str">
        <f t="shared" ref="N361:N392" si="147">IFERROR(IF(TRIM(G361)="-", "N/A", IF(RIGHT(G361,1)=")",IF(RIGHT(G361,2)="T)",-1000000000000*VALUE(MID(G361,2,LEN(G361)-3)),IF(RIGHT(G361,2)="M)",-1000000*VALUE(MID(G361,2,LEN(G361)-3)),IF(RIGHT(G361,2)="B)",-1000000000*VALUE(MID(G361,2,LEN(G361)-3)),IF(RIGHT(G361,2)="k)",-1000*VALUE(MID(G361,2,LEN(G361)-3)),VALUE(SUBSTITUTE(G361,",","")))))),IF(RIGHT(G361,1)="T",1000000000000*VALUE(LEFT(G361,LEN(G361)-1)),IF(RIGHT(G361,1)="M",1000000*VALUE(LEFT(G361,LEN(G361)-1)),IF(RIGHT(G361,1)="B",1000000000*VALUE(LEFT(G361,LEN(G361)-1)),IF(RIGHT(G361,1)="%",0.01*VALUE(LEFT(G361,LEN(G361)-1)),IF(RIGHT(G361,1)="k",1000*VALUE(LEFT(G361,LEN(G361)-1)),VALUE(SUBSTITUTE(G361,",",""))))))))),"N/A")</f>
        <v>N/A</v>
      </c>
    </row>
    <row r="362" spans="9:29" x14ac:dyDescent="0.3">
      <c r="I362" t="str">
        <f t="shared" si="142"/>
        <v>N/A</v>
      </c>
      <c r="J362" t="str">
        <f t="shared" si="143"/>
        <v>N/A</v>
      </c>
      <c r="K362" t="str">
        <f t="shared" si="144"/>
        <v>N/A</v>
      </c>
      <c r="L362" t="str">
        <f t="shared" si="145"/>
        <v>N/A</v>
      </c>
      <c r="M362" t="str">
        <f t="shared" si="146"/>
        <v>N/A</v>
      </c>
      <c r="N362" t="str">
        <f t="shared" si="147"/>
        <v>N/A</v>
      </c>
    </row>
    <row r="363" spans="9:29" x14ac:dyDescent="0.3">
      <c r="I363" t="str">
        <f t="shared" si="142"/>
        <v>N/A</v>
      </c>
      <c r="J363" t="str">
        <f t="shared" si="143"/>
        <v>N/A</v>
      </c>
      <c r="K363" t="str">
        <f t="shared" si="144"/>
        <v>N/A</v>
      </c>
      <c r="L363" t="str">
        <f t="shared" si="145"/>
        <v>N/A</v>
      </c>
      <c r="M363" t="str">
        <f t="shared" si="146"/>
        <v>N/A</v>
      </c>
      <c r="N363" t="str">
        <f t="shared" si="147"/>
        <v>N/A</v>
      </c>
    </row>
    <row r="364" spans="9:29" x14ac:dyDescent="0.3">
      <c r="I364" t="str">
        <f t="shared" si="142"/>
        <v>N/A</v>
      </c>
      <c r="J364" t="str">
        <f t="shared" si="143"/>
        <v>N/A</v>
      </c>
      <c r="K364" t="str">
        <f t="shared" si="144"/>
        <v>N/A</v>
      </c>
      <c r="L364" t="str">
        <f t="shared" si="145"/>
        <v>N/A</v>
      </c>
      <c r="M364" t="str">
        <f t="shared" si="146"/>
        <v>N/A</v>
      </c>
      <c r="N364" t="str">
        <f t="shared" si="147"/>
        <v>N/A</v>
      </c>
    </row>
    <row r="365" spans="9:29" x14ac:dyDescent="0.3">
      <c r="I365" t="str">
        <f t="shared" si="142"/>
        <v>N/A</v>
      </c>
      <c r="J365" t="str">
        <f t="shared" si="143"/>
        <v>N/A</v>
      </c>
      <c r="K365" t="str">
        <f t="shared" si="144"/>
        <v>N/A</v>
      </c>
      <c r="L365" t="str">
        <f t="shared" si="145"/>
        <v>N/A</v>
      </c>
      <c r="M365" t="str">
        <f t="shared" si="146"/>
        <v>N/A</v>
      </c>
      <c r="N365" t="str">
        <f t="shared" si="147"/>
        <v>N/A</v>
      </c>
    </row>
    <row r="366" spans="9:29" x14ac:dyDescent="0.3">
      <c r="I366" t="str">
        <f t="shared" si="142"/>
        <v>N/A</v>
      </c>
      <c r="J366" t="str">
        <f t="shared" si="143"/>
        <v>N/A</v>
      </c>
      <c r="K366" t="str">
        <f t="shared" si="144"/>
        <v>N/A</v>
      </c>
      <c r="L366" t="str">
        <f t="shared" si="145"/>
        <v>N/A</v>
      </c>
      <c r="M366" t="str">
        <f t="shared" si="146"/>
        <v>N/A</v>
      </c>
      <c r="N366" t="str">
        <f t="shared" si="147"/>
        <v>N/A</v>
      </c>
    </row>
    <row r="367" spans="9:29" x14ac:dyDescent="0.3">
      <c r="I367" t="str">
        <f t="shared" si="142"/>
        <v>N/A</v>
      </c>
      <c r="J367" t="str">
        <f t="shared" si="143"/>
        <v>N/A</v>
      </c>
      <c r="K367" t="str">
        <f t="shared" si="144"/>
        <v>N/A</v>
      </c>
      <c r="L367" t="str">
        <f t="shared" si="145"/>
        <v>N/A</v>
      </c>
      <c r="M367" t="str">
        <f t="shared" si="146"/>
        <v>N/A</v>
      </c>
      <c r="N367" t="str">
        <f t="shared" si="147"/>
        <v>N/A</v>
      </c>
    </row>
    <row r="368" spans="9:29" x14ac:dyDescent="0.3">
      <c r="I368" t="str">
        <f t="shared" si="142"/>
        <v>N/A</v>
      </c>
      <c r="J368" t="str">
        <f t="shared" si="143"/>
        <v>N/A</v>
      </c>
      <c r="K368" t="str">
        <f t="shared" si="144"/>
        <v>N/A</v>
      </c>
      <c r="L368" t="str">
        <f t="shared" si="145"/>
        <v>N/A</v>
      </c>
      <c r="M368" t="str">
        <f t="shared" si="146"/>
        <v>N/A</v>
      </c>
      <c r="N368" t="str">
        <f t="shared" si="147"/>
        <v>N/A</v>
      </c>
    </row>
    <row r="369" spans="9:14" x14ac:dyDescent="0.3">
      <c r="I369" t="str">
        <f t="shared" si="142"/>
        <v>N/A</v>
      </c>
      <c r="J369" t="str">
        <f t="shared" si="143"/>
        <v>N/A</v>
      </c>
      <c r="K369" t="str">
        <f t="shared" si="144"/>
        <v>N/A</v>
      </c>
      <c r="L369" t="str">
        <f t="shared" si="145"/>
        <v>N/A</v>
      </c>
      <c r="M369" t="str">
        <f t="shared" si="146"/>
        <v>N/A</v>
      </c>
      <c r="N369" t="str">
        <f t="shared" si="147"/>
        <v>N/A</v>
      </c>
    </row>
    <row r="370" spans="9:14" x14ac:dyDescent="0.3">
      <c r="I370" t="str">
        <f t="shared" si="142"/>
        <v>N/A</v>
      </c>
      <c r="J370" t="str">
        <f t="shared" si="143"/>
        <v>N/A</v>
      </c>
      <c r="K370" t="str">
        <f t="shared" si="144"/>
        <v>N/A</v>
      </c>
      <c r="L370" t="str">
        <f t="shared" si="145"/>
        <v>N/A</v>
      </c>
      <c r="M370" t="str">
        <f t="shared" si="146"/>
        <v>N/A</v>
      </c>
      <c r="N370" t="str">
        <f t="shared" si="147"/>
        <v>N/A</v>
      </c>
    </row>
    <row r="371" spans="9:14" x14ac:dyDescent="0.3">
      <c r="I371" t="str">
        <f t="shared" si="142"/>
        <v>N/A</v>
      </c>
      <c r="J371" t="str">
        <f t="shared" si="143"/>
        <v>N/A</v>
      </c>
      <c r="K371" t="str">
        <f t="shared" si="144"/>
        <v>N/A</v>
      </c>
      <c r="L371" t="str">
        <f t="shared" si="145"/>
        <v>N/A</v>
      </c>
      <c r="M371" t="str">
        <f t="shared" si="146"/>
        <v>N/A</v>
      </c>
      <c r="N371" t="str">
        <f t="shared" si="147"/>
        <v>N/A</v>
      </c>
    </row>
    <row r="372" spans="9:14" x14ac:dyDescent="0.3">
      <c r="I372" t="str">
        <f t="shared" si="142"/>
        <v>N/A</v>
      </c>
      <c r="J372" t="str">
        <f t="shared" si="143"/>
        <v>N/A</v>
      </c>
      <c r="K372" t="str">
        <f t="shared" si="144"/>
        <v>N/A</v>
      </c>
      <c r="L372" t="str">
        <f t="shared" si="145"/>
        <v>N/A</v>
      </c>
      <c r="M372" t="str">
        <f t="shared" si="146"/>
        <v>N/A</v>
      </c>
      <c r="N372" t="str">
        <f t="shared" si="147"/>
        <v>N/A</v>
      </c>
    </row>
    <row r="373" spans="9:14" x14ac:dyDescent="0.3">
      <c r="I373" t="str">
        <f t="shared" si="142"/>
        <v>N/A</v>
      </c>
      <c r="J373" t="str">
        <f t="shared" si="143"/>
        <v>N/A</v>
      </c>
      <c r="K373" t="str">
        <f t="shared" si="144"/>
        <v>N/A</v>
      </c>
      <c r="L373" t="str">
        <f t="shared" si="145"/>
        <v>N/A</v>
      </c>
      <c r="M373" t="str">
        <f t="shared" si="146"/>
        <v>N/A</v>
      </c>
      <c r="N373" t="str">
        <f t="shared" si="147"/>
        <v>N/A</v>
      </c>
    </row>
    <row r="374" spans="9:14" x14ac:dyDescent="0.3">
      <c r="I374" t="str">
        <f t="shared" si="142"/>
        <v>N/A</v>
      </c>
      <c r="J374" t="str">
        <f t="shared" si="143"/>
        <v>N/A</v>
      </c>
      <c r="K374" t="str">
        <f t="shared" si="144"/>
        <v>N/A</v>
      </c>
      <c r="L374" t="str">
        <f t="shared" si="145"/>
        <v>N/A</v>
      </c>
      <c r="M374" t="str">
        <f t="shared" si="146"/>
        <v>N/A</v>
      </c>
      <c r="N374" t="str">
        <f t="shared" si="147"/>
        <v>N/A</v>
      </c>
    </row>
    <row r="375" spans="9:14" x14ac:dyDescent="0.3">
      <c r="I375" t="str">
        <f t="shared" si="142"/>
        <v>N/A</v>
      </c>
      <c r="J375" t="str">
        <f t="shared" si="143"/>
        <v>N/A</v>
      </c>
      <c r="K375" t="str">
        <f t="shared" si="144"/>
        <v>N/A</v>
      </c>
      <c r="L375" t="str">
        <f t="shared" si="145"/>
        <v>N/A</v>
      </c>
      <c r="M375" t="str">
        <f t="shared" si="146"/>
        <v>N/A</v>
      </c>
      <c r="N375" t="str">
        <f t="shared" si="147"/>
        <v>N/A</v>
      </c>
    </row>
    <row r="376" spans="9:14" x14ac:dyDescent="0.3">
      <c r="I376" t="str">
        <f t="shared" si="142"/>
        <v>N/A</v>
      </c>
      <c r="J376" t="str">
        <f t="shared" si="143"/>
        <v>N/A</v>
      </c>
      <c r="K376" t="str">
        <f t="shared" si="144"/>
        <v>N/A</v>
      </c>
      <c r="L376" t="str">
        <f t="shared" si="145"/>
        <v>N/A</v>
      </c>
      <c r="M376" t="str">
        <f t="shared" si="146"/>
        <v>N/A</v>
      </c>
      <c r="N376" t="str">
        <f t="shared" si="147"/>
        <v>N/A</v>
      </c>
    </row>
    <row r="377" spans="9:14" x14ac:dyDescent="0.3">
      <c r="I377" t="str">
        <f t="shared" si="142"/>
        <v>N/A</v>
      </c>
      <c r="J377" t="str">
        <f t="shared" si="143"/>
        <v>N/A</v>
      </c>
      <c r="K377" t="str">
        <f t="shared" si="144"/>
        <v>N/A</v>
      </c>
      <c r="L377" t="str">
        <f t="shared" si="145"/>
        <v>N/A</v>
      </c>
      <c r="M377" t="str">
        <f t="shared" si="146"/>
        <v>N/A</v>
      </c>
      <c r="N377" t="str">
        <f t="shared" si="147"/>
        <v>N/A</v>
      </c>
    </row>
    <row r="378" spans="9:14" x14ac:dyDescent="0.3">
      <c r="I378" t="str">
        <f t="shared" si="142"/>
        <v>N/A</v>
      </c>
      <c r="J378" t="str">
        <f t="shared" si="143"/>
        <v>N/A</v>
      </c>
      <c r="K378" t="str">
        <f t="shared" si="144"/>
        <v>N/A</v>
      </c>
      <c r="L378" t="str">
        <f t="shared" si="145"/>
        <v>N/A</v>
      </c>
      <c r="M378" t="str">
        <f t="shared" si="146"/>
        <v>N/A</v>
      </c>
      <c r="N378" t="str">
        <f t="shared" si="147"/>
        <v>N/A</v>
      </c>
    </row>
    <row r="379" spans="9:14" x14ac:dyDescent="0.3">
      <c r="I379" t="str">
        <f t="shared" si="142"/>
        <v>N/A</v>
      </c>
      <c r="J379" t="str">
        <f t="shared" si="143"/>
        <v>N/A</v>
      </c>
      <c r="K379" t="str">
        <f t="shared" si="144"/>
        <v>N/A</v>
      </c>
      <c r="L379" t="str">
        <f t="shared" si="145"/>
        <v>N/A</v>
      </c>
      <c r="M379" t="str">
        <f t="shared" si="146"/>
        <v>N/A</v>
      </c>
      <c r="N379" t="str">
        <f t="shared" si="147"/>
        <v>N/A</v>
      </c>
    </row>
    <row r="380" spans="9:14" x14ac:dyDescent="0.3">
      <c r="I380" t="str">
        <f t="shared" si="142"/>
        <v>N/A</v>
      </c>
      <c r="J380" t="str">
        <f t="shared" si="143"/>
        <v>N/A</v>
      </c>
      <c r="K380" t="str">
        <f t="shared" si="144"/>
        <v>N/A</v>
      </c>
      <c r="L380" t="str">
        <f t="shared" si="145"/>
        <v>N/A</v>
      </c>
      <c r="M380" t="str">
        <f t="shared" si="146"/>
        <v>N/A</v>
      </c>
      <c r="N380" t="str">
        <f t="shared" si="147"/>
        <v>N/A</v>
      </c>
    </row>
    <row r="381" spans="9:14" x14ac:dyDescent="0.3">
      <c r="I381" t="str">
        <f t="shared" si="142"/>
        <v>N/A</v>
      </c>
      <c r="J381" t="str">
        <f t="shared" si="143"/>
        <v>N/A</v>
      </c>
      <c r="K381" t="str">
        <f t="shared" si="144"/>
        <v>N/A</v>
      </c>
      <c r="L381" t="str">
        <f t="shared" si="145"/>
        <v>N/A</v>
      </c>
      <c r="M381" t="str">
        <f t="shared" si="146"/>
        <v>N/A</v>
      </c>
      <c r="N381" t="str">
        <f t="shared" si="147"/>
        <v>N/A</v>
      </c>
    </row>
    <row r="382" spans="9:14" x14ac:dyDescent="0.3">
      <c r="I382" t="str">
        <f t="shared" si="142"/>
        <v>N/A</v>
      </c>
      <c r="J382" t="str">
        <f t="shared" si="143"/>
        <v>N/A</v>
      </c>
      <c r="K382" t="str">
        <f t="shared" si="144"/>
        <v>N/A</v>
      </c>
      <c r="L382" t="str">
        <f t="shared" si="145"/>
        <v>N/A</v>
      </c>
      <c r="M382" t="str">
        <f t="shared" si="146"/>
        <v>N/A</v>
      </c>
      <c r="N382" t="str">
        <f t="shared" si="147"/>
        <v>N/A</v>
      </c>
    </row>
    <row r="383" spans="9:14" x14ac:dyDescent="0.3">
      <c r="I383" t="str">
        <f t="shared" si="142"/>
        <v>N/A</v>
      </c>
      <c r="J383" t="str">
        <f t="shared" si="143"/>
        <v>N/A</v>
      </c>
      <c r="K383" t="str">
        <f t="shared" si="144"/>
        <v>N/A</v>
      </c>
      <c r="L383" t="str">
        <f t="shared" si="145"/>
        <v>N/A</v>
      </c>
      <c r="M383" t="str">
        <f t="shared" si="146"/>
        <v>N/A</v>
      </c>
      <c r="N383" t="str">
        <f t="shared" si="147"/>
        <v>N/A</v>
      </c>
    </row>
    <row r="384" spans="9:14" x14ac:dyDescent="0.3">
      <c r="I384" t="str">
        <f t="shared" si="142"/>
        <v>N/A</v>
      </c>
      <c r="J384" t="str">
        <f t="shared" si="143"/>
        <v>N/A</v>
      </c>
      <c r="K384" t="str">
        <f t="shared" si="144"/>
        <v>N/A</v>
      </c>
      <c r="L384" t="str">
        <f t="shared" si="145"/>
        <v>N/A</v>
      </c>
      <c r="M384" t="str">
        <f t="shared" si="146"/>
        <v>N/A</v>
      </c>
      <c r="N384" t="str">
        <f t="shared" si="147"/>
        <v>N/A</v>
      </c>
    </row>
    <row r="385" spans="9:14" x14ac:dyDescent="0.3">
      <c r="I385" t="str">
        <f t="shared" si="142"/>
        <v>N/A</v>
      </c>
      <c r="J385" t="str">
        <f t="shared" si="143"/>
        <v>N/A</v>
      </c>
      <c r="K385" t="str">
        <f t="shared" si="144"/>
        <v>N/A</v>
      </c>
      <c r="L385" t="str">
        <f t="shared" si="145"/>
        <v>N/A</v>
      </c>
      <c r="M385" t="str">
        <f t="shared" si="146"/>
        <v>N/A</v>
      </c>
      <c r="N385" t="str">
        <f t="shared" si="147"/>
        <v>N/A</v>
      </c>
    </row>
    <row r="386" spans="9:14" x14ac:dyDescent="0.3">
      <c r="I386" t="str">
        <f t="shared" si="142"/>
        <v>N/A</v>
      </c>
      <c r="J386" t="str">
        <f t="shared" si="143"/>
        <v>N/A</v>
      </c>
      <c r="K386" t="str">
        <f t="shared" si="144"/>
        <v>N/A</v>
      </c>
      <c r="L386" t="str">
        <f t="shared" si="145"/>
        <v>N/A</v>
      </c>
      <c r="M386" t="str">
        <f t="shared" si="146"/>
        <v>N/A</v>
      </c>
      <c r="N386" t="str">
        <f t="shared" si="147"/>
        <v>N/A</v>
      </c>
    </row>
    <row r="387" spans="9:14" x14ac:dyDescent="0.3">
      <c r="I387" t="str">
        <f t="shared" si="142"/>
        <v>N/A</v>
      </c>
      <c r="J387" t="str">
        <f t="shared" si="143"/>
        <v>N/A</v>
      </c>
      <c r="K387" t="str">
        <f t="shared" si="144"/>
        <v>N/A</v>
      </c>
      <c r="L387" t="str">
        <f t="shared" si="145"/>
        <v>N/A</v>
      </c>
      <c r="M387" t="str">
        <f t="shared" si="146"/>
        <v>N/A</v>
      </c>
      <c r="N387" t="str">
        <f t="shared" si="147"/>
        <v>N/A</v>
      </c>
    </row>
    <row r="388" spans="9:14" x14ac:dyDescent="0.3">
      <c r="I388" t="str">
        <f t="shared" si="142"/>
        <v>N/A</v>
      </c>
      <c r="J388" t="str">
        <f t="shared" si="143"/>
        <v>N/A</v>
      </c>
      <c r="K388" t="str">
        <f t="shared" si="144"/>
        <v>N/A</v>
      </c>
      <c r="L388" t="str">
        <f t="shared" si="145"/>
        <v>N/A</v>
      </c>
      <c r="M388" t="str">
        <f t="shared" si="146"/>
        <v>N/A</v>
      </c>
      <c r="N388" t="str">
        <f t="shared" si="147"/>
        <v>N/A</v>
      </c>
    </row>
    <row r="389" spans="9:14" x14ac:dyDescent="0.3">
      <c r="I389" t="str">
        <f t="shared" si="142"/>
        <v>N/A</v>
      </c>
      <c r="J389" t="str">
        <f t="shared" si="143"/>
        <v>N/A</v>
      </c>
      <c r="K389" t="str">
        <f t="shared" si="144"/>
        <v>N/A</v>
      </c>
      <c r="L389" t="str">
        <f t="shared" si="145"/>
        <v>N/A</v>
      </c>
      <c r="M389" t="str">
        <f t="shared" si="146"/>
        <v>N/A</v>
      </c>
      <c r="N389" t="str">
        <f t="shared" si="147"/>
        <v>N/A</v>
      </c>
    </row>
    <row r="390" spans="9:14" x14ac:dyDescent="0.3">
      <c r="I390" t="str">
        <f t="shared" si="142"/>
        <v>N/A</v>
      </c>
      <c r="J390" t="str">
        <f t="shared" si="143"/>
        <v>N/A</v>
      </c>
      <c r="K390" t="str">
        <f t="shared" si="144"/>
        <v>N/A</v>
      </c>
      <c r="L390" t="str">
        <f t="shared" si="145"/>
        <v>N/A</v>
      </c>
      <c r="M390" t="str">
        <f t="shared" si="146"/>
        <v>N/A</v>
      </c>
      <c r="N390" t="str">
        <f t="shared" si="147"/>
        <v>N/A</v>
      </c>
    </row>
    <row r="391" spans="9:14" x14ac:dyDescent="0.3">
      <c r="I391" t="str">
        <f t="shared" si="142"/>
        <v>N/A</v>
      </c>
      <c r="J391" t="str">
        <f t="shared" si="143"/>
        <v>N/A</v>
      </c>
      <c r="K391" t="str">
        <f t="shared" si="144"/>
        <v>N/A</v>
      </c>
      <c r="L391" t="str">
        <f t="shared" si="145"/>
        <v>N/A</v>
      </c>
      <c r="M391" t="str">
        <f t="shared" si="146"/>
        <v>N/A</v>
      </c>
      <c r="N391" t="str">
        <f t="shared" si="147"/>
        <v>N/A</v>
      </c>
    </row>
    <row r="392" spans="9:14" x14ac:dyDescent="0.3">
      <c r="I392" t="str">
        <f t="shared" si="142"/>
        <v>N/A</v>
      </c>
      <c r="J392" t="str">
        <f t="shared" si="143"/>
        <v>N/A</v>
      </c>
      <c r="K392" t="str">
        <f t="shared" si="144"/>
        <v>N/A</v>
      </c>
      <c r="L392" t="str">
        <f t="shared" si="145"/>
        <v>N/A</v>
      </c>
      <c r="M392" t="str">
        <f t="shared" si="146"/>
        <v>N/A</v>
      </c>
      <c r="N392" t="str">
        <f t="shared" si="147"/>
        <v>N/A</v>
      </c>
    </row>
    <row r="393" spans="9:14" x14ac:dyDescent="0.3">
      <c r="I393" t="str">
        <f t="shared" ref="I393:I424" si="148">IF(AND(K393&gt; J393, L393&gt; K393, M393&gt; L393, N393&gt; M393), "pos_trend", IF(AND(K393&lt; J393, L393&lt; K393, M393&lt; L393, N393&lt; M393), "neg_trend", "N/A"))</f>
        <v>N/A</v>
      </c>
      <c r="J393" t="str">
        <f t="shared" ref="J393:J399" si="149">IFERROR(IF(TRIM(C393)="-", "N/A", IF(RIGHT(C393,1)=")",IF(RIGHT(C393,2)="T)",-1000000000000*VALUE(MID(C393,2,LEN(C393)-3)),IF(RIGHT(C393,2)="M)",-1000000*VALUE(MID(C393,2,LEN(C393)-3)),IF(RIGHT(C393,2)="B)",-1000000000*VALUE(MID(C393,2,LEN(C393)-3)),IF(RIGHT(C393,2)="k)",-1000*VALUE(MID(C393,2,LEN(C393)-3)),VALUE(SUBSTITUTE(C393,",","")))))),IF(RIGHT(C393,1)="T",1000000000000*VALUE(LEFT(C393,LEN(C393)-1)),IF(RIGHT(C393,1)="M",1000000*VALUE(LEFT(C393,LEN(C393)-1)),IF(RIGHT(C393,1)="B",1000000000*VALUE(LEFT(C393,LEN(C393)-1)),IF(RIGHT(C393,1)="%",0.01*VALUE(LEFT(C393,LEN(C393)-1)),IF(RIGHT(C393,1)="k",1000*VALUE(LEFT(C393,LEN(C393)-1)),VALUE(SUBSTITUTE(C393,",",""))))))))),"N/A")</f>
        <v>N/A</v>
      </c>
      <c r="K393" t="str">
        <f t="shared" ref="K393:K399" si="150">IFERROR(IF(TRIM(D393)="-", "N/A", IF(RIGHT(D393,1)=")",IF(RIGHT(D393,2)="T)",-1000000000000*VALUE(MID(D393,2,LEN(D393)-3)),IF(RIGHT(D393,2)="M)",-1000000*VALUE(MID(D393,2,LEN(D393)-3)),IF(RIGHT(D393,2)="B)",-1000000000*VALUE(MID(D393,2,LEN(D393)-3)),IF(RIGHT(D393,2)="k)",-1000*VALUE(MID(D393,2,LEN(D393)-3)),VALUE(SUBSTITUTE(D393,",","")))))),IF(RIGHT(D393,1)="T",1000000000000*VALUE(LEFT(D393,LEN(D393)-1)),IF(RIGHT(D393,1)="M",1000000*VALUE(LEFT(D393,LEN(D393)-1)),IF(RIGHT(D393,1)="B",1000000000*VALUE(LEFT(D393,LEN(D393)-1)),IF(RIGHT(D393,1)="%",0.01*VALUE(LEFT(D393,LEN(D393)-1)),IF(RIGHT(D393,1)="k",1000*VALUE(LEFT(D393,LEN(D393)-1)),VALUE(SUBSTITUTE(D393,",",""))))))))),"N/A")</f>
        <v>N/A</v>
      </c>
      <c r="L393" t="str">
        <f t="shared" ref="L393:L399" si="151">IFERROR(IF(TRIM(E393)="-", "N/A", IF(RIGHT(E393,1)=")",IF(RIGHT(E393,2)="T)",-1000000000000*VALUE(MID(E393,2,LEN(E393)-3)),IF(RIGHT(E393,2)="M)",-1000000*VALUE(MID(E393,2,LEN(E393)-3)),IF(RIGHT(E393,2)="B)",-1000000000*VALUE(MID(E393,2,LEN(E393)-3)),IF(RIGHT(E393,2)="k)",-1000*VALUE(MID(E393,2,LEN(E393)-3)),VALUE(SUBSTITUTE(E393,",","")))))),IF(RIGHT(E393,1)="T",1000000000000*VALUE(LEFT(E393,LEN(E393)-1)),IF(RIGHT(E393,1)="M",1000000*VALUE(LEFT(E393,LEN(E393)-1)),IF(RIGHT(E393,1)="B",1000000000*VALUE(LEFT(E393,LEN(E393)-1)),IF(RIGHT(E393,1)="%",0.01*VALUE(LEFT(E393,LEN(E393)-1)),IF(RIGHT(E393,1)="k",1000*VALUE(LEFT(E393,LEN(E393)-1)),VALUE(SUBSTITUTE(E393,",",""))))))))),"N/A")</f>
        <v>N/A</v>
      </c>
      <c r="M393" t="str">
        <f t="shared" ref="M393:M399" si="152">IFERROR(IF(TRIM(F393)="-", "N/A", IF(RIGHT(F393,1)=")",IF(RIGHT(F393,2)="T)",-1000000000000*VALUE(MID(F393,2,LEN(F393)-3)),IF(RIGHT(F393,2)="M)",-1000000*VALUE(MID(F393,2,LEN(F393)-3)),IF(RIGHT(F393,2)="B)",-1000000000*VALUE(MID(F393,2,LEN(F393)-3)),IF(RIGHT(F393,2)="k)",-1000*VALUE(MID(F393,2,LEN(F393)-3)),VALUE(SUBSTITUTE(F393,",","")))))),IF(RIGHT(F393,1)="T",1000000000000*VALUE(LEFT(F393,LEN(F393)-1)),IF(RIGHT(F393,1)="M",1000000*VALUE(LEFT(F393,LEN(F393)-1)),IF(RIGHT(F393,1)="B",1000000000*VALUE(LEFT(F393,LEN(F393)-1)),IF(RIGHT(F393,1)="%",0.01*VALUE(LEFT(F393,LEN(F393)-1)),IF(RIGHT(F393,1)="k",1000*VALUE(LEFT(F393,LEN(F393)-1)),VALUE(SUBSTITUTE(F393,",",""))))))))),"N/A")</f>
        <v>N/A</v>
      </c>
      <c r="N393" t="str">
        <f t="shared" ref="N393:N399" si="153">IFERROR(IF(TRIM(G393)="-", "N/A", IF(RIGHT(G393,1)=")",IF(RIGHT(G393,2)="T)",-1000000000000*VALUE(MID(G393,2,LEN(G393)-3)),IF(RIGHT(G393,2)="M)",-1000000*VALUE(MID(G393,2,LEN(G393)-3)),IF(RIGHT(G393,2)="B)",-1000000000*VALUE(MID(G393,2,LEN(G393)-3)),IF(RIGHT(G393,2)="k)",-1000*VALUE(MID(G393,2,LEN(G393)-3)),VALUE(SUBSTITUTE(G393,",","")))))),IF(RIGHT(G393,1)="T",1000000000000*VALUE(LEFT(G393,LEN(G393)-1)),IF(RIGHT(G393,1)="M",1000000*VALUE(LEFT(G393,LEN(G393)-1)),IF(RIGHT(G393,1)="B",1000000000*VALUE(LEFT(G393,LEN(G393)-1)),IF(RIGHT(G393,1)="%",0.01*VALUE(LEFT(G393,LEN(G393)-1)),IF(RIGHT(G393,1)="k",1000*VALUE(LEFT(G393,LEN(G393)-1)),VALUE(SUBSTITUTE(G393,",",""))))))))),"N/A")</f>
        <v>N/A</v>
      </c>
    </row>
    <row r="394" spans="9:14" x14ac:dyDescent="0.3">
      <c r="I394" t="str">
        <f t="shared" si="148"/>
        <v>N/A</v>
      </c>
      <c r="J394" t="str">
        <f t="shared" si="149"/>
        <v>N/A</v>
      </c>
      <c r="K394" t="str">
        <f t="shared" si="150"/>
        <v>N/A</v>
      </c>
      <c r="L394" t="str">
        <f t="shared" si="151"/>
        <v>N/A</v>
      </c>
      <c r="M394" t="str">
        <f t="shared" si="152"/>
        <v>N/A</v>
      </c>
      <c r="N394" t="str">
        <f t="shared" si="153"/>
        <v>N/A</v>
      </c>
    </row>
    <row r="395" spans="9:14" x14ac:dyDescent="0.3">
      <c r="I395" t="str">
        <f t="shared" si="148"/>
        <v>N/A</v>
      </c>
      <c r="J395" t="str">
        <f t="shared" si="149"/>
        <v>N/A</v>
      </c>
      <c r="K395" t="str">
        <f t="shared" si="150"/>
        <v>N/A</v>
      </c>
      <c r="L395" t="str">
        <f t="shared" si="151"/>
        <v>N/A</v>
      </c>
      <c r="M395" t="str">
        <f t="shared" si="152"/>
        <v>N/A</v>
      </c>
      <c r="N395" t="str">
        <f t="shared" si="153"/>
        <v>N/A</v>
      </c>
    </row>
    <row r="396" spans="9:14" x14ac:dyDescent="0.3">
      <c r="I396" t="str">
        <f t="shared" si="148"/>
        <v>N/A</v>
      </c>
      <c r="J396" t="str">
        <f t="shared" si="149"/>
        <v>N/A</v>
      </c>
      <c r="K396" t="str">
        <f t="shared" si="150"/>
        <v>N/A</v>
      </c>
      <c r="L396" t="str">
        <f t="shared" si="151"/>
        <v>N/A</v>
      </c>
      <c r="M396" t="str">
        <f t="shared" si="152"/>
        <v>N/A</v>
      </c>
      <c r="N396" t="str">
        <f t="shared" si="153"/>
        <v>N/A</v>
      </c>
    </row>
    <row r="397" spans="9:14" x14ac:dyDescent="0.3">
      <c r="I397" t="str">
        <f t="shared" si="148"/>
        <v>N/A</v>
      </c>
      <c r="J397" t="str">
        <f t="shared" si="149"/>
        <v>N/A</v>
      </c>
      <c r="K397" t="str">
        <f t="shared" si="150"/>
        <v>N/A</v>
      </c>
      <c r="L397" t="str">
        <f t="shared" si="151"/>
        <v>N/A</v>
      </c>
      <c r="M397" t="str">
        <f t="shared" si="152"/>
        <v>N/A</v>
      </c>
      <c r="N397" t="str">
        <f t="shared" si="153"/>
        <v>N/A</v>
      </c>
    </row>
    <row r="398" spans="9:14" x14ac:dyDescent="0.3">
      <c r="I398" t="str">
        <f t="shared" si="148"/>
        <v>N/A</v>
      </c>
      <c r="J398" t="str">
        <f t="shared" si="149"/>
        <v>N/A</v>
      </c>
      <c r="K398" t="str">
        <f t="shared" si="150"/>
        <v>N/A</v>
      </c>
      <c r="L398" t="str">
        <f t="shared" si="151"/>
        <v>N/A</v>
      </c>
      <c r="M398" t="str">
        <f t="shared" si="152"/>
        <v>N/A</v>
      </c>
      <c r="N398" t="str">
        <f t="shared" si="153"/>
        <v>N/A</v>
      </c>
    </row>
    <row r="399" spans="9:14" x14ac:dyDescent="0.3">
      <c r="I399" t="str">
        <f t="shared" si="148"/>
        <v>N/A</v>
      </c>
      <c r="J399" t="str">
        <f t="shared" si="149"/>
        <v>N/A</v>
      </c>
      <c r="K399" t="str">
        <f t="shared" si="150"/>
        <v>N/A</v>
      </c>
      <c r="L399" t="str">
        <f t="shared" si="151"/>
        <v>N/A</v>
      </c>
      <c r="M399" t="str">
        <f t="shared" si="152"/>
        <v>N/A</v>
      </c>
      <c r="N399" t="str">
        <f t="shared" si="153"/>
        <v>N/A</v>
      </c>
    </row>
    <row r="448" spans="52:52" x14ac:dyDescent="0.3">
      <c r="AZ448" t="str">
        <f>"Compile Facts"</f>
        <v>Compile Facts</v>
      </c>
    </row>
    <row r="450" spans="2:53" x14ac:dyDescent="0.3">
      <c r="B450" t="str">
        <f>"ROIC Super Tree"</f>
        <v>ROIC Super Tree</v>
      </c>
      <c r="AZ450" t="str">
        <f t="shared" ref="AZ450:BA453" si="154">I519</f>
        <v>Max SD</v>
      </c>
      <c r="BA450" t="e">
        <f t="shared" ca="1" si="154"/>
        <v>#N/A</v>
      </c>
    </row>
    <row r="451" spans="2:53" x14ac:dyDescent="0.3">
      <c r="AZ451" t="str">
        <f t="shared" si="154"/>
        <v>Max SD Item</v>
      </c>
      <c r="BA451" t="e">
        <f t="shared" ca="1" si="154"/>
        <v>#N/A</v>
      </c>
    </row>
    <row r="452" spans="2:53" x14ac:dyDescent="0.3">
      <c r="AK452" t="str">
        <f>"Change in Gross Margin / Sales"</f>
        <v>Change in Gross Margin / Sales</v>
      </c>
      <c r="AZ452" t="str">
        <f t="shared" si="154"/>
        <v>Min SD</v>
      </c>
      <c r="BA452" t="e">
        <f t="shared" ca="1" si="154"/>
        <v>#N/A</v>
      </c>
    </row>
    <row r="453" spans="2:53" x14ac:dyDescent="0.3">
      <c r="X453" t="str">
        <f>"Gross Margin"</f>
        <v>Gross Margin</v>
      </c>
      <c r="AK453" t="str">
        <f>K476</f>
        <v>0-0</v>
      </c>
      <c r="AL453" t="str">
        <f>L476</f>
        <v>0-0</v>
      </c>
      <c r="AM453" t="str">
        <f>M476</f>
        <v>0-0</v>
      </c>
      <c r="AN453" t="str">
        <f>N476</f>
        <v>0-0</v>
      </c>
      <c r="AZ453" t="str">
        <f t="shared" si="154"/>
        <v>Min SD Item</v>
      </c>
      <c r="BA453" t="e">
        <f t="shared" ca="1" si="154"/>
        <v>#N/A</v>
      </c>
    </row>
    <row r="454" spans="2:53" x14ac:dyDescent="0.3">
      <c r="X454">
        <f>D476</f>
        <v>0</v>
      </c>
      <c r="Y454">
        <f>E476</f>
        <v>0</v>
      </c>
      <c r="Z454">
        <f>F476</f>
        <v>0</v>
      </c>
      <c r="AA454">
        <f>G476</f>
        <v>0</v>
      </c>
      <c r="AB454">
        <f>H476</f>
        <v>0</v>
      </c>
      <c r="AK454" t="e">
        <f ca="1">Y455-X455</f>
        <v>#N/A</v>
      </c>
      <c r="AL454" t="e">
        <f ca="1">Z455-Y455</f>
        <v>#N/A</v>
      </c>
      <c r="AM454" t="e">
        <f ca="1">AA455-Z455</f>
        <v>#N/A</v>
      </c>
      <c r="AN454" t="e">
        <f ca="1">AB455-AA455</f>
        <v>#N/A</v>
      </c>
    </row>
    <row r="455" spans="2:53" x14ac:dyDescent="0.3">
      <c r="X455" t="e">
        <f ca="1">IFERROR((INDIRECT("J" &amp; MATCH("Gross Income",B145:B403,0) +144))/(INDIRECT("J" &amp; MATCH("Sales/Revenue",B145:B403,0) +144)), IFERROR((1 - (INDIRECT("J" &amp; MATCH("Cost of Goods Sold*",B145:B403,0) +144))/(INDIRECT("J" &amp; MATCH("Sales/Revenue",B145:B403,0) +144))),(INDIRECT("J" &amp; MATCH("Operating Income",B145:B403,0) +144))/(INDIRECT("J" &amp; MATCH("Sales/Revenue",B145:B403,0) +144))))</f>
        <v>#N/A</v>
      </c>
      <c r="Y455" t="e">
        <f ca="1">IFERROR((INDIRECT("K" &amp; MATCH("Gross Income",B145:B403,0) +144))/(INDIRECT("K" &amp; MATCH("Sales/Revenue",B145:B403,0) +144)), IFERROR((1 - (INDIRECT("K" &amp; MATCH("Cost of Goods Sold*",B145:B403,0) +144))/(INDIRECT("K" &amp; MATCH("Sales/Revenue",B145:B403,0) +144))),(INDIRECT("K" &amp; MATCH("Operating Income",B145:B403,0) +144))/(INDIRECT("K" &amp; MATCH("Sales/Revenue",B145:B403,0) +144))))</f>
        <v>#N/A</v>
      </c>
      <c r="Z455" t="e">
        <f ca="1">IFERROR((INDIRECT("L" &amp; MATCH("Gross Income",B145:B403,0) +144))/(INDIRECT("L" &amp; MATCH("Sales/Revenue",B145:B403,0) +144)), IFERROR((1 - (INDIRECT("L" &amp; MATCH("Cost of Goods Sold*",B145:B403,0) +144))/(INDIRECT("L" &amp; MATCH("Sales/Revenue",B145:B403,0) +144))),(INDIRECT("L" &amp; MATCH("Operating Income",B145:B403,0) +144))/(INDIRECT("L" &amp; MATCH("Sales/Revenue",B145:B403,0) +144))))</f>
        <v>#N/A</v>
      </c>
      <c r="AA455" t="e">
        <f ca="1">IFERROR((INDIRECT("M" &amp; MATCH("Gross Income",B145:B403,0) +144))/(INDIRECT("M" &amp; MATCH("Sales/Revenue",B145:B403,0) +144)), IFERROR((1 - (INDIRECT("M" &amp; MATCH("Cost of Goods Sold*",B145:B403,0) +144))/(INDIRECT("M" &amp; MATCH("Sales/Revenue",B145:B403,0) +144))),(INDIRECT("M" &amp; MATCH("Operating Income",B145:B403,0) +144))/(INDIRECT("M" &amp; MATCH("Sales/Revenue",B145:B403,0) +144))))</f>
        <v>#N/A</v>
      </c>
      <c r="AB455" t="e">
        <f ca="1">IFERROR((INDIRECT("N" &amp; MATCH("Gross Income",B145:B403,0) +144))/(INDIRECT("N" &amp; MATCH("Sales/Revenue",B145:B403,0) +144)), IFERROR((1 - (INDIRECT("N" &amp; MATCH("Cost of Goods Sold*",B145:B403,0) +144))/(INDIRECT("N" &amp; MATCH("Sales/Revenue",B145:B403,0) +144))),(INDIRECT("N" &amp; MATCH("Operating Income",B145:B403,0) +144))/(INDIRECT("N" &amp; MATCH("Sales/Revenue",B145:B403,0) +144))))</f>
        <v>#N/A</v>
      </c>
      <c r="AK455" t="str">
        <f>"Max " &amp; AK452</f>
        <v>Max Change in Gross Margin / Sales</v>
      </c>
      <c r="AL455" t="e">
        <f ca="1">MAX(AK454:AN454)</f>
        <v>#N/A</v>
      </c>
      <c r="AZ455" t="str">
        <f>"Item"</f>
        <v>Item</v>
      </c>
      <c r="BA455" t="str">
        <f>"Key Driver"</f>
        <v>Key Driver</v>
      </c>
    </row>
    <row r="456" spans="2:53" x14ac:dyDescent="0.3">
      <c r="X456" t="str">
        <f>"Max " &amp; X453</f>
        <v>Max Gross Margin</v>
      </c>
      <c r="Y456" t="e">
        <f ca="1">MAX(X455:AB455)</f>
        <v>#N/A</v>
      </c>
      <c r="AK456" t="str">
        <f>AK455 &amp; " Year"</f>
        <v>Max Change in Gross Margin / Sales Year</v>
      </c>
      <c r="AL456" t="e">
        <f ca="1">IF(MATCH(AL455,AK454:AN454,0)=1,AK453,IF(MATCH(AL455,AK454:AN454,0)=2,AL453,IF(MATCH(AL455,AK454:AN454,0)=3,AM453,AN453)))</f>
        <v>#N/A</v>
      </c>
      <c r="AZ456" t="str">
        <f>C528</f>
        <v>Operating Margin</v>
      </c>
      <c r="BA456" t="e">
        <f ca="1">L528</f>
        <v>#N/A</v>
      </c>
    </row>
    <row r="457" spans="2:53" x14ac:dyDescent="0.3">
      <c r="X457" t="str">
        <f>X456 &amp; " Year"</f>
        <v>Max Gross Margin Year</v>
      </c>
      <c r="Y457" t="e">
        <f ca="1">VALUE(X454)+MATCH(Y456,X455:AB455,0)-1</f>
        <v>#N/A</v>
      </c>
      <c r="AK457" t="str">
        <f>"Min " &amp; AK452</f>
        <v>Min Change in Gross Margin / Sales</v>
      </c>
      <c r="AL457" t="e">
        <f ca="1">MIN(AK454:AN454)</f>
        <v>#N/A</v>
      </c>
      <c r="AZ457" t="str">
        <f>C529</f>
        <v>Invested Capital / Sales</v>
      </c>
      <c r="BA457" t="e">
        <f ca="1">L529</f>
        <v>#N/A</v>
      </c>
    </row>
    <row r="458" spans="2:53" x14ac:dyDescent="0.3">
      <c r="X458" t="str">
        <f>"Min " &amp; X453</f>
        <v>Min Gross Margin</v>
      </c>
      <c r="Y458" t="e">
        <f ca="1">MIN(X455:AB455)</f>
        <v>#N/A</v>
      </c>
      <c r="AK458" t="str">
        <f>AK457 &amp; " Year"</f>
        <v>Min Change in Gross Margin / Sales Year</v>
      </c>
      <c r="AL458" t="e">
        <f ca="1">IF(MATCH(AL457,AK454:AN454,0)=1,AK453,IF(MATCH(AL457,AK454:AN454,0)=2,AL453,IF(MATCH(AL457,AK454:AN454,0)=3,AM453,AN453)))</f>
        <v>#N/A</v>
      </c>
    </row>
    <row r="459" spans="2:53" x14ac:dyDescent="0.3">
      <c r="X459" t="str">
        <f>X458 &amp; " Year"</f>
        <v>Min Gross Margin Year</v>
      </c>
      <c r="Y459" t="e">
        <f ca="1">VALUE(X454)+MATCH(Y458,X455:AB455,0)-1</f>
        <v>#N/A</v>
      </c>
      <c r="AZ459" t="e">
        <f ca="1">C540</f>
        <v>#NAME?</v>
      </c>
    </row>
    <row r="460" spans="2:53" x14ac:dyDescent="0.3">
      <c r="Q460" t="str">
        <f>"Operating Margin"</f>
        <v>Operating Margin</v>
      </c>
    </row>
    <row r="461" spans="2:53" x14ac:dyDescent="0.3">
      <c r="Q461">
        <f>D476</f>
        <v>0</v>
      </c>
      <c r="R461">
        <f>E476</f>
        <v>0</v>
      </c>
      <c r="S461">
        <f>F476</f>
        <v>0</v>
      </c>
      <c r="T461">
        <f>G476</f>
        <v>0</v>
      </c>
      <c r="U461">
        <f>H476</f>
        <v>0</v>
      </c>
      <c r="X461" t="str">
        <f>"SGA / Sales"</f>
        <v>SGA / Sales</v>
      </c>
      <c r="AE461" t="str">
        <f>"Change in Operating Margin"</f>
        <v>Change in Operating Margin</v>
      </c>
      <c r="AK461" t="str">
        <f>"Change in SGA / Sales"</f>
        <v>Change in SGA / Sales</v>
      </c>
    </row>
    <row r="462" spans="2:53" x14ac:dyDescent="0.3">
      <c r="Q462" t="e">
        <f ca="1">X455-X463-X471</f>
        <v>#N/A</v>
      </c>
      <c r="R462" t="e">
        <f ca="1">Y455-Y463-Y471</f>
        <v>#N/A</v>
      </c>
      <c r="S462" t="e">
        <f ca="1">Z455-Z463-Z471</f>
        <v>#N/A</v>
      </c>
      <c r="T462" t="e">
        <f ca="1">AA455-AA463-AA471</f>
        <v>#N/A</v>
      </c>
      <c r="U462" t="e">
        <f ca="1">AB455-AB463-AB471</f>
        <v>#N/A</v>
      </c>
      <c r="X462">
        <f>D476</f>
        <v>0</v>
      </c>
      <c r="Y462">
        <f>E476</f>
        <v>0</v>
      </c>
      <c r="Z462">
        <f>F476</f>
        <v>0</v>
      </c>
      <c r="AA462">
        <f>G476</f>
        <v>0</v>
      </c>
      <c r="AB462">
        <f>H476</f>
        <v>0</v>
      </c>
      <c r="AE462" t="str">
        <f>K476</f>
        <v>0-0</v>
      </c>
      <c r="AF462" t="str">
        <f>L476</f>
        <v>0-0</v>
      </c>
      <c r="AG462" t="str">
        <f>M476</f>
        <v>0-0</v>
      </c>
      <c r="AH462" t="str">
        <f>N476</f>
        <v>0-0</v>
      </c>
      <c r="AK462" t="str">
        <f>K476</f>
        <v>0-0</v>
      </c>
      <c r="AL462" t="str">
        <f>L476</f>
        <v>0-0</v>
      </c>
      <c r="AM462" t="str">
        <f>M476</f>
        <v>0-0</v>
      </c>
      <c r="AN462" t="str">
        <f>N476</f>
        <v>0-0</v>
      </c>
    </row>
    <row r="463" spans="2:53" x14ac:dyDescent="0.3">
      <c r="Q463" t="str">
        <f>"Max " &amp; Q460</f>
        <v>Max Operating Margin</v>
      </c>
      <c r="R463" t="e">
        <f ca="1">MAX(Q462:U462)</f>
        <v>#N/A</v>
      </c>
      <c r="S463" t="str">
        <f>"GM Effect on Max"</f>
        <v>GM Effect on Max</v>
      </c>
      <c r="T463" t="e">
        <f ca="1">IF(R464=Y457,"Max OM in same year as Max GM","Inconclusive Effect")</f>
        <v>#N/A</v>
      </c>
      <c r="U463" t="str">
        <f>"Correlation with GM"</f>
        <v>Correlation with GM</v>
      </c>
      <c r="V463" t="e">
        <f ca="1">CORREL(Q462:U462,X455:AB455)</f>
        <v>#N/A</v>
      </c>
      <c r="X463" t="e">
        <f ca="1">(INDIRECT("J" &amp; MATCH("SG&amp;A Expense",B145:B403,0) +144))/(INDIRECT("J" &amp; MATCH("Sales/Revenue",B145:B403,0) +144))</f>
        <v>#N/A</v>
      </c>
      <c r="Y463" t="e">
        <f ca="1">(INDIRECT("K" &amp; MATCH("SG&amp;A Expense",B145:B403,0) +144))/(INDIRECT("K" &amp; MATCH("Sales/Revenue",B145:B403,0) +144))</f>
        <v>#N/A</v>
      </c>
      <c r="Z463" t="e">
        <f ca="1">(INDIRECT("L" &amp; MATCH("SG&amp;A Expense",B145:B403,0) +144))/(INDIRECT("L" &amp; MATCH("Sales/Revenue",B145:B403,0) +144))</f>
        <v>#N/A</v>
      </c>
      <c r="AA463" t="e">
        <f ca="1">(INDIRECT("M" &amp; MATCH("SG&amp;A Expense",B145:B403,0) +144))/(INDIRECT("M" &amp; MATCH("Sales/Revenue",B145:B403,0) +144))</f>
        <v>#N/A</v>
      </c>
      <c r="AB463" t="e">
        <f ca="1">(INDIRECT("N" &amp; MATCH("SG&amp;A Expense",B145:B403,0) +144))/(INDIRECT("N" &amp; MATCH("Sales/Revenue",B145:B403,0) +144))</f>
        <v>#N/A</v>
      </c>
      <c r="AE463" t="e">
        <f ca="1">R462-Q462</f>
        <v>#N/A</v>
      </c>
      <c r="AF463" t="e">
        <f ca="1">S462-R462</f>
        <v>#N/A</v>
      </c>
      <c r="AG463" t="e">
        <f ca="1">T462-S462</f>
        <v>#N/A</v>
      </c>
      <c r="AH463" t="e">
        <f ca="1">U462-T462</f>
        <v>#N/A</v>
      </c>
      <c r="AK463" t="e">
        <f ca="1">Y463-X463</f>
        <v>#N/A</v>
      </c>
      <c r="AL463" t="e">
        <f ca="1">Z463-Y463</f>
        <v>#N/A</v>
      </c>
      <c r="AM463" t="e">
        <f ca="1">AA463-Z463</f>
        <v>#N/A</v>
      </c>
      <c r="AN463" t="e">
        <f ca="1">AB463-AA463</f>
        <v>#N/A</v>
      </c>
    </row>
    <row r="464" spans="2:53" x14ac:dyDescent="0.3">
      <c r="Q464" t="str">
        <f>Q463 &amp; " Year"</f>
        <v>Max Operating Margin Year</v>
      </c>
      <c r="R464" t="e">
        <f ca="1">VALUE(Q461)+MATCH(R463,Q462:U462,0)-1</f>
        <v>#N/A</v>
      </c>
      <c r="S464" t="str">
        <f>"SGA Effect on Max"</f>
        <v>SGA Effect on Max</v>
      </c>
      <c r="T464" t="e">
        <f ca="1">IF(R464=Y467,"Max OM in same year as Min SGA","Inconclusive Effect")</f>
        <v>#N/A</v>
      </c>
      <c r="U464" t="str">
        <f>"Correlation with SGA"</f>
        <v>Correlation with SGA</v>
      </c>
      <c r="V464" t="e">
        <f ca="1">CORREL(Q462:U462,X463:AB463)</f>
        <v>#N/A</v>
      </c>
      <c r="X464" t="str">
        <f>"Max " &amp; X461</f>
        <v>Max SGA / Sales</v>
      </c>
      <c r="Y464" t="e">
        <f ca="1">MAX(X463:AB463)</f>
        <v>#N/A</v>
      </c>
      <c r="AE464" t="str">
        <f>"Max " &amp; AE461</f>
        <v>Max Change in Operating Margin</v>
      </c>
      <c r="AF464" t="e">
        <f ca="1">MAX(AE463:AH463)</f>
        <v>#N/A</v>
      </c>
      <c r="AK464" t="str">
        <f>"Max " &amp; AK461</f>
        <v>Max Change in SGA / Sales</v>
      </c>
      <c r="AL464" t="e">
        <f ca="1">MAX(AK463:AN463)</f>
        <v>#N/A</v>
      </c>
    </row>
    <row r="465" spans="4:40" x14ac:dyDescent="0.3">
      <c r="J465" t="str">
        <f>"EOY Pretax ROIC"</f>
        <v>EOY Pretax ROIC</v>
      </c>
      <c r="Q465" t="str">
        <f>"Min " &amp; Q460</f>
        <v>Min Operating Margin</v>
      </c>
      <c r="R465" t="e">
        <f ca="1">MIN(Q462:U462)</f>
        <v>#N/A</v>
      </c>
      <c r="S465" t="str">
        <f>"Dep Effect on Max"</f>
        <v>Dep Effect on Max</v>
      </c>
      <c r="T465" t="e">
        <f ca="1">IF(R464=Y475,"Max OM in same year as Min Depr","Inconclusive Effect")</f>
        <v>#N/A</v>
      </c>
      <c r="U465" t="str">
        <f>"Correlation with Dep"</f>
        <v>Correlation with Dep</v>
      </c>
      <c r="V465" t="e">
        <f ca="1">CORREL(Q462:U462,X471:AB471)</f>
        <v>#N/A</v>
      </c>
      <c r="X465" t="str">
        <f>X464 &amp; " Year"</f>
        <v>Max SGA / Sales Year</v>
      </c>
      <c r="Y465" t="e">
        <f ca="1">VALUE(X462)+MATCH(Y464,X463:AB463,0)-1</f>
        <v>#N/A</v>
      </c>
      <c r="AE465" t="str">
        <f>AE464 &amp; " Year"</f>
        <v>Max Change in Operating Margin Year</v>
      </c>
      <c r="AF465" t="e">
        <f ca="1">IF(MATCH(AF464,AE463:AH463,0)=1,AE462,IF(MATCH(AF464,AE463:AH463,0)=2,AF462,IF(MATCH(AF464,AE463:AH463,0)=3,AG462,AH462)))</f>
        <v>#N/A</v>
      </c>
      <c r="AK465" t="str">
        <f>AK464 &amp; " Year"</f>
        <v>Max Change in SGA / Sales Year</v>
      </c>
      <c r="AL465" t="e">
        <f ca="1">IF(MATCH(AL464,AK463:AN463,0)=1,AK462,IF(MATCH(AL464,AK463:AN463,0)=2,AL462,IF(MATCH(AL464,AK463:AN463,0)=3,AM462,AN462)))</f>
        <v>#N/A</v>
      </c>
    </row>
    <row r="466" spans="4:40" x14ac:dyDescent="0.3">
      <c r="J466">
        <f>D476</f>
        <v>0</v>
      </c>
      <c r="K466">
        <f>E476</f>
        <v>0</v>
      </c>
      <c r="L466">
        <f>F476</f>
        <v>0</v>
      </c>
      <c r="M466">
        <f>G476</f>
        <v>0</v>
      </c>
      <c r="N466">
        <f>H476</f>
        <v>0</v>
      </c>
      <c r="Q466" t="str">
        <f>Q465 &amp; " Year"</f>
        <v>Min Operating Margin Year</v>
      </c>
      <c r="R466" t="e">
        <f ca="1">VALUE(Q461)+MATCH(R465,Q462:U462,0)-1</f>
        <v>#N/A</v>
      </c>
      <c r="S466" t="str">
        <f>"GM Effect on Min"</f>
        <v>GM Effect on Min</v>
      </c>
      <c r="T466" t="e">
        <f ca="1">IF(R466=Y459,"Min OM in same year as Min GM","Inconclusive Effect")</f>
        <v>#N/A</v>
      </c>
      <c r="X466" t="str">
        <f>"Min " &amp; X461</f>
        <v>Min SGA / Sales</v>
      </c>
      <c r="Y466" t="e">
        <f ca="1">MIN(X463:AB463)</f>
        <v>#N/A</v>
      </c>
      <c r="AE466" t="str">
        <f>"Min " &amp; AE461</f>
        <v>Min Change in Operating Margin</v>
      </c>
      <c r="AF466" t="e">
        <f ca="1">MIN(AE463:AH463)</f>
        <v>#N/A</v>
      </c>
      <c r="AK466" t="str">
        <f>"Min " &amp; AK461</f>
        <v>Min Change in SGA / Sales</v>
      </c>
      <c r="AL466" t="e">
        <f ca="1">MIN(AK463:AN463)</f>
        <v>#N/A</v>
      </c>
    </row>
    <row r="467" spans="4:40" x14ac:dyDescent="0.3">
      <c r="J467" t="e">
        <f ca="1">Q462*(1/Q490)</f>
        <v>#N/A</v>
      </c>
      <c r="K467" t="e">
        <f ca="1">R462*(1/R490)</f>
        <v>#N/A</v>
      </c>
      <c r="L467" t="e">
        <f ca="1">S462*(1/S490)</f>
        <v>#N/A</v>
      </c>
      <c r="M467" t="e">
        <f ca="1">T462*(1/T490)</f>
        <v>#N/A</v>
      </c>
      <c r="N467" t="e">
        <f ca="1">U462*(1/U490)</f>
        <v>#N/A</v>
      </c>
      <c r="S467" t="str">
        <f>"SGA Effect on Min"</f>
        <v>SGA Effect on Min</v>
      </c>
      <c r="T467" t="e">
        <f ca="1">IF(R466=Y465,"Min OM in same year as Max SGA","Inconclusive Effect")</f>
        <v>#N/A</v>
      </c>
      <c r="X467" t="str">
        <f>X466 &amp; " Year"</f>
        <v>Min SGA / Sales Year</v>
      </c>
      <c r="Y467" t="e">
        <f ca="1">VALUE(X462)+MATCH(Y466,X463:AB463,0)-1</f>
        <v>#N/A</v>
      </c>
      <c r="AE467" t="str">
        <f>AE466 &amp; " Year"</f>
        <v>Min Change in Operating Margin Year</v>
      </c>
      <c r="AF467" t="e">
        <f ca="1">IF(MATCH(AF466,AE463:AH463,0)=1,AE462,IF(MATCH(AF466,AE463:AH463,0)=2,AF462,IF(MATCH(AF466,AE463:AH463,0)=3,AG462,AH462)))</f>
        <v>#N/A</v>
      </c>
      <c r="AK467" t="str">
        <f>AK466 &amp; " Year"</f>
        <v>Min Change in SGA / Sales Year</v>
      </c>
      <c r="AL467" t="e">
        <f ca="1">IF(MATCH(AL466,AK463:AN463,0)=1,AK462,IF(MATCH(AL466,AK463:AN463,0)=2,AL462,IF(MATCH(AL466,AK463:AN463,0)=3,AM462,AN462)))</f>
        <v>#N/A</v>
      </c>
    </row>
    <row r="468" spans="4:40" x14ac:dyDescent="0.3">
      <c r="J468" t="str">
        <f>"Max " &amp; J465</f>
        <v>Max EOY Pretax ROIC</v>
      </c>
      <c r="K468" t="e">
        <f ca="1">MAX(J467:N467)</f>
        <v>#N/A</v>
      </c>
      <c r="L468" t="str">
        <f>"OM Effect on Max"</f>
        <v>OM Effect on Max</v>
      </c>
      <c r="M468" t="e">
        <f ca="1">IF(K469=R464,"Max ROIC in same year as Max OM","Inconclusive Effect")</f>
        <v>#N/A</v>
      </c>
      <c r="N468" t="str">
        <f>"Correlation with OM"</f>
        <v>Correlation with OM</v>
      </c>
      <c r="O468" t="e">
        <f ca="1">CORREL(J467:N467,Q462:U462)</f>
        <v>#N/A</v>
      </c>
      <c r="S468" t="str">
        <f>"Dep Effect on Min"</f>
        <v>Dep Effect on Min</v>
      </c>
      <c r="T468" t="e">
        <f ca="1">IF(R466=Y473,"Min OM in same year as Max Dep","Inconclusive Effect")</f>
        <v>#N/A</v>
      </c>
    </row>
    <row r="469" spans="4:40" x14ac:dyDescent="0.3">
      <c r="J469" t="str">
        <f>J468 &amp; " Year"</f>
        <v>Max EOY Pretax ROIC Year</v>
      </c>
      <c r="K469" t="e">
        <f ca="1">VALUE(J466)+MATCH(K468,J467:N467,0)-1</f>
        <v>#N/A</v>
      </c>
      <c r="L469" t="str">
        <f>"IC Effect on Max"</f>
        <v>IC Effect on Max</v>
      </c>
      <c r="M469" t="e">
        <f ca="1">IF(K469=R494,"Max ROIC in same year as Min IC","Inconclusive Effect")</f>
        <v>#N/A</v>
      </c>
      <c r="N469" t="str">
        <f>"Correlation with IC"</f>
        <v>Correlation with IC</v>
      </c>
      <c r="O469" t="e">
        <f ca="1">CORREL(J467:N467,Q490:U490)</f>
        <v>#N/A</v>
      </c>
      <c r="X469" t="str">
        <f>"Depreciation / Sales"</f>
        <v>Depreciation / Sales</v>
      </c>
    </row>
    <row r="470" spans="4:40" x14ac:dyDescent="0.3">
      <c r="J470" t="str">
        <f>"Min " &amp; J465</f>
        <v>Min EOY Pretax ROIC</v>
      </c>
      <c r="K470" t="e">
        <f ca="1">MIN(J467:N467)</f>
        <v>#N/A</v>
      </c>
      <c r="L470" t="str">
        <f>"OM Effect on Min"</f>
        <v>OM Effect on Min</v>
      </c>
      <c r="M470" t="e">
        <f ca="1">IF(K471=R466,"Min ROIC in same year as Min OM","Inconclusive Effect")</f>
        <v>#N/A</v>
      </c>
      <c r="Q470" t="str">
        <f>"Change in EOY Pretax ROIC"</f>
        <v>Change in EOY Pretax ROIC</v>
      </c>
      <c r="X470">
        <f>D476</f>
        <v>0</v>
      </c>
      <c r="Y470">
        <f>E476</f>
        <v>0</v>
      </c>
      <c r="Z470">
        <f>F476</f>
        <v>0</v>
      </c>
      <c r="AA470">
        <f>G476</f>
        <v>0</v>
      </c>
      <c r="AB470">
        <f>H476</f>
        <v>0</v>
      </c>
    </row>
    <row r="471" spans="4:40" x14ac:dyDescent="0.3">
      <c r="J471" t="str">
        <f>J470 &amp; " Year"</f>
        <v>Min EOY Pretax ROIC Year</v>
      </c>
      <c r="K471" t="e">
        <f ca="1">VALUE(J466)+MATCH(K470,J467:N467,0)-1</f>
        <v>#N/A</v>
      </c>
      <c r="L471" t="str">
        <f>"IC Effect on Min"</f>
        <v>IC Effect on Min</v>
      </c>
      <c r="M471" t="e">
        <f ca="1">IF(K471=R492,"Min ROIC in same year as Max IC","Inconclusive Effect")</f>
        <v>#N/A</v>
      </c>
      <c r="Q471" t="str">
        <f>K476</f>
        <v>0-0</v>
      </c>
      <c r="R471" t="str">
        <f>L476</f>
        <v>0-0</v>
      </c>
      <c r="S471" t="str">
        <f>M476</f>
        <v>0-0</v>
      </c>
      <c r="T471" t="str">
        <f>N476</f>
        <v>0-0</v>
      </c>
      <c r="X471" t="e">
        <f ca="1">(INDIRECT("J" &amp; MATCH("Depreciation &amp; Amortization Expense",B145:B403,0) +144))/(INDIRECT("J" &amp; MATCH("Sales/Revenue",B145:B403,0) +144))</f>
        <v>#N/A</v>
      </c>
      <c r="Y471" t="e">
        <f ca="1">(INDIRECT("K" &amp; MATCH("Depreciation &amp; Amortization Expense",B145:B403,0) +144))/(INDIRECT("K" &amp; MATCH("Sales/Revenue",B145:B403,0) +144))</f>
        <v>#N/A</v>
      </c>
      <c r="Z471" t="e">
        <f ca="1">(INDIRECT("L" &amp; MATCH("Depreciation &amp; Amortization Expense",B145:B403,0) +144))/(INDIRECT("L" &amp; MATCH("Sales/Revenue",B145:B403,0) +144))</f>
        <v>#N/A</v>
      </c>
      <c r="AA471" t="e">
        <f ca="1">(INDIRECT("M" &amp; MATCH("Depreciation &amp; Amortization Expense",B145:B403,0) +144))/(INDIRECT("M" &amp; MATCH("Sales/Revenue",B145:B403,0) +144))</f>
        <v>#N/A</v>
      </c>
      <c r="AB471" t="e">
        <f ca="1">(INDIRECT("N" &amp; MATCH("Depreciation &amp; Amortization Expense",B145:B403,0) +144))/(INDIRECT("N" &amp; MATCH("Sales/Revenue",B145:B403,0) +144))</f>
        <v>#N/A</v>
      </c>
    </row>
    <row r="472" spans="4:40" x14ac:dyDescent="0.3">
      <c r="Q472" t="e">
        <f ca="1">K467-J467</f>
        <v>#N/A</v>
      </c>
      <c r="R472" t="e">
        <f ca="1">L467-K467</f>
        <v>#N/A</v>
      </c>
      <c r="S472" t="e">
        <f ca="1">M467-L467</f>
        <v>#N/A</v>
      </c>
      <c r="T472" t="e">
        <f ca="1">N467-M467</f>
        <v>#N/A</v>
      </c>
      <c r="X472" t="str">
        <f>"Max " &amp; X469</f>
        <v>Max Depreciation / Sales</v>
      </c>
      <c r="Y472" t="e">
        <f ca="1">MAX(X471:AB471)</f>
        <v>#N/A</v>
      </c>
      <c r="AK472" t="str">
        <f>"Change in Depreciation / Sales"</f>
        <v>Change in Depreciation / Sales</v>
      </c>
    </row>
    <row r="473" spans="4:40" x14ac:dyDescent="0.3">
      <c r="Q473" t="str">
        <f>"Max " &amp; Q470</f>
        <v>Max Change in EOY Pretax ROIC</v>
      </c>
      <c r="R473" t="e">
        <f ca="1">MAX(Q472:T472)</f>
        <v>#N/A</v>
      </c>
      <c r="X473" t="str">
        <f>X472 &amp; " Year"</f>
        <v>Max Depreciation / Sales Year</v>
      </c>
      <c r="Y473" t="e">
        <f ca="1">VALUE(X470)+MATCH(Y472,X471:AB471,0)-1</f>
        <v>#N/A</v>
      </c>
      <c r="AK473" t="str">
        <f>K476</f>
        <v>0-0</v>
      </c>
      <c r="AL473" t="str">
        <f>L476</f>
        <v>0-0</v>
      </c>
      <c r="AM473" t="str">
        <f>M476</f>
        <v>0-0</v>
      </c>
      <c r="AN473" t="str">
        <f>N476</f>
        <v>0-0</v>
      </c>
    </row>
    <row r="474" spans="4:40" x14ac:dyDescent="0.3">
      <c r="Q474" t="str">
        <f>Q473 &amp; " Year"</f>
        <v>Max Change in EOY Pretax ROIC Year</v>
      </c>
      <c r="R474" t="e">
        <f ca="1">IF(MATCH(R473,Q472:T472,0)=1,Q471,IF(MATCH(R473,Q472:T472,0)=2,R471,IF(MATCH(R473,Q472:T472,0)=3,S471,T471)))</f>
        <v>#N/A</v>
      </c>
      <c r="X474" t="str">
        <f>"Min " &amp; X469</f>
        <v>Min Depreciation / Sales</v>
      </c>
      <c r="Y474" t="e">
        <f ca="1">MIN(X471:AB471)</f>
        <v>#N/A</v>
      </c>
      <c r="AK474" t="e">
        <f ca="1">Y471-X471</f>
        <v>#N/A</v>
      </c>
      <c r="AL474" t="e">
        <f ca="1">Z471-Y471</f>
        <v>#N/A</v>
      </c>
      <c r="AM474" t="e">
        <f ca="1">AA471-Z471</f>
        <v>#N/A</v>
      </c>
      <c r="AN474" t="e">
        <f ca="1">AB471-AA471</f>
        <v>#N/A</v>
      </c>
    </row>
    <row r="475" spans="4:40" x14ac:dyDescent="0.3">
      <c r="D475" t="str">
        <f>"EOY ROIC"</f>
        <v>EOY ROIC</v>
      </c>
      <c r="K475" t="str">
        <f>"Change in EOY ROIC"</f>
        <v>Change in EOY ROIC</v>
      </c>
      <c r="Q475" t="str">
        <f>"Min " &amp; Q470</f>
        <v>Min Change in EOY Pretax ROIC</v>
      </c>
      <c r="R475" t="e">
        <f ca="1">MIN(Q472:T472)</f>
        <v>#N/A</v>
      </c>
      <c r="X475" t="str">
        <f>X474 &amp; " Year"</f>
        <v>Min Depreciation / Sales Year</v>
      </c>
      <c r="Y475" t="e">
        <f ca="1">VALUE(X470)+MATCH(Y474,X471:AB471,0)-1</f>
        <v>#N/A</v>
      </c>
      <c r="AK475" t="str">
        <f>"Max " &amp; AK472</f>
        <v>Max Change in Depreciation / Sales</v>
      </c>
      <c r="AL475" t="e">
        <f ca="1">MAX(AK474:AN474)</f>
        <v>#N/A</v>
      </c>
    </row>
    <row r="476" spans="4:40" x14ac:dyDescent="0.3">
      <c r="D476">
        <f>C144</f>
        <v>0</v>
      </c>
      <c r="E476">
        <f>D144</f>
        <v>0</v>
      </c>
      <c r="F476">
        <f>E144</f>
        <v>0</v>
      </c>
      <c r="G476">
        <f>F144</f>
        <v>0</v>
      </c>
      <c r="H476">
        <f>G144</f>
        <v>0</v>
      </c>
      <c r="K476" t="str">
        <f>RIGHT(D476,2) &amp; "-" &amp; RIGHT(E476,2)</f>
        <v>0-0</v>
      </c>
      <c r="L476" t="str">
        <f>RIGHT(E476,2) &amp; "-" &amp; RIGHT(F476,2)</f>
        <v>0-0</v>
      </c>
      <c r="M476" t="str">
        <f>RIGHT(F476,2) &amp; "-" &amp; RIGHT(G476,2)</f>
        <v>0-0</v>
      </c>
      <c r="N476" t="str">
        <f>RIGHT(G476,2) &amp; "-" &amp; RIGHT(H476,2)</f>
        <v>0-0</v>
      </c>
      <c r="Q476" t="str">
        <f>Q475 &amp; " Year"</f>
        <v>Min Change in EOY Pretax ROIC Year</v>
      </c>
      <c r="R476" t="e">
        <f ca="1">IF(MATCH(R475,Q472:T472,0)=1,Q471,IF(MATCH(R475,Q472:T472,0)=2,R471,IF(MATCH(R475,Q472:T472,0)=3,S471,T471)))</f>
        <v>#N/A</v>
      </c>
      <c r="AK476" t="str">
        <f>AK475 &amp; " Year"</f>
        <v>Max Change in Depreciation / Sales Year</v>
      </c>
      <c r="AL476" t="e">
        <f ca="1">IF(MATCH(AL475,AK474:AN474,0)=1,AK473,IF(MATCH(AL475,AK474:AN474,0)=2,AL473,IF(MATCH(AL475,AK474:AN474,0)=3,AM473,AN473)))</f>
        <v>#N/A</v>
      </c>
    </row>
    <row r="477" spans="4:40" x14ac:dyDescent="0.3">
      <c r="D477" t="e">
        <f ca="1">J467*(1-J487)</f>
        <v>#N/A</v>
      </c>
      <c r="E477" t="e">
        <f ca="1">K467*(1-K487)</f>
        <v>#N/A</v>
      </c>
      <c r="F477" t="e">
        <f ca="1">L467*(1-L487)</f>
        <v>#N/A</v>
      </c>
      <c r="G477" t="e">
        <f ca="1">M467*(1-M487)</f>
        <v>#N/A</v>
      </c>
      <c r="H477" t="e">
        <f ca="1">N467*(1-N487)</f>
        <v>#N/A</v>
      </c>
      <c r="K477" t="e">
        <f ca="1">E477-D477</f>
        <v>#N/A</v>
      </c>
      <c r="L477" t="e">
        <f ca="1">F477-E477</f>
        <v>#N/A</v>
      </c>
      <c r="M477" t="e">
        <f ca="1">G477-F477</f>
        <v>#N/A</v>
      </c>
      <c r="N477" t="e">
        <f ca="1">H477-G477</f>
        <v>#N/A</v>
      </c>
      <c r="AK477" t="str">
        <f>"Min " &amp; AK472</f>
        <v>Min Change in Depreciation / Sales</v>
      </c>
      <c r="AL477" t="e">
        <f ca="1">MIN(AK474:AN474)</f>
        <v>#N/A</v>
      </c>
    </row>
    <row r="478" spans="4:40" x14ac:dyDescent="0.3">
      <c r="D478" t="str">
        <f>"Max " &amp; D475</f>
        <v>Max EOY ROIC</v>
      </c>
      <c r="E478" t="e">
        <f ca="1">MAX(D477:H477)</f>
        <v>#N/A</v>
      </c>
      <c r="F478" t="str">
        <f>"Cash Tax  Effect on Max"</f>
        <v>Cash Tax  Effect on Max</v>
      </c>
      <c r="G478" t="e">
        <f ca="1">IF(E479=K491,"Max ROIC in same year as Min Cash Tax","Inconclusive Effect")</f>
        <v>#N/A</v>
      </c>
      <c r="K478" t="str">
        <f>"Max " &amp; K475</f>
        <v>Max Change in EOY ROIC</v>
      </c>
      <c r="L478" t="e">
        <f ca="1">MAX(K477:N477)</f>
        <v>#N/A</v>
      </c>
      <c r="AK478" t="str">
        <f>AK477 &amp; " Year"</f>
        <v>Min Change in Depreciation / Sales Year</v>
      </c>
      <c r="AL478" t="e">
        <f ca="1">IF(MATCH(AL477,AK474:AN474,0)=1,AK473,IF(MATCH(AL477,AK474:AN474,0)=2,AL473,IF(MATCH(AL477,AK474:AN474,0)=3,AM473,AN473)))</f>
        <v>#N/A</v>
      </c>
    </row>
    <row r="479" spans="4:40" x14ac:dyDescent="0.3">
      <c r="D479" t="str">
        <f>D478 &amp; " Year"</f>
        <v>Max EOY ROIC Year</v>
      </c>
      <c r="E479" t="e">
        <f ca="1">VALUE(D476)+MATCH(E478,D477:H477,0)-1</f>
        <v>#N/A</v>
      </c>
      <c r="K479" t="str">
        <f>K478 &amp; " Year"</f>
        <v>Max Change in EOY ROIC Year</v>
      </c>
      <c r="L479" t="e">
        <f ca="1">IF(MATCH(L478,K477:N477,0)=1,K476,IF(MATCH(L478,K477:N477,0)=2,L476,IF(MATCH(L478,K477:N477,0)=3,M476,N476)))</f>
        <v>#N/A</v>
      </c>
      <c r="Q479" t="str">
        <f>"Change in Cash Tax Rate"</f>
        <v>Change in Cash Tax Rate</v>
      </c>
    </row>
    <row r="480" spans="4:40" x14ac:dyDescent="0.3">
      <c r="D480" t="str">
        <f>"Min " &amp; D475</f>
        <v>Min EOY ROIC</v>
      </c>
      <c r="E480" t="e">
        <f ca="1">MIN(D477:H477)</f>
        <v>#N/A</v>
      </c>
      <c r="F480" t="str">
        <f>"Cash Tax  Effect on Min"</f>
        <v>Cash Tax  Effect on Min</v>
      </c>
      <c r="G480" t="e">
        <f ca="1">IF(E481=K489,"Min ROIC in same year as Max Cash Tax","Inconclusive Effect")</f>
        <v>#N/A</v>
      </c>
      <c r="K480" t="str">
        <f>"Min " &amp; K475</f>
        <v>Min Change in EOY ROIC</v>
      </c>
      <c r="L480" t="e">
        <f ca="1">MIN(K477:N477)</f>
        <v>#N/A</v>
      </c>
      <c r="Q480" t="str">
        <f>K476</f>
        <v>0-0</v>
      </c>
      <c r="R480" t="str">
        <f>L476</f>
        <v>0-0</v>
      </c>
      <c r="S480" t="str">
        <f>M476</f>
        <v>0-0</v>
      </c>
      <c r="T480" t="str">
        <f>N476</f>
        <v>0-0</v>
      </c>
    </row>
    <row r="481" spans="4:40" x14ac:dyDescent="0.3">
      <c r="D481" t="str">
        <f>D480 &amp; " Year"</f>
        <v>Min EOY ROIC Year</v>
      </c>
      <c r="E481" t="e">
        <f ca="1">VALUE(D476)+MATCH(E480,D477:H477,0)-1</f>
        <v>#N/A</v>
      </c>
      <c r="K481" t="str">
        <f>K480 &amp; " Year"</f>
        <v>Min Change in EOY ROIC Year</v>
      </c>
      <c r="L481" t="e">
        <f ca="1">IF(MATCH(L480,K477:N477,0)=1,K476,IF(MATCH(L480,K477:N477,0)=2,L476,IF(MATCH(L480,K477:N477,0)=3,M476,N476)))</f>
        <v>#N/A</v>
      </c>
      <c r="Q481" t="e">
        <f ca="1">K487-J487</f>
        <v>#N/A</v>
      </c>
      <c r="R481" t="e">
        <f ca="1">L487-K487</f>
        <v>#N/A</v>
      </c>
      <c r="S481" t="e">
        <f ca="1">M487-L487</f>
        <v>#N/A</v>
      </c>
      <c r="T481" t="e">
        <f ca="1">N487-M487</f>
        <v>#N/A</v>
      </c>
      <c r="X481" t="str">
        <f>"Op WC / Sales"</f>
        <v>Op WC / Sales</v>
      </c>
    </row>
    <row r="482" spans="4:40" x14ac:dyDescent="0.3">
      <c r="D482" t="str">
        <f>"Correlation with OM"</f>
        <v>Correlation with OM</v>
      </c>
      <c r="E482" t="e">
        <f ca="1">CORREL(D477:H477,Q462:U462)</f>
        <v>#N/A</v>
      </c>
      <c r="Q482" t="str">
        <f>"Max " &amp; Q479</f>
        <v>Max Change in Cash Tax Rate</v>
      </c>
      <c r="R482" t="e">
        <f ca="1">MAX(Q481:T481)</f>
        <v>#N/A</v>
      </c>
      <c r="X482">
        <f>D476</f>
        <v>0</v>
      </c>
      <c r="Y482">
        <f>E476</f>
        <v>0</v>
      </c>
      <c r="Z482">
        <f>F476</f>
        <v>0</v>
      </c>
      <c r="AA482">
        <f>G476</f>
        <v>0</v>
      </c>
      <c r="AB482">
        <f>H476</f>
        <v>0</v>
      </c>
      <c r="AK482" t="str">
        <f>"Change in Op WC / Sales"</f>
        <v>Change in Op WC / Sales</v>
      </c>
    </row>
    <row r="483" spans="4:40" x14ac:dyDescent="0.3">
      <c r="D483" t="str">
        <f>"Correlation with IC"</f>
        <v>Correlation with IC</v>
      </c>
      <c r="E483" t="e">
        <f ca="1">CORREL(D477:H477,Q490:U490)</f>
        <v>#N/A</v>
      </c>
      <c r="Q483" t="str">
        <f>Q482 &amp; " Year"</f>
        <v>Max Change in Cash Tax Rate Year</v>
      </c>
      <c r="R483" t="e">
        <f ca="1">IF(MATCH(R482,Q481:T481,0)=1,Q480,IF(MATCH(R482,Q481:T481,0)=2,R480,IF(MATCH(R482,Q481:T481,0)=3,S480,T480)))</f>
        <v>#N/A</v>
      </c>
      <c r="X483" t="e">
        <f ca="1">(INDIRECT("J" &amp; MATCH("Total Current Assets",B145:B403,0) +144) - INDIRECT("J" &amp; MATCH("Total Current Liabilities",B145:B403,0) +144))/(INDIRECT("J" &amp; MATCH("Sales/Revenue",B145:B403,0) +144))</f>
        <v>#N/A</v>
      </c>
      <c r="Y483" t="e">
        <f ca="1">(INDIRECT("K" &amp; MATCH("Total Current Assets",B145:B403,0) +144) - INDIRECT("K" &amp; MATCH("Total Current Liabilities",B145:B403,0) +144))/(INDIRECT("K" &amp; MATCH("Sales/Revenue",B145:B403,0) +144))</f>
        <v>#N/A</v>
      </c>
      <c r="Z483" t="e">
        <f ca="1">(INDIRECT("L" &amp; MATCH("Total Current Assets",B145:B403,0) +144) - INDIRECT("L" &amp; MATCH("Total Current Liabilities",B145:B403,0) +144))/(INDIRECT("L" &amp; MATCH("Sales/Revenue",B145:B403,0) +144))</f>
        <v>#N/A</v>
      </c>
      <c r="AA483" t="e">
        <f ca="1">(INDIRECT("M" &amp; MATCH("Total Current Assets",B145:B403,0) +144) - INDIRECT("M" &amp; MATCH("Total Current Liabilities",B145:B403,0) +144))/(INDIRECT("M" &amp; MATCH("Sales/Revenue",B145:B403,0) +144))</f>
        <v>#N/A</v>
      </c>
      <c r="AB483" t="e">
        <f ca="1">(INDIRECT("N" &amp; MATCH("Total Current Assets",B145:B403,0) +144) - INDIRECT("N" &amp; MATCH("Total Current Liabilities",B145:B403,0) +144))/(INDIRECT("N" &amp; MATCH("Sales/Revenue",B145:B403,0) +144))</f>
        <v>#N/A</v>
      </c>
      <c r="AK483" t="str">
        <f>K476</f>
        <v>0-0</v>
      </c>
      <c r="AL483" t="str">
        <f>L476</f>
        <v>0-0</v>
      </c>
      <c r="AM483" t="str">
        <f>M476</f>
        <v>0-0</v>
      </c>
      <c r="AN483" t="str">
        <f>N476</f>
        <v>0-0</v>
      </c>
    </row>
    <row r="484" spans="4:40" x14ac:dyDescent="0.3">
      <c r="D484" t="str">
        <f>"Correlation with GM"</f>
        <v>Correlation with GM</v>
      </c>
      <c r="E484" t="e">
        <f ca="1">CORREL(D477:H477,X455:AB455)</f>
        <v>#N/A</v>
      </c>
      <c r="Q484" t="str">
        <f>"Min " &amp; Q479</f>
        <v>Min Change in Cash Tax Rate</v>
      </c>
      <c r="R484" t="e">
        <f ca="1">MIN(Q481:T481)</f>
        <v>#N/A</v>
      </c>
      <c r="X484" t="str">
        <f>"Max " &amp; X481</f>
        <v>Max Op WC / Sales</v>
      </c>
      <c r="Y484" t="e">
        <f ca="1">MAX(X483:AB483)</f>
        <v>#N/A</v>
      </c>
      <c r="AK484" t="e">
        <f ca="1">Y483-X483</f>
        <v>#N/A</v>
      </c>
      <c r="AL484" t="e">
        <f ca="1">Z483-Y483</f>
        <v>#N/A</v>
      </c>
      <c r="AM484" t="e">
        <f ca="1">AA483-Z483</f>
        <v>#N/A</v>
      </c>
      <c r="AN484" t="e">
        <f ca="1">AB483-AA483</f>
        <v>#N/A</v>
      </c>
    </row>
    <row r="485" spans="4:40" x14ac:dyDescent="0.3">
      <c r="D485" t="str">
        <f>"Correlation with SGA"</f>
        <v>Correlation with SGA</v>
      </c>
      <c r="E485" t="e">
        <f ca="1">CORREL(D477:H477,X463:AB463)</f>
        <v>#N/A</v>
      </c>
      <c r="J485" t="str">
        <f>"Cash Tax Rate"</f>
        <v>Cash Tax Rate</v>
      </c>
      <c r="Q485" t="str">
        <f>Q484 &amp; " Year"</f>
        <v>Min Change in Cash Tax Rate Year</v>
      </c>
      <c r="R485" t="e">
        <f ca="1">IF(MATCH(R484,Q481:T481,0)=1,Q480,IF(MATCH(R484,Q481:T481,0)=2,R480,IF(MATCH(R484,Q481:T481,0)=3,S480,T480)))</f>
        <v>#N/A</v>
      </c>
      <c r="X485" t="str">
        <f>X484 &amp; " Year"</f>
        <v>Max Op WC / Sales Year</v>
      </c>
      <c r="Y485" t="e">
        <f ca="1">VALUE(X482)+MATCH(Y484,X483:AB483,0)-1</f>
        <v>#N/A</v>
      </c>
      <c r="AK485" t="str">
        <f>"Max " &amp; AK482</f>
        <v>Max Change in Op WC / Sales</v>
      </c>
      <c r="AL485" t="e">
        <f ca="1">MAX(AK484:AN484)</f>
        <v>#N/A</v>
      </c>
    </row>
    <row r="486" spans="4:40" x14ac:dyDescent="0.3">
      <c r="D486" t="str">
        <f>"Correlation with Dep"</f>
        <v>Correlation with Dep</v>
      </c>
      <c r="E486" t="e">
        <f ca="1">CORREL(D477:H477,X471:AB471)</f>
        <v>#N/A</v>
      </c>
      <c r="J486">
        <f>D476</f>
        <v>0</v>
      </c>
      <c r="K486">
        <f>E476</f>
        <v>0</v>
      </c>
      <c r="L486">
        <f>F476</f>
        <v>0</v>
      </c>
      <c r="M486">
        <f>G476</f>
        <v>0</v>
      </c>
      <c r="N486">
        <f>H476</f>
        <v>0</v>
      </c>
      <c r="X486" t="str">
        <f>"Min " &amp; X481</f>
        <v>Min Op WC / Sales</v>
      </c>
      <c r="Y486" t="e">
        <f ca="1">MIN(X483:AB483)</f>
        <v>#N/A</v>
      </c>
      <c r="AK486" t="str">
        <f>AK485 &amp; " Year"</f>
        <v>Max Change in Op WC / Sales Year</v>
      </c>
      <c r="AL486" t="e">
        <f ca="1">IF(MATCH(AL485,AK484:AN484,0)=1,AK483,IF(MATCH(AL485,AK484:AN484,0)=2,AL483,IF(MATCH(AL485,AK484:AN484,0)=3,AM483,AN483)))</f>
        <v>#N/A</v>
      </c>
    </row>
    <row r="487" spans="4:40" x14ac:dyDescent="0.3">
      <c r="D487" t="str">
        <f>"Correlation with Op WC"</f>
        <v>Correlation with Op WC</v>
      </c>
      <c r="E487" t="e">
        <f ca="1">CORREL(D477:H477,X483:AB483)</f>
        <v>#N/A</v>
      </c>
      <c r="J487" t="e">
        <f ca="1">(INDIRECT("J" &amp; MATCH("Income Tax",B145:B403,0) +144))/(INDIRECT("J" &amp; MATCH("Pretax Income",B145:B403,0) +144))</f>
        <v>#N/A</v>
      </c>
      <c r="K487" t="e">
        <f ca="1">(INDIRECT("K" &amp; MATCH("Income Tax",B145:B403,0) +144))/(INDIRECT("K" &amp; MATCH("Pretax Income",B145:B403,0) +144))</f>
        <v>#N/A</v>
      </c>
      <c r="L487" t="e">
        <f ca="1">(INDIRECT("L" &amp; MATCH("Income Tax",B145:B403,0) +144))/(INDIRECT("L" &amp; MATCH("Pretax Income",B145:B403,0) +144))</f>
        <v>#N/A</v>
      </c>
      <c r="M487" t="e">
        <f ca="1">(INDIRECT("M" &amp; MATCH("Income Tax",B145:B403,0) +144))/(INDIRECT("M" &amp; MATCH("Pretax Income",B145:B403,0) +144))</f>
        <v>#N/A</v>
      </c>
      <c r="N487" t="e">
        <f ca="1">(INDIRECT("N" &amp; MATCH("Income Tax",B145:B403,0) +144))/(INDIRECT("N" &amp; MATCH("Pretax Income",B145:B403,0) +144))</f>
        <v>#N/A</v>
      </c>
      <c r="X487" t="str">
        <f>X486 &amp; " Year"</f>
        <v>Min Op WC / Sales Year</v>
      </c>
      <c r="Y487" t="e">
        <f ca="1">VALUE(X482)+MATCH(Y486,X483:AB483,0)-1</f>
        <v>#N/A</v>
      </c>
      <c r="AK487" t="str">
        <f>"Min " &amp; AK482</f>
        <v>Min Change in Op WC / Sales</v>
      </c>
      <c r="AL487" t="e">
        <f ca="1">MIN(AK484:AN484)</f>
        <v>#N/A</v>
      </c>
    </row>
    <row r="488" spans="4:40" x14ac:dyDescent="0.3">
      <c r="D488" t="str">
        <f>"Correlation with PPE"</f>
        <v>Correlation with PPE</v>
      </c>
      <c r="E488" t="e">
        <f ca="1">CORREL(D477:H477,X491:AB491)</f>
        <v>#N/A</v>
      </c>
      <c r="J488" t="str">
        <f>"Max " &amp; J485</f>
        <v>Max Cash Tax Rate</v>
      </c>
      <c r="K488" t="e">
        <f ca="1">MAX(J487:N487)</f>
        <v>#N/A</v>
      </c>
      <c r="Q488" t="str">
        <f>"Invested Capital / Sales"</f>
        <v>Invested Capital / Sales</v>
      </c>
      <c r="AK488" t="str">
        <f>AK487 &amp; " Year"</f>
        <v>Min Change in Op WC / Sales Year</v>
      </c>
      <c r="AL488" t="e">
        <f ca="1">IF(MATCH(AL487,AK484:AN484,0)=1,AK483,IF(MATCH(AL487,AK484:AN484,0)=2,AL483,IF(MATCH(AL487,AK484:AN484,0)=3,AM483,AN483)))</f>
        <v>#N/A</v>
      </c>
    </row>
    <row r="489" spans="4:40" x14ac:dyDescent="0.3">
      <c r="D489" t="str">
        <f>"Correlation with Intangibles"</f>
        <v>Correlation with Intangibles</v>
      </c>
      <c r="E489" t="e">
        <f ca="1">CORREL(D477:H477,X499:AB499)</f>
        <v>#N/A</v>
      </c>
      <c r="J489" t="str">
        <f>J488 &amp; " Year"</f>
        <v>Max Cash Tax Rate Year</v>
      </c>
      <c r="K489" t="e">
        <f ca="1">VALUE(J486)+MATCH(K488,J487:N487,0)-1</f>
        <v>#N/A</v>
      </c>
      <c r="Q489">
        <f>D476</f>
        <v>0</v>
      </c>
      <c r="R489">
        <f>E476</f>
        <v>0</v>
      </c>
      <c r="S489">
        <f>F476</f>
        <v>0</v>
      </c>
      <c r="T489">
        <f>G476</f>
        <v>0</v>
      </c>
      <c r="U489">
        <f>H476</f>
        <v>0</v>
      </c>
      <c r="X489" t="str">
        <f>"PPE / Sales"</f>
        <v>PPE / Sales</v>
      </c>
    </row>
    <row r="490" spans="4:40" x14ac:dyDescent="0.3">
      <c r="J490" t="str">
        <f>"Min " &amp; J485</f>
        <v>Min Cash Tax Rate</v>
      </c>
      <c r="K490" t="e">
        <f ca="1">MIN(J487:N487)</f>
        <v>#N/A</v>
      </c>
      <c r="Q490" t="e">
        <f ca="1">SUM(X483,X491,X499)</f>
        <v>#N/A</v>
      </c>
      <c r="R490" t="e">
        <f ca="1">SUM(Y483,Y491,Y499)</f>
        <v>#N/A</v>
      </c>
      <c r="S490" t="e">
        <f ca="1">SUM(Z483,Z491,Z499)</f>
        <v>#N/A</v>
      </c>
      <c r="T490" t="e">
        <f ca="1">SUM(AA483,AA491,AA499)</f>
        <v>#N/A</v>
      </c>
      <c r="U490" t="e">
        <f ca="1">SUM(AB483,AB491,AB499)</f>
        <v>#N/A</v>
      </c>
      <c r="X490">
        <f>D476</f>
        <v>0</v>
      </c>
      <c r="Y490">
        <f>E476</f>
        <v>0</v>
      </c>
      <c r="Z490">
        <f>F476</f>
        <v>0</v>
      </c>
      <c r="AA490">
        <f>G476</f>
        <v>0</v>
      </c>
      <c r="AB490">
        <f>H476</f>
        <v>0</v>
      </c>
      <c r="AE490" t="str">
        <f>"Change in Invested Capital / Sales"</f>
        <v>Change in Invested Capital / Sales</v>
      </c>
      <c r="AK490" t="str">
        <f>"Change in PPE / Sales"</f>
        <v>Change in PPE / Sales</v>
      </c>
    </row>
    <row r="491" spans="4:40" x14ac:dyDescent="0.3">
      <c r="J491" t="str">
        <f>J490 &amp; " Year"</f>
        <v>Min Cash Tax Rate Year</v>
      </c>
      <c r="K491" t="e">
        <f ca="1">VALUE(J486)+MATCH(K490,J487:N487,0)-1</f>
        <v>#N/A</v>
      </c>
      <c r="Q491" t="str">
        <f>"Max " &amp; Q488</f>
        <v>Max Invested Capital / Sales</v>
      </c>
      <c r="R491" t="e">
        <f ca="1">MAX(Q490:U490)</f>
        <v>#N/A</v>
      </c>
      <c r="S491" t="str">
        <f>"Op WC Effect on Max"</f>
        <v>Op WC Effect on Max</v>
      </c>
      <c r="T491" t="e">
        <f ca="1">IF(R492=Y485,"Max IC in same year as Max Op WC","Inconclusive Effect")</f>
        <v>#N/A</v>
      </c>
      <c r="U491" t="str">
        <f>"Correlation with Op WC"</f>
        <v>Correlation with Op WC</v>
      </c>
      <c r="V491" t="e">
        <f ca="1">CORREL(Q490:U490,X483:AB483)</f>
        <v>#N/A</v>
      </c>
      <c r="X491" t="e">
        <f ca="1">(INDIRECT("J" &amp; MATCH("Net Property, Plant &amp; Equipment",B145:B403,0) +144))/(INDIRECT("J" &amp; MATCH("Sales/Revenue",B145:B403,0) +144))</f>
        <v>#N/A</v>
      </c>
      <c r="Y491" t="e">
        <f ca="1">(INDIRECT("K" &amp; MATCH("Net Property, Plant &amp; Equipment",B145:B403,0) +144))/(INDIRECT("K" &amp; MATCH("Sales/Revenue",B145:B403,0) +144))</f>
        <v>#N/A</v>
      </c>
      <c r="Z491" t="e">
        <f ca="1">(INDIRECT("L" &amp; MATCH("Net Property, Plant &amp; Equipment",B145:B403,0) +144))/(INDIRECT("L" &amp; MATCH("Sales/Revenue",B145:B403,0) +144))</f>
        <v>#N/A</v>
      </c>
      <c r="AA491" t="e">
        <f ca="1">(INDIRECT("M" &amp; MATCH("Net Property, Plant &amp; Equipment",B145:B403,0) +144))/(INDIRECT("M" &amp; MATCH("Sales/Revenue",B145:B403,0) +144))</f>
        <v>#N/A</v>
      </c>
      <c r="AB491" t="e">
        <f ca="1">(INDIRECT("N" &amp; MATCH("Net Property, Plant &amp; Equipment",B145:B403,0) +144))/(INDIRECT("N" &amp; MATCH("Sales/Revenue",B145:B403,0) +144))</f>
        <v>#N/A</v>
      </c>
      <c r="AE491" t="str">
        <f>K476</f>
        <v>0-0</v>
      </c>
      <c r="AF491" t="str">
        <f>L476</f>
        <v>0-0</v>
      </c>
      <c r="AG491" t="str">
        <f>M476</f>
        <v>0-0</v>
      </c>
      <c r="AH491" t="str">
        <f>N476</f>
        <v>0-0</v>
      </c>
      <c r="AK491" t="str">
        <f>K476</f>
        <v>0-0</v>
      </c>
      <c r="AL491" t="str">
        <f>L476</f>
        <v>0-0</v>
      </c>
      <c r="AM491" t="str">
        <f>M476</f>
        <v>0-0</v>
      </c>
      <c r="AN491" t="str">
        <f>N476</f>
        <v>0-0</v>
      </c>
    </row>
    <row r="492" spans="4:40" x14ac:dyDescent="0.3">
      <c r="Q492" t="str">
        <f>Q491 &amp; " Year"</f>
        <v>Max Invested Capital / Sales Year</v>
      </c>
      <c r="R492" t="e">
        <f ca="1">VALUE(Q489)+MATCH(R491,Q490:U490,0)-1</f>
        <v>#N/A</v>
      </c>
      <c r="S492" t="str">
        <f>"PPE Effect on Max"</f>
        <v>PPE Effect on Max</v>
      </c>
      <c r="T492" t="e">
        <f ca="1">IF(R492=Y493,"Max IC in same year as Max PPE","Inconclusive Effect")</f>
        <v>#N/A</v>
      </c>
      <c r="U492" t="str">
        <f>"Correlation with PPE"</f>
        <v>Correlation with PPE</v>
      </c>
      <c r="V492" t="e">
        <f ca="1">CORREL(Q490:U490,X491:AB491)</f>
        <v>#N/A</v>
      </c>
      <c r="X492" t="str">
        <f>"Max " &amp; X489</f>
        <v>Max PPE / Sales</v>
      </c>
      <c r="Y492" t="e">
        <f ca="1">MAX(X491:AB491)</f>
        <v>#N/A</v>
      </c>
      <c r="AE492" t="e">
        <f ca="1">R490-Q490</f>
        <v>#N/A</v>
      </c>
      <c r="AF492" t="e">
        <f ca="1">S490-R490</f>
        <v>#N/A</v>
      </c>
      <c r="AG492" t="e">
        <f ca="1">T490-S490</f>
        <v>#N/A</v>
      </c>
      <c r="AH492" t="e">
        <f ca="1">U490-T490</f>
        <v>#N/A</v>
      </c>
      <c r="AK492" t="e">
        <f ca="1">Y491-X491</f>
        <v>#N/A</v>
      </c>
      <c r="AL492" t="e">
        <f ca="1">Z491-Y491</f>
        <v>#N/A</v>
      </c>
      <c r="AM492" t="e">
        <f ca="1">AA491-Z491</f>
        <v>#N/A</v>
      </c>
      <c r="AN492" t="e">
        <f ca="1">AB491-AA491</f>
        <v>#N/A</v>
      </c>
    </row>
    <row r="493" spans="4:40" x14ac:dyDescent="0.3">
      <c r="Q493" t="str">
        <f>"Min " &amp; Q488</f>
        <v>Min Invested Capital / Sales</v>
      </c>
      <c r="R493" t="e">
        <f ca="1">MIN(Q490:U490)</f>
        <v>#N/A</v>
      </c>
      <c r="S493" t="str">
        <f>"Intangibles Effect on Max"</f>
        <v>Intangibles Effect on Max</v>
      </c>
      <c r="T493" t="e">
        <f ca="1">IF(R492=Y501,"Max IC in same year as Max Intangibles","Inconclusive Effect")</f>
        <v>#N/A</v>
      </c>
      <c r="U493" t="str">
        <f>"Correlation with Intangibles"</f>
        <v>Correlation with Intangibles</v>
      </c>
      <c r="V493" t="e">
        <f ca="1">CORREL(Q490:U490,X499:AB499)</f>
        <v>#N/A</v>
      </c>
      <c r="X493" t="str">
        <f>X492 &amp; " Year"</f>
        <v>Max PPE / Sales Year</v>
      </c>
      <c r="Y493" t="e">
        <f ca="1">VALUE(X490)+MATCH(Y492,X491:AB491,0)-1</f>
        <v>#N/A</v>
      </c>
      <c r="AE493" t="str">
        <f>"Max " &amp; AE490</f>
        <v>Max Change in Invested Capital / Sales</v>
      </c>
      <c r="AF493" t="e">
        <f ca="1">MAX(AE492:AH492)</f>
        <v>#N/A</v>
      </c>
      <c r="AK493" t="str">
        <f>"Max " &amp; AK490</f>
        <v>Max Change in PPE / Sales</v>
      </c>
      <c r="AL493" t="e">
        <f ca="1">MAX(AK492:AN492)</f>
        <v>#N/A</v>
      </c>
    </row>
    <row r="494" spans="4:40" x14ac:dyDescent="0.3">
      <c r="Q494" t="str">
        <f>Q493 &amp; " Year"</f>
        <v>Min Invested Capital / Sales Year</v>
      </c>
      <c r="R494" t="e">
        <f ca="1">VALUE(Q489)+MATCH(R493,Q490:U490,0)-1</f>
        <v>#N/A</v>
      </c>
      <c r="S494" t="str">
        <f>"Op WC Effect on Min"</f>
        <v>Op WC Effect on Min</v>
      </c>
      <c r="T494" t="e">
        <f ca="1">IF(R494=Y487,"Min IC in same year as Min Op WC","Inconclusive Effect")</f>
        <v>#N/A</v>
      </c>
      <c r="X494" t="str">
        <f>"Min " &amp; X489</f>
        <v>Min PPE / Sales</v>
      </c>
      <c r="Y494" t="e">
        <f ca="1">MIN(X491:AB491)</f>
        <v>#N/A</v>
      </c>
      <c r="AE494" t="str">
        <f>AE493 &amp; " Year"</f>
        <v>Max Change in Invested Capital / Sales Year</v>
      </c>
      <c r="AF494" t="e">
        <f ca="1">IF(MATCH(AF493,AE492:AH492,0)=1,AE491,IF(MATCH(AF493,AE492:AH492,0)=2,AF491,IF(MATCH(AF493,AE492:AH492,0)=3,AG491,AH491)))</f>
        <v>#N/A</v>
      </c>
      <c r="AK494" t="str">
        <f>AK493 &amp; " Year"</f>
        <v>Max Change in PPE / Sales Year</v>
      </c>
      <c r="AL494" t="e">
        <f ca="1">IF(MATCH(AL493,AK492:AN492,0)=1,AK491,IF(MATCH(AL493,AK492:AN492,0)=2,AL491,IF(MATCH(AL493,AK492:AN492,0)=3,AM491,AN491)))</f>
        <v>#N/A</v>
      </c>
    </row>
    <row r="495" spans="4:40" x14ac:dyDescent="0.3">
      <c r="S495" t="str">
        <f>"PPE Effect on Min"</f>
        <v>PPE Effect on Min</v>
      </c>
      <c r="T495" t="e">
        <f ca="1">IF(R494=Y495,"Min IC in same year as Min PPE","Inconclusive Effect")</f>
        <v>#N/A</v>
      </c>
      <c r="X495" t="str">
        <f>X494 &amp; " Year"</f>
        <v>Min PPE / Sales Year</v>
      </c>
      <c r="Y495" t="e">
        <f ca="1">VALUE(X490)+MATCH(Y494,X491:AB491,0)-1</f>
        <v>#N/A</v>
      </c>
      <c r="AE495" t="str">
        <f>"Min " &amp; AE490</f>
        <v>Min Change in Invested Capital / Sales</v>
      </c>
      <c r="AF495" t="e">
        <f ca="1">MIN(AE492:AH492)</f>
        <v>#N/A</v>
      </c>
      <c r="AK495" t="str">
        <f>"Min " &amp; AK490</f>
        <v>Min Change in PPE / Sales</v>
      </c>
      <c r="AL495" t="e">
        <f ca="1">MIN(AK492:AN492)</f>
        <v>#N/A</v>
      </c>
    </row>
    <row r="496" spans="4:40" x14ac:dyDescent="0.3">
      <c r="S496" t="str">
        <f>"Intangibles Effect on Min"</f>
        <v>Intangibles Effect on Min</v>
      </c>
      <c r="T496" t="e">
        <f ca="1">IF(R494=Y503,"Min IC in same year as Min Intangibles","Inconclusive Effect")</f>
        <v>#N/A</v>
      </c>
      <c r="AE496" t="str">
        <f>AE495 &amp; " Year"</f>
        <v>Min Change in Invested Capital / Sales Year</v>
      </c>
      <c r="AF496" t="e">
        <f ca="1">IF(MATCH(AF495,AE492:AH492,0)=1,AE491,IF(MATCH(AF495,AE492:AH492,0)=2,AF491,IF(MATCH(AF495,AE492:AH492,0)=3,AG491,AH491)))</f>
        <v>#N/A</v>
      </c>
      <c r="AK496" t="str">
        <f>AK495 &amp; " Year"</f>
        <v>Min Change in PPE / Sales Year</v>
      </c>
      <c r="AL496" t="e">
        <f ca="1">IF(MATCH(AL495,AK492:AN492,0)=1,AK491,IF(MATCH(AL495,AK492:AN492,0)=2,AL491,IF(MATCH(AL495,AK492:AN492,0)=3,AM491,AN491)))</f>
        <v>#N/A</v>
      </c>
    </row>
    <row r="497" spans="3:40" x14ac:dyDescent="0.3">
      <c r="X497" t="str">
        <f>"Intangibles / Sales"</f>
        <v>Intangibles / Sales</v>
      </c>
    </row>
    <row r="498" spans="3:40" x14ac:dyDescent="0.3">
      <c r="X498">
        <f>D476</f>
        <v>0</v>
      </c>
      <c r="Y498">
        <f>E476</f>
        <v>0</v>
      </c>
      <c r="Z498">
        <f>F476</f>
        <v>0</v>
      </c>
      <c r="AA498">
        <f>G476</f>
        <v>0</v>
      </c>
      <c r="AB498">
        <f>H476</f>
        <v>0</v>
      </c>
      <c r="AK498" t="str">
        <f>"Change in Intagibles / Sales"</f>
        <v>Change in Intagibles / Sales</v>
      </c>
    </row>
    <row r="499" spans="3:40" x14ac:dyDescent="0.3">
      <c r="X499" t="e">
        <f ca="1">(INDIRECT("J" &amp; MATCH("Intangible Assets",B145:B403,0) +144))/(INDIRECT("J" &amp; MATCH("Sales/Revenue",B145:B403,0) +144))</f>
        <v>#N/A</v>
      </c>
      <c r="Y499" t="e">
        <f ca="1">(INDIRECT("K" &amp; MATCH("Intangible Assets",B145:B403,0) +144))/(INDIRECT("K" &amp; MATCH("Sales/Revenue",B145:B403,0) +144))</f>
        <v>#N/A</v>
      </c>
      <c r="Z499" t="e">
        <f ca="1">(INDIRECT("L" &amp; MATCH("Intangible Assets",B145:B403,0) +144))/(INDIRECT("L" &amp; MATCH("Sales/Revenue",B145:B403,0) +144))</f>
        <v>#N/A</v>
      </c>
      <c r="AA499" t="e">
        <f ca="1">(INDIRECT("M" &amp; MATCH("Intangible Assets",B145:B403,0) +144))/(INDIRECT("M" &amp; MATCH("Sales/Revenue",B145:B403,0) +144))</f>
        <v>#N/A</v>
      </c>
      <c r="AB499" t="e">
        <f ca="1">(INDIRECT("N" &amp; MATCH("Intangible Assets",B145:B403,0) +144))/(INDIRECT("N" &amp; MATCH("Sales/Revenue",B145:B403,0) +144))</f>
        <v>#N/A</v>
      </c>
      <c r="AK499" t="str">
        <f>K476</f>
        <v>0-0</v>
      </c>
      <c r="AL499" t="str">
        <f>L476</f>
        <v>0-0</v>
      </c>
      <c r="AM499" t="str">
        <f>M476</f>
        <v>0-0</v>
      </c>
      <c r="AN499" t="str">
        <f>N476</f>
        <v>0-0</v>
      </c>
    </row>
    <row r="500" spans="3:40" x14ac:dyDescent="0.3">
      <c r="X500" t="str">
        <f>"Max " &amp; X497</f>
        <v>Max Intangibles / Sales</v>
      </c>
      <c r="Y500" t="e">
        <f ca="1">MAX(X499:AB499)</f>
        <v>#N/A</v>
      </c>
      <c r="AK500" t="e">
        <f ca="1">Y499-X499</f>
        <v>#N/A</v>
      </c>
      <c r="AL500" t="e">
        <f ca="1">Z499-Y499</f>
        <v>#N/A</v>
      </c>
      <c r="AM500" t="e">
        <f ca="1">AA499-Z499</f>
        <v>#N/A</v>
      </c>
      <c r="AN500" t="e">
        <f ca="1">AB499-AA499</f>
        <v>#N/A</v>
      </c>
    </row>
    <row r="501" spans="3:40" x14ac:dyDescent="0.3">
      <c r="X501" t="str">
        <f>X500 &amp; " Year"</f>
        <v>Max Intangibles / Sales Year</v>
      </c>
      <c r="Y501" t="e">
        <f ca="1">VALUE(X498)+MATCH(Y500,X499:AB499,0)-1</f>
        <v>#N/A</v>
      </c>
      <c r="AK501" t="str">
        <f>"Max " &amp; AK498</f>
        <v>Max Change in Intagibles / Sales</v>
      </c>
      <c r="AL501" t="e">
        <f ca="1">MAX(AK500:AN500)</f>
        <v>#N/A</v>
      </c>
    </row>
    <row r="502" spans="3:40" x14ac:dyDescent="0.3">
      <c r="X502" t="str">
        <f>"Min " &amp; X497</f>
        <v>Min Intangibles / Sales</v>
      </c>
      <c r="Y502" t="e">
        <f ca="1">MIN(X499:AB499)</f>
        <v>#N/A</v>
      </c>
      <c r="AK502" t="str">
        <f>AK501 &amp; " Year"</f>
        <v>Max Change in Intagibles / Sales Year</v>
      </c>
      <c r="AL502" t="e">
        <f ca="1">IF(MATCH(AL501,AK500:AN500,0)=1,AK499,IF(MATCH(AL501,AK500:AN500,0)=2,AL499,IF(MATCH(AL501,AK500:AN500,0)=3,AM499,AN499)))</f>
        <v>#N/A</v>
      </c>
    </row>
    <row r="503" spans="3:40" x14ac:dyDescent="0.3">
      <c r="X503" t="str">
        <f>X502 &amp; " Year"</f>
        <v>Min Intangibles / Sales Year</v>
      </c>
      <c r="Y503" t="e">
        <f ca="1">VALUE(X498)+MATCH(Y502,X499:AB499,0)-1</f>
        <v>#N/A</v>
      </c>
      <c r="AK503" t="str">
        <f>"Min " &amp; AK498</f>
        <v>Min Change in Intagibles / Sales</v>
      </c>
      <c r="AL503" t="e">
        <f ca="1">MIN(AK500:AN500)</f>
        <v>#N/A</v>
      </c>
    </row>
    <row r="504" spans="3:40" x14ac:dyDescent="0.3">
      <c r="AK504" t="str">
        <f>AK503 &amp; " Year"</f>
        <v>Min Change in Intagibles / Sales Year</v>
      </c>
      <c r="AL504" t="e">
        <f ca="1">IF(MATCH(AL503,AK500:AN500,0)=1,AK499,IF(MATCH(AL503,AK500:AN500,0)=2,AL499,IF(MATCH(AL503,AK500:AN500,0)=3,AM499,AN499)))</f>
        <v>#N/A</v>
      </c>
    </row>
    <row r="507" spans="3:40" x14ac:dyDescent="0.3">
      <c r="D507">
        <f t="shared" ref="D507:H508" si="155">D476</f>
        <v>0</v>
      </c>
      <c r="E507">
        <f t="shared" si="155"/>
        <v>0</v>
      </c>
      <c r="F507">
        <f t="shared" si="155"/>
        <v>0</v>
      </c>
      <c r="G507">
        <f t="shared" si="155"/>
        <v>0</v>
      </c>
      <c r="H507">
        <f t="shared" si="155"/>
        <v>0</v>
      </c>
      <c r="I507" t="str">
        <f>"Average"</f>
        <v>Average</v>
      </c>
      <c r="J507" t="str">
        <f>"SD"</f>
        <v>SD</v>
      </c>
      <c r="K507">
        <f>D507</f>
        <v>0</v>
      </c>
      <c r="L507">
        <f>E507</f>
        <v>0</v>
      </c>
      <c r="M507">
        <f>F507</f>
        <v>0</v>
      </c>
      <c r="N507">
        <f>G507</f>
        <v>0</v>
      </c>
      <c r="O507">
        <f>H507</f>
        <v>0</v>
      </c>
      <c r="P507" t="str">
        <f>"Max z Year"</f>
        <v>Max z Year</v>
      </c>
    </row>
    <row r="508" spans="3:40" x14ac:dyDescent="0.3">
      <c r="C508" t="str">
        <f>D475</f>
        <v>EOY ROIC</v>
      </c>
      <c r="D508" t="e">
        <f t="shared" ca="1" si="155"/>
        <v>#N/A</v>
      </c>
      <c r="E508" t="e">
        <f t="shared" ca="1" si="155"/>
        <v>#N/A</v>
      </c>
      <c r="F508" t="e">
        <f t="shared" ca="1" si="155"/>
        <v>#N/A</v>
      </c>
      <c r="G508" t="e">
        <f t="shared" ca="1" si="155"/>
        <v>#N/A</v>
      </c>
      <c r="H508" t="e">
        <f t="shared" ca="1" si="155"/>
        <v>#N/A</v>
      </c>
      <c r="I508" t="e">
        <f t="shared" ref="I508:I518" ca="1" si="156">AVERAGE(D508:H508)</f>
        <v>#N/A</v>
      </c>
      <c r="J508" t="e">
        <f t="shared" ref="J508:J518" ca="1" si="157">STDEV(D508:H508)</f>
        <v>#N/A</v>
      </c>
      <c r="K508" t="e">
        <f t="shared" ref="K508:K518" ca="1" si="158">(D508-I508)/J508</f>
        <v>#N/A</v>
      </c>
      <c r="L508" t="e">
        <f t="shared" ref="L508:L518" ca="1" si="159">(E508-I508)/J508</f>
        <v>#N/A</v>
      </c>
      <c r="M508" t="e">
        <f t="shared" ref="M508:M518" ca="1" si="160">(F508-I508)/J508</f>
        <v>#N/A</v>
      </c>
      <c r="N508" t="e">
        <f t="shared" ref="N508:N518" ca="1" si="161">(G508-I508)/J508</f>
        <v>#N/A</v>
      </c>
      <c r="O508" t="e">
        <f t="shared" ref="O508:O518" ca="1" si="162">(H508-I508)/J508</f>
        <v>#N/A</v>
      </c>
      <c r="P508" t="e">
        <f ca="1">K507 + MATCH(IF(MAX(MAX(K508:O508),ABS(MIN(K508:O508)))=ABS(MIN(K508:O508)), MIN(K508:O508),MAX(K508:O508)),K508:O508,0) - 1</f>
        <v>#N/A</v>
      </c>
    </row>
    <row r="509" spans="3:40" x14ac:dyDescent="0.3">
      <c r="C509" t="str">
        <f>J465</f>
        <v>EOY Pretax ROIC</v>
      </c>
      <c r="D509" t="e">
        <f ca="1">J467</f>
        <v>#N/A</v>
      </c>
      <c r="E509" t="e">
        <f ca="1">K467</f>
        <v>#N/A</v>
      </c>
      <c r="F509" t="e">
        <f ca="1">L467</f>
        <v>#N/A</v>
      </c>
      <c r="G509" t="e">
        <f ca="1">M467</f>
        <v>#N/A</v>
      </c>
      <c r="H509" t="e">
        <f ca="1">N467</f>
        <v>#N/A</v>
      </c>
      <c r="I509" t="e">
        <f t="shared" ca="1" si="156"/>
        <v>#N/A</v>
      </c>
      <c r="J509" t="e">
        <f t="shared" ca="1" si="157"/>
        <v>#N/A</v>
      </c>
      <c r="K509" t="e">
        <f t="shared" ca="1" si="158"/>
        <v>#N/A</v>
      </c>
      <c r="L509" t="e">
        <f t="shared" ca="1" si="159"/>
        <v>#N/A</v>
      </c>
      <c r="M509" t="e">
        <f t="shared" ca="1" si="160"/>
        <v>#N/A</v>
      </c>
      <c r="N509" t="e">
        <f t="shared" ca="1" si="161"/>
        <v>#N/A</v>
      </c>
      <c r="O509" t="e">
        <f t="shared" ca="1" si="162"/>
        <v>#N/A</v>
      </c>
      <c r="P509" t="e">
        <f ca="1">K507 + MATCH(IF(MAX(MAX(K509:O509),ABS(MIN(K509:O509)))=ABS(MIN(K509:O509)), MIN(K509:O509),MAX(K509:O509)),K509:O509,0) - 1</f>
        <v>#N/A</v>
      </c>
    </row>
    <row r="510" spans="3:40" x14ac:dyDescent="0.3">
      <c r="C510" t="str">
        <f>J485</f>
        <v>Cash Tax Rate</v>
      </c>
      <c r="D510" t="e">
        <f ca="1">J487</f>
        <v>#N/A</v>
      </c>
      <c r="E510" t="e">
        <f ca="1">K487</f>
        <v>#N/A</v>
      </c>
      <c r="F510" t="e">
        <f ca="1">L487</f>
        <v>#N/A</v>
      </c>
      <c r="G510" t="e">
        <f ca="1">M487</f>
        <v>#N/A</v>
      </c>
      <c r="H510" t="e">
        <f ca="1">N487</f>
        <v>#N/A</v>
      </c>
      <c r="I510" t="e">
        <f t="shared" ca="1" si="156"/>
        <v>#N/A</v>
      </c>
      <c r="J510" t="e">
        <f t="shared" ca="1" si="157"/>
        <v>#N/A</v>
      </c>
      <c r="K510" t="e">
        <f t="shared" ca="1" si="158"/>
        <v>#N/A</v>
      </c>
      <c r="L510" t="e">
        <f t="shared" ca="1" si="159"/>
        <v>#N/A</v>
      </c>
      <c r="M510" t="e">
        <f t="shared" ca="1" si="160"/>
        <v>#N/A</v>
      </c>
      <c r="N510" t="e">
        <f t="shared" ca="1" si="161"/>
        <v>#N/A</v>
      </c>
      <c r="O510" t="e">
        <f t="shared" ca="1" si="162"/>
        <v>#N/A</v>
      </c>
      <c r="P510" t="e">
        <f ca="1">K507 + MATCH(IF(MAX(MAX(K510:O510),ABS(MIN(K510:O510)))=ABS(MIN(K510:O510)), MIN(K510:O510),MAX(K510:O510)),K510:O510,0) - 1</f>
        <v>#N/A</v>
      </c>
    </row>
    <row r="511" spans="3:40" x14ac:dyDescent="0.3">
      <c r="C511" t="str">
        <f>Q460</f>
        <v>Operating Margin</v>
      </c>
      <c r="D511" t="e">
        <f ca="1">Q462</f>
        <v>#N/A</v>
      </c>
      <c r="E511" t="e">
        <f ca="1">R462</f>
        <v>#N/A</v>
      </c>
      <c r="F511" t="e">
        <f ca="1">S462</f>
        <v>#N/A</v>
      </c>
      <c r="G511" t="e">
        <f ca="1">T462</f>
        <v>#N/A</v>
      </c>
      <c r="H511" t="e">
        <f ca="1">U462</f>
        <v>#N/A</v>
      </c>
      <c r="I511" t="e">
        <f t="shared" ca="1" si="156"/>
        <v>#N/A</v>
      </c>
      <c r="J511" t="e">
        <f t="shared" ca="1" si="157"/>
        <v>#N/A</v>
      </c>
      <c r="K511" t="e">
        <f t="shared" ca="1" si="158"/>
        <v>#N/A</v>
      </c>
      <c r="L511" t="e">
        <f t="shared" ca="1" si="159"/>
        <v>#N/A</v>
      </c>
      <c r="M511" t="e">
        <f t="shared" ca="1" si="160"/>
        <v>#N/A</v>
      </c>
      <c r="N511" t="e">
        <f t="shared" ca="1" si="161"/>
        <v>#N/A</v>
      </c>
      <c r="O511" t="e">
        <f t="shared" ca="1" si="162"/>
        <v>#N/A</v>
      </c>
      <c r="P511" t="e">
        <f ca="1">K507 + MATCH(IF(MAX(MAX(K511:O511),ABS(MIN(K511:O511)))=ABS(MIN(K511:O511)), MIN(K511:O511),MAX(K511:O511)),K511:O511,0) - 1</f>
        <v>#N/A</v>
      </c>
    </row>
    <row r="512" spans="3:40" x14ac:dyDescent="0.3">
      <c r="C512" t="str">
        <f>Q488</f>
        <v>Invested Capital / Sales</v>
      </c>
      <c r="D512" t="e">
        <f ca="1">Q490</f>
        <v>#N/A</v>
      </c>
      <c r="E512" t="e">
        <f ca="1">R490</f>
        <v>#N/A</v>
      </c>
      <c r="F512" t="e">
        <f ca="1">S490</f>
        <v>#N/A</v>
      </c>
      <c r="G512" t="e">
        <f ca="1">T490</f>
        <v>#N/A</v>
      </c>
      <c r="H512" t="e">
        <f ca="1">U490</f>
        <v>#N/A</v>
      </c>
      <c r="I512" t="e">
        <f t="shared" ca="1" si="156"/>
        <v>#N/A</v>
      </c>
      <c r="J512" t="e">
        <f t="shared" ca="1" si="157"/>
        <v>#N/A</v>
      </c>
      <c r="K512" t="e">
        <f t="shared" ca="1" si="158"/>
        <v>#N/A</v>
      </c>
      <c r="L512" t="e">
        <f t="shared" ca="1" si="159"/>
        <v>#N/A</v>
      </c>
      <c r="M512" t="e">
        <f t="shared" ca="1" si="160"/>
        <v>#N/A</v>
      </c>
      <c r="N512" t="e">
        <f t="shared" ca="1" si="161"/>
        <v>#N/A</v>
      </c>
      <c r="O512" t="e">
        <f t="shared" ca="1" si="162"/>
        <v>#N/A</v>
      </c>
      <c r="P512" t="e">
        <f ca="1">K507 + MATCH(IF(MAX(MAX(K512:O512),ABS(MIN(K512:O512)))=ABS(MIN(K512:O512)), MIN(K512:O512),MAX(K512:O512)),K512:O512,0) - 1</f>
        <v>#N/A</v>
      </c>
    </row>
    <row r="513" spans="3:16" x14ac:dyDescent="0.3">
      <c r="C513" t="str">
        <f>X453</f>
        <v>Gross Margin</v>
      </c>
      <c r="D513" t="e">
        <f ca="1">X455</f>
        <v>#N/A</v>
      </c>
      <c r="E513" t="e">
        <f ca="1">Y455</f>
        <v>#N/A</v>
      </c>
      <c r="F513" t="e">
        <f ca="1">Z455</f>
        <v>#N/A</v>
      </c>
      <c r="G513" t="e">
        <f ca="1">AA455</f>
        <v>#N/A</v>
      </c>
      <c r="H513" t="e">
        <f ca="1">AB455</f>
        <v>#N/A</v>
      </c>
      <c r="I513" t="e">
        <f t="shared" ca="1" si="156"/>
        <v>#N/A</v>
      </c>
      <c r="J513" t="e">
        <f t="shared" ca="1" si="157"/>
        <v>#N/A</v>
      </c>
      <c r="K513" t="e">
        <f t="shared" ca="1" si="158"/>
        <v>#N/A</v>
      </c>
      <c r="L513" t="e">
        <f t="shared" ca="1" si="159"/>
        <v>#N/A</v>
      </c>
      <c r="M513" t="e">
        <f t="shared" ca="1" si="160"/>
        <v>#N/A</v>
      </c>
      <c r="N513" t="e">
        <f t="shared" ca="1" si="161"/>
        <v>#N/A</v>
      </c>
      <c r="O513" t="e">
        <f t="shared" ca="1" si="162"/>
        <v>#N/A</v>
      </c>
      <c r="P513" t="e">
        <f ca="1">K507 + MATCH(IF(MAX(MAX(K513:O513),ABS(MIN(K513:O513)))=ABS(MIN(K513:O513)), MIN(K513:O513),MAX(K513:O513)),K513:O513,0) - 1</f>
        <v>#N/A</v>
      </c>
    </row>
    <row r="514" spans="3:16" x14ac:dyDescent="0.3">
      <c r="C514" t="str">
        <f>X461</f>
        <v>SGA / Sales</v>
      </c>
      <c r="D514" t="e">
        <f ca="1">X463</f>
        <v>#N/A</v>
      </c>
      <c r="E514" t="e">
        <f ca="1">Y463</f>
        <v>#N/A</v>
      </c>
      <c r="F514" t="e">
        <f ca="1">Z463</f>
        <v>#N/A</v>
      </c>
      <c r="G514" t="e">
        <f ca="1">AA463</f>
        <v>#N/A</v>
      </c>
      <c r="H514" t="e">
        <f ca="1">AB463</f>
        <v>#N/A</v>
      </c>
      <c r="I514" t="e">
        <f t="shared" ca="1" si="156"/>
        <v>#N/A</v>
      </c>
      <c r="J514" t="e">
        <f t="shared" ca="1" si="157"/>
        <v>#N/A</v>
      </c>
      <c r="K514" t="e">
        <f t="shared" ca="1" si="158"/>
        <v>#N/A</v>
      </c>
      <c r="L514" t="e">
        <f t="shared" ca="1" si="159"/>
        <v>#N/A</v>
      </c>
      <c r="M514" t="e">
        <f t="shared" ca="1" si="160"/>
        <v>#N/A</v>
      </c>
      <c r="N514" t="e">
        <f t="shared" ca="1" si="161"/>
        <v>#N/A</v>
      </c>
      <c r="O514" t="e">
        <f t="shared" ca="1" si="162"/>
        <v>#N/A</v>
      </c>
      <c r="P514" t="e">
        <f ca="1">K507 + MATCH(IF(MAX(MAX(K514:O514),ABS(MIN(K514:O514)))=ABS(MIN(K514:O514)), MIN(K514:O514),MAX(K514:O514)),K514:O514,0) - 1</f>
        <v>#N/A</v>
      </c>
    </row>
    <row r="515" spans="3:16" x14ac:dyDescent="0.3">
      <c r="C515" t="str">
        <f>X469</f>
        <v>Depreciation / Sales</v>
      </c>
      <c r="D515" t="e">
        <f ca="1">X471</f>
        <v>#N/A</v>
      </c>
      <c r="E515" t="e">
        <f ca="1">Y471</f>
        <v>#N/A</v>
      </c>
      <c r="F515" t="e">
        <f ca="1">Z471</f>
        <v>#N/A</v>
      </c>
      <c r="G515" t="e">
        <f ca="1">AA471</f>
        <v>#N/A</v>
      </c>
      <c r="H515" t="e">
        <f ca="1">AB471</f>
        <v>#N/A</v>
      </c>
      <c r="I515" t="e">
        <f t="shared" ca="1" si="156"/>
        <v>#N/A</v>
      </c>
      <c r="J515" t="e">
        <f t="shared" ca="1" si="157"/>
        <v>#N/A</v>
      </c>
      <c r="K515" t="e">
        <f t="shared" ca="1" si="158"/>
        <v>#N/A</v>
      </c>
      <c r="L515" t="e">
        <f t="shared" ca="1" si="159"/>
        <v>#N/A</v>
      </c>
      <c r="M515" t="e">
        <f t="shared" ca="1" si="160"/>
        <v>#N/A</v>
      </c>
      <c r="N515" t="e">
        <f t="shared" ca="1" si="161"/>
        <v>#N/A</v>
      </c>
      <c r="O515" t="e">
        <f t="shared" ca="1" si="162"/>
        <v>#N/A</v>
      </c>
      <c r="P515" t="e">
        <f ca="1">K507 + MATCH(IF(MAX(MAX(K515:O515),ABS(MIN(K515:O515)))=ABS(MIN(K515:O515)), MIN(K515:O515),MAX(K515:O515)),K515:O515,0) - 1</f>
        <v>#N/A</v>
      </c>
    </row>
    <row r="516" spans="3:16" x14ac:dyDescent="0.3">
      <c r="C516" t="str">
        <f>X481</f>
        <v>Op WC / Sales</v>
      </c>
      <c r="D516" t="e">
        <f ca="1">X483</f>
        <v>#N/A</v>
      </c>
      <c r="E516" t="e">
        <f ca="1">Y483</f>
        <v>#N/A</v>
      </c>
      <c r="F516" t="e">
        <f ca="1">Z483</f>
        <v>#N/A</v>
      </c>
      <c r="G516" t="e">
        <f ca="1">AA483</f>
        <v>#N/A</v>
      </c>
      <c r="H516" t="e">
        <f ca="1">AB483</f>
        <v>#N/A</v>
      </c>
      <c r="I516" t="e">
        <f t="shared" ca="1" si="156"/>
        <v>#N/A</v>
      </c>
      <c r="J516" t="e">
        <f t="shared" ca="1" si="157"/>
        <v>#N/A</v>
      </c>
      <c r="K516" t="e">
        <f t="shared" ca="1" si="158"/>
        <v>#N/A</v>
      </c>
      <c r="L516" t="e">
        <f t="shared" ca="1" si="159"/>
        <v>#N/A</v>
      </c>
      <c r="M516" t="e">
        <f t="shared" ca="1" si="160"/>
        <v>#N/A</v>
      </c>
      <c r="N516" t="e">
        <f t="shared" ca="1" si="161"/>
        <v>#N/A</v>
      </c>
      <c r="O516" t="e">
        <f t="shared" ca="1" si="162"/>
        <v>#N/A</v>
      </c>
      <c r="P516" t="e">
        <f ca="1">K507 + MATCH(IF(MAX(MAX(K516:O516),ABS(MIN(K516:O516)))=ABS(MIN(K516:O516)), MIN(K516:O516),MAX(K516:O516)),K516:O516,0) - 1</f>
        <v>#N/A</v>
      </c>
    </row>
    <row r="517" spans="3:16" x14ac:dyDescent="0.3">
      <c r="C517" t="str">
        <f>X489</f>
        <v>PPE / Sales</v>
      </c>
      <c r="D517" t="e">
        <f ca="1">X491</f>
        <v>#N/A</v>
      </c>
      <c r="E517" t="e">
        <f ca="1">Y491</f>
        <v>#N/A</v>
      </c>
      <c r="F517" t="e">
        <f ca="1">Z491</f>
        <v>#N/A</v>
      </c>
      <c r="G517" t="e">
        <f ca="1">AA491</f>
        <v>#N/A</v>
      </c>
      <c r="H517" t="e">
        <f ca="1">AB491</f>
        <v>#N/A</v>
      </c>
      <c r="I517" t="e">
        <f t="shared" ca="1" si="156"/>
        <v>#N/A</v>
      </c>
      <c r="J517" t="e">
        <f t="shared" ca="1" si="157"/>
        <v>#N/A</v>
      </c>
      <c r="K517" t="e">
        <f t="shared" ca="1" si="158"/>
        <v>#N/A</v>
      </c>
      <c r="L517" t="e">
        <f t="shared" ca="1" si="159"/>
        <v>#N/A</v>
      </c>
      <c r="M517" t="e">
        <f t="shared" ca="1" si="160"/>
        <v>#N/A</v>
      </c>
      <c r="N517" t="e">
        <f t="shared" ca="1" si="161"/>
        <v>#N/A</v>
      </c>
      <c r="O517" t="e">
        <f t="shared" ca="1" si="162"/>
        <v>#N/A</v>
      </c>
      <c r="P517" t="e">
        <f ca="1">K507 + MATCH(IF(MAX(MAX(K517:O517),ABS(MIN(K517:O517)))=ABS(MIN(K517:O517)), MIN(K517:O517),MAX(K517:O517)),K517:O517,0) - 1</f>
        <v>#N/A</v>
      </c>
    </row>
    <row r="518" spans="3:16" x14ac:dyDescent="0.3">
      <c r="C518" t="str">
        <f>X497</f>
        <v>Intangibles / Sales</v>
      </c>
      <c r="D518" t="e">
        <f ca="1">X499</f>
        <v>#N/A</v>
      </c>
      <c r="E518" t="e">
        <f ca="1">Y499</f>
        <v>#N/A</v>
      </c>
      <c r="F518" t="e">
        <f ca="1">Z499</f>
        <v>#N/A</v>
      </c>
      <c r="G518" t="e">
        <f ca="1">AA499</f>
        <v>#N/A</v>
      </c>
      <c r="H518" t="e">
        <f ca="1">AB499</f>
        <v>#N/A</v>
      </c>
      <c r="I518" t="e">
        <f t="shared" ca="1" si="156"/>
        <v>#N/A</v>
      </c>
      <c r="J518" t="e">
        <f t="shared" ca="1" si="157"/>
        <v>#N/A</v>
      </c>
      <c r="K518" t="e">
        <f t="shared" ca="1" si="158"/>
        <v>#N/A</v>
      </c>
      <c r="L518" t="e">
        <f t="shared" ca="1" si="159"/>
        <v>#N/A</v>
      </c>
      <c r="M518" t="e">
        <f t="shared" ca="1" si="160"/>
        <v>#N/A</v>
      </c>
      <c r="N518" t="e">
        <f t="shared" ca="1" si="161"/>
        <v>#N/A</v>
      </c>
      <c r="O518" t="e">
        <f t="shared" ca="1" si="162"/>
        <v>#N/A</v>
      </c>
      <c r="P518" t="e">
        <f ca="1">K507 + MATCH(IF(MAX(MAX(K518:O518),ABS(MIN(K518:O518)))=ABS(MIN(K518:O518)), MIN(K518:O518),MAX(K518:O518)),K518:O518,0) - 1</f>
        <v>#N/A</v>
      </c>
    </row>
    <row r="519" spans="3:16" x14ac:dyDescent="0.3">
      <c r="I519" t="str">
        <f>"Max SD"</f>
        <v>Max SD</v>
      </c>
      <c r="J519" t="e">
        <f ca="1">MAX(J508:J518)</f>
        <v>#N/A</v>
      </c>
    </row>
    <row r="520" spans="3:16" x14ac:dyDescent="0.3">
      <c r="I520" t="str">
        <f>"Max SD Item"</f>
        <v>Max SD Item</v>
      </c>
      <c r="J520" t="e">
        <f ca="1">INDIRECT("C" &amp; 507 + MATCH(J519,J508:J518,0))</f>
        <v>#N/A</v>
      </c>
    </row>
    <row r="521" spans="3:16" x14ac:dyDescent="0.3">
      <c r="I521" t="str">
        <f>"Min SD"</f>
        <v>Min SD</v>
      </c>
      <c r="J521" t="e">
        <f ca="1">MIN(J508:J518)</f>
        <v>#N/A</v>
      </c>
    </row>
    <row r="522" spans="3:16" x14ac:dyDescent="0.3">
      <c r="I522" t="str">
        <f>"Min SD Item"</f>
        <v>Min SD Item</v>
      </c>
      <c r="J522" t="e">
        <f ca="1">INDIRECT("C" &amp; 507 + MATCH(J521,J508:J518,0))</f>
        <v>#N/A</v>
      </c>
    </row>
    <row r="523" spans="3:16" x14ac:dyDescent="0.3">
      <c r="C523" t="str">
        <f>"Correlation Analysis"</f>
        <v>Correlation Analysis</v>
      </c>
    </row>
    <row r="524" spans="3:16" x14ac:dyDescent="0.3">
      <c r="D524" t="str">
        <f>C528</f>
        <v>Operating Margin</v>
      </c>
      <c r="E524" t="str">
        <f>C529</f>
        <v>Invested Capital / Sales</v>
      </c>
      <c r="F524" t="str">
        <f>X453</f>
        <v>Gross Margin</v>
      </c>
      <c r="G524" t="str">
        <f>X461</f>
        <v>SGA / Sales</v>
      </c>
      <c r="H524" t="str">
        <f>X469</f>
        <v>Depreciation / Sales</v>
      </c>
      <c r="I524" t="str">
        <f>X481</f>
        <v>Op WC / Sales</v>
      </c>
      <c r="J524" t="str">
        <f>X489</f>
        <v>PPE / Sales</v>
      </c>
      <c r="K524" t="str">
        <f>X497</f>
        <v>Intangibles / Sales</v>
      </c>
      <c r="L524" t="str">
        <f>"Key Driver on correlation basis"</f>
        <v>Key Driver on correlation basis</v>
      </c>
    </row>
    <row r="525" spans="3:16" x14ac:dyDescent="0.3">
      <c r="C525" t="str">
        <f>C508</f>
        <v>EOY ROIC</v>
      </c>
      <c r="D525" t="e">
        <f ca="1">E482</f>
        <v>#N/A</v>
      </c>
      <c r="E525" t="e">
        <f ca="1">E483</f>
        <v>#N/A</v>
      </c>
      <c r="F525" t="e">
        <f ca="1">E484</f>
        <v>#N/A</v>
      </c>
      <c r="G525" t="e">
        <f ca="1">E485</f>
        <v>#N/A</v>
      </c>
      <c r="H525" t="e">
        <f ca="1">E486</f>
        <v>#N/A</v>
      </c>
      <c r="I525" t="e">
        <f ca="1">E487</f>
        <v>#N/A</v>
      </c>
      <c r="J525" t="e">
        <f ca="1">E488</f>
        <v>#N/A</v>
      </c>
      <c r="K525" t="e">
        <f ca="1">E489</f>
        <v>#N/A</v>
      </c>
    </row>
    <row r="526" spans="3:16" x14ac:dyDescent="0.3">
      <c r="C526" t="str">
        <f>C509</f>
        <v>EOY Pretax ROIC</v>
      </c>
      <c r="D526" t="e">
        <f ca="1">O468</f>
        <v>#N/A</v>
      </c>
      <c r="E526" t="e">
        <f ca="1">O469</f>
        <v>#N/A</v>
      </c>
    </row>
    <row r="527" spans="3:16" x14ac:dyDescent="0.3">
      <c r="C527" t="str">
        <f>C510</f>
        <v>Cash Tax Rate</v>
      </c>
    </row>
    <row r="528" spans="3:16" x14ac:dyDescent="0.3">
      <c r="C528" t="str">
        <f>C511</f>
        <v>Operating Margin</v>
      </c>
      <c r="F528" t="e">
        <f ca="1">V463</f>
        <v>#N/A</v>
      </c>
      <c r="G528" t="e">
        <f ca="1">V464</f>
        <v>#N/A</v>
      </c>
      <c r="H528" t="e">
        <f ca="1">V465</f>
        <v>#N/A</v>
      </c>
      <c r="L528" t="e">
        <f ca="1">INDIRECT(ADDRESS(524,5+MATCH(IF(ABS(MAX(F528:H528))&gt;ABS(MIN(F528:H528)),MAX(F528:H528),MIN(F528:H528)),F528:H528,0)))</f>
        <v>#N/A</v>
      </c>
    </row>
    <row r="529" spans="3:12" x14ac:dyDescent="0.3">
      <c r="C529" t="str">
        <f>C512</f>
        <v>Invested Capital / Sales</v>
      </c>
      <c r="I529" t="e">
        <f ca="1">V491</f>
        <v>#N/A</v>
      </c>
      <c r="J529" t="e">
        <f ca="1">V492</f>
        <v>#N/A</v>
      </c>
      <c r="K529" t="e">
        <f ca="1">V493</f>
        <v>#N/A</v>
      </c>
      <c r="L529" t="e">
        <f ca="1">INDIRECT(ADDRESS(524,8+MATCH(IF(ABS(MAX(I529:K529))&gt;ABS(MIN(I529:K529)),MAX(I529:K529),MIN(I529:K529)),I529:K529,0)))</f>
        <v>#N/A</v>
      </c>
    </row>
    <row r="532" spans="3:12" x14ac:dyDescent="0.3">
      <c r="C532" t="str">
        <f>"Causation Analysis"</f>
        <v>Causation Analysis</v>
      </c>
    </row>
    <row r="533" spans="3:12" x14ac:dyDescent="0.3">
      <c r="D533" t="str">
        <f>C527</f>
        <v>Cash Tax Rate</v>
      </c>
      <c r="E533" t="str">
        <f>C536</f>
        <v>Operating Margin</v>
      </c>
      <c r="F533" t="str">
        <f>C537</f>
        <v>Invested Capital / Sales</v>
      </c>
      <c r="G533" t="str">
        <f t="shared" ref="G533:L533" si="163">F524</f>
        <v>Gross Margin</v>
      </c>
      <c r="H533" t="str">
        <f t="shared" si="163"/>
        <v>SGA / Sales</v>
      </c>
      <c r="I533" t="str">
        <f t="shared" si="163"/>
        <v>Depreciation / Sales</v>
      </c>
      <c r="J533" t="str">
        <f t="shared" si="163"/>
        <v>Op WC / Sales</v>
      </c>
      <c r="K533" t="str">
        <f t="shared" si="163"/>
        <v>PPE / Sales</v>
      </c>
      <c r="L533" t="str">
        <f t="shared" si="163"/>
        <v>Intangibles / Sales</v>
      </c>
    </row>
    <row r="534" spans="3:12" x14ac:dyDescent="0.3">
      <c r="C534" t="str">
        <f>C508</f>
        <v>EOY ROIC</v>
      </c>
      <c r="D534" t="e">
        <f ca="1">IF(AND(G478&lt;&gt;"Inconclusive Effect",G480&lt;&gt;"Inconclusive Effect"),G478 &amp; CHAR(10) &amp; ". " &amp;G480,IF(G478&lt;&gt;"Inconclusive Effect",G478,IF(G480&lt;&gt;"Inconclusive Effect",G480,"Inconclusive Effect")))</f>
        <v>#N/A</v>
      </c>
    </row>
    <row r="535" spans="3:12" x14ac:dyDescent="0.3">
      <c r="C535" t="str">
        <f>C509</f>
        <v>EOY Pretax ROIC</v>
      </c>
      <c r="E535" t="e">
        <f ca="1">IF(AND(M468&lt;&gt;"Inconclusive Effect",M470&lt;&gt;"Inconclusive Effect"),M468 &amp; CHAR(10) &amp; ". " &amp;M470,IF(M468&lt;&gt;"Inconclusive Effect",M468,IF(M470&lt;&gt;"Inconclusive Effect",M470,"Inconclusive Effect")))</f>
        <v>#N/A</v>
      </c>
      <c r="F535" t="e">
        <f ca="1">IF(AND(M469&lt;&gt;"Inconclusive Effect",M471&lt;&gt;"Inconclusive Effect"),M469 &amp; CHAR(10) &amp; ". " &amp;M471,IF(M469&lt;&gt;"Inconclusive Effect",M469,IF(M471&lt;&gt;"Inconclusive Effect",M471,"Inconclusive Effect")))</f>
        <v>#N/A</v>
      </c>
    </row>
    <row r="536" spans="3:12" x14ac:dyDescent="0.3">
      <c r="C536" t="str">
        <f>C511</f>
        <v>Operating Margin</v>
      </c>
      <c r="G536" t="e">
        <f ca="1">IF(AND(T463&lt;&gt;"Inconclusive Effect",T466&lt;&gt;"Inconclusive Effect"),T463 &amp; CHAR(10) &amp; ". " &amp;T466,IF(T463&lt;&gt;"Inconclusive Effect",T463,IF(T466&lt;&gt;"Inconclusive Effect",T466,"Inconclusive Effect")))</f>
        <v>#N/A</v>
      </c>
      <c r="H536" t="e">
        <f ca="1">IF(AND(T464&lt;&gt;"Inconclusive Effect",T467&lt;&gt;"Inconclusive Effect"),T464 &amp; CHAR(10) &amp; ". " &amp;T467,IF(T464&lt;&gt;"Inconclusive Effect",T464,IF(T467&lt;&gt;"Inconclusive Effect",T467,"Inconclusive Effect")))</f>
        <v>#N/A</v>
      </c>
      <c r="I536" t="e">
        <f ca="1">IF(AND(T465&lt;&gt;"Inconclusive Effect",T468&lt;&gt;"Inconclusive Effect"),T465 &amp; CHAR(10) &amp; ". " &amp;T468,IF(T465&lt;&gt;"Inconclusive Effect",T465,IF(T468&lt;&gt;"Inconclusive Effect",T468,"Inconclusive Effect")))</f>
        <v>#N/A</v>
      </c>
    </row>
    <row r="537" spans="3:12" x14ac:dyDescent="0.3">
      <c r="C537" t="str">
        <f>C512</f>
        <v>Invested Capital / Sales</v>
      </c>
      <c r="J537" t="e">
        <f ca="1">IF(AND(T491&lt;&gt;"Inconclusive Effect",T494&lt;&gt;"Inconclusive Effect"),T491 &amp; CHAR(10) &amp; ". " &amp;T494,IF(T491&lt;&gt;"Inconclusive Effect",T491,IF(T494&lt;&gt;"Inconclusive Effect",T494,"Inconclusive Effect")))</f>
        <v>#N/A</v>
      </c>
      <c r="K537" t="e">
        <f ca="1">IF(AND(T492&lt;&gt;"Inconclusive Effect",T495&lt;&gt;"Inconclusive Effect"),T492 &amp; CHAR(10) &amp; ". " &amp;T495,IF(T492&lt;&gt;"Inconclusive Effect",T492,IF(T495&lt;&gt;"Inconclusive Effect",T495,"Inconclusive Effect")))</f>
        <v>#N/A</v>
      </c>
      <c r="L537" t="e">
        <f ca="1">IF(AND(T493&lt;&gt;"Inconclusive Effect",T496&lt;&gt;"Inconclusive Effect"),T493 &amp; CHAR(10) &amp; ". " &amp;T496,IF(T493&lt;&gt;"Inconclusive Effect",T493,IF(T496&lt;&gt;"Inconclusive Effect",T496,"Inconclusive Effect")))</f>
        <v>#N/A</v>
      </c>
    </row>
    <row r="538" spans="3:12" x14ac:dyDescent="0.3">
      <c r="C538" t="str">
        <f>"Summary"</f>
        <v>Summary</v>
      </c>
      <c r="D538" t="e">
        <f ca="1">IF(D534&lt;&gt;"Inconclusive Effect",D534,"")</f>
        <v>#N/A</v>
      </c>
      <c r="E538" t="e">
        <f ca="1">IF(E535&lt;&gt;"Inconclusive Effect",E535,"")</f>
        <v>#N/A</v>
      </c>
      <c r="F538" t="e">
        <f ca="1">IF(F535&lt;&gt;"Inconclusive Effect",F535,"")</f>
        <v>#N/A</v>
      </c>
      <c r="G538" t="e">
        <f ca="1">IF(G536&lt;&gt;"Inconclusive Effect",G536,"")</f>
        <v>#N/A</v>
      </c>
      <c r="H538" t="e">
        <f ca="1">IF(H536&lt;&gt;"Inconclusive Effect",H536,"")</f>
        <v>#N/A</v>
      </c>
      <c r="I538" t="e">
        <f ca="1">IF(I536&lt;&gt;"Inconclusive Effect",I536,"")</f>
        <v>#N/A</v>
      </c>
      <c r="J538" t="e">
        <f ca="1">IF(J537&lt;&gt;"Inconclusive Effect",J537,"")</f>
        <v>#N/A</v>
      </c>
      <c r="K538" t="e">
        <f ca="1">IF(K537&lt;&gt;"Inconclusive Effect",K537,"")</f>
        <v>#N/A</v>
      </c>
      <c r="L538" t="e">
        <f ca="1">IF(L537&lt;&gt;"Inconclusive Effect",L537,"")</f>
        <v>#N/A</v>
      </c>
    </row>
    <row r="540" spans="3:12" x14ac:dyDescent="0.3">
      <c r="C540" t="e">
        <f ca="1">_xludf.TEXTJOIN(". ",TRUE,D538:L538)</f>
        <v>#NAME?</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H540"/>
  <sheetViews>
    <sheetView topLeftCell="B1" workbookViewId="0"/>
  </sheetViews>
  <sheetFormatPr defaultRowHeight="14.4" x14ac:dyDescent="0.3"/>
  <cols>
    <col min="1" max="1" width="0" hidden="1" customWidth="1"/>
    <col min="2" max="7" width="20.6640625" customWidth="1"/>
  </cols>
  <sheetData>
    <row r="1" spans="1:16" x14ac:dyDescent="0.3">
      <c r="B1" t="s">
        <v>0</v>
      </c>
      <c r="C1" t="s">
        <v>2493</v>
      </c>
      <c r="D1" t="str">
        <f>TRIM(IFERROR(IFERROR(IFERROR(IFERROR(IFERROR(IFERROR(IFERROR(REPLACE(LEFT(C1,FIND("(",C1) - 2), FIND("PLC",UPPER(LEFT(C1,FIND("(",C1) - 2))),3,"" ), REPLACE(LEFT(C1,FIND("(",C1) - 2), FIND(", INC.",UPPER(LEFT(C1,FIND("(",C1) - 2))),6,"" )), REPLACE(LEFT(C1,FIND("(",C1) - 2), FIND("CORPORATION",UPPER(LEFT(C1,FIND("(",C1) - 2))),11,"" )),REPLACE(LEFT(C1,FIND("(",C1) - 2), FIND("CORP.",UPPER(LEFT(C1,FIND("(",C1) - 2))),5,"" )), REPLACE(LEFT(C1,FIND("(",C1) - 2), FIND("COMPANY",UPPER(LEFT(C1,FIND("(",C1) - 2))),7,"" )),REPLACE(LEFT(C1,FIND("(",C1) - 2), FIND("INC.",UPPER(LEFT(C1,FIND("(",C1) - 2))),4,"" )),REPLACE(LEFT(C1,FIND("(",C1) - 2), FIND("CORP",UPPER(LEFT(C1,FIND("(",C1) - 2))),4,"" )),LEFT(C1,FIND("(",C1) - 2)))</f>
        <v>CIRCOR International</v>
      </c>
    </row>
    <row r="2" spans="1:16" x14ac:dyDescent="0.3">
      <c r="B2" t="s">
        <v>2</v>
      </c>
      <c r="C2" t="s">
        <v>2494</v>
      </c>
      <c r="K2" t="str">
        <f>LEFT(C1,FIND("(",C1) - 2)</f>
        <v>CIRCOR International, Inc.</v>
      </c>
    </row>
    <row r="3" spans="1:16" x14ac:dyDescent="0.3">
      <c r="J3">
        <f ca="1">RANDBETWEEN(1,6)</f>
        <v>6</v>
      </c>
      <c r="K3" t="str">
        <f>" is scheduled to report earnings "&amp;IFERROR("between "&amp;LEFT(C20,FIND("-",C20)-2)&amp;" and "&amp;RIGHT(C20,FIND("-",C20)-2),"on "&amp;C20)</f>
        <v xml:space="preserve"> is scheduled to report earnings on Jul 28, 2017</v>
      </c>
      <c r="L3" t="str">
        <f>" is slated to report earnings "&amp;IFERROR("between "&amp;LEFT(C20,FIND("-",C20)-2)&amp;" and "&amp;RIGHT(C20,FIND("-",C20)-2),"on "&amp;C20)</f>
        <v xml:space="preserve"> is slated to report earnings on Jul 28, 2017</v>
      </c>
      <c r="M3" t="str">
        <f>" will report earnings "&amp;IFERROR("between "&amp;LEFT(C20,FIND("-",C20)-2)&amp;" and "&amp;RIGHT(C20,FIND("-",C20)-2),"on "&amp;C20)</f>
        <v xml:space="preserve"> will report earnings on Jul 28, 2017</v>
      </c>
      <c r="N3" t="str">
        <f>" reports earnings "&amp;IFERROR("between "&amp;LEFT(C20,FIND("-",C20)-2)&amp;" and "&amp;RIGHT(C20,FIND("-",C20)-2),"on "&amp;C20)</f>
        <v xml:space="preserve"> reports earnings on Jul 28, 2017</v>
      </c>
      <c r="O3" t="str">
        <f>" plans to report earnings "&amp;IFERROR("between "&amp;LEFT(C20,FIND("-",C20)-2)&amp;" and "&amp;RIGHT(C20,FIND("-",C20)-2),"on "&amp;C20)</f>
        <v xml:space="preserve"> plans to report earnings on Jul 28, 2017</v>
      </c>
      <c r="P3" t="str">
        <f>" is going to report earnings "&amp;IFERROR("between "&amp;LEFT(C20,FIND("-",C20)-2)&amp;" and "&amp;RIGHT(C20,FIND("-",C20)-2),"on "&amp;C20)</f>
        <v xml:space="preserve"> is going to report earnings on Jul 28, 2017</v>
      </c>
    </row>
    <row r="4" spans="1:16" x14ac:dyDescent="0.3">
      <c r="B4" t="s">
        <v>4</v>
      </c>
      <c r="J4">
        <f ca="1">RANDBETWEEN(1,2)</f>
        <v>2</v>
      </c>
      <c r="K4" t="str">
        <f>"The stock is currently trading at " &amp; TEXT(C2,"$####.00") &amp; ", " &amp; IF(C2-C7=0, "at the same price" &amp; " after opening " &amp; IF(C8-C7=0, "at the same price as yesterday's close", IF(C8-C7&gt;0, "up " &amp; IF((C7-C8)/C7*-1 &lt;0.01, "slightly", TEXT((C7-C8)/C7*-1,"##.##%")) &amp; " over yesterday's close", IF((C7-C8)/C7 &lt;0.01, "slightly below", "down " &amp; TEXT((C7-C8)/C7*1,"##.##%") &amp; " from") &amp; " yesterday's close")), IF(C2-C7&gt;0, "up " &amp; TEXT((C7-C2)/C7*-1,"##.##%") &amp; " after opening " &amp; IF(C8-C7=0, "at the same price as yesterday's close", IF(C8-C7&gt;0, "up " &amp; IF((C7-C8)/C7*-1 &lt;0.01, "slightly", TEXT((C7-C8)/C7*-1,"##.##%")) &amp; " over yesterday's close", IF((C7-C8)/C7 &lt;0.01, "slightly below", "down " &amp; TEXT((C7-C8)/C7*1,"##.##%") &amp; " from") &amp; " yesterday's close")), "down " &amp; TEXT((C7-C2)/C7*1,"##.##%") &amp; " after opening " &amp; IF(C8-C7=0, "at the same price as yesterday's close", IF(C8-C7&gt;0, "up " &amp; IF((C7-C8)/C7*-1 &lt;0.01, "slightly", TEXT((C7-C8)/C7*-1,"##.##%")) &amp; " over yesterday's close", IF((C7-C8)/C7 &lt;0.01, "slightly below", "down " &amp; TEXT((C7-C8)/C7*1,"##.##%") &amp; " from") &amp; " yesterday's close")) ))</f>
        <v>The stock is currently trading at $56.78, up 1.18% after opening up slightly over yesterday's close</v>
      </c>
      <c r="L4" t="str">
        <f>"The current stock price is " &amp; TEXT(C2,"$####.00") &amp; ", " &amp; IF(C2-C7=0, "at the same price" &amp; " after opening " &amp; IF(C8-C7=0, "at the same price as yesterday's closing price", IF(C8-C7&gt;0, "up " &amp; IF((C7-C8)/C7*-1 &lt;0.01, "a fraction", TEXT((C7-C8)/C7*-1,"##.##%")) &amp; " over yesterday's closing price", IF((C7-C8)/C7 &lt;0.01, "a bit below", "down " &amp; TEXT((C7-C8)/C7*1,"##.##%") &amp; " from") &amp; " yesterday's closing price")), IF(C2-C7&gt;0, "up " &amp; TEXT((C7-C2)/C7*-1,"##.##%") &amp; " after opening " &amp; IF(C8-C7=0, "at yesterday's closing price", IF(C8-C7&gt;0, "up " &amp; IF((C7-C8)/C7*-1 &lt;0.01, "a fraction", TEXT((C7-C8)/C7*-1,"##.##%")) &amp; " over yesterday's closing price", IF((C7-C8)/C7 &lt;0.01, "a bit below", "down " &amp; TEXT((C7-C8)/C7*1,"##.##%") &amp; " from") &amp; " yesterday's closing price")), "down " &amp; TEXT((C7-C2)/C7*1,"##.##%") &amp; " after opening " &amp; IF(C8-C7=0, "at yesterday's closing price", IF(C8-C7&gt;0, "up " &amp; IF((C7-C8)/C7*-1 &lt;0.01, "a fraction", TEXT((C7-C8)/C7*-1,"##.##%")) &amp; " over yesterday's closing price", IF((C7-C8)/C7 &lt;0.01, "a bit below", "down " &amp; TEXT((C7-C8)/C7*1,"##.##%") &amp; " from") &amp; " yesterday's closing price")) ))</f>
        <v>The current stock price is $56.78, up 1.18% after opening up a fraction over yesterday's closing price</v>
      </c>
    </row>
    <row r="5" spans="1:16" x14ac:dyDescent="0.3">
      <c r="J5">
        <f ca="1">RANDBETWEEN(1,2)</f>
        <v>1</v>
      </c>
      <c r="K5" t="str">
        <f>"The one year target estimate for " &amp; D1 &amp; " is " &amp; TEXT(C23,"$####.00")</f>
        <v>The one year target estimate for CIRCOR International is $67.40</v>
      </c>
      <c r="L5" t="str">
        <f>D1 &amp; " is expected to be trading at " &amp; TEXT(C23, "$####.00") &amp; ", based on target estimates"</f>
        <v>CIRCOR International is expected to be trading at $67.40, based on target estimates</v>
      </c>
    </row>
    <row r="6" spans="1:16" x14ac:dyDescent="0.3">
      <c r="K6" t="str">
        <f>" which would be " &amp; IF(OR(LEFT(ABS((C23-C2)/C2*100),1)="8",LEFT(ABS((C23-C2)/C2*100),2)="18"), "an ", "a ")  &amp;TEXT(ABS((C23-C2)/C2),"####.00%")&amp;IF((C23-C2)&gt;0," increase over"," decrease from")&amp;" the current price"</f>
        <v xml:space="preserve"> which would be an 18.70% increase over the current price</v>
      </c>
    </row>
    <row r="7" spans="1:16" x14ac:dyDescent="0.3">
      <c r="A7" s="1">
        <v>0</v>
      </c>
      <c r="B7" t="s">
        <v>5</v>
      </c>
      <c r="C7" t="s">
        <v>2495</v>
      </c>
      <c r="K7" t="str">
        <f>"Earnings are expected to " &amp; IF(C28=D28, "remain constant over the next quarter", IF( D28&gt;C28,  "increase by " &amp; TEXT((D28-C28)/C28*100,"##.##") &amp; "% over last quarter", "decrease by " &amp; TEXT((D28-C28)/C28*-100,"##.##") &amp; "% from last quarter")) &amp; " based on the average of " &amp; $C$27 &amp; " analyst estimates (Yahoo Finance)"</f>
        <v>Earnings are expected to increase by 19.57% over last quarter based on the average of 6 analyst estimates (Yahoo Finance)</v>
      </c>
    </row>
    <row r="8" spans="1:16" x14ac:dyDescent="0.3">
      <c r="A8" s="1">
        <v>1</v>
      </c>
      <c r="B8" t="s">
        <v>7</v>
      </c>
      <c r="C8" t="s">
        <v>2496</v>
      </c>
      <c r="K8" t="str">
        <f>IF(VALUE(C2)=D12, "The stock is trading at an all-time low",IF(VALUE(C2) =E12,"The stock is trading at an all-time high",IF(VALUE(C2)&lt;D12+(E12-D12)/3, "The stock is trading in the low end of its 52-week range",IF(VALUE(C2)&lt;D12+2*(E12-D12)/3, "The stock is trading near the middle of its 52 week range", "The stock is trading in the high end of its 52-week range"))) )</f>
        <v>The stock is trading near the middle of its 52 week range</v>
      </c>
    </row>
    <row r="9" spans="1:16" x14ac:dyDescent="0.3">
      <c r="A9" s="1">
        <v>2</v>
      </c>
      <c r="B9" t="s">
        <v>9</v>
      </c>
      <c r="C9" t="s">
        <v>10</v>
      </c>
      <c r="K9" t="str">
        <f>"Over the last 4 quarters, there" &amp; IF(4 - COUNTIF(C45:F45,"-*")=1, " has"," have") &amp; " been" &amp; IF(4 - COUNTIF(C45:F45,"-*")=1, " a,","") &amp; " positive earnings surprise" &amp; IF(4 - COUNTIF(C45:F45,"-*")=1, " ","s ") &amp; 4 -COUNTIF(C45:F45,"-*") &amp; IF(4 - COUNTIF(C45:F45,"-*")=1, " time,"," times,") &amp; " and a negative earnings surprise " &amp; COUNTIF(C45:F45,"-*") &amp; IF(COUNTIF(C45:F45,"-*")=1, " time", " times")</f>
        <v>Over the last 4 quarters, there have been positive earnings surprises 3 times, and a negative earnings surprise 1 time</v>
      </c>
    </row>
    <row r="10" spans="1:16" x14ac:dyDescent="0.3">
      <c r="A10" s="1">
        <v>3</v>
      </c>
      <c r="B10" t="s">
        <v>11</v>
      </c>
      <c r="C10" t="s">
        <v>10</v>
      </c>
      <c r="K10" t="str">
        <f>IF(F48=F52,"",IF(F48&gt;F52, "EPS estimates have increased by " &amp; TEXT(F48-F52,"$0.00") &amp; " in the 2 months leading up to the earnings report", "EPS estimates have decreased by " &amp; TEXT(ABS(F48-F52),"$0.00") &amp; " in the 2 months leading up to the earnings report"))</f>
        <v>EPS estimates have decreased by $0.13 in the 2 months leading up to the earnings report</v>
      </c>
    </row>
    <row r="11" spans="1:16" x14ac:dyDescent="0.3">
      <c r="A11" s="1">
        <v>4</v>
      </c>
      <c r="B11" t="s">
        <v>12</v>
      </c>
      <c r="C11" t="s">
        <v>2497</v>
      </c>
      <c r="K11" t="str">
        <f>IF(B145="Interest Income",U42, K42)</f>
        <v>No positive trends</v>
      </c>
    </row>
    <row r="12" spans="1:16" x14ac:dyDescent="0.3">
      <c r="A12" s="1">
        <v>5</v>
      </c>
      <c r="B12" t="s">
        <v>14</v>
      </c>
      <c r="C12" t="s">
        <v>2498</v>
      </c>
      <c r="D12" t="str">
        <f>LEFT(C12,FIND("-",C12)-2)</f>
        <v>48.11</v>
      </c>
      <c r="E12" t="str">
        <f>TRIM(RIGHT(C12,FIND("-",C12)-1))</f>
        <v>72.96</v>
      </c>
      <c r="K12" t="str">
        <f ca="1">D78</f>
        <v>There are some indications that CIRCOR International may be overvalued. The company has a higher trailing p/e, price/sales, and price/book than the comparable average</v>
      </c>
    </row>
    <row r="13" spans="1:16" x14ac:dyDescent="0.3">
      <c r="A13" s="1">
        <v>6</v>
      </c>
      <c r="B13" t="s">
        <v>16</v>
      </c>
      <c r="C13" t="s">
        <v>2499</v>
      </c>
      <c r="K13" t="str">
        <f ca="1">D89</f>
        <v>Inconclusive</v>
      </c>
    </row>
    <row r="14" spans="1:16" x14ac:dyDescent="0.3">
      <c r="A14" s="1">
        <v>7</v>
      </c>
      <c r="B14" t="s">
        <v>18</v>
      </c>
      <c r="C14" t="s">
        <v>2500</v>
      </c>
    </row>
    <row r="16" spans="1:16" x14ac:dyDescent="0.3">
      <c r="A16" s="1">
        <v>0</v>
      </c>
      <c r="B16" t="s">
        <v>20</v>
      </c>
      <c r="C16" t="s">
        <v>2501</v>
      </c>
    </row>
    <row r="17" spans="1:23" x14ac:dyDescent="0.3">
      <c r="A17" s="1">
        <v>1</v>
      </c>
      <c r="B17" t="s">
        <v>22</v>
      </c>
      <c r="C17" t="s">
        <v>2502</v>
      </c>
      <c r="K17" t="str">
        <f ca="1">K2 &amp; IF(J3=1, K3,IF(J3=2,L3,IF(J3=3,M3,IF(J3=4,N3,IF(J3=5,O3,IF(J3=6,P3)))))) &amp; ". " &amp; IF(J4=1,K4,IF(J4=2,L4)) &amp; ". " &amp; IF(J5=1,K5,IF(J5=2,L5)) &amp; K6 &amp; ". " &amp; K7 &amp; ". " &amp; K8 &amp; ". " &amp; K9 &amp; "."</f>
        <v>CIRCOR International, Inc. is going to report earnings on Jul 28, 2017. The current stock price is $56.78, up 1.18% after opening up a fraction over yesterday's closing price. The one year target estimate for CIRCOR International is $67.40 which would be an 18.70% increase over the current price. Earnings are expected to increase by 19.57% over last quarter based on the average of 6 analyst estimates (Yahoo Finance). The stock is trading near the middle of its 52 week range. Over the last 4 quarters, there have been positive earnings surprises 3 times, and a negative earnings surprise 1 time.</v>
      </c>
    </row>
    <row r="18" spans="1:23" x14ac:dyDescent="0.3">
      <c r="A18" s="1">
        <v>2</v>
      </c>
      <c r="B18" t="s">
        <v>24</v>
      </c>
      <c r="C18" t="s">
        <v>2503</v>
      </c>
    </row>
    <row r="19" spans="1:23" x14ac:dyDescent="0.3">
      <c r="A19" s="1">
        <v>3</v>
      </c>
      <c r="B19" t="s">
        <v>26</v>
      </c>
      <c r="C19" t="s">
        <v>1718</v>
      </c>
    </row>
    <row r="20" spans="1:23" x14ac:dyDescent="0.3">
      <c r="A20" s="1">
        <v>4</v>
      </c>
      <c r="B20" t="s">
        <v>28</v>
      </c>
      <c r="C20" t="s">
        <v>29</v>
      </c>
    </row>
    <row r="21" spans="1:23" x14ac:dyDescent="0.3">
      <c r="A21" s="1">
        <v>5</v>
      </c>
      <c r="B21" t="s">
        <v>30</v>
      </c>
      <c r="C21" t="s">
        <v>2504</v>
      </c>
    </row>
    <row r="22" spans="1:23" x14ac:dyDescent="0.3">
      <c r="A22" s="1">
        <v>6</v>
      </c>
      <c r="B22" t="s">
        <v>32</v>
      </c>
      <c r="C22" t="s">
        <v>1699</v>
      </c>
      <c r="J22">
        <f>IF(K22 &lt;&gt; "",1, 0)</f>
        <v>0</v>
      </c>
      <c r="K22" t="str">
        <f>IF(I145="pos_trend","Revenue","")</f>
        <v/>
      </c>
      <c r="L22" t="str">
        <f t="shared" ref="L22:L38" si="0">IF(EXACT(K22,UPPER(K22)),K22,LOWER(K22))</f>
        <v/>
      </c>
      <c r="M22" t="str">
        <f>L22</f>
        <v/>
      </c>
      <c r="T22">
        <f>IF(U22 &lt;&gt; "",1, 0)</f>
        <v>0</v>
      </c>
      <c r="U22" t="str">
        <f>IF(AND(B145 = "Interest Income",I145="pos_trend"), "Interest Income","")</f>
        <v/>
      </c>
      <c r="V22" t="str">
        <f t="shared" ref="V22:V38" si="1">IF(EXACT(U22,UPPER(U22)),U22,LOWER(U22))</f>
        <v/>
      </c>
      <c r="W22" t="str">
        <f>V22</f>
        <v/>
      </c>
    </row>
    <row r="23" spans="1:23" x14ac:dyDescent="0.3">
      <c r="A23" s="1">
        <v>7</v>
      </c>
      <c r="B23" t="s">
        <v>34</v>
      </c>
      <c r="C23" t="s">
        <v>2505</v>
      </c>
      <c r="J23">
        <f>IF(K23 &lt;&gt; "",2, 0)</f>
        <v>0</v>
      </c>
      <c r="K23" t="str">
        <f>IF(I146="pos_trend",B146,"")</f>
        <v/>
      </c>
      <c r="L23" t="str">
        <f t="shared" si="0"/>
        <v/>
      </c>
      <c r="M23" t="str">
        <f t="shared" ref="M23:M39" si="2">IF(L23&lt;&gt;"", M22 &amp; ", " &amp; L23,M22)</f>
        <v/>
      </c>
      <c r="T23">
        <f>IF(U23 &lt;&gt; "",2, 0)</f>
        <v>0</v>
      </c>
      <c r="U23" t="str">
        <f>IF(I151="pos_trend",B151,"")</f>
        <v/>
      </c>
      <c r="V23" t="str">
        <f t="shared" si="1"/>
        <v/>
      </c>
      <c r="W23" t="str">
        <f t="shared" ref="W23:W39" si="3">IF(V23&lt;&gt;"", W22 &amp; ", " &amp; V23,W22)</f>
        <v/>
      </c>
    </row>
    <row r="24" spans="1:23" x14ac:dyDescent="0.3">
      <c r="J24">
        <f>IF(K24 &lt;&gt; "",3, 0)</f>
        <v>0</v>
      </c>
      <c r="K24" t="str">
        <f>IF(I153="pos_trend",B153,"")</f>
        <v/>
      </c>
      <c r="L24" t="str">
        <f t="shared" si="0"/>
        <v/>
      </c>
      <c r="M24" t="str">
        <f t="shared" si="2"/>
        <v/>
      </c>
      <c r="T24">
        <f>IF(U24 &lt;&gt; "",3, 0)</f>
        <v>0</v>
      </c>
      <c r="U24" t="str">
        <f>IF(I161="pos_trend",B161,"")</f>
        <v/>
      </c>
      <c r="V24" t="str">
        <f t="shared" si="1"/>
        <v/>
      </c>
      <c r="W24" t="str">
        <f t="shared" si="3"/>
        <v/>
      </c>
    </row>
    <row r="25" spans="1:23" x14ac:dyDescent="0.3">
      <c r="J25">
        <f>IF(K25 &lt;&gt; "",4, 0)</f>
        <v>0</v>
      </c>
      <c r="K25" t="str">
        <f>IF(I154="pos_trend",B154,"")</f>
        <v/>
      </c>
      <c r="L25" t="str">
        <f t="shared" si="0"/>
        <v/>
      </c>
      <c r="M25" t="str">
        <f t="shared" si="2"/>
        <v/>
      </c>
      <c r="T25">
        <f>IF(U25 &lt;&gt; "",4, 0)</f>
        <v>0</v>
      </c>
      <c r="U25" t="str">
        <f>IF(I162="pos_trend",B162,"")</f>
        <v/>
      </c>
      <c r="V25" t="str">
        <f t="shared" si="1"/>
        <v/>
      </c>
      <c r="W25" t="str">
        <f t="shared" si="3"/>
        <v/>
      </c>
    </row>
    <row r="26" spans="1:23" x14ac:dyDescent="0.3">
      <c r="B26" s="1" t="s">
        <v>36</v>
      </c>
      <c r="C26" s="1" t="s">
        <v>37</v>
      </c>
      <c r="D26" s="1" t="s">
        <v>38</v>
      </c>
      <c r="E26" s="1" t="s">
        <v>39</v>
      </c>
      <c r="F26" s="1" t="s">
        <v>40</v>
      </c>
      <c r="J26">
        <f>IF(K26 &lt;&gt; "",5, 0)</f>
        <v>0</v>
      </c>
      <c r="K26" t="str">
        <f>IF(I155="pos_trend",B155,"")</f>
        <v/>
      </c>
      <c r="L26" t="str">
        <f t="shared" si="0"/>
        <v/>
      </c>
      <c r="M26" t="str">
        <f t="shared" si="2"/>
        <v/>
      </c>
      <c r="T26">
        <f>IF(U26 &lt;&gt; "",5, 0)</f>
        <v>0</v>
      </c>
      <c r="U26" t="str">
        <f>IF(I167="pos_trend",B167,"")</f>
        <v/>
      </c>
      <c r="V26" t="str">
        <f t="shared" si="1"/>
        <v/>
      </c>
      <c r="W26" t="str">
        <f t="shared" si="3"/>
        <v/>
      </c>
    </row>
    <row r="27" spans="1:23" x14ac:dyDescent="0.3">
      <c r="A27" s="1">
        <v>0</v>
      </c>
      <c r="B27" t="s">
        <v>41</v>
      </c>
      <c r="C27">
        <v>6</v>
      </c>
      <c r="D27">
        <v>6</v>
      </c>
      <c r="E27">
        <v>6</v>
      </c>
      <c r="F27">
        <v>6</v>
      </c>
      <c r="J27">
        <f>IF(K27 &lt;&gt; "",6, 0)</f>
        <v>0</v>
      </c>
      <c r="K27" t="str">
        <f>IF(I172="pos_trend",B172,"")</f>
        <v/>
      </c>
      <c r="L27" t="str">
        <f t="shared" si="0"/>
        <v/>
      </c>
      <c r="M27" t="str">
        <f t="shared" si="2"/>
        <v/>
      </c>
      <c r="T27">
        <f>IF(U27 &lt;&gt; "",6, 0)</f>
        <v>0</v>
      </c>
      <c r="U27" t="str">
        <f>IF(I170="pos_trend",B170,"")</f>
        <v/>
      </c>
      <c r="V27" t="str">
        <f t="shared" si="1"/>
        <v/>
      </c>
      <c r="W27" t="str">
        <f t="shared" si="3"/>
        <v/>
      </c>
    </row>
    <row r="28" spans="1:23" x14ac:dyDescent="0.3">
      <c r="A28" s="1">
        <v>1</v>
      </c>
      <c r="B28" t="s">
        <v>42</v>
      </c>
      <c r="C28">
        <v>0.46</v>
      </c>
      <c r="D28">
        <v>0.55000000000000004</v>
      </c>
      <c r="E28">
        <v>2.02</v>
      </c>
      <c r="F28">
        <v>2.73</v>
      </c>
      <c r="J28">
        <f>IF(K28 &lt;&gt; "",7, 0)</f>
        <v>0</v>
      </c>
      <c r="K28" t="str">
        <f>IF(I173="pos_trend",B173,"")</f>
        <v/>
      </c>
      <c r="L28" t="str">
        <f t="shared" si="0"/>
        <v/>
      </c>
      <c r="M28" t="str">
        <f t="shared" si="2"/>
        <v/>
      </c>
      <c r="T28">
        <f>IF(U28 &lt;&gt; "",7, 0)</f>
        <v>0</v>
      </c>
      <c r="U28" t="str">
        <f>IF(I171="pos_trend",B171,"")</f>
        <v/>
      </c>
      <c r="V28" t="str">
        <f t="shared" si="1"/>
        <v/>
      </c>
      <c r="W28" t="str">
        <f t="shared" si="3"/>
        <v/>
      </c>
    </row>
    <row r="29" spans="1:23" x14ac:dyDescent="0.3">
      <c r="A29" s="1">
        <v>2</v>
      </c>
      <c r="B29" t="s">
        <v>43</v>
      </c>
      <c r="C29">
        <v>0.44</v>
      </c>
      <c r="D29">
        <v>0.45</v>
      </c>
      <c r="E29">
        <v>1.77</v>
      </c>
      <c r="F29">
        <v>2.11</v>
      </c>
      <c r="J29">
        <f>IF(K29 &lt;&gt; "",8, 0)</f>
        <v>0</v>
      </c>
      <c r="K29" t="str">
        <f>IF(I174="pos_trend",B174,"")</f>
        <v/>
      </c>
      <c r="L29" t="str">
        <f t="shared" si="0"/>
        <v/>
      </c>
      <c r="M29" t="str">
        <f t="shared" si="2"/>
        <v/>
      </c>
      <c r="T29">
        <f>IF(U29 &lt;&gt; "",8, 0)</f>
        <v>0</v>
      </c>
      <c r="U29" t="str">
        <f>IF(I172="pos_trend",B172,"")</f>
        <v/>
      </c>
      <c r="V29" t="str">
        <f t="shared" si="1"/>
        <v/>
      </c>
      <c r="W29" t="str">
        <f t="shared" si="3"/>
        <v/>
      </c>
    </row>
    <row r="30" spans="1:23" x14ac:dyDescent="0.3">
      <c r="A30" s="1">
        <v>3</v>
      </c>
      <c r="B30" t="s">
        <v>44</v>
      </c>
      <c r="C30">
        <v>0.48</v>
      </c>
      <c r="D30">
        <v>0.66</v>
      </c>
      <c r="E30">
        <v>2.2000000000000002</v>
      </c>
      <c r="F30">
        <v>3.26</v>
      </c>
      <c r="J30">
        <f>IF(K30 &lt;&gt; "",9, 0)</f>
        <v>0</v>
      </c>
      <c r="K30" t="str">
        <f>IF(I185="pos_trend",B185,"")</f>
        <v/>
      </c>
      <c r="L30" t="str">
        <f t="shared" si="0"/>
        <v/>
      </c>
      <c r="M30" t="str">
        <f t="shared" si="2"/>
        <v/>
      </c>
      <c r="T30">
        <f>IF(U30 &lt;&gt; "",9, 0)</f>
        <v>0</v>
      </c>
      <c r="U30" t="str">
        <f>IF(I178="pos_trend",B178,"")</f>
        <v/>
      </c>
      <c r="V30" t="str">
        <f t="shared" si="1"/>
        <v/>
      </c>
      <c r="W30" t="str">
        <f t="shared" si="3"/>
        <v/>
      </c>
    </row>
    <row r="31" spans="1:23" x14ac:dyDescent="0.3">
      <c r="A31" s="1">
        <v>4</v>
      </c>
      <c r="B31" t="s">
        <v>45</v>
      </c>
      <c r="C31">
        <v>0.53</v>
      </c>
      <c r="D31">
        <v>0.46</v>
      </c>
      <c r="E31">
        <v>1.99</v>
      </c>
      <c r="F31">
        <v>2.02</v>
      </c>
      <c r="J31">
        <f>IF(K31 &lt;&gt; "",10, 0)</f>
        <v>0</v>
      </c>
      <c r="K31" t="str">
        <f>IF(I186="pos_trend",B186,"")</f>
        <v/>
      </c>
      <c r="L31" t="str">
        <f t="shared" si="0"/>
        <v/>
      </c>
      <c r="M31" t="str">
        <f t="shared" si="2"/>
        <v/>
      </c>
      <c r="T31">
        <f>IF(U31 &lt;&gt; "",10, 0)</f>
        <v>0</v>
      </c>
      <c r="U31" t="str">
        <f>IF(I199="pos_trend",B199,"")</f>
        <v/>
      </c>
      <c r="V31" t="str">
        <f t="shared" si="1"/>
        <v/>
      </c>
      <c r="W31" t="str">
        <f t="shared" si="3"/>
        <v/>
      </c>
    </row>
    <row r="32" spans="1:23" x14ac:dyDescent="0.3">
      <c r="J32">
        <f>IF(K32 &lt;&gt; "",11, 0)</f>
        <v>0</v>
      </c>
      <c r="K32" t="str">
        <f>IF(I187="pos_trend",B187,"")</f>
        <v/>
      </c>
      <c r="L32" t="str">
        <f t="shared" si="0"/>
        <v/>
      </c>
      <c r="M32" t="str">
        <f t="shared" si="2"/>
        <v/>
      </c>
      <c r="T32">
        <f>IF(U32 &lt;&gt; "",11, 0)</f>
        <v>0</v>
      </c>
      <c r="U32" t="str">
        <f>IF(I209="pos_trend",B209,"")</f>
        <v/>
      </c>
      <c r="V32" t="str">
        <f t="shared" si="1"/>
        <v/>
      </c>
      <c r="W32" t="str">
        <f t="shared" si="3"/>
        <v/>
      </c>
    </row>
    <row r="33" spans="1:23" x14ac:dyDescent="0.3">
      <c r="B33" s="1" t="s">
        <v>46</v>
      </c>
      <c r="C33" s="1" t="s">
        <v>37</v>
      </c>
      <c r="D33" s="1" t="s">
        <v>38</v>
      </c>
      <c r="E33" s="1" t="s">
        <v>39</v>
      </c>
      <c r="F33" s="1" t="s">
        <v>40</v>
      </c>
      <c r="J33">
        <f>IF(K33 &lt;&gt; "",12, 0)</f>
        <v>0</v>
      </c>
      <c r="K33" t="str">
        <f>IF(I195="pos_trend",B195,"")</f>
        <v/>
      </c>
      <c r="L33" t="str">
        <f t="shared" si="0"/>
        <v/>
      </c>
      <c r="M33" t="str">
        <f t="shared" si="2"/>
        <v/>
      </c>
      <c r="T33">
        <f>IF(U33 &lt;&gt; "",12, 0)</f>
        <v>0</v>
      </c>
      <c r="U33" t="str">
        <f>IF(I231="pos_trend",B231,"")</f>
        <v/>
      </c>
      <c r="V33" t="str">
        <f t="shared" si="1"/>
        <v/>
      </c>
      <c r="W33" t="str">
        <f t="shared" si="3"/>
        <v/>
      </c>
    </row>
    <row r="34" spans="1:23" x14ac:dyDescent="0.3">
      <c r="A34" s="1">
        <v>0</v>
      </c>
      <c r="B34" t="s">
        <v>41</v>
      </c>
      <c r="C34" t="s">
        <v>2506</v>
      </c>
      <c r="D34" t="s">
        <v>2506</v>
      </c>
      <c r="E34" t="s">
        <v>2506</v>
      </c>
      <c r="F34" t="s">
        <v>2506</v>
      </c>
      <c r="J34">
        <f>IF(K34 &lt;&gt; "",13, 0)</f>
        <v>0</v>
      </c>
      <c r="K34" t="str">
        <f>IF(I196="pos_trend",B196,"")</f>
        <v/>
      </c>
      <c r="L34" t="str">
        <f t="shared" si="0"/>
        <v/>
      </c>
      <c r="M34" t="str">
        <f t="shared" si="2"/>
        <v/>
      </c>
      <c r="T34">
        <f>IF(U34 &lt;&gt; "",13, 0)</f>
        <v>0</v>
      </c>
      <c r="U34" t="str">
        <f>IF(I251="pos_trend",B251,"")</f>
        <v/>
      </c>
      <c r="V34" t="str">
        <f t="shared" si="1"/>
        <v/>
      </c>
      <c r="W34" t="str">
        <f t="shared" si="3"/>
        <v/>
      </c>
    </row>
    <row r="35" spans="1:23" x14ac:dyDescent="0.3">
      <c r="A35" s="1">
        <v>1</v>
      </c>
      <c r="B35" t="s">
        <v>42</v>
      </c>
      <c r="C35" t="s">
        <v>2507</v>
      </c>
      <c r="D35" t="s">
        <v>2508</v>
      </c>
      <c r="E35" t="s">
        <v>2509</v>
      </c>
      <c r="F35" t="s">
        <v>2510</v>
      </c>
      <c r="J35">
        <f>IF(K35 &lt;&gt; "",14, 0)</f>
        <v>0</v>
      </c>
      <c r="K35" t="str">
        <f>IF(I201="pos_trend",B201,"")</f>
        <v/>
      </c>
      <c r="L35" t="str">
        <f t="shared" si="0"/>
        <v/>
      </c>
      <c r="M35" t="str">
        <f t="shared" si="2"/>
        <v/>
      </c>
      <c r="T35">
        <f>IF(U35 &lt;&gt; "",14, 0)</f>
        <v>0</v>
      </c>
      <c r="U35" t="str">
        <f>IF(I279="pos_trend",B279,"")</f>
        <v/>
      </c>
      <c r="V35" t="str">
        <f t="shared" si="1"/>
        <v/>
      </c>
      <c r="W35" t="str">
        <f t="shared" si="3"/>
        <v/>
      </c>
    </row>
    <row r="36" spans="1:23" x14ac:dyDescent="0.3">
      <c r="A36" s="1">
        <v>2</v>
      </c>
      <c r="B36" t="s">
        <v>43</v>
      </c>
      <c r="C36" t="s">
        <v>2511</v>
      </c>
      <c r="D36" t="s">
        <v>2512</v>
      </c>
      <c r="E36" t="s">
        <v>2513</v>
      </c>
      <c r="F36" t="s">
        <v>2514</v>
      </c>
      <c r="J36">
        <f>IF(K36 &lt;&gt; "",15, 0)</f>
        <v>0</v>
      </c>
      <c r="K36" t="str">
        <f>IF(I202="pos_trend",B202,"")</f>
        <v/>
      </c>
      <c r="L36" t="str">
        <f t="shared" si="0"/>
        <v/>
      </c>
      <c r="M36" t="str">
        <f t="shared" si="2"/>
        <v/>
      </c>
      <c r="T36">
        <f>IF(U36 &lt;&gt; "",15, 0)</f>
        <v>0</v>
      </c>
      <c r="U36" t="str">
        <f>IF(I336="pos_trend",B336,"")</f>
        <v/>
      </c>
      <c r="V36" t="str">
        <f t="shared" si="1"/>
        <v/>
      </c>
      <c r="W36" t="str">
        <f t="shared" si="3"/>
        <v/>
      </c>
    </row>
    <row r="37" spans="1:23" x14ac:dyDescent="0.3">
      <c r="A37" s="1">
        <v>3</v>
      </c>
      <c r="B37" t="s">
        <v>44</v>
      </c>
      <c r="C37" t="s">
        <v>2515</v>
      </c>
      <c r="D37" t="s">
        <v>2516</v>
      </c>
      <c r="E37" t="s">
        <v>2517</v>
      </c>
      <c r="F37" t="s">
        <v>2518</v>
      </c>
      <c r="J37">
        <f>IF(K37 &lt;&gt; "",16, 0)</f>
        <v>0</v>
      </c>
      <c r="K37" t="str">
        <f>IF(I203="pos_trend",B203,"")</f>
        <v/>
      </c>
      <c r="L37" t="str">
        <f t="shared" si="0"/>
        <v/>
      </c>
      <c r="M37" t="str">
        <f t="shared" si="2"/>
        <v/>
      </c>
      <c r="T37">
        <f>IF(U37 &lt;&gt; "",16, 0)</f>
        <v>0</v>
      </c>
      <c r="U37" t="str">
        <f>IF(I235="pos_trend",B235,"")</f>
        <v/>
      </c>
      <c r="V37" t="str">
        <f t="shared" si="1"/>
        <v/>
      </c>
      <c r="W37" t="str">
        <f t="shared" si="3"/>
        <v/>
      </c>
    </row>
    <row r="38" spans="1:23" x14ac:dyDescent="0.3">
      <c r="A38" s="1">
        <v>4</v>
      </c>
      <c r="B38" t="s">
        <v>61</v>
      </c>
      <c r="C38" t="s">
        <v>2519</v>
      </c>
      <c r="D38" t="s">
        <v>2520</v>
      </c>
      <c r="E38" t="s">
        <v>2521</v>
      </c>
      <c r="F38" t="s">
        <v>2509</v>
      </c>
      <c r="J38">
        <f>IF(K38 &lt;&gt; "",17, 0)</f>
        <v>0</v>
      </c>
      <c r="K38" t="str">
        <f>IF(I351="pos_trend",B351,"")</f>
        <v/>
      </c>
      <c r="L38" t="str">
        <f t="shared" si="0"/>
        <v/>
      </c>
      <c r="M38" t="str">
        <f t="shared" si="2"/>
        <v/>
      </c>
      <c r="T38">
        <f>IF(U38 &lt;&gt; "",17, 0)</f>
        <v>0</v>
      </c>
      <c r="U38" t="str">
        <f>IF(I236="pos_trend",B236,"")</f>
        <v/>
      </c>
      <c r="V38" t="str">
        <f t="shared" si="1"/>
        <v/>
      </c>
      <c r="W38" t="str">
        <f t="shared" si="3"/>
        <v/>
      </c>
    </row>
    <row r="39" spans="1:23" x14ac:dyDescent="0.3">
      <c r="A39" s="1">
        <v>5</v>
      </c>
      <c r="B39" t="s">
        <v>65</v>
      </c>
      <c r="C39" t="s">
        <v>2522</v>
      </c>
      <c r="D39" t="s">
        <v>2523</v>
      </c>
      <c r="E39" t="s">
        <v>2524</v>
      </c>
      <c r="F39" t="s">
        <v>91</v>
      </c>
      <c r="K39" t="str">
        <f>IF(I352="pos_trend",B352,"")</f>
        <v/>
      </c>
      <c r="M39" t="str">
        <f t="shared" si="2"/>
        <v/>
      </c>
      <c r="W39" t="str">
        <f t="shared" si="3"/>
        <v/>
      </c>
    </row>
    <row r="40" spans="1:23" x14ac:dyDescent="0.3">
      <c r="J40">
        <f>MAX(J22:J39)</f>
        <v>0</v>
      </c>
      <c r="K40" t="str">
        <f>VLOOKUP(J40,J22:K39,2,FALSE)</f>
        <v/>
      </c>
      <c r="M40" t="str">
        <f>IF(IFERROR(FIND(",",M39),TRUE)=TRUE,M39,IF(NOT(EXACT(K40,UPPER(K40))),SUBSTITUTE(M39,LOWER(K40),"and "&amp;LOWER(K40)),SUBSTITUTE(M39,K40,"and "&amp;K40)))</f>
        <v/>
      </c>
      <c r="T40">
        <f>MAX(T22:T39)</f>
        <v>0</v>
      </c>
      <c r="U40" t="str">
        <f>VLOOKUP(T40,T22:U39,2,FALSE)</f>
        <v/>
      </c>
      <c r="W40" t="str">
        <f>IF(IFERROR(FIND(",",W39),TRUE)=TRUE,W39,IF(NOT(EXACT(U40,UPPER(U40))),SUBSTITUTE(W39,LOWER(U40),"and "&amp;LOWER(U40)),SUBSTITUTE(W39,U40,"and "&amp;U40)))</f>
        <v/>
      </c>
    </row>
    <row r="41" spans="1:23" x14ac:dyDescent="0.3">
      <c r="B41" s="1" t="s">
        <v>70</v>
      </c>
      <c r="C41" s="1" t="s">
        <v>71</v>
      </c>
      <c r="D41" s="1" t="s">
        <v>72</v>
      </c>
      <c r="E41" s="1" t="s">
        <v>73</v>
      </c>
      <c r="F41" s="1" t="s">
        <v>74</v>
      </c>
    </row>
    <row r="42" spans="1:23" x14ac:dyDescent="0.3">
      <c r="A42" s="1">
        <v>0</v>
      </c>
      <c r="B42" t="s">
        <v>75</v>
      </c>
      <c r="C42" t="s">
        <v>77</v>
      </c>
      <c r="D42" t="s">
        <v>1024</v>
      </c>
      <c r="E42" t="s">
        <v>2525</v>
      </c>
      <c r="F42" t="s">
        <v>1676</v>
      </c>
      <c r="K42" t="str">
        <f>SUBSTITUTE(IF(M40&lt;&gt;"", D1 &amp; " has managed to increase " &amp; M40 &amp; " each year since " &amp; C144, "No positive trends")," , "," ")</f>
        <v>No positive trends</v>
      </c>
      <c r="U42" t="str">
        <f>SUBSTITUTE(IF(W40&lt;&gt;"", D1 &amp; " has managed to increase " &amp; W40 &amp; " each year since " &amp; C144, "No positive trends")," , "," ")</f>
        <v>No positive trends</v>
      </c>
    </row>
    <row r="43" spans="1:23" x14ac:dyDescent="0.3">
      <c r="A43" s="1">
        <v>1</v>
      </c>
      <c r="B43" t="s">
        <v>80</v>
      </c>
      <c r="C43" t="s">
        <v>2422</v>
      </c>
      <c r="D43" t="s">
        <v>77</v>
      </c>
      <c r="E43" t="s">
        <v>1029</v>
      </c>
      <c r="F43" t="s">
        <v>1080</v>
      </c>
    </row>
    <row r="44" spans="1:23" x14ac:dyDescent="0.3">
      <c r="A44" s="1">
        <v>2</v>
      </c>
      <c r="B44" t="s">
        <v>84</v>
      </c>
      <c r="C44" t="s">
        <v>2526</v>
      </c>
      <c r="D44" t="s">
        <v>85</v>
      </c>
      <c r="E44" t="s">
        <v>2526</v>
      </c>
      <c r="F44" t="s">
        <v>2527</v>
      </c>
    </row>
    <row r="45" spans="1:23" x14ac:dyDescent="0.3">
      <c r="A45" s="1">
        <v>3</v>
      </c>
      <c r="B45" t="s">
        <v>89</v>
      </c>
      <c r="C45" t="s">
        <v>2528</v>
      </c>
      <c r="D45" t="s">
        <v>2529</v>
      </c>
      <c r="E45" t="s">
        <v>2530</v>
      </c>
      <c r="F45" t="s">
        <v>2531</v>
      </c>
    </row>
    <row r="47" spans="1:23" x14ac:dyDescent="0.3">
      <c r="B47" s="1" t="s">
        <v>94</v>
      </c>
      <c r="C47" s="1" t="s">
        <v>37</v>
      </c>
      <c r="D47" s="1" t="s">
        <v>38</v>
      </c>
      <c r="E47" s="1" t="s">
        <v>39</v>
      </c>
      <c r="F47" s="1" t="s">
        <v>40</v>
      </c>
    </row>
    <row r="48" spans="1:23" x14ac:dyDescent="0.3">
      <c r="A48" s="1">
        <v>0</v>
      </c>
      <c r="B48" t="s">
        <v>95</v>
      </c>
      <c r="C48">
        <v>0.46</v>
      </c>
      <c r="D48">
        <v>0.55000000000000004</v>
      </c>
      <c r="E48">
        <v>2.02</v>
      </c>
      <c r="F48">
        <v>2.73</v>
      </c>
    </row>
    <row r="49" spans="1:14" x14ac:dyDescent="0.3">
      <c r="A49" s="1">
        <v>1</v>
      </c>
      <c r="B49" t="s">
        <v>96</v>
      </c>
      <c r="C49">
        <v>0.46</v>
      </c>
      <c r="D49">
        <v>0.55000000000000004</v>
      </c>
      <c r="E49">
        <v>2.02</v>
      </c>
      <c r="F49">
        <v>2.73</v>
      </c>
    </row>
    <row r="50" spans="1:14" x14ac:dyDescent="0.3">
      <c r="A50" s="1">
        <v>2</v>
      </c>
      <c r="B50" t="s">
        <v>97</v>
      </c>
      <c r="C50">
        <v>0.46</v>
      </c>
      <c r="D50">
        <v>0.56999999999999995</v>
      </c>
      <c r="E50">
        <v>2.08</v>
      </c>
      <c r="F50">
        <v>2.8</v>
      </c>
    </row>
    <row r="51" spans="1:14" x14ac:dyDescent="0.3">
      <c r="A51" s="1">
        <v>3</v>
      </c>
      <c r="B51" t="s">
        <v>98</v>
      </c>
      <c r="C51">
        <v>0.46</v>
      </c>
      <c r="D51">
        <v>0.57999999999999996</v>
      </c>
      <c r="E51">
        <v>2.0499999999999998</v>
      </c>
      <c r="F51">
        <v>2.82</v>
      </c>
    </row>
    <row r="52" spans="1:14" x14ac:dyDescent="0.3">
      <c r="A52" s="1">
        <v>4</v>
      </c>
      <c r="B52" t="s">
        <v>99</v>
      </c>
      <c r="C52">
        <v>0.52</v>
      </c>
      <c r="D52">
        <v>0.62</v>
      </c>
      <c r="E52">
        <v>2.21</v>
      </c>
      <c r="F52">
        <v>2.86</v>
      </c>
    </row>
    <row r="54" spans="1:14" x14ac:dyDescent="0.3">
      <c r="B54" s="1" t="s">
        <v>100</v>
      </c>
      <c r="C54" s="1" t="s">
        <v>37</v>
      </c>
      <c r="D54" s="1" t="s">
        <v>38</v>
      </c>
      <c r="E54" s="1" t="s">
        <v>39</v>
      </c>
      <c r="F54" s="1" t="s">
        <v>40</v>
      </c>
    </row>
    <row r="55" spans="1:14" x14ac:dyDescent="0.3">
      <c r="A55" s="1">
        <v>0</v>
      </c>
      <c r="B55" t="s">
        <v>101</v>
      </c>
      <c r="E55">
        <v>1</v>
      </c>
    </row>
    <row r="56" spans="1:14" x14ac:dyDescent="0.3">
      <c r="A56" s="1">
        <v>1</v>
      </c>
      <c r="B56" t="s">
        <v>102</v>
      </c>
      <c r="E56">
        <v>1</v>
      </c>
    </row>
    <row r="57" spans="1:14" x14ac:dyDescent="0.3">
      <c r="A57" s="1">
        <v>2</v>
      </c>
      <c r="B57" t="s">
        <v>103</v>
      </c>
      <c r="F57">
        <v>1</v>
      </c>
    </row>
    <row r="58" spans="1:14" x14ac:dyDescent="0.3">
      <c r="A58" s="1">
        <v>3</v>
      </c>
      <c r="B58" t="s">
        <v>104</v>
      </c>
    </row>
    <row r="60" spans="1:14" x14ac:dyDescent="0.3">
      <c r="B60" s="1" t="s">
        <v>105</v>
      </c>
      <c r="C60" s="1" t="s">
        <v>2532</v>
      </c>
      <c r="D60" s="1" t="s">
        <v>107</v>
      </c>
      <c r="E60" s="1" t="s">
        <v>108</v>
      </c>
      <c r="F60" s="1" t="s">
        <v>109</v>
      </c>
      <c r="I60" t="str">
        <f t="shared" ref="I60:I91" si="4">IF(AND(K60&gt; J60, L60&gt; K60, M60&gt; L60, N60&gt; M60), "pos_trend", IF(AND(K60&lt; J60, L60&lt; K60, M60&lt; L60, N60&lt; M60), "neg_trend", "N/A"))</f>
        <v>N/A</v>
      </c>
      <c r="J60" t="str">
        <f t="shared" ref="J60:J91" si="5">IFERROR(IF(TRIM(C60)="-", "N/A", IF(RIGHT(C60,1)=")",IF(RIGHT(C60,2)="T)",-1000000000000*VALUE(MID(C60,2,LEN(C60)-3)),IF(RIGHT(C60,2)="M)",-1000000*VALUE(MID(C60,2,LEN(C60)-3)),IF(RIGHT(C60,2)="B)",-1000000000*VALUE(MID(C60,2,LEN(C60)-3)),IF(RIGHT(C60,2)="k)",-1000*VALUE(MID(C60,2,LEN(C60)-3)),VALUE(SUBSTITUTE(C60,",","")))))),IF(RIGHT(C60,1)="T",1000000000000*VALUE(LEFT(C60,LEN(C60)-1)),IF(RIGHT(C60,1)="M",1000000*VALUE(LEFT(C60,LEN(C60)-1)),IF(RIGHT(C60,1)="B",1000000000*VALUE(LEFT(C60,LEN(C60)-1)),IF(RIGHT(C60,1)="%",0.01*VALUE(LEFT(C60,LEN(C60)-1)),IF(RIGHT(C60,1)="k",1000*VALUE(LEFT(C60,LEN(C60)-1)),VALUE(SUBSTITUTE(C60,",",""))))))))),"N/A")</f>
        <v>N/A</v>
      </c>
      <c r="K60" t="str">
        <f t="shared" ref="K60:K91" si="6">IFERROR(IF(TRIM(D60)="-", "N/A", IF(RIGHT(D60,1)=")",IF(RIGHT(D60,2)="T)",-1000000000000*VALUE(MID(D60,2,LEN(D60)-3)),IF(RIGHT(D60,2)="M)",-1000000*VALUE(MID(D60,2,LEN(D60)-3)),IF(RIGHT(D60,2)="B)",-1000000000*VALUE(MID(D60,2,LEN(D60)-3)),IF(RIGHT(D60,2)="k)",-1000*VALUE(MID(D60,2,LEN(D60)-3)),VALUE(SUBSTITUTE(D60,",","")))))),IF(RIGHT(D60,1)="T",1000000000000*VALUE(LEFT(D60,LEN(D60)-1)),IF(RIGHT(D60,1)="M",1000000*VALUE(LEFT(D60,LEN(D60)-1)),IF(RIGHT(D60,1)="B",1000000000*VALUE(LEFT(D60,LEN(D60)-1)),IF(RIGHT(D60,1)="%",0.01*VALUE(LEFT(D60,LEN(D60)-1)),IF(RIGHT(D60,1)="k",1000*VALUE(LEFT(D60,LEN(D60)-1)),VALUE(SUBSTITUTE(D60,",",""))))))))),"N/A")</f>
        <v>N/A</v>
      </c>
      <c r="L60" t="str">
        <f t="shared" ref="L60:L91" si="7">IFERROR(IF(TRIM(E60)="-", "N/A", IF(RIGHT(E60,1)=")",IF(RIGHT(E60,2)="T)",-1000000000000*VALUE(MID(E60,2,LEN(E60)-3)),IF(RIGHT(E60,2)="M)",-1000000*VALUE(MID(E60,2,LEN(E60)-3)),IF(RIGHT(E60,2)="B)",-1000000000*VALUE(MID(E60,2,LEN(E60)-3)),IF(RIGHT(E60,2)="k)",-1000*VALUE(MID(E60,2,LEN(E60)-3)),VALUE(SUBSTITUTE(E60,",","")))))),IF(RIGHT(E60,1)="T",1000000000000*VALUE(LEFT(E60,LEN(E60)-1)),IF(RIGHT(E60,1)="M",1000000*VALUE(LEFT(E60,LEN(E60)-1)),IF(RIGHT(E60,1)="B",1000000000*VALUE(LEFT(E60,LEN(E60)-1)),IF(RIGHT(E60,1)="%",0.01*VALUE(LEFT(E60,LEN(E60)-1)),IF(RIGHT(E60,1)="k",1000*VALUE(LEFT(E60,LEN(E60)-1)),VALUE(SUBSTITUTE(E60,",",""))))))))),"N/A")</f>
        <v>N/A</v>
      </c>
      <c r="M60" t="str">
        <f t="shared" ref="M60:M91" si="8">IFERROR(IF(TRIM(F60)="-", "N/A", IF(RIGHT(F60,1)=")",IF(RIGHT(F60,2)="T)",-1000000000000*VALUE(MID(F60,2,LEN(F60)-3)),IF(RIGHT(F60,2)="M)",-1000000*VALUE(MID(F60,2,LEN(F60)-3)),IF(RIGHT(F60,2)="B)",-1000000000*VALUE(MID(F60,2,LEN(F60)-3)),IF(RIGHT(F60,2)="k)",-1000*VALUE(MID(F60,2,LEN(F60)-3)),VALUE(SUBSTITUTE(F60,",","")))))),IF(RIGHT(F60,1)="T",1000000000000*VALUE(LEFT(F60,LEN(F60)-1)),IF(RIGHT(F60,1)="M",1000000*VALUE(LEFT(F60,LEN(F60)-1)),IF(RIGHT(F60,1)="B",1000000000*VALUE(LEFT(F60,LEN(F60)-1)),IF(RIGHT(F60,1)="%",0.01*VALUE(LEFT(F60,LEN(F60)-1)),IF(RIGHT(F60,1)="k",1000*VALUE(LEFT(F60,LEN(F60)-1)),VALUE(SUBSTITUTE(F60,",",""))))))))),"N/A")</f>
        <v>N/A</v>
      </c>
      <c r="N60" t="str">
        <f t="shared" ref="N60:N91" si="9">IFERROR(IF(TRIM(G60)="-", "N/A", IF(RIGHT(G60,1)=")",IF(RIGHT(G60,2)="T)",-1000000000000*VALUE(MID(G60,2,LEN(G60)-3)),IF(RIGHT(G60,2)="M)",-1000000*VALUE(MID(G60,2,LEN(G60)-3)),IF(RIGHT(G60,2)="B)",-1000000000*VALUE(MID(G60,2,LEN(G60)-3)),IF(RIGHT(G60,2)="k)",-1000*VALUE(MID(G60,2,LEN(G60)-3)),VALUE(SUBSTITUTE(G60,",","")))))),IF(RIGHT(G60,1)="T",1000000000000*VALUE(LEFT(G60,LEN(G60)-1)),IF(RIGHT(G60,1)="M",1000000*VALUE(LEFT(G60,LEN(G60)-1)),IF(RIGHT(G60,1)="B",1000000000*VALUE(LEFT(G60,LEN(G60)-1)),IF(RIGHT(G60,1)="%",0.01*VALUE(LEFT(G60,LEN(G60)-1)),IF(RIGHT(G60,1)="k",1000*VALUE(LEFT(G60,LEN(G60)-1)),VALUE(SUBSTITUTE(G60,",",""))))))))),"N/A")</f>
        <v>N/A</v>
      </c>
    </row>
    <row r="61" spans="1:14" x14ac:dyDescent="0.3">
      <c r="A61" s="1">
        <v>0</v>
      </c>
      <c r="B61" t="s">
        <v>110</v>
      </c>
      <c r="C61" t="s">
        <v>2533</v>
      </c>
      <c r="F61">
        <v>0.18</v>
      </c>
      <c r="I61" t="str">
        <f t="shared" si="4"/>
        <v>N/A</v>
      </c>
      <c r="J61">
        <f t="shared" si="5"/>
        <v>-0.13200000000000001</v>
      </c>
      <c r="K61" t="str">
        <f t="shared" si="6"/>
        <v>N/A</v>
      </c>
      <c r="L61" t="str">
        <f t="shared" si="7"/>
        <v>N/A</v>
      </c>
      <c r="M61">
        <f t="shared" si="8"/>
        <v>0.18</v>
      </c>
      <c r="N61" t="str">
        <f t="shared" si="9"/>
        <v>N/A</v>
      </c>
    </row>
    <row r="62" spans="1:14" x14ac:dyDescent="0.3">
      <c r="A62" s="1">
        <v>1</v>
      </c>
      <c r="B62" t="s">
        <v>112</v>
      </c>
      <c r="C62" t="s">
        <v>2534</v>
      </c>
      <c r="F62">
        <v>0.24</v>
      </c>
      <c r="I62" t="str">
        <f t="shared" si="4"/>
        <v>N/A</v>
      </c>
      <c r="J62">
        <f t="shared" si="5"/>
        <v>0.19600000000000001</v>
      </c>
      <c r="K62" t="str">
        <f t="shared" si="6"/>
        <v>N/A</v>
      </c>
      <c r="L62" t="str">
        <f t="shared" si="7"/>
        <v>N/A</v>
      </c>
      <c r="M62">
        <f t="shared" si="8"/>
        <v>0.24</v>
      </c>
      <c r="N62" t="str">
        <f t="shared" si="9"/>
        <v>N/A</v>
      </c>
    </row>
    <row r="63" spans="1:14" x14ac:dyDescent="0.3">
      <c r="A63" s="1">
        <v>2</v>
      </c>
      <c r="B63" t="s">
        <v>114</v>
      </c>
      <c r="C63" t="s">
        <v>2535</v>
      </c>
      <c r="F63">
        <v>0.08</v>
      </c>
      <c r="I63" t="str">
        <f t="shared" si="4"/>
        <v>N/A</v>
      </c>
      <c r="J63">
        <f t="shared" si="5"/>
        <v>1.4999999999999999E-2</v>
      </c>
      <c r="K63" t="str">
        <f t="shared" si="6"/>
        <v>N/A</v>
      </c>
      <c r="L63" t="str">
        <f t="shared" si="7"/>
        <v>N/A</v>
      </c>
      <c r="M63">
        <f t="shared" si="8"/>
        <v>0.08</v>
      </c>
      <c r="N63" t="str">
        <f t="shared" si="9"/>
        <v>N/A</v>
      </c>
    </row>
    <row r="64" spans="1:14" x14ac:dyDescent="0.3">
      <c r="A64" s="1">
        <v>3</v>
      </c>
      <c r="B64" t="s">
        <v>116</v>
      </c>
      <c r="C64" t="s">
        <v>2536</v>
      </c>
      <c r="F64">
        <v>0.12</v>
      </c>
      <c r="I64" t="str">
        <f t="shared" si="4"/>
        <v>N/A</v>
      </c>
      <c r="J64">
        <f t="shared" si="5"/>
        <v>0.35100000000000003</v>
      </c>
      <c r="K64" t="str">
        <f t="shared" si="6"/>
        <v>N/A</v>
      </c>
      <c r="L64" t="str">
        <f t="shared" si="7"/>
        <v>N/A</v>
      </c>
      <c r="M64">
        <f t="shared" si="8"/>
        <v>0.12</v>
      </c>
      <c r="N64" t="str">
        <f t="shared" si="9"/>
        <v>N/A</v>
      </c>
    </row>
    <row r="65" spans="1:14" x14ac:dyDescent="0.3">
      <c r="A65" s="1">
        <v>4</v>
      </c>
      <c r="B65" t="s">
        <v>118</v>
      </c>
      <c r="C65" t="s">
        <v>2537</v>
      </c>
      <c r="F65">
        <v>0.1</v>
      </c>
      <c r="I65" t="str">
        <f t="shared" si="4"/>
        <v>N/A</v>
      </c>
      <c r="J65">
        <f t="shared" si="5"/>
        <v>6.0700000000000004E-2</v>
      </c>
      <c r="K65" t="str">
        <f t="shared" si="6"/>
        <v>N/A</v>
      </c>
      <c r="L65" t="str">
        <f t="shared" si="7"/>
        <v>N/A</v>
      </c>
      <c r="M65">
        <f t="shared" si="8"/>
        <v>0.1</v>
      </c>
      <c r="N65" t="str">
        <f t="shared" si="9"/>
        <v>N/A</v>
      </c>
    </row>
    <row r="66" spans="1:14" x14ac:dyDescent="0.3">
      <c r="A66" s="1">
        <v>5</v>
      </c>
      <c r="B66" t="s">
        <v>120</v>
      </c>
      <c r="C66" t="s">
        <v>2538</v>
      </c>
      <c r="I66" t="str">
        <f t="shared" si="4"/>
        <v>N/A</v>
      </c>
      <c r="J66">
        <f t="shared" si="5"/>
        <v>-8.6699999999999999E-2</v>
      </c>
      <c r="K66" t="str">
        <f t="shared" si="6"/>
        <v>N/A</v>
      </c>
      <c r="L66" t="str">
        <f t="shared" si="7"/>
        <v>N/A</v>
      </c>
      <c r="M66" t="str">
        <f t="shared" si="8"/>
        <v>N/A</v>
      </c>
      <c r="N66" t="str">
        <f t="shared" si="9"/>
        <v>N/A</v>
      </c>
    </row>
    <row r="67" spans="1:14" x14ac:dyDescent="0.3">
      <c r="D67" t="s">
        <v>122</v>
      </c>
      <c r="E67" t="str">
        <f>C1</f>
        <v>CIRCOR International, Inc. (CIR)</v>
      </c>
      <c r="I67" t="str">
        <f t="shared" si="4"/>
        <v>N/A</v>
      </c>
      <c r="J67" t="str">
        <f t="shared" si="5"/>
        <v>N/A</v>
      </c>
      <c r="K67" t="str">
        <f t="shared" si="6"/>
        <v>N/A</v>
      </c>
      <c r="L67" t="str">
        <f t="shared" si="7"/>
        <v>N/A</v>
      </c>
      <c r="M67" t="str">
        <f t="shared" si="8"/>
        <v>N/A</v>
      </c>
      <c r="N67" t="str">
        <f t="shared" si="9"/>
        <v>N/A</v>
      </c>
    </row>
    <row r="68" spans="1:14" x14ac:dyDescent="0.3">
      <c r="A68" s="1">
        <v>0</v>
      </c>
      <c r="B68" t="s">
        <v>123</v>
      </c>
      <c r="C68" t="s">
        <v>2501</v>
      </c>
      <c r="D68">
        <f ca="1">IFERROR(AVERAGE(VALUE(INDIRECT("J"&amp;(MATCH(B68,B69:B500,0)+68))),VALUE(INDIRECT("J"&amp;(MATCH(B68,B69:B500,0)+79))),VALUE(INDIRECT("J"&amp;(MATCH(B68,B69:B500,0)+90))),VALUE(INDIRECT("J"&amp;(MATCH(B68,B69:B500,0)+101)))),"")</f>
        <v>589772500</v>
      </c>
      <c r="E68" t="str">
        <f t="shared" ref="E68:E76" ca="1" si="10">IFERROR(IF(AND(C68&lt;&gt;"",D68&lt;&gt;0),IF(VALUE(J68)&gt;VALUE(K68),"above average","below average"),"no data"),"no data")</f>
        <v>above average</v>
      </c>
      <c r="I68" t="str">
        <f t="shared" ca="1" si="4"/>
        <v>N/A</v>
      </c>
      <c r="J68">
        <f t="shared" si="5"/>
        <v>936530000</v>
      </c>
      <c r="K68">
        <f t="shared" ca="1" si="6"/>
        <v>589772500</v>
      </c>
      <c r="L68" t="str">
        <f t="shared" ca="1" si="7"/>
        <v>N/A</v>
      </c>
      <c r="M68" t="str">
        <f t="shared" si="8"/>
        <v>N/A</v>
      </c>
      <c r="N68" t="str">
        <f t="shared" si="9"/>
        <v>N/A</v>
      </c>
    </row>
    <row r="69" spans="1:14" x14ac:dyDescent="0.3">
      <c r="A69" s="1">
        <v>1</v>
      </c>
      <c r="B69" t="s">
        <v>124</v>
      </c>
      <c r="D69" t="str">
        <f ca="1">IFERROR(AVERAGE(VALUE(INDIRECT("J"&amp;(MATCH(B69,B70:B501,0)+69))),VALUE(INDIRECT("J"&amp;(MATCH(B69,B70:B501,0)+80))),VALUE(INDIRECT("J"&amp;(MATCH(B69,B70:B501,0)+91))),VALUE(INDIRECT("J"&amp;(MATCH(B69,B70:B501,0)+102)))),"")</f>
        <v/>
      </c>
      <c r="E69" t="str">
        <f t="shared" ca="1" si="10"/>
        <v>no data</v>
      </c>
      <c r="I69" t="str">
        <f t="shared" ca="1" si="4"/>
        <v>N/A</v>
      </c>
      <c r="J69" t="str">
        <f t="shared" si="5"/>
        <v>N/A</v>
      </c>
      <c r="K69" t="str">
        <f t="shared" ca="1" si="6"/>
        <v>N/A</v>
      </c>
      <c r="L69" t="str">
        <f t="shared" ca="1" si="7"/>
        <v>N/A</v>
      </c>
      <c r="M69" t="str">
        <f t="shared" si="8"/>
        <v>N/A</v>
      </c>
      <c r="N69" t="str">
        <f t="shared" si="9"/>
        <v>N/A</v>
      </c>
    </row>
    <row r="70" spans="1:14" x14ac:dyDescent="0.3">
      <c r="A70" s="1">
        <v>2</v>
      </c>
      <c r="B70" t="s">
        <v>125</v>
      </c>
      <c r="C70" t="s">
        <v>2503</v>
      </c>
      <c r="D70">
        <f ca="1">IFERROR(AVERAGE(VALUE(INDIRECT("J"&amp;(MATCH(B70,B71:B502,0)+70))),VALUE(INDIRECT("J"&amp;(MATCH(B70,B71:B502,0)+81))),VALUE(INDIRECT("J"&amp;(MATCH(B70,B71:B502,0)+92))),VALUE(INDIRECT("J"&amp;(MATCH(B70,B71:B502,0)+103)))),"")</f>
        <v>19.5</v>
      </c>
      <c r="E70" t="str">
        <f t="shared" ca="1" si="10"/>
        <v>above average</v>
      </c>
      <c r="F70" t="str">
        <f t="shared" ref="F70:F76" ca="1" si="11">IF(E70="above average",LOWER(TRIM(IF(ISNUMBER(VALUE(RIGHT(B70,1))),REPLACE(B70,LEN(B70),1,""),B70))),"")</f>
        <v>trailing p/e</v>
      </c>
      <c r="G70" t="str">
        <f ca="1">IFERROR(LEFT(F70,FIND("(",F70) - 2),F70)</f>
        <v>trailing p/e</v>
      </c>
      <c r="I70" t="str">
        <f t="shared" ca="1" si="4"/>
        <v>N/A</v>
      </c>
      <c r="J70">
        <f t="shared" si="5"/>
        <v>84.87</v>
      </c>
      <c r="K70">
        <f t="shared" ca="1" si="6"/>
        <v>19.5</v>
      </c>
      <c r="L70" t="str">
        <f t="shared" ca="1" si="7"/>
        <v>N/A</v>
      </c>
      <c r="M70" t="str">
        <f t="shared" ca="1" si="8"/>
        <v>N/A</v>
      </c>
      <c r="N70" t="str">
        <f t="shared" ca="1" si="9"/>
        <v>N/A</v>
      </c>
    </row>
    <row r="71" spans="1:14" x14ac:dyDescent="0.3">
      <c r="A71" s="1">
        <v>3</v>
      </c>
      <c r="B71" t="s">
        <v>126</v>
      </c>
      <c r="C71" t="s">
        <v>2539</v>
      </c>
      <c r="D71" t="str">
        <f ca="1">IFERROR(AVERAGE(VALUE(INDIRECT("J"&amp;(MATCH(B71,B72:B503,0)+71))),VALUE(INDIRECT("J"&amp;(MATCH(B71,B72:B503,0)+82))),VALUE(INDIRECT("J"&amp;(MATCH(B71,B72:B503,0)+93))),VALUE(INDIRECT("J"&amp;(MATCH(B71,B72:B503,0)+104)))),"")</f>
        <v/>
      </c>
      <c r="E71" t="str">
        <f t="shared" ca="1" si="10"/>
        <v>no data</v>
      </c>
      <c r="F71" t="str">
        <f t="shared" ca="1" si="11"/>
        <v/>
      </c>
      <c r="G71" t="str">
        <f t="shared" ref="G71:G76" ca="1" si="12">IF(F71&lt;&gt;"", G70 &amp; ", " &amp; IFERROR(LEFT(F71,FIND("(",F71) - 2),F71),G70)</f>
        <v>trailing p/e</v>
      </c>
      <c r="I71" t="str">
        <f t="shared" ca="1" si="4"/>
        <v>N/A</v>
      </c>
      <c r="J71">
        <f t="shared" si="5"/>
        <v>20.8</v>
      </c>
      <c r="K71" t="str">
        <f t="shared" ca="1" si="6"/>
        <v>N/A</v>
      </c>
      <c r="L71" t="str">
        <f t="shared" ca="1" si="7"/>
        <v>N/A</v>
      </c>
      <c r="M71" t="str">
        <f t="shared" ca="1" si="8"/>
        <v>N/A</v>
      </c>
      <c r="N71" t="str">
        <f t="shared" ca="1" si="9"/>
        <v>N/A</v>
      </c>
    </row>
    <row r="72" spans="1:14" x14ac:dyDescent="0.3">
      <c r="A72" s="1">
        <v>4</v>
      </c>
      <c r="B72" t="s">
        <v>128</v>
      </c>
      <c r="C72" t="s">
        <v>2540</v>
      </c>
      <c r="D72" t="str">
        <f ca="1">IFERROR(AVERAGE(VALUE(INDIRECT("J"&amp;(MATCH(B72,B73:B504,0)+72))),VALUE(INDIRECT("J"&amp;(MATCH(B72,B73:B504,0)+83))),VALUE(INDIRECT("J"&amp;(MATCH(B72,B73:B504,0)+94))),VALUE(INDIRECT("J"&amp;(MATCH(B72,B73:B504,0)+105)))),"")</f>
        <v/>
      </c>
      <c r="E72" t="str">
        <f t="shared" ca="1" si="10"/>
        <v>no data</v>
      </c>
      <c r="F72" t="str">
        <f t="shared" ca="1" si="11"/>
        <v/>
      </c>
      <c r="G72" t="str">
        <f t="shared" ca="1" si="12"/>
        <v>trailing p/e</v>
      </c>
      <c r="I72" t="str">
        <f t="shared" ca="1" si="4"/>
        <v>N/A</v>
      </c>
      <c r="J72">
        <f t="shared" si="5"/>
        <v>4.76</v>
      </c>
      <c r="K72" t="str">
        <f t="shared" ca="1" si="6"/>
        <v>N/A</v>
      </c>
      <c r="L72" t="str">
        <f t="shared" ca="1" si="7"/>
        <v>N/A</v>
      </c>
      <c r="M72" t="str">
        <f t="shared" ca="1" si="8"/>
        <v>N/A</v>
      </c>
      <c r="N72" t="str">
        <f t="shared" ca="1" si="9"/>
        <v>N/A</v>
      </c>
    </row>
    <row r="73" spans="1:14" x14ac:dyDescent="0.3">
      <c r="A73" s="1">
        <v>5</v>
      </c>
      <c r="B73" t="s">
        <v>130</v>
      </c>
      <c r="C73" t="s">
        <v>2407</v>
      </c>
      <c r="D73">
        <f ca="1">IFERROR(AVERAGE(VALUE(INDIRECT("J"&amp;(MATCH(B73,B74:B505,0)+73))),VALUE(INDIRECT("J"&amp;(MATCH(B73,B74:B505,0)+84))),VALUE(INDIRECT("J"&amp;(MATCH(B73,B74:B505,0)+95))),VALUE(INDIRECT("J"&amp;(MATCH(B73,B74:B505,0)+106)))),"")</f>
        <v>1.1000000000000001</v>
      </c>
      <c r="E73" t="str">
        <f t="shared" ca="1" si="10"/>
        <v>above average</v>
      </c>
      <c r="F73" t="str">
        <f t="shared" ca="1" si="11"/>
        <v>price/sales (ttm)</v>
      </c>
      <c r="G73" t="str">
        <f t="shared" ca="1" si="12"/>
        <v>trailing p/e, price/sales</v>
      </c>
      <c r="I73" t="str">
        <f t="shared" ca="1" si="4"/>
        <v>N/A</v>
      </c>
      <c r="J73">
        <f t="shared" si="5"/>
        <v>1.6</v>
      </c>
      <c r="K73">
        <f t="shared" ca="1" si="6"/>
        <v>1.1000000000000001</v>
      </c>
      <c r="L73" t="str">
        <f t="shared" ca="1" si="7"/>
        <v>N/A</v>
      </c>
      <c r="M73" t="str">
        <f t="shared" ca="1" si="8"/>
        <v>N/A</v>
      </c>
      <c r="N73" t="str">
        <f t="shared" ca="1" si="9"/>
        <v>N/A</v>
      </c>
    </row>
    <row r="74" spans="1:14" x14ac:dyDescent="0.3">
      <c r="A74" s="1">
        <v>6</v>
      </c>
      <c r="B74" t="s">
        <v>132</v>
      </c>
      <c r="C74" t="s">
        <v>441</v>
      </c>
      <c r="D74">
        <f ca="1">IFERROR(AVERAGE(VALUE(INDIRECT("J"&amp;(MATCH(B74,B75:B506,0)+74))),VALUE(INDIRECT("J"&amp;(MATCH(B74,B75:B506,0)+85))),VALUE(INDIRECT("J"&amp;(MATCH(B74,B75:B506,0)+96))),VALUE(INDIRECT("J"&amp;(MATCH(B74,B75:B506,0)+107)))),"")</f>
        <v>1.6125000000000003</v>
      </c>
      <c r="E74" t="str">
        <f t="shared" ca="1" si="10"/>
        <v>above average</v>
      </c>
      <c r="F74" t="str">
        <f t="shared" ca="1" si="11"/>
        <v>price/book (mrq)</v>
      </c>
      <c r="G74" t="str">
        <f t="shared" ca="1" si="12"/>
        <v>trailing p/e, price/sales, price/book</v>
      </c>
      <c r="I74" t="str">
        <f t="shared" ca="1" si="4"/>
        <v>N/A</v>
      </c>
      <c r="J74">
        <f t="shared" si="5"/>
        <v>2.25</v>
      </c>
      <c r="K74">
        <f t="shared" ca="1" si="6"/>
        <v>1.6125</v>
      </c>
      <c r="L74" t="str">
        <f t="shared" ca="1" si="7"/>
        <v>N/A</v>
      </c>
      <c r="M74" t="str">
        <f t="shared" ca="1" si="8"/>
        <v>N/A</v>
      </c>
      <c r="N74" t="str">
        <f t="shared" ca="1" si="9"/>
        <v>N/A</v>
      </c>
    </row>
    <row r="75" spans="1:14" x14ac:dyDescent="0.3">
      <c r="A75" s="1">
        <v>7</v>
      </c>
      <c r="B75" t="s">
        <v>134</v>
      </c>
      <c r="D75" t="str">
        <f ca="1">IFERROR(AVERAGE(VALUE(INDIRECT("J"&amp;(MATCH(B75,B76:B507,0)+75))),VALUE(INDIRECT("J"&amp;(MATCH(B75,B76:B507,0)+86))),VALUE(INDIRECT("J"&amp;(MATCH(B75,B76:B507,0)+97))),VALUE(INDIRECT("J"&amp;(MATCH(B75,B76:B507,0)+108)))),"")</f>
        <v/>
      </c>
      <c r="E75" t="str">
        <f t="shared" ca="1" si="10"/>
        <v>no data</v>
      </c>
      <c r="F75" t="str">
        <f t="shared" ca="1" si="11"/>
        <v/>
      </c>
      <c r="G75" t="str">
        <f t="shared" ca="1" si="12"/>
        <v>trailing p/e, price/sales, price/book</v>
      </c>
      <c r="I75" t="str">
        <f t="shared" ca="1" si="4"/>
        <v>N/A</v>
      </c>
      <c r="J75" t="str">
        <f t="shared" si="5"/>
        <v>N/A</v>
      </c>
      <c r="K75" t="str">
        <f t="shared" ca="1" si="6"/>
        <v>N/A</v>
      </c>
      <c r="L75" t="str">
        <f t="shared" ca="1" si="7"/>
        <v>N/A</v>
      </c>
      <c r="M75" t="str">
        <f t="shared" ca="1" si="8"/>
        <v>N/A</v>
      </c>
      <c r="N75" t="str">
        <f t="shared" ca="1" si="9"/>
        <v>N/A</v>
      </c>
    </row>
    <row r="76" spans="1:14" x14ac:dyDescent="0.3">
      <c r="A76" s="1">
        <v>8</v>
      </c>
      <c r="B76" t="s">
        <v>135</v>
      </c>
      <c r="D76" t="str">
        <f ca="1">IFERROR(AVERAGE(VALUE(INDIRECT("J"&amp;(MATCH(B76,B77:B508,0)+76))),VALUE(INDIRECT("J"&amp;(MATCH(B76,B77:B508,0)+87))),VALUE(INDIRECT("J"&amp;(MATCH(B76,B77:B508,0)+98))),VALUE(INDIRECT("J"&amp;(MATCH(B76,B77:B508,0)+109)))),"")</f>
        <v/>
      </c>
      <c r="E76" t="str">
        <f t="shared" ca="1" si="10"/>
        <v>no data</v>
      </c>
      <c r="F76" t="str">
        <f t="shared" ca="1" si="11"/>
        <v/>
      </c>
      <c r="G76" t="str">
        <f t="shared" ca="1" si="12"/>
        <v>trailing p/e, price/sales, price/book</v>
      </c>
      <c r="I76" t="str">
        <f t="shared" ca="1" si="4"/>
        <v>N/A</v>
      </c>
      <c r="J76" t="str">
        <f t="shared" si="5"/>
        <v>N/A</v>
      </c>
      <c r="K76" t="str">
        <f t="shared" ca="1" si="6"/>
        <v>N/A</v>
      </c>
      <c r="L76" t="str">
        <f t="shared" ca="1" si="7"/>
        <v>N/A</v>
      </c>
      <c r="M76" t="str">
        <f t="shared" ca="1" si="8"/>
        <v>N/A</v>
      </c>
      <c r="N76" t="str">
        <f t="shared" ca="1" si="9"/>
        <v>N/A</v>
      </c>
    </row>
    <row r="77" spans="1:14" x14ac:dyDescent="0.3">
      <c r="F77" t="str">
        <f ca="1">IF(F76="",IF(F75="",IF(F74="",IF(F73="",IF(F72="",IF(F71="",IFERROR(LEFT(F70,FIND("(",F70) - 2),F70),IFERROR(LEFT(F71,FIND("(",F71) - 2),F71)),IFERROR(LEFT(F72,FIND("(",F72) - 2),F72)),IFERROR(LEFT(F73,FIND("(",F73) - 2),F73)),IFERROR(LEFT(F74,FIND("(",F74) - 2),F74)),IFERROR(LEFT(F75,FIND("(",F75) - 2),F75)),IFERROR(LEFT(F76,FIND("(",F76) - 2),F76))</f>
        <v>price/book</v>
      </c>
      <c r="G77" t="str">
        <f ca="1">TRIM(IF(LEFT(G76,1)=",",REPLACE(G76,1,1,""),SUBSTITUTE(G76,F77, "and " &amp; F77)))</f>
        <v>trailing p/e, price/sales, and price/book</v>
      </c>
      <c r="I77" t="str">
        <f t="shared" ca="1" si="4"/>
        <v>N/A</v>
      </c>
      <c r="J77" t="str">
        <f t="shared" si="5"/>
        <v>N/A</v>
      </c>
      <c r="K77" t="str">
        <f t="shared" si="6"/>
        <v>N/A</v>
      </c>
      <c r="L77" t="str">
        <f t="shared" si="7"/>
        <v>N/A</v>
      </c>
      <c r="M77" t="str">
        <f t="shared" ca="1" si="8"/>
        <v>N/A</v>
      </c>
      <c r="N77" t="str">
        <f t="shared" ca="1" si="9"/>
        <v>N/A</v>
      </c>
    </row>
    <row r="78" spans="1:14" x14ac:dyDescent="0.3">
      <c r="A78" s="1">
        <v>0</v>
      </c>
      <c r="B78" t="s">
        <v>136</v>
      </c>
      <c r="C78" t="s">
        <v>137</v>
      </c>
      <c r="D78" t="str">
        <f ca="1">IF(COUNTIF(E70:E76,"=above average")&gt;0,"There are some indications that "&amp;D1&amp;" may be overvalued. The company has a higher " &amp; G77 &amp; " than the comparable average", "Inconclusive")</f>
        <v>There are some indications that CIRCOR International may be overvalued. The company has a higher trailing p/e, price/sales, and price/book than the comparable average</v>
      </c>
      <c r="I78" t="str">
        <f t="shared" ca="1" si="4"/>
        <v>N/A</v>
      </c>
      <c r="J78" t="str">
        <f t="shared" si="5"/>
        <v>N/A</v>
      </c>
      <c r="K78" t="str">
        <f t="shared" ca="1" si="6"/>
        <v>N/A</v>
      </c>
      <c r="L78" t="str">
        <f t="shared" si="7"/>
        <v>N/A</v>
      </c>
      <c r="M78" t="str">
        <f t="shared" si="8"/>
        <v>N/A</v>
      </c>
      <c r="N78" t="str">
        <f t="shared" si="9"/>
        <v>N/A</v>
      </c>
    </row>
    <row r="79" spans="1:14" x14ac:dyDescent="0.3">
      <c r="A79" s="1">
        <v>1</v>
      </c>
      <c r="B79" t="s">
        <v>138</v>
      </c>
      <c r="C79" t="s">
        <v>2541</v>
      </c>
      <c r="I79" t="str">
        <f t="shared" si="4"/>
        <v>N/A</v>
      </c>
      <c r="J79" t="str">
        <f t="shared" si="5"/>
        <v>N/A</v>
      </c>
      <c r="K79" t="str">
        <f t="shared" si="6"/>
        <v>N/A</v>
      </c>
      <c r="L79" t="str">
        <f t="shared" si="7"/>
        <v>N/A</v>
      </c>
      <c r="M79" t="str">
        <f t="shared" si="8"/>
        <v>N/A</v>
      </c>
      <c r="N79" t="str">
        <f t="shared" si="9"/>
        <v>N/A</v>
      </c>
    </row>
    <row r="80" spans="1:14" x14ac:dyDescent="0.3">
      <c r="I80" t="str">
        <f t="shared" si="4"/>
        <v>N/A</v>
      </c>
      <c r="J80" t="str">
        <f t="shared" si="5"/>
        <v>N/A</v>
      </c>
      <c r="K80" t="str">
        <f t="shared" si="6"/>
        <v>N/A</v>
      </c>
      <c r="L80" t="str">
        <f t="shared" si="7"/>
        <v>N/A</v>
      </c>
      <c r="M80" t="str">
        <f t="shared" si="8"/>
        <v>N/A</v>
      </c>
      <c r="N80" t="str">
        <f t="shared" si="9"/>
        <v>N/A</v>
      </c>
    </row>
    <row r="81" spans="1:14" x14ac:dyDescent="0.3">
      <c r="A81" s="1">
        <v>0</v>
      </c>
      <c r="B81" t="s">
        <v>140</v>
      </c>
      <c r="C81" t="s">
        <v>2542</v>
      </c>
      <c r="F81" t="str">
        <f t="shared" ref="F81:F87" ca="1" si="13">IF(E70="below average",LOWER(TRIM(IF(ISNUMBER(VALUE(RIGHT(B70,1))),REPLACE(B70,LEN(B70),1,""),B70))),"")</f>
        <v/>
      </c>
      <c r="G81" t="str">
        <f ca="1">IFERROR(LEFT(F81,FIND("(",F81) - 2),F81)</f>
        <v/>
      </c>
      <c r="I81" t="str">
        <f t="shared" ca="1" si="4"/>
        <v>N/A</v>
      </c>
      <c r="J81">
        <f t="shared" si="5"/>
        <v>1.8800000000000001E-2</v>
      </c>
      <c r="K81" t="str">
        <f t="shared" si="6"/>
        <v>N/A</v>
      </c>
      <c r="L81" t="str">
        <f t="shared" si="7"/>
        <v>N/A</v>
      </c>
      <c r="M81" t="str">
        <f t="shared" ca="1" si="8"/>
        <v>N/A</v>
      </c>
      <c r="N81" t="str">
        <f t="shared" ca="1" si="9"/>
        <v>N/A</v>
      </c>
    </row>
    <row r="82" spans="1:14" x14ac:dyDescent="0.3">
      <c r="A82" s="1">
        <v>1</v>
      </c>
      <c r="B82" t="s">
        <v>142</v>
      </c>
      <c r="C82" t="s">
        <v>2543</v>
      </c>
      <c r="F82" t="str">
        <f t="shared" ca="1" si="13"/>
        <v/>
      </c>
      <c r="G82" t="str">
        <f t="shared" ref="G82:G87" ca="1" si="14">IF(F82&lt;&gt;"", G81 &amp; ", " &amp; IFERROR(LEFT(F82,FIND("(",F82) - 2),F82),G81)</f>
        <v/>
      </c>
      <c r="I82" t="str">
        <f t="shared" ca="1" si="4"/>
        <v>N/A</v>
      </c>
      <c r="J82">
        <f t="shared" si="5"/>
        <v>5.0700000000000002E-2</v>
      </c>
      <c r="K82" t="str">
        <f t="shared" si="6"/>
        <v>N/A</v>
      </c>
      <c r="L82" t="str">
        <f t="shared" si="7"/>
        <v>N/A</v>
      </c>
      <c r="M82" t="str">
        <f t="shared" ca="1" si="8"/>
        <v>N/A</v>
      </c>
      <c r="N82" t="str">
        <f t="shared" ca="1" si="9"/>
        <v>N/A</v>
      </c>
    </row>
    <row r="83" spans="1:14" x14ac:dyDescent="0.3">
      <c r="F83" t="str">
        <f t="shared" ca="1" si="13"/>
        <v/>
      </c>
      <c r="G83" t="str">
        <f t="shared" ca="1" si="14"/>
        <v/>
      </c>
      <c r="I83" t="str">
        <f t="shared" ca="1" si="4"/>
        <v>N/A</v>
      </c>
      <c r="J83" t="str">
        <f t="shared" si="5"/>
        <v>N/A</v>
      </c>
      <c r="K83" t="str">
        <f t="shared" si="6"/>
        <v>N/A</v>
      </c>
      <c r="L83" t="str">
        <f t="shared" si="7"/>
        <v>N/A</v>
      </c>
      <c r="M83" t="str">
        <f t="shared" ca="1" si="8"/>
        <v>N/A</v>
      </c>
      <c r="N83" t="str">
        <f t="shared" ca="1" si="9"/>
        <v>N/A</v>
      </c>
    </row>
    <row r="84" spans="1:14" x14ac:dyDescent="0.3">
      <c r="A84" s="1">
        <v>0</v>
      </c>
      <c r="B84" t="s">
        <v>144</v>
      </c>
      <c r="C84" t="s">
        <v>377</v>
      </c>
      <c r="F84" t="str">
        <f t="shared" ca="1" si="13"/>
        <v/>
      </c>
      <c r="G84" t="str">
        <f t="shared" ca="1" si="14"/>
        <v/>
      </c>
      <c r="I84" t="str">
        <f t="shared" ca="1" si="4"/>
        <v>N/A</v>
      </c>
      <c r="J84">
        <f t="shared" si="5"/>
        <v>2.4900000000000002E-2</v>
      </c>
      <c r="K84" t="str">
        <f t="shared" si="6"/>
        <v>N/A</v>
      </c>
      <c r="L84" t="str">
        <f t="shared" si="7"/>
        <v>N/A</v>
      </c>
      <c r="M84" t="str">
        <f t="shared" ca="1" si="8"/>
        <v>N/A</v>
      </c>
      <c r="N84" t="str">
        <f t="shared" ca="1" si="9"/>
        <v>N/A</v>
      </c>
    </row>
    <row r="85" spans="1:14" x14ac:dyDescent="0.3">
      <c r="A85" s="1">
        <v>1</v>
      </c>
      <c r="B85" t="s">
        <v>146</v>
      </c>
      <c r="C85" t="s">
        <v>2544</v>
      </c>
      <c r="F85" t="str">
        <f t="shared" ca="1" si="13"/>
        <v/>
      </c>
      <c r="G85" t="str">
        <f t="shared" ca="1" si="14"/>
        <v/>
      </c>
      <c r="I85" t="str">
        <f t="shared" ca="1" si="4"/>
        <v>N/A</v>
      </c>
      <c r="J85">
        <f t="shared" si="5"/>
        <v>2.6499999999999999E-2</v>
      </c>
      <c r="K85" t="str">
        <f t="shared" si="6"/>
        <v>N/A</v>
      </c>
      <c r="L85" t="str">
        <f t="shared" si="7"/>
        <v>N/A</v>
      </c>
      <c r="M85" t="str">
        <f t="shared" ca="1" si="8"/>
        <v>N/A</v>
      </c>
      <c r="N85" t="str">
        <f t="shared" ca="1" si="9"/>
        <v>N/A</v>
      </c>
    </row>
    <row r="86" spans="1:14" x14ac:dyDescent="0.3">
      <c r="F86" t="str">
        <f t="shared" ca="1" si="13"/>
        <v/>
      </c>
      <c r="G86" t="str">
        <f t="shared" ca="1" si="14"/>
        <v/>
      </c>
      <c r="I86" t="str">
        <f t="shared" ca="1" si="4"/>
        <v>N/A</v>
      </c>
      <c r="J86" t="str">
        <f t="shared" si="5"/>
        <v>N/A</v>
      </c>
      <c r="K86" t="str">
        <f t="shared" si="6"/>
        <v>N/A</v>
      </c>
      <c r="L86" t="str">
        <f t="shared" si="7"/>
        <v>N/A</v>
      </c>
      <c r="M86" t="str">
        <f t="shared" ca="1" si="8"/>
        <v>N/A</v>
      </c>
      <c r="N86" t="str">
        <f t="shared" ca="1" si="9"/>
        <v>N/A</v>
      </c>
    </row>
    <row r="87" spans="1:14" x14ac:dyDescent="0.3">
      <c r="A87" s="1">
        <v>0</v>
      </c>
      <c r="B87" t="s">
        <v>148</v>
      </c>
      <c r="C87" t="s">
        <v>2545</v>
      </c>
      <c r="F87" t="str">
        <f t="shared" ca="1" si="13"/>
        <v/>
      </c>
      <c r="G87" t="str">
        <f t="shared" ca="1" si="14"/>
        <v/>
      </c>
      <c r="I87" t="str">
        <f t="shared" ca="1" si="4"/>
        <v>N/A</v>
      </c>
      <c r="J87">
        <f t="shared" si="5"/>
        <v>584670000</v>
      </c>
      <c r="K87" t="str">
        <f t="shared" si="6"/>
        <v>N/A</v>
      </c>
      <c r="L87" t="str">
        <f t="shared" si="7"/>
        <v>N/A</v>
      </c>
      <c r="M87" t="str">
        <f t="shared" ca="1" si="8"/>
        <v>N/A</v>
      </c>
      <c r="N87" t="str">
        <f t="shared" ca="1" si="9"/>
        <v>N/A</v>
      </c>
    </row>
    <row r="88" spans="1:14" x14ac:dyDescent="0.3">
      <c r="A88" s="1">
        <v>1</v>
      </c>
      <c r="B88" t="s">
        <v>150</v>
      </c>
      <c r="C88" t="s">
        <v>2546</v>
      </c>
      <c r="F88" t="str">
        <f ca="1">IF(F87="",IF(F86="",IF(F85="",IF(F84="",IF(F83="",IF(F82="",IFERROR(LEFT(F81,FIND("(",F81) - 2),F81),IFERROR(LEFT(F82,FIND("(",F82) - 2),F82)),IFERROR(LEFT(F83,FIND("(",F83) - 2),F83)),IFERROR(LEFT(F84,FIND("(",F84) - 2),F84)),IFERROR(LEFT(F85,FIND("(",F85) - 2),F85)),IFERROR(LEFT(F86,FIND("(",F86) - 2),F86)),IFERROR(LEFT(F87,FIND("(",F87) - 2),F87))</f>
        <v/>
      </c>
      <c r="G88" t="str">
        <f ca="1">TRIM(IF(LEFT(G87,1)=",",REPLACE(G87,1,1,""),SUBSTITUTE(G87,F88, "and " &amp; F88)))</f>
        <v/>
      </c>
      <c r="I88" t="str">
        <f t="shared" ca="1" si="4"/>
        <v>N/A</v>
      </c>
      <c r="J88">
        <f t="shared" si="5"/>
        <v>35.57</v>
      </c>
      <c r="K88" t="str">
        <f t="shared" si="6"/>
        <v>N/A</v>
      </c>
      <c r="L88" t="str">
        <f t="shared" si="7"/>
        <v>N/A</v>
      </c>
      <c r="M88" t="str">
        <f t="shared" ca="1" si="8"/>
        <v>N/A</v>
      </c>
      <c r="N88" t="str">
        <f t="shared" ca="1" si="9"/>
        <v>N/A</v>
      </c>
    </row>
    <row r="89" spans="1:14" x14ac:dyDescent="0.3">
      <c r="A89" s="1">
        <v>2</v>
      </c>
      <c r="B89" t="s">
        <v>152</v>
      </c>
      <c r="C89" t="s">
        <v>2547</v>
      </c>
      <c r="D89" t="str">
        <f ca="1">IF(COUNTIF(E70:E76,"=below average")&gt;0,"There are some indications that "&amp;D1&amp;" may be undervalued. The company has a lower " &amp; G88 &amp; " than the comparable average", "Inconclusive")</f>
        <v>Inconclusive</v>
      </c>
      <c r="I89" t="str">
        <f t="shared" ca="1" si="4"/>
        <v>N/A</v>
      </c>
      <c r="J89">
        <f t="shared" si="5"/>
        <v>-3.7000000000000005E-2</v>
      </c>
      <c r="K89" t="str">
        <f t="shared" ca="1" si="6"/>
        <v>N/A</v>
      </c>
      <c r="L89" t="str">
        <f t="shared" si="7"/>
        <v>N/A</v>
      </c>
      <c r="M89" t="str">
        <f t="shared" si="8"/>
        <v>N/A</v>
      </c>
      <c r="N89" t="str">
        <f t="shared" si="9"/>
        <v>N/A</v>
      </c>
    </row>
    <row r="90" spans="1:14" x14ac:dyDescent="0.3">
      <c r="A90" s="1">
        <v>3</v>
      </c>
      <c r="B90" t="s">
        <v>154</v>
      </c>
      <c r="C90" t="s">
        <v>2548</v>
      </c>
      <c r="I90" t="str">
        <f t="shared" si="4"/>
        <v>N/A</v>
      </c>
      <c r="J90">
        <f t="shared" si="5"/>
        <v>183120000</v>
      </c>
      <c r="K90" t="str">
        <f t="shared" si="6"/>
        <v>N/A</v>
      </c>
      <c r="L90" t="str">
        <f t="shared" si="7"/>
        <v>N/A</v>
      </c>
      <c r="M90" t="str">
        <f t="shared" si="8"/>
        <v>N/A</v>
      </c>
      <c r="N90" t="str">
        <f t="shared" si="9"/>
        <v>N/A</v>
      </c>
    </row>
    <row r="91" spans="1:14" x14ac:dyDescent="0.3">
      <c r="A91" s="1">
        <v>4</v>
      </c>
      <c r="B91" t="s">
        <v>156</v>
      </c>
      <c r="C91" t="s">
        <v>2549</v>
      </c>
      <c r="I91" t="str">
        <f t="shared" si="4"/>
        <v>N/A</v>
      </c>
      <c r="J91">
        <f t="shared" si="5"/>
        <v>56380000</v>
      </c>
      <c r="K91" t="str">
        <f t="shared" si="6"/>
        <v>N/A</v>
      </c>
      <c r="L91" t="str">
        <f t="shared" si="7"/>
        <v>N/A</v>
      </c>
      <c r="M91" t="str">
        <f t="shared" si="8"/>
        <v>N/A</v>
      </c>
      <c r="N91" t="str">
        <f t="shared" si="9"/>
        <v>N/A</v>
      </c>
    </row>
    <row r="92" spans="1:14" x14ac:dyDescent="0.3">
      <c r="A92" s="1">
        <v>5</v>
      </c>
      <c r="B92" t="s">
        <v>158</v>
      </c>
      <c r="C92" t="s">
        <v>2550</v>
      </c>
      <c r="I92" t="str">
        <f t="shared" ref="I92:I123" si="15">IF(AND(K92&gt; J92, L92&gt; K92, M92&gt; L92, N92&gt; M92), "pos_trend", IF(AND(K92&lt; J92, L92&lt; K92, M92&lt; L92, N92&lt; M92), "neg_trend", "N/A"))</f>
        <v>N/A</v>
      </c>
      <c r="J92">
        <f t="shared" ref="J92:J123" si="16">IFERROR(IF(TRIM(C92)="-", "N/A", IF(RIGHT(C92,1)=")",IF(RIGHT(C92,2)="T)",-1000000000000*VALUE(MID(C92,2,LEN(C92)-3)),IF(RIGHT(C92,2)="M)",-1000000*VALUE(MID(C92,2,LEN(C92)-3)),IF(RIGHT(C92,2)="B)",-1000000000*VALUE(MID(C92,2,LEN(C92)-3)),IF(RIGHT(C92,2)="k)",-1000*VALUE(MID(C92,2,LEN(C92)-3)),VALUE(SUBSTITUTE(C92,",","")))))),IF(RIGHT(C92,1)="T",1000000000000*VALUE(LEFT(C92,LEN(C92)-1)),IF(RIGHT(C92,1)="M",1000000*VALUE(LEFT(C92,LEN(C92)-1)),IF(RIGHT(C92,1)="B",1000000000*VALUE(LEFT(C92,LEN(C92)-1)),IF(RIGHT(C92,1)="%",0.01*VALUE(LEFT(C92,LEN(C92)-1)),IF(RIGHT(C92,1)="k",1000*VALUE(LEFT(C92,LEN(C92)-1)),VALUE(SUBSTITUTE(C92,",",""))))))))),"N/A")</f>
        <v>11000000</v>
      </c>
      <c r="K92" t="str">
        <f t="shared" ref="K92:K123" si="17">IFERROR(IF(TRIM(D92)="-", "N/A", IF(RIGHT(D92,1)=")",IF(RIGHT(D92,2)="T)",-1000000000000*VALUE(MID(D92,2,LEN(D92)-3)),IF(RIGHT(D92,2)="M)",-1000000*VALUE(MID(D92,2,LEN(D92)-3)),IF(RIGHT(D92,2)="B)",-1000000000*VALUE(MID(D92,2,LEN(D92)-3)),IF(RIGHT(D92,2)="k)",-1000*VALUE(MID(D92,2,LEN(D92)-3)),VALUE(SUBSTITUTE(D92,",","")))))),IF(RIGHT(D92,1)="T",1000000000000*VALUE(LEFT(D92,LEN(D92)-1)),IF(RIGHT(D92,1)="M",1000000*VALUE(LEFT(D92,LEN(D92)-1)),IF(RIGHT(D92,1)="B",1000000000*VALUE(LEFT(D92,LEN(D92)-1)),IF(RIGHT(D92,1)="%",0.01*VALUE(LEFT(D92,LEN(D92)-1)),IF(RIGHT(D92,1)="k",1000*VALUE(LEFT(D92,LEN(D92)-1)),VALUE(SUBSTITUTE(D92,",",""))))))))),"N/A")</f>
        <v>N/A</v>
      </c>
      <c r="L92" t="str">
        <f t="shared" ref="L92:L123" si="18">IFERROR(IF(TRIM(E92)="-", "N/A", IF(RIGHT(E92,1)=")",IF(RIGHT(E92,2)="T)",-1000000000000*VALUE(MID(E92,2,LEN(E92)-3)),IF(RIGHT(E92,2)="M)",-1000000*VALUE(MID(E92,2,LEN(E92)-3)),IF(RIGHT(E92,2)="B)",-1000000000*VALUE(MID(E92,2,LEN(E92)-3)),IF(RIGHT(E92,2)="k)",-1000*VALUE(MID(E92,2,LEN(E92)-3)),VALUE(SUBSTITUTE(E92,",","")))))),IF(RIGHT(E92,1)="T",1000000000000*VALUE(LEFT(E92,LEN(E92)-1)),IF(RIGHT(E92,1)="M",1000000*VALUE(LEFT(E92,LEN(E92)-1)),IF(RIGHT(E92,1)="B",1000000000*VALUE(LEFT(E92,LEN(E92)-1)),IF(RIGHT(E92,1)="%",0.01*VALUE(LEFT(E92,LEN(E92)-1)),IF(RIGHT(E92,1)="k",1000*VALUE(LEFT(E92,LEN(E92)-1)),VALUE(SUBSTITUTE(E92,",",""))))))))),"N/A")</f>
        <v>N/A</v>
      </c>
      <c r="M92" t="str">
        <f t="shared" ref="M92:M123" si="19">IFERROR(IF(TRIM(F92)="-", "N/A", IF(RIGHT(F92,1)=")",IF(RIGHT(F92,2)="T)",-1000000000000*VALUE(MID(F92,2,LEN(F92)-3)),IF(RIGHT(F92,2)="M)",-1000000*VALUE(MID(F92,2,LEN(F92)-3)),IF(RIGHT(F92,2)="B)",-1000000000*VALUE(MID(F92,2,LEN(F92)-3)),IF(RIGHT(F92,2)="k)",-1000*VALUE(MID(F92,2,LEN(F92)-3)),VALUE(SUBSTITUTE(F92,",","")))))),IF(RIGHT(F92,1)="T",1000000000000*VALUE(LEFT(F92,LEN(F92)-1)),IF(RIGHT(F92,1)="M",1000000*VALUE(LEFT(F92,LEN(F92)-1)),IF(RIGHT(F92,1)="B",1000000000*VALUE(LEFT(F92,LEN(F92)-1)),IF(RIGHT(F92,1)="%",0.01*VALUE(LEFT(F92,LEN(F92)-1)),IF(RIGHT(F92,1)="k",1000*VALUE(LEFT(F92,LEN(F92)-1)),VALUE(SUBSTITUTE(F92,",",""))))))))),"N/A")</f>
        <v>N/A</v>
      </c>
      <c r="N92" t="str">
        <f t="shared" ref="N92:N123" si="20">IFERROR(IF(TRIM(G92)="-", "N/A", IF(RIGHT(G92,1)=")",IF(RIGHT(G92,2)="T)",-1000000000000*VALUE(MID(G92,2,LEN(G92)-3)),IF(RIGHT(G92,2)="M)",-1000000*VALUE(MID(G92,2,LEN(G92)-3)),IF(RIGHT(G92,2)="B)",-1000000000*VALUE(MID(G92,2,LEN(G92)-3)),IF(RIGHT(G92,2)="k)",-1000*VALUE(MID(G92,2,LEN(G92)-3)),VALUE(SUBSTITUTE(G92,",","")))))),IF(RIGHT(G92,1)="T",1000000000000*VALUE(LEFT(G92,LEN(G92)-1)),IF(RIGHT(G92,1)="M",1000000*VALUE(LEFT(G92,LEN(G92)-1)),IF(RIGHT(G92,1)="B",1000000000*VALUE(LEFT(G92,LEN(G92)-1)),IF(RIGHT(G92,1)="%",0.01*VALUE(LEFT(G92,LEN(G92)-1)),IF(RIGHT(G92,1)="k",1000*VALUE(LEFT(G92,LEN(G92)-1)),VALUE(SUBSTITUTE(G92,",",""))))))))),"N/A")</f>
        <v>N/A</v>
      </c>
    </row>
    <row r="93" spans="1:14" x14ac:dyDescent="0.3">
      <c r="A93" s="1">
        <v>6</v>
      </c>
      <c r="B93" t="s">
        <v>160</v>
      </c>
      <c r="C93" t="s">
        <v>1718</v>
      </c>
      <c r="I93" t="str">
        <f t="shared" si="15"/>
        <v>N/A</v>
      </c>
      <c r="J93">
        <f t="shared" si="16"/>
        <v>0.67</v>
      </c>
      <c r="K93" t="str">
        <f t="shared" si="17"/>
        <v>N/A</v>
      </c>
      <c r="L93" t="str">
        <f t="shared" si="18"/>
        <v>N/A</v>
      </c>
      <c r="M93" t="str">
        <f t="shared" si="19"/>
        <v>N/A</v>
      </c>
      <c r="N93" t="str">
        <f t="shared" si="20"/>
        <v>N/A</v>
      </c>
    </row>
    <row r="94" spans="1:14" x14ac:dyDescent="0.3">
      <c r="A94" s="1">
        <v>7</v>
      </c>
      <c r="B94" t="s">
        <v>161</v>
      </c>
      <c r="C94" t="s">
        <v>2551</v>
      </c>
      <c r="I94" t="str">
        <f t="shared" si="15"/>
        <v>N/A</v>
      </c>
      <c r="J94">
        <f t="shared" si="16"/>
        <v>0.23300000000000001</v>
      </c>
      <c r="K94" t="str">
        <f t="shared" si="17"/>
        <v>N/A</v>
      </c>
      <c r="L94" t="str">
        <f t="shared" si="18"/>
        <v>N/A</v>
      </c>
      <c r="M94" t="str">
        <f t="shared" si="19"/>
        <v>N/A</v>
      </c>
      <c r="N94" t="str">
        <f t="shared" si="20"/>
        <v>N/A</v>
      </c>
    </row>
    <row r="95" spans="1:14" x14ac:dyDescent="0.3">
      <c r="I95" t="str">
        <f t="shared" si="15"/>
        <v>N/A</v>
      </c>
      <c r="J95" t="str">
        <f t="shared" si="16"/>
        <v>N/A</v>
      </c>
      <c r="K95" t="str">
        <f t="shared" si="17"/>
        <v>N/A</v>
      </c>
      <c r="L95" t="str">
        <f t="shared" si="18"/>
        <v>N/A</v>
      </c>
      <c r="M95" t="str">
        <f t="shared" si="19"/>
        <v>N/A</v>
      </c>
      <c r="N95" t="str">
        <f t="shared" si="20"/>
        <v>N/A</v>
      </c>
    </row>
    <row r="96" spans="1:14" x14ac:dyDescent="0.3">
      <c r="A96" s="1">
        <v>0</v>
      </c>
      <c r="B96" t="s">
        <v>163</v>
      </c>
      <c r="C96" t="s">
        <v>2552</v>
      </c>
      <c r="I96" t="str">
        <f t="shared" si="15"/>
        <v>N/A</v>
      </c>
      <c r="J96">
        <f t="shared" si="16"/>
        <v>65660000</v>
      </c>
      <c r="K96" t="str">
        <f t="shared" si="17"/>
        <v>N/A</v>
      </c>
      <c r="L96" t="str">
        <f t="shared" si="18"/>
        <v>N/A</v>
      </c>
      <c r="M96" t="str">
        <f t="shared" si="19"/>
        <v>N/A</v>
      </c>
      <c r="N96" t="str">
        <f t="shared" si="20"/>
        <v>N/A</v>
      </c>
    </row>
    <row r="97" spans="1:14" x14ac:dyDescent="0.3">
      <c r="A97" s="1">
        <v>1</v>
      </c>
      <c r="B97" t="s">
        <v>165</v>
      </c>
      <c r="C97" t="s">
        <v>2553</v>
      </c>
      <c r="I97" t="str">
        <f t="shared" si="15"/>
        <v>N/A</v>
      </c>
      <c r="J97">
        <f t="shared" si="16"/>
        <v>3.98</v>
      </c>
      <c r="K97" t="str">
        <f t="shared" si="17"/>
        <v>N/A</v>
      </c>
      <c r="L97" t="str">
        <f t="shared" si="18"/>
        <v>N/A</v>
      </c>
      <c r="M97" t="str">
        <f t="shared" si="19"/>
        <v>N/A</v>
      </c>
      <c r="N97" t="str">
        <f t="shared" si="20"/>
        <v>N/A</v>
      </c>
    </row>
    <row r="98" spans="1:14" x14ac:dyDescent="0.3">
      <c r="A98" s="1">
        <v>2</v>
      </c>
      <c r="B98" t="s">
        <v>167</v>
      </c>
      <c r="C98" t="s">
        <v>2554</v>
      </c>
      <c r="I98" t="str">
        <f t="shared" si="15"/>
        <v>N/A</v>
      </c>
      <c r="J98">
        <f t="shared" si="16"/>
        <v>243000000</v>
      </c>
      <c r="K98" t="str">
        <f t="shared" si="17"/>
        <v>N/A</v>
      </c>
      <c r="L98" t="str">
        <f t="shared" si="18"/>
        <v>N/A</v>
      </c>
      <c r="M98" t="str">
        <f t="shared" si="19"/>
        <v>N/A</v>
      </c>
      <c r="N98" t="str">
        <f t="shared" si="20"/>
        <v>N/A</v>
      </c>
    </row>
    <row r="99" spans="1:14" x14ac:dyDescent="0.3">
      <c r="A99" s="1">
        <v>3</v>
      </c>
      <c r="B99" t="s">
        <v>169</v>
      </c>
      <c r="C99" t="s">
        <v>2555</v>
      </c>
      <c r="I99" t="str">
        <f t="shared" si="15"/>
        <v>N/A</v>
      </c>
      <c r="J99">
        <f t="shared" si="16"/>
        <v>58.48</v>
      </c>
      <c r="K99" t="str">
        <f t="shared" si="17"/>
        <v>N/A</v>
      </c>
      <c r="L99" t="str">
        <f t="shared" si="18"/>
        <v>N/A</v>
      </c>
      <c r="M99" t="str">
        <f t="shared" si="19"/>
        <v>N/A</v>
      </c>
      <c r="N99" t="str">
        <f t="shared" si="20"/>
        <v>N/A</v>
      </c>
    </row>
    <row r="100" spans="1:14" x14ac:dyDescent="0.3">
      <c r="A100" s="1">
        <v>4</v>
      </c>
      <c r="B100" t="s">
        <v>171</v>
      </c>
      <c r="C100" t="s">
        <v>2556</v>
      </c>
      <c r="I100" t="str">
        <f t="shared" si="15"/>
        <v>N/A</v>
      </c>
      <c r="J100">
        <f t="shared" si="16"/>
        <v>3</v>
      </c>
      <c r="K100" t="str">
        <f t="shared" si="17"/>
        <v>N/A</v>
      </c>
      <c r="L100" t="str">
        <f t="shared" si="18"/>
        <v>N/A</v>
      </c>
      <c r="M100" t="str">
        <f t="shared" si="19"/>
        <v>N/A</v>
      </c>
      <c r="N100" t="str">
        <f t="shared" si="20"/>
        <v>N/A</v>
      </c>
    </row>
    <row r="101" spans="1:14" x14ac:dyDescent="0.3">
      <c r="A101" s="1">
        <v>5</v>
      </c>
      <c r="B101" t="s">
        <v>173</v>
      </c>
      <c r="C101" t="s">
        <v>2557</v>
      </c>
      <c r="I101" t="str">
        <f t="shared" si="15"/>
        <v>N/A</v>
      </c>
      <c r="J101">
        <f t="shared" si="16"/>
        <v>25.21</v>
      </c>
      <c r="K101" t="str">
        <f t="shared" si="17"/>
        <v>N/A</v>
      </c>
      <c r="L101" t="str">
        <f t="shared" si="18"/>
        <v>N/A</v>
      </c>
      <c r="M101" t="str">
        <f t="shared" si="19"/>
        <v>N/A</v>
      </c>
      <c r="N101" t="str">
        <f t="shared" si="20"/>
        <v>N/A</v>
      </c>
    </row>
    <row r="102" spans="1:14" x14ac:dyDescent="0.3">
      <c r="I102" t="str">
        <f t="shared" si="15"/>
        <v>N/A</v>
      </c>
      <c r="J102" t="str">
        <f t="shared" si="16"/>
        <v>N/A</v>
      </c>
      <c r="K102" t="str">
        <f t="shared" si="17"/>
        <v>N/A</v>
      </c>
      <c r="L102" t="str">
        <f t="shared" si="18"/>
        <v>N/A</v>
      </c>
      <c r="M102" t="str">
        <f t="shared" si="19"/>
        <v>N/A</v>
      </c>
      <c r="N102" t="str">
        <f t="shared" si="20"/>
        <v>N/A</v>
      </c>
    </row>
    <row r="103" spans="1:14" x14ac:dyDescent="0.3">
      <c r="A103" s="1">
        <v>0</v>
      </c>
      <c r="B103" t="s">
        <v>175</v>
      </c>
      <c r="C103" t="s">
        <v>2558</v>
      </c>
      <c r="I103" t="str">
        <f t="shared" si="15"/>
        <v>N/A</v>
      </c>
      <c r="J103">
        <f t="shared" si="16"/>
        <v>67940000</v>
      </c>
      <c r="K103" t="str">
        <f t="shared" si="17"/>
        <v>N/A</v>
      </c>
      <c r="L103" t="str">
        <f t="shared" si="18"/>
        <v>N/A</v>
      </c>
      <c r="M103" t="str">
        <f t="shared" si="19"/>
        <v>N/A</v>
      </c>
      <c r="N103" t="str">
        <f t="shared" si="20"/>
        <v>N/A</v>
      </c>
    </row>
    <row r="104" spans="1:14" x14ac:dyDescent="0.3">
      <c r="A104" s="1">
        <v>1</v>
      </c>
      <c r="B104" t="s">
        <v>177</v>
      </c>
      <c r="C104" t="s">
        <v>2559</v>
      </c>
      <c r="I104" t="str">
        <f t="shared" si="15"/>
        <v>N/A</v>
      </c>
      <c r="J104">
        <f t="shared" si="16"/>
        <v>39580000</v>
      </c>
      <c r="K104" t="str">
        <f t="shared" si="17"/>
        <v>N/A</v>
      </c>
      <c r="L104" t="str">
        <f t="shared" si="18"/>
        <v>N/A</v>
      </c>
      <c r="M104" t="str">
        <f t="shared" si="19"/>
        <v>N/A</v>
      </c>
      <c r="N104" t="str">
        <f t="shared" si="20"/>
        <v>N/A</v>
      </c>
    </row>
    <row r="105" spans="1:14" x14ac:dyDescent="0.3">
      <c r="I105" t="str">
        <f t="shared" si="15"/>
        <v>N/A</v>
      </c>
      <c r="J105" t="str">
        <f t="shared" si="16"/>
        <v>N/A</v>
      </c>
      <c r="K105" t="str">
        <f t="shared" si="17"/>
        <v>N/A</v>
      </c>
      <c r="L105" t="str">
        <f t="shared" si="18"/>
        <v>N/A</v>
      </c>
      <c r="M105" t="str">
        <f t="shared" si="19"/>
        <v>N/A</v>
      </c>
      <c r="N105" t="str">
        <f t="shared" si="20"/>
        <v>N/A</v>
      </c>
    </row>
    <row r="106" spans="1:14" x14ac:dyDescent="0.3">
      <c r="A106" s="1">
        <v>0</v>
      </c>
      <c r="B106" t="s">
        <v>22</v>
      </c>
      <c r="C106" t="s">
        <v>2502</v>
      </c>
      <c r="I106" t="str">
        <f t="shared" si="15"/>
        <v>N/A</v>
      </c>
      <c r="J106">
        <f t="shared" si="16"/>
        <v>1.79</v>
      </c>
      <c r="K106" t="str">
        <f t="shared" si="17"/>
        <v>N/A</v>
      </c>
      <c r="L106" t="str">
        <f t="shared" si="18"/>
        <v>N/A</v>
      </c>
      <c r="M106" t="str">
        <f t="shared" si="19"/>
        <v>N/A</v>
      </c>
      <c r="N106" t="str">
        <f t="shared" si="20"/>
        <v>N/A</v>
      </c>
    </row>
    <row r="107" spans="1:14" x14ac:dyDescent="0.3">
      <c r="A107" s="1">
        <v>1</v>
      </c>
      <c r="B107" t="s">
        <v>179</v>
      </c>
      <c r="C107" t="s">
        <v>2560</v>
      </c>
      <c r="I107" t="str">
        <f t="shared" si="15"/>
        <v>N/A</v>
      </c>
      <c r="J107">
        <f t="shared" si="16"/>
        <v>-4.4900000000000002E-2</v>
      </c>
      <c r="K107" t="str">
        <f t="shared" si="17"/>
        <v>N/A</v>
      </c>
      <c r="L107" t="str">
        <f t="shared" si="18"/>
        <v>N/A</v>
      </c>
      <c r="M107" t="str">
        <f t="shared" si="19"/>
        <v>N/A</v>
      </c>
      <c r="N107" t="str">
        <f t="shared" si="20"/>
        <v>N/A</v>
      </c>
    </row>
    <row r="108" spans="1:14" x14ac:dyDescent="0.3">
      <c r="A108" s="1">
        <v>2</v>
      </c>
      <c r="B108" t="s">
        <v>181</v>
      </c>
      <c r="C108" t="s">
        <v>182</v>
      </c>
      <c r="I108" t="str">
        <f t="shared" si="15"/>
        <v>N/A</v>
      </c>
      <c r="J108">
        <f t="shared" si="16"/>
        <v>0.14180000000000001</v>
      </c>
      <c r="K108" t="str">
        <f t="shared" si="17"/>
        <v>N/A</v>
      </c>
      <c r="L108" t="str">
        <f t="shared" si="18"/>
        <v>N/A</v>
      </c>
      <c r="M108" t="str">
        <f t="shared" si="19"/>
        <v>N/A</v>
      </c>
      <c r="N108" t="str">
        <f t="shared" si="20"/>
        <v>N/A</v>
      </c>
    </row>
    <row r="109" spans="1:14" x14ac:dyDescent="0.3">
      <c r="A109" s="1">
        <v>3</v>
      </c>
      <c r="B109" t="s">
        <v>183</v>
      </c>
      <c r="C109" t="s">
        <v>2561</v>
      </c>
      <c r="I109" t="str">
        <f t="shared" si="15"/>
        <v>N/A</v>
      </c>
      <c r="J109">
        <f t="shared" si="16"/>
        <v>72.959999999999994</v>
      </c>
      <c r="K109" t="str">
        <f t="shared" si="17"/>
        <v>N/A</v>
      </c>
      <c r="L109" t="str">
        <f t="shared" si="18"/>
        <v>N/A</v>
      </c>
      <c r="M109" t="str">
        <f t="shared" si="19"/>
        <v>N/A</v>
      </c>
      <c r="N109" t="str">
        <f t="shared" si="20"/>
        <v>N/A</v>
      </c>
    </row>
    <row r="110" spans="1:14" x14ac:dyDescent="0.3">
      <c r="A110" s="1">
        <v>4</v>
      </c>
      <c r="B110" t="s">
        <v>185</v>
      </c>
      <c r="C110" t="s">
        <v>2562</v>
      </c>
      <c r="I110" t="str">
        <f t="shared" si="15"/>
        <v>N/A</v>
      </c>
      <c r="J110">
        <f t="shared" si="16"/>
        <v>48.11</v>
      </c>
      <c r="K110" t="str">
        <f t="shared" si="17"/>
        <v>N/A</v>
      </c>
      <c r="L110" t="str">
        <f t="shared" si="18"/>
        <v>N/A</v>
      </c>
      <c r="M110" t="str">
        <f t="shared" si="19"/>
        <v>N/A</v>
      </c>
      <c r="N110" t="str">
        <f t="shared" si="20"/>
        <v>N/A</v>
      </c>
    </row>
    <row r="111" spans="1:14" x14ac:dyDescent="0.3">
      <c r="A111" s="1">
        <v>5</v>
      </c>
      <c r="B111" t="s">
        <v>187</v>
      </c>
      <c r="C111" t="s">
        <v>2563</v>
      </c>
      <c r="I111" t="str">
        <f t="shared" si="15"/>
        <v>N/A</v>
      </c>
      <c r="J111">
        <f t="shared" si="16"/>
        <v>60.36</v>
      </c>
      <c r="K111" t="str">
        <f t="shared" si="17"/>
        <v>N/A</v>
      </c>
      <c r="L111" t="str">
        <f t="shared" si="18"/>
        <v>N/A</v>
      </c>
      <c r="M111" t="str">
        <f t="shared" si="19"/>
        <v>N/A</v>
      </c>
      <c r="N111" t="str">
        <f t="shared" si="20"/>
        <v>N/A</v>
      </c>
    </row>
    <row r="112" spans="1:14" x14ac:dyDescent="0.3">
      <c r="A112" s="1">
        <v>6</v>
      </c>
      <c r="B112" t="s">
        <v>189</v>
      </c>
      <c r="C112" t="s">
        <v>2564</v>
      </c>
      <c r="I112" t="str">
        <f t="shared" si="15"/>
        <v>N/A</v>
      </c>
      <c r="J112">
        <f t="shared" si="16"/>
        <v>61.48</v>
      </c>
      <c r="K112" t="str">
        <f t="shared" si="17"/>
        <v>N/A</v>
      </c>
      <c r="L112" t="str">
        <f t="shared" si="18"/>
        <v>N/A</v>
      </c>
      <c r="M112" t="str">
        <f t="shared" si="19"/>
        <v>N/A</v>
      </c>
      <c r="N112" t="str">
        <f t="shared" si="20"/>
        <v>N/A</v>
      </c>
    </row>
    <row r="113" spans="1:14" x14ac:dyDescent="0.3">
      <c r="I113" t="str">
        <f t="shared" si="15"/>
        <v>N/A</v>
      </c>
      <c r="J113" t="str">
        <f t="shared" si="16"/>
        <v>N/A</v>
      </c>
      <c r="K113" t="str">
        <f t="shared" si="17"/>
        <v>N/A</v>
      </c>
      <c r="L113" t="str">
        <f t="shared" si="18"/>
        <v>N/A</v>
      </c>
      <c r="M113" t="str">
        <f t="shared" si="19"/>
        <v>N/A</v>
      </c>
      <c r="N113" t="str">
        <f t="shared" si="20"/>
        <v>N/A</v>
      </c>
    </row>
    <row r="114" spans="1:14" x14ac:dyDescent="0.3">
      <c r="A114" s="1">
        <v>0</v>
      </c>
      <c r="B114" t="s">
        <v>191</v>
      </c>
      <c r="C114" t="s">
        <v>2565</v>
      </c>
      <c r="I114" t="str">
        <f t="shared" si="15"/>
        <v>N/A</v>
      </c>
      <c r="J114">
        <f t="shared" si="16"/>
        <v>87360</v>
      </c>
      <c r="K114" t="str">
        <f t="shared" si="17"/>
        <v>N/A</v>
      </c>
      <c r="L114" t="str">
        <f t="shared" si="18"/>
        <v>N/A</v>
      </c>
      <c r="M114" t="str">
        <f t="shared" si="19"/>
        <v>N/A</v>
      </c>
      <c r="N114" t="str">
        <f t="shared" si="20"/>
        <v>N/A</v>
      </c>
    </row>
    <row r="115" spans="1:14" x14ac:dyDescent="0.3">
      <c r="A115" s="1">
        <v>1</v>
      </c>
      <c r="B115" t="s">
        <v>193</v>
      </c>
      <c r="C115" t="s">
        <v>2566</v>
      </c>
      <c r="I115" t="str">
        <f t="shared" si="15"/>
        <v>N/A</v>
      </c>
      <c r="J115">
        <f t="shared" si="16"/>
        <v>87470</v>
      </c>
      <c r="K115" t="str">
        <f t="shared" si="17"/>
        <v>N/A</v>
      </c>
      <c r="L115" t="str">
        <f t="shared" si="18"/>
        <v>N/A</v>
      </c>
      <c r="M115" t="str">
        <f t="shared" si="19"/>
        <v>N/A</v>
      </c>
      <c r="N115" t="str">
        <f t="shared" si="20"/>
        <v>N/A</v>
      </c>
    </row>
    <row r="116" spans="1:14" x14ac:dyDescent="0.3">
      <c r="A116" s="1">
        <v>2</v>
      </c>
      <c r="B116" t="s">
        <v>195</v>
      </c>
      <c r="C116" t="s">
        <v>2567</v>
      </c>
      <c r="I116" t="str">
        <f t="shared" si="15"/>
        <v>N/A</v>
      </c>
      <c r="J116">
        <f t="shared" si="16"/>
        <v>16489999.999999998</v>
      </c>
      <c r="K116" t="str">
        <f t="shared" si="17"/>
        <v>N/A</v>
      </c>
      <c r="L116" t="str">
        <f t="shared" si="18"/>
        <v>N/A</v>
      </c>
      <c r="M116" t="str">
        <f t="shared" si="19"/>
        <v>N/A</v>
      </c>
      <c r="N116" t="str">
        <f t="shared" si="20"/>
        <v>N/A</v>
      </c>
    </row>
    <row r="117" spans="1:14" x14ac:dyDescent="0.3">
      <c r="A117" s="1">
        <v>3</v>
      </c>
      <c r="B117" t="s">
        <v>197</v>
      </c>
      <c r="C117" t="s">
        <v>2568</v>
      </c>
      <c r="I117" t="str">
        <f t="shared" si="15"/>
        <v>N/A</v>
      </c>
      <c r="J117">
        <f t="shared" si="16"/>
        <v>16290000</v>
      </c>
      <c r="K117" t="str">
        <f t="shared" si="17"/>
        <v>N/A</v>
      </c>
      <c r="L117" t="str">
        <f t="shared" si="18"/>
        <v>N/A</v>
      </c>
      <c r="M117" t="str">
        <f t="shared" si="19"/>
        <v>N/A</v>
      </c>
      <c r="N117" t="str">
        <f t="shared" si="20"/>
        <v>N/A</v>
      </c>
    </row>
    <row r="118" spans="1:14" x14ac:dyDescent="0.3">
      <c r="A118" s="1">
        <v>4</v>
      </c>
      <c r="B118" t="s">
        <v>199</v>
      </c>
      <c r="C118" t="s">
        <v>2569</v>
      </c>
      <c r="I118" t="str">
        <f t="shared" si="15"/>
        <v>N/A</v>
      </c>
      <c r="J118">
        <f t="shared" si="16"/>
        <v>0.17420000000000002</v>
      </c>
      <c r="K118" t="str">
        <f t="shared" si="17"/>
        <v>N/A</v>
      </c>
      <c r="L118" t="str">
        <f t="shared" si="18"/>
        <v>N/A</v>
      </c>
      <c r="M118" t="str">
        <f t="shared" si="19"/>
        <v>N/A</v>
      </c>
      <c r="N118" t="str">
        <f t="shared" si="20"/>
        <v>N/A</v>
      </c>
    </row>
    <row r="119" spans="1:14" x14ac:dyDescent="0.3">
      <c r="A119" s="1">
        <v>5</v>
      </c>
      <c r="B119" t="s">
        <v>201</v>
      </c>
      <c r="C119" t="s">
        <v>2570</v>
      </c>
      <c r="I119" t="str">
        <f t="shared" si="15"/>
        <v>N/A</v>
      </c>
      <c r="J119">
        <f t="shared" si="16"/>
        <v>0.94900000000000007</v>
      </c>
      <c r="K119" t="str">
        <f t="shared" si="17"/>
        <v>N/A</v>
      </c>
      <c r="L119" t="str">
        <f t="shared" si="18"/>
        <v>N/A</v>
      </c>
      <c r="M119" t="str">
        <f t="shared" si="19"/>
        <v>N/A</v>
      </c>
      <c r="N119" t="str">
        <f t="shared" si="20"/>
        <v>N/A</v>
      </c>
    </row>
    <row r="120" spans="1:14" x14ac:dyDescent="0.3">
      <c r="A120" s="1">
        <v>6</v>
      </c>
      <c r="B120" t="s">
        <v>203</v>
      </c>
      <c r="C120" t="s">
        <v>2571</v>
      </c>
      <c r="I120" t="str">
        <f t="shared" si="15"/>
        <v>N/A</v>
      </c>
      <c r="J120">
        <f t="shared" si="16"/>
        <v>1330000</v>
      </c>
      <c r="K120" t="str">
        <f t="shared" si="17"/>
        <v>N/A</v>
      </c>
      <c r="L120" t="str">
        <f t="shared" si="18"/>
        <v>N/A</v>
      </c>
      <c r="M120" t="str">
        <f t="shared" si="19"/>
        <v>N/A</v>
      </c>
      <c r="N120" t="str">
        <f t="shared" si="20"/>
        <v>N/A</v>
      </c>
    </row>
    <row r="121" spans="1:14" x14ac:dyDescent="0.3">
      <c r="A121" s="1">
        <v>7</v>
      </c>
      <c r="B121" t="s">
        <v>205</v>
      </c>
      <c r="C121" t="s">
        <v>2572</v>
      </c>
      <c r="I121" t="str">
        <f t="shared" si="15"/>
        <v>N/A</v>
      </c>
      <c r="J121">
        <f t="shared" si="16"/>
        <v>14.03</v>
      </c>
      <c r="K121" t="str">
        <f t="shared" si="17"/>
        <v>N/A</v>
      </c>
      <c r="L121" t="str">
        <f t="shared" si="18"/>
        <v>N/A</v>
      </c>
      <c r="M121" t="str">
        <f t="shared" si="19"/>
        <v>N/A</v>
      </c>
      <c r="N121" t="str">
        <f t="shared" si="20"/>
        <v>N/A</v>
      </c>
    </row>
    <row r="122" spans="1:14" x14ac:dyDescent="0.3">
      <c r="A122" s="1">
        <v>8</v>
      </c>
      <c r="B122" t="s">
        <v>207</v>
      </c>
      <c r="C122" t="s">
        <v>2573</v>
      </c>
      <c r="I122" t="str">
        <f t="shared" si="15"/>
        <v>N/A</v>
      </c>
      <c r="J122">
        <f t="shared" si="16"/>
        <v>0.11449999999999999</v>
      </c>
      <c r="K122" t="str">
        <f t="shared" si="17"/>
        <v>N/A</v>
      </c>
      <c r="L122" t="str">
        <f t="shared" si="18"/>
        <v>N/A</v>
      </c>
      <c r="M122" t="str">
        <f t="shared" si="19"/>
        <v>N/A</v>
      </c>
      <c r="N122" t="str">
        <f t="shared" si="20"/>
        <v>N/A</v>
      </c>
    </row>
    <row r="123" spans="1:14" x14ac:dyDescent="0.3">
      <c r="A123" s="1">
        <v>9</v>
      </c>
      <c r="B123" t="s">
        <v>209</v>
      </c>
      <c r="C123" t="s">
        <v>2574</v>
      </c>
      <c r="I123" t="str">
        <f t="shared" si="15"/>
        <v>N/A</v>
      </c>
      <c r="J123">
        <f t="shared" si="16"/>
        <v>1350000</v>
      </c>
      <c r="K123" t="str">
        <f t="shared" si="17"/>
        <v>N/A</v>
      </c>
      <c r="L123" t="str">
        <f t="shared" si="18"/>
        <v>N/A</v>
      </c>
      <c r="M123" t="str">
        <f t="shared" si="19"/>
        <v>N/A</v>
      </c>
      <c r="N123" t="str">
        <f t="shared" si="20"/>
        <v>N/A</v>
      </c>
    </row>
    <row r="124" spans="1:14" x14ac:dyDescent="0.3">
      <c r="I124" t="str">
        <f t="shared" ref="I124:I155" si="21">IF(AND(K124&gt; J124, L124&gt; K124, M124&gt; L124, N124&gt; M124), "pos_trend", IF(AND(K124&lt; J124, L124&lt; K124, M124&lt; L124, N124&lt; M124), "neg_trend", "N/A"))</f>
        <v>N/A</v>
      </c>
      <c r="J124" t="str">
        <f t="shared" ref="J124:J156" si="22">IFERROR(IF(TRIM(C124)="-", "N/A", IF(RIGHT(C124,1)=")",IF(RIGHT(C124,2)="T)",-1000000000000*VALUE(MID(C124,2,LEN(C124)-3)),IF(RIGHT(C124,2)="M)",-1000000*VALUE(MID(C124,2,LEN(C124)-3)),IF(RIGHT(C124,2)="B)",-1000000000*VALUE(MID(C124,2,LEN(C124)-3)),IF(RIGHT(C124,2)="k)",-1000*VALUE(MID(C124,2,LEN(C124)-3)),VALUE(SUBSTITUTE(C124,",","")))))),IF(RIGHT(C124,1)="T",1000000000000*VALUE(LEFT(C124,LEN(C124)-1)),IF(RIGHT(C124,1)="M",1000000*VALUE(LEFT(C124,LEN(C124)-1)),IF(RIGHT(C124,1)="B",1000000000*VALUE(LEFT(C124,LEN(C124)-1)),IF(RIGHT(C124,1)="%",0.01*VALUE(LEFT(C124,LEN(C124)-1)),IF(RIGHT(C124,1)="k",1000*VALUE(LEFT(C124,LEN(C124)-1)),VALUE(SUBSTITUTE(C124,",",""))))))))),"N/A")</f>
        <v>N/A</v>
      </c>
      <c r="K124" t="str">
        <f t="shared" ref="K124:K156" si="23">IFERROR(IF(TRIM(D124)="-", "N/A", IF(RIGHT(D124,1)=")",IF(RIGHT(D124,2)="T)",-1000000000000*VALUE(MID(D124,2,LEN(D124)-3)),IF(RIGHT(D124,2)="M)",-1000000*VALUE(MID(D124,2,LEN(D124)-3)),IF(RIGHT(D124,2)="B)",-1000000000*VALUE(MID(D124,2,LEN(D124)-3)),IF(RIGHT(D124,2)="k)",-1000*VALUE(MID(D124,2,LEN(D124)-3)),VALUE(SUBSTITUTE(D124,",","")))))),IF(RIGHT(D124,1)="T",1000000000000*VALUE(LEFT(D124,LEN(D124)-1)),IF(RIGHT(D124,1)="M",1000000*VALUE(LEFT(D124,LEN(D124)-1)),IF(RIGHT(D124,1)="B",1000000000*VALUE(LEFT(D124,LEN(D124)-1)),IF(RIGHT(D124,1)="%",0.01*VALUE(LEFT(D124,LEN(D124)-1)),IF(RIGHT(D124,1)="k",1000*VALUE(LEFT(D124,LEN(D124)-1)),VALUE(SUBSTITUTE(D124,",",""))))))))),"N/A")</f>
        <v>N/A</v>
      </c>
      <c r="L124" t="str">
        <f t="shared" ref="L124:L156" si="24">IFERROR(IF(TRIM(E124)="-", "N/A", IF(RIGHT(E124,1)=")",IF(RIGHT(E124,2)="T)",-1000000000000*VALUE(MID(E124,2,LEN(E124)-3)),IF(RIGHT(E124,2)="M)",-1000000*VALUE(MID(E124,2,LEN(E124)-3)),IF(RIGHT(E124,2)="B)",-1000000000*VALUE(MID(E124,2,LEN(E124)-3)),IF(RIGHT(E124,2)="k)",-1000*VALUE(MID(E124,2,LEN(E124)-3)),VALUE(SUBSTITUTE(E124,",","")))))),IF(RIGHT(E124,1)="T",1000000000000*VALUE(LEFT(E124,LEN(E124)-1)),IF(RIGHT(E124,1)="M",1000000*VALUE(LEFT(E124,LEN(E124)-1)),IF(RIGHT(E124,1)="B",1000000000*VALUE(LEFT(E124,LEN(E124)-1)),IF(RIGHT(E124,1)="%",0.01*VALUE(LEFT(E124,LEN(E124)-1)),IF(RIGHT(E124,1)="k",1000*VALUE(LEFT(E124,LEN(E124)-1)),VALUE(SUBSTITUTE(E124,",",""))))))))),"N/A")</f>
        <v>N/A</v>
      </c>
      <c r="M124" t="str">
        <f t="shared" ref="M124:M156" si="25">IFERROR(IF(TRIM(F124)="-", "N/A", IF(RIGHT(F124,1)=")",IF(RIGHT(F124,2)="T)",-1000000000000*VALUE(MID(F124,2,LEN(F124)-3)),IF(RIGHT(F124,2)="M)",-1000000*VALUE(MID(F124,2,LEN(F124)-3)),IF(RIGHT(F124,2)="B)",-1000000000*VALUE(MID(F124,2,LEN(F124)-3)),IF(RIGHT(F124,2)="k)",-1000*VALUE(MID(F124,2,LEN(F124)-3)),VALUE(SUBSTITUTE(F124,",","")))))),IF(RIGHT(F124,1)="T",1000000000000*VALUE(LEFT(F124,LEN(F124)-1)),IF(RIGHT(F124,1)="M",1000000*VALUE(LEFT(F124,LEN(F124)-1)),IF(RIGHT(F124,1)="B",1000000000*VALUE(LEFT(F124,LEN(F124)-1)),IF(RIGHT(F124,1)="%",0.01*VALUE(LEFT(F124,LEN(F124)-1)),IF(RIGHT(F124,1)="k",1000*VALUE(LEFT(F124,LEN(F124)-1)),VALUE(SUBSTITUTE(F124,",",""))))))))),"N/A")</f>
        <v>N/A</v>
      </c>
      <c r="N124" t="str">
        <f t="shared" ref="N124:N156" si="26">IFERROR(IF(TRIM(G124)="-", "N/A", IF(RIGHT(G124,1)=")",IF(RIGHT(G124,2)="T)",-1000000000000*VALUE(MID(G124,2,LEN(G124)-3)),IF(RIGHT(G124,2)="M)",-1000000*VALUE(MID(G124,2,LEN(G124)-3)),IF(RIGHT(G124,2)="B)",-1000000000*VALUE(MID(G124,2,LEN(G124)-3)),IF(RIGHT(G124,2)="k)",-1000*VALUE(MID(G124,2,LEN(G124)-3)),VALUE(SUBSTITUTE(G124,",","")))))),IF(RIGHT(G124,1)="T",1000000000000*VALUE(LEFT(G124,LEN(G124)-1)),IF(RIGHT(G124,1)="M",1000000*VALUE(LEFT(G124,LEN(G124)-1)),IF(RIGHT(G124,1)="B",1000000000*VALUE(LEFT(G124,LEN(G124)-1)),IF(RIGHT(G124,1)="%",0.01*VALUE(LEFT(G124,LEN(G124)-1)),IF(RIGHT(G124,1)="k",1000*VALUE(LEFT(G124,LEN(G124)-1)),VALUE(SUBSTITUTE(G124,",",""))))))))),"N/A")</f>
        <v>N/A</v>
      </c>
    </row>
    <row r="125" spans="1:14" x14ac:dyDescent="0.3">
      <c r="A125" s="1">
        <v>0</v>
      </c>
      <c r="B125" t="s">
        <v>211</v>
      </c>
      <c r="C125" t="s">
        <v>2575</v>
      </c>
      <c r="I125" t="str">
        <f t="shared" si="21"/>
        <v>N/A</v>
      </c>
      <c r="J125">
        <f t="shared" si="22"/>
        <v>0.15</v>
      </c>
      <c r="K125" t="str">
        <f t="shared" si="23"/>
        <v>N/A</v>
      </c>
      <c r="L125" t="str">
        <f t="shared" si="24"/>
        <v>N/A</v>
      </c>
      <c r="M125" t="str">
        <f t="shared" si="25"/>
        <v>N/A</v>
      </c>
      <c r="N125" t="str">
        <f t="shared" si="26"/>
        <v>N/A</v>
      </c>
    </row>
    <row r="126" spans="1:14" x14ac:dyDescent="0.3">
      <c r="A126" s="1">
        <v>1</v>
      </c>
      <c r="B126" t="s">
        <v>213</v>
      </c>
      <c r="C126" t="s">
        <v>218</v>
      </c>
      <c r="I126" t="str">
        <f t="shared" si="21"/>
        <v>N/A</v>
      </c>
      <c r="J126">
        <f t="shared" si="22"/>
        <v>2.6000000000000003E-3</v>
      </c>
      <c r="K126" t="str">
        <f t="shared" si="23"/>
        <v>N/A</v>
      </c>
      <c r="L126" t="str">
        <f t="shared" si="24"/>
        <v>N/A</v>
      </c>
      <c r="M126" t="str">
        <f t="shared" si="25"/>
        <v>N/A</v>
      </c>
      <c r="N126" t="str">
        <f t="shared" si="26"/>
        <v>N/A</v>
      </c>
    </row>
    <row r="127" spans="1:14" x14ac:dyDescent="0.3">
      <c r="A127" s="1">
        <v>2</v>
      </c>
      <c r="B127" t="s">
        <v>215</v>
      </c>
      <c r="C127" t="s">
        <v>2575</v>
      </c>
      <c r="I127" t="str">
        <f t="shared" si="21"/>
        <v>N/A</v>
      </c>
      <c r="J127">
        <f t="shared" si="22"/>
        <v>0.15</v>
      </c>
      <c r="K127" t="str">
        <f t="shared" si="23"/>
        <v>N/A</v>
      </c>
      <c r="L127" t="str">
        <f t="shared" si="24"/>
        <v>N/A</v>
      </c>
      <c r="M127" t="str">
        <f t="shared" si="25"/>
        <v>N/A</v>
      </c>
      <c r="N127" t="str">
        <f t="shared" si="26"/>
        <v>N/A</v>
      </c>
    </row>
    <row r="128" spans="1:14" x14ac:dyDescent="0.3">
      <c r="A128" s="1">
        <v>3</v>
      </c>
      <c r="B128" t="s">
        <v>217</v>
      </c>
      <c r="C128" t="s">
        <v>214</v>
      </c>
      <c r="I128" t="str">
        <f t="shared" si="21"/>
        <v>N/A</v>
      </c>
      <c r="J128">
        <f t="shared" si="22"/>
        <v>2.7000000000000001E-3</v>
      </c>
      <c r="K128" t="str">
        <f t="shared" si="23"/>
        <v>N/A</v>
      </c>
      <c r="L128" t="str">
        <f t="shared" si="24"/>
        <v>N/A</v>
      </c>
      <c r="M128" t="str">
        <f t="shared" si="25"/>
        <v>N/A</v>
      </c>
      <c r="N128" t="str">
        <f t="shared" si="26"/>
        <v>N/A</v>
      </c>
    </row>
    <row r="129" spans="1:60" x14ac:dyDescent="0.3">
      <c r="A129" s="1">
        <v>4</v>
      </c>
      <c r="B129" t="s">
        <v>219</v>
      </c>
      <c r="C129" t="s">
        <v>2576</v>
      </c>
      <c r="I129" t="str">
        <f t="shared" si="21"/>
        <v>N/A</v>
      </c>
      <c r="J129">
        <f t="shared" si="22"/>
        <v>0.28000000000000003</v>
      </c>
      <c r="K129" t="str">
        <f t="shared" si="23"/>
        <v>N/A</v>
      </c>
      <c r="L129" t="str">
        <f t="shared" si="24"/>
        <v>N/A</v>
      </c>
      <c r="M129" t="str">
        <f t="shared" si="25"/>
        <v>N/A</v>
      </c>
      <c r="N129" t="str">
        <f t="shared" si="26"/>
        <v>N/A</v>
      </c>
    </row>
    <row r="130" spans="1:60" x14ac:dyDescent="0.3">
      <c r="A130" s="1">
        <v>5</v>
      </c>
      <c r="B130" t="s">
        <v>221</v>
      </c>
      <c r="C130" t="s">
        <v>2577</v>
      </c>
      <c r="I130" t="str">
        <f t="shared" si="21"/>
        <v>N/A</v>
      </c>
      <c r="J130">
        <f t="shared" si="22"/>
        <v>0.22390000000000002</v>
      </c>
      <c r="K130" t="str">
        <f t="shared" si="23"/>
        <v>N/A</v>
      </c>
      <c r="L130" t="str">
        <f t="shared" si="24"/>
        <v>N/A</v>
      </c>
      <c r="M130" t="str">
        <f t="shared" si="25"/>
        <v>N/A</v>
      </c>
      <c r="N130" t="str">
        <f t="shared" si="26"/>
        <v>N/A</v>
      </c>
    </row>
    <row r="131" spans="1:60" x14ac:dyDescent="0.3">
      <c r="A131" s="1">
        <v>6</v>
      </c>
      <c r="B131" t="s">
        <v>223</v>
      </c>
      <c r="C131" t="s">
        <v>2578</v>
      </c>
      <c r="I131" t="str">
        <f t="shared" si="21"/>
        <v>N/A</v>
      </c>
      <c r="J131" t="str">
        <f t="shared" si="22"/>
        <v>N/A</v>
      </c>
      <c r="K131" t="str">
        <f t="shared" si="23"/>
        <v>N/A</v>
      </c>
      <c r="L131" t="str">
        <f t="shared" si="24"/>
        <v>N/A</v>
      </c>
      <c r="M131" t="str">
        <f t="shared" si="25"/>
        <v>N/A</v>
      </c>
      <c r="N131" t="str">
        <f t="shared" si="26"/>
        <v>N/A</v>
      </c>
    </row>
    <row r="132" spans="1:60" x14ac:dyDescent="0.3">
      <c r="A132" s="1">
        <v>7</v>
      </c>
      <c r="B132" t="s">
        <v>225</v>
      </c>
      <c r="C132" t="s">
        <v>1772</v>
      </c>
      <c r="I132" t="str">
        <f t="shared" si="21"/>
        <v>N/A</v>
      </c>
      <c r="J132" t="str">
        <f t="shared" si="22"/>
        <v>N/A</v>
      </c>
      <c r="K132" t="str">
        <f t="shared" si="23"/>
        <v>N/A</v>
      </c>
      <c r="L132" t="str">
        <f t="shared" si="24"/>
        <v>N/A</v>
      </c>
      <c r="M132" t="str">
        <f t="shared" si="25"/>
        <v>N/A</v>
      </c>
      <c r="N132" t="str">
        <f t="shared" si="26"/>
        <v>N/A</v>
      </c>
    </row>
    <row r="133" spans="1:60" x14ac:dyDescent="0.3">
      <c r="A133" s="1">
        <v>8</v>
      </c>
      <c r="B133" t="s">
        <v>227</v>
      </c>
      <c r="C133" t="s">
        <v>2579</v>
      </c>
      <c r="I133" t="str">
        <f t="shared" si="21"/>
        <v>N/A</v>
      </c>
      <c r="J133">
        <f t="shared" si="22"/>
        <v>42736</v>
      </c>
      <c r="K133" t="str">
        <f t="shared" si="23"/>
        <v>N/A</v>
      </c>
      <c r="L133" t="str">
        <f t="shared" si="24"/>
        <v>N/A</v>
      </c>
      <c r="M133" t="str">
        <f t="shared" si="25"/>
        <v>N/A</v>
      </c>
      <c r="N133" t="str">
        <f t="shared" si="26"/>
        <v>N/A</v>
      </c>
    </row>
    <row r="134" spans="1:60" x14ac:dyDescent="0.3">
      <c r="A134" s="1">
        <v>9</v>
      </c>
      <c r="B134" t="s">
        <v>229</v>
      </c>
      <c r="C134" t="s">
        <v>2580</v>
      </c>
      <c r="I134" t="str">
        <f t="shared" si="21"/>
        <v>N/A</v>
      </c>
      <c r="J134" t="str">
        <f t="shared" si="22"/>
        <v>N/A</v>
      </c>
      <c r="K134" t="str">
        <f t="shared" si="23"/>
        <v>N/A</v>
      </c>
      <c r="L134" t="str">
        <f t="shared" si="24"/>
        <v>N/A</v>
      </c>
      <c r="M134" t="str">
        <f t="shared" si="25"/>
        <v>N/A</v>
      </c>
      <c r="N134" t="str">
        <f t="shared" si="26"/>
        <v>N/A</v>
      </c>
    </row>
    <row r="135" spans="1:60" x14ac:dyDescent="0.3">
      <c r="I135" t="str">
        <f t="shared" si="21"/>
        <v>N/A</v>
      </c>
      <c r="J135" t="str">
        <f t="shared" si="22"/>
        <v>N/A</v>
      </c>
      <c r="K135" t="str">
        <f t="shared" si="23"/>
        <v>N/A</v>
      </c>
      <c r="L135" t="str">
        <f t="shared" si="24"/>
        <v>N/A</v>
      </c>
      <c r="M135" t="str">
        <f t="shared" si="25"/>
        <v>N/A</v>
      </c>
      <c r="N135" t="str">
        <f t="shared" si="26"/>
        <v>N/A</v>
      </c>
    </row>
    <row r="136" spans="1:60" x14ac:dyDescent="0.3">
      <c r="I136" t="str">
        <f t="shared" si="21"/>
        <v>N/A</v>
      </c>
      <c r="J136" t="str">
        <f t="shared" si="22"/>
        <v>N/A</v>
      </c>
      <c r="K136" t="str">
        <f t="shared" si="23"/>
        <v>N/A</v>
      </c>
      <c r="L136" t="str">
        <f t="shared" si="24"/>
        <v>N/A</v>
      </c>
      <c r="M136" t="str">
        <f t="shared" si="25"/>
        <v>N/A</v>
      </c>
      <c r="N136" t="str">
        <f t="shared" si="26"/>
        <v>N/A</v>
      </c>
    </row>
    <row r="137" spans="1:60" x14ac:dyDescent="0.3">
      <c r="B137" s="1" t="s">
        <v>231</v>
      </c>
      <c r="C137" s="1" t="s">
        <v>232</v>
      </c>
      <c r="D137" s="1" t="s">
        <v>233</v>
      </c>
      <c r="E137" s="1" t="s">
        <v>234</v>
      </c>
      <c r="F137" s="1" t="s">
        <v>235</v>
      </c>
      <c r="I137" t="str">
        <f t="shared" si="21"/>
        <v>N/A</v>
      </c>
      <c r="J137" t="str">
        <f t="shared" si="22"/>
        <v>N/A</v>
      </c>
      <c r="K137" t="str">
        <f t="shared" si="23"/>
        <v>N/A</v>
      </c>
      <c r="L137" t="str">
        <f t="shared" si="24"/>
        <v>N/A</v>
      </c>
      <c r="M137" t="str">
        <f t="shared" si="25"/>
        <v>N/A</v>
      </c>
      <c r="N137" t="str">
        <f t="shared" si="26"/>
        <v>N/A</v>
      </c>
    </row>
    <row r="138" spans="1:60" x14ac:dyDescent="0.3">
      <c r="A138" s="1">
        <v>0</v>
      </c>
      <c r="B138" t="s">
        <v>2581</v>
      </c>
      <c r="C138" t="s">
        <v>237</v>
      </c>
      <c r="D138" t="s">
        <v>2582</v>
      </c>
      <c r="F138">
        <v>50</v>
      </c>
      <c r="I138" t="str">
        <f t="shared" si="21"/>
        <v>N/A</v>
      </c>
      <c r="J138" t="str">
        <f t="shared" si="22"/>
        <v>N/A</v>
      </c>
      <c r="K138">
        <f t="shared" si="23"/>
        <v>1090000</v>
      </c>
      <c r="L138" t="str">
        <f t="shared" si="24"/>
        <v>N/A</v>
      </c>
      <c r="M138">
        <f t="shared" si="25"/>
        <v>50</v>
      </c>
      <c r="N138" t="str">
        <f t="shared" si="26"/>
        <v>N/A</v>
      </c>
    </row>
    <row r="139" spans="1:60" x14ac:dyDescent="0.3">
      <c r="A139" s="1">
        <v>1</v>
      </c>
      <c r="B139" t="s">
        <v>2583</v>
      </c>
      <c r="C139" t="s">
        <v>2584</v>
      </c>
      <c r="D139" t="s">
        <v>2585</v>
      </c>
      <c r="F139">
        <v>54</v>
      </c>
      <c r="I139" t="str">
        <f t="shared" si="21"/>
        <v>N/A</v>
      </c>
      <c r="J139" t="str">
        <f t="shared" si="22"/>
        <v>N/A</v>
      </c>
      <c r="K139">
        <f t="shared" si="23"/>
        <v>726330</v>
      </c>
      <c r="L139" t="str">
        <f t="shared" si="24"/>
        <v>N/A</v>
      </c>
      <c r="M139">
        <f t="shared" si="25"/>
        <v>54</v>
      </c>
      <c r="N139" t="str">
        <f t="shared" si="26"/>
        <v>N/A</v>
      </c>
    </row>
    <row r="140" spans="1:60" x14ac:dyDescent="0.3">
      <c r="A140" s="1">
        <v>2</v>
      </c>
      <c r="B140" t="s">
        <v>2586</v>
      </c>
      <c r="C140" t="s">
        <v>2587</v>
      </c>
      <c r="D140" t="s">
        <v>2588</v>
      </c>
      <c r="F140">
        <v>40</v>
      </c>
      <c r="I140" t="str">
        <f t="shared" si="21"/>
        <v>N/A</v>
      </c>
      <c r="J140" t="str">
        <f t="shared" si="22"/>
        <v>N/A</v>
      </c>
      <c r="K140">
        <f t="shared" si="23"/>
        <v>314380</v>
      </c>
      <c r="L140" t="str">
        <f t="shared" si="24"/>
        <v>N/A</v>
      </c>
      <c r="M140">
        <f t="shared" si="25"/>
        <v>40</v>
      </c>
      <c r="N140" t="str">
        <f t="shared" si="26"/>
        <v>N/A</v>
      </c>
    </row>
    <row r="141" spans="1:60" x14ac:dyDescent="0.3">
      <c r="A141" s="1">
        <v>3</v>
      </c>
      <c r="B141" t="s">
        <v>2589</v>
      </c>
      <c r="C141" t="s">
        <v>2590</v>
      </c>
      <c r="D141" t="s">
        <v>2591</v>
      </c>
      <c r="F141">
        <v>53</v>
      </c>
      <c r="I141" t="str">
        <f t="shared" si="21"/>
        <v>N/A</v>
      </c>
      <c r="J141" t="str">
        <f t="shared" si="22"/>
        <v>N/A</v>
      </c>
      <c r="K141">
        <f t="shared" si="23"/>
        <v>572750</v>
      </c>
      <c r="L141" t="str">
        <f t="shared" si="24"/>
        <v>N/A</v>
      </c>
      <c r="M141">
        <f t="shared" si="25"/>
        <v>53</v>
      </c>
      <c r="N141" t="str">
        <f t="shared" si="26"/>
        <v>N/A</v>
      </c>
    </row>
    <row r="142" spans="1:60" x14ac:dyDescent="0.3">
      <c r="A142" s="1">
        <v>4</v>
      </c>
      <c r="B142" t="s">
        <v>2592</v>
      </c>
      <c r="C142" t="s">
        <v>2593</v>
      </c>
      <c r="D142" t="s">
        <v>2594</v>
      </c>
      <c r="F142">
        <v>41</v>
      </c>
      <c r="I142" t="str">
        <f t="shared" si="21"/>
        <v>N/A</v>
      </c>
      <c r="J142" t="str">
        <f t="shared" si="22"/>
        <v>N/A</v>
      </c>
      <c r="K142">
        <f t="shared" si="23"/>
        <v>367830</v>
      </c>
      <c r="L142" t="str">
        <f t="shared" si="24"/>
        <v>N/A</v>
      </c>
      <c r="M142">
        <f t="shared" si="25"/>
        <v>41</v>
      </c>
      <c r="N142" t="str">
        <f t="shared" si="26"/>
        <v>N/A</v>
      </c>
    </row>
    <row r="143" spans="1:60" x14ac:dyDescent="0.3">
      <c r="I143" t="str">
        <f t="shared" si="21"/>
        <v>N/A</v>
      </c>
      <c r="J143" t="str">
        <f t="shared" si="22"/>
        <v>N/A</v>
      </c>
      <c r="K143" t="str">
        <f t="shared" si="23"/>
        <v>N/A</v>
      </c>
      <c r="L143" t="str">
        <f t="shared" si="24"/>
        <v>N/A</v>
      </c>
      <c r="M143" t="str">
        <f t="shared" si="25"/>
        <v>N/A</v>
      </c>
      <c r="N143" t="str">
        <f t="shared" si="26"/>
        <v>N/A</v>
      </c>
      <c r="V143" t="str">
        <f>"z-score"</f>
        <v>z-score</v>
      </c>
    </row>
    <row r="144" spans="1:60" x14ac:dyDescent="0.3">
      <c r="B144" s="1" t="s">
        <v>251</v>
      </c>
      <c r="C144" s="1" t="s">
        <v>252</v>
      </c>
      <c r="D144" s="1" t="s">
        <v>253</v>
      </c>
      <c r="E144" s="1" t="s">
        <v>254</v>
      </c>
      <c r="F144" s="1" t="s">
        <v>255</v>
      </c>
      <c r="G144" s="1" t="s">
        <v>256</v>
      </c>
      <c r="H144" s="1" t="s">
        <v>257</v>
      </c>
      <c r="I144" t="str">
        <f t="shared" si="21"/>
        <v>pos_trend</v>
      </c>
      <c r="J144">
        <f t="shared" si="22"/>
        <v>2012</v>
      </c>
      <c r="K144">
        <f t="shared" si="23"/>
        <v>2013</v>
      </c>
      <c r="L144">
        <f t="shared" si="24"/>
        <v>2014</v>
      </c>
      <c r="M144">
        <f t="shared" si="25"/>
        <v>2015</v>
      </c>
      <c r="N144">
        <f t="shared" si="26"/>
        <v>2016</v>
      </c>
      <c r="P144" t="str">
        <f>"Max"</f>
        <v>Max</v>
      </c>
      <c r="Q144" t="str">
        <f>"Max Year"</f>
        <v>Max Year</v>
      </c>
      <c r="R144" t="str">
        <f>"Min"</f>
        <v>Min</v>
      </c>
      <c r="S144" t="str">
        <f>"Min Year"</f>
        <v>Min Year</v>
      </c>
      <c r="T144" t="str">
        <f>"Average"</f>
        <v>Average</v>
      </c>
      <c r="U144" t="str">
        <f>"SD"</f>
        <v>SD</v>
      </c>
      <c r="V144">
        <f>J144</f>
        <v>2012</v>
      </c>
      <c r="W144">
        <f>K144</f>
        <v>2013</v>
      </c>
      <c r="X144">
        <f>L144</f>
        <v>2014</v>
      </c>
      <c r="Y144">
        <f>M144</f>
        <v>2015</v>
      </c>
      <c r="Z144">
        <f>N144</f>
        <v>2016</v>
      </c>
      <c r="AA144" t="str">
        <f>"Max z"</f>
        <v>Max z</v>
      </c>
      <c r="AB144" t="str">
        <f>"Max z Year"</f>
        <v>Max z Year</v>
      </c>
      <c r="AC144" t="str">
        <f>"Direction"</f>
        <v>Direction</v>
      </c>
      <c r="AE144" t="str">
        <f>"Trendline"</f>
        <v>Trendline</v>
      </c>
      <c r="AF144" t="str">
        <f>"Correlation"</f>
        <v>Correlation</v>
      </c>
      <c r="AZ144" t="str">
        <f>"Max/Min inequality check"</f>
        <v>Max/Min inequality check</v>
      </c>
      <c r="BA144" t="str">
        <f>"If most recent year is max"</f>
        <v>If most recent year is max</v>
      </c>
      <c r="BC144" t="str">
        <f>"If most recent year is min"</f>
        <v>If most recent year is min</v>
      </c>
      <c r="BE144" t="str">
        <f>"Trend direction"</f>
        <v>Trend direction</v>
      </c>
      <c r="BF144" t="str">
        <f>"If trend matched by max or min in most recent year"</f>
        <v>If trend matched by max or min in most recent year</v>
      </c>
      <c r="BG144" t="str">
        <f>"If 5 years of increasing"</f>
        <v>If 5 years of increasing</v>
      </c>
      <c r="BH144" t="str">
        <f>"If correlation &gt; .8"</f>
        <v>If correlation &gt; .8</v>
      </c>
    </row>
    <row r="145" spans="1:60" x14ac:dyDescent="0.3">
      <c r="A145" s="1">
        <v>0</v>
      </c>
      <c r="B145" t="s">
        <v>258</v>
      </c>
      <c r="C145" t="s">
        <v>2595</v>
      </c>
      <c r="D145" t="s">
        <v>2596</v>
      </c>
      <c r="E145" t="s">
        <v>2597</v>
      </c>
      <c r="F145" t="s">
        <v>2598</v>
      </c>
      <c r="G145" t="s">
        <v>2521</v>
      </c>
      <c r="I145" t="str">
        <f t="shared" si="21"/>
        <v>N/A</v>
      </c>
      <c r="J145">
        <f t="shared" si="22"/>
        <v>845550000</v>
      </c>
      <c r="K145">
        <f t="shared" si="23"/>
        <v>857810000</v>
      </c>
      <c r="L145">
        <f t="shared" si="24"/>
        <v>841450000</v>
      </c>
      <c r="M145">
        <f t="shared" si="25"/>
        <v>656270000</v>
      </c>
      <c r="N145">
        <f t="shared" si="26"/>
        <v>590260000</v>
      </c>
      <c r="P145">
        <f t="shared" ref="P145:P208" si="27">MAX(J145:N145)</f>
        <v>857810000</v>
      </c>
      <c r="Q145">
        <f>IFERROR(J144+MATCH(P145,J145:N145,0)-1,"")</f>
        <v>2013</v>
      </c>
      <c r="R145">
        <f t="shared" ref="R145:R208" si="28">IF(Q145="","",MIN(J145:N145))</f>
        <v>590260000</v>
      </c>
      <c r="S145">
        <f>IFERROR(J144+MATCH(R145,J145:N145,0)-1,"")</f>
        <v>2016</v>
      </c>
      <c r="T145">
        <f t="shared" ref="T145:T208" si="29">IFERROR(AVERAGE(J145:N145),"")</f>
        <v>758268000</v>
      </c>
      <c r="U145">
        <f t="shared" ref="U145:U208" si="30">IFERROR(STDEV(J145:N145),"")</f>
        <v>125574960.16324274</v>
      </c>
      <c r="V145">
        <f t="shared" ref="V145:V208" si="31">IFERROR(IF(C145="-","",IF(ISBLANK(B145),"",IF(OR(ISNUMBER(FIND("Growth",B145)),ISNUMBER(FIND("Margin",B145))),"",(J145-T145)/U145))),"")</f>
        <v>0.69505895033959531</v>
      </c>
      <c r="W145">
        <f t="shared" ref="W145:W208" si="32">IFERROR(IF(OR(D145="-",ISBLANK(D145)),"",(K145-T145)/U145),"")</f>
        <v>0.79268987918132028</v>
      </c>
      <c r="X145">
        <f t="shared" ref="X145:X208" si="33">IFERROR(IF(OR(E145="-",ISBLANK(E145)),"",(L145-T145)/U145),"")</f>
        <v>0.6624091291119385</v>
      </c>
      <c r="Y145">
        <f t="shared" ref="Y145:Y208" si="34">IFERROR(IF(OR(F145="-",ISBLANK(F145)),"",(M145-T145)/U145),"")</f>
        <v>-0.81224791843378985</v>
      </c>
      <c r="Z145">
        <f t="shared" ref="Z145:Z208" si="35">IFERROR(IF(OR(G145="-",ISBLANK(G145)),"",(N145-T145)/U145),"")</f>
        <v>-1.3379100401990642</v>
      </c>
      <c r="AA145">
        <f t="shared" ref="AA145:AA208" si="36">IF(MAX(MAX(V145:Z145),ABS(MIN(V145:Z145)))=ABS(MIN(V145:Z145)),MIN(V145:Z145),MAX(V145:Z145))</f>
        <v>-1.3379100401990642</v>
      </c>
      <c r="AB145">
        <f>IFERROR(V144+MATCH(AA145,V145:Z145,0)-1,"")</f>
        <v>2016</v>
      </c>
      <c r="AC145" t="str">
        <f t="shared" ref="AC145:AC208" si="37">IF(AB145&lt;&gt;"",IF(S145=AB145,"Low",IF(AB145=Q145,"High","")),"")</f>
        <v>Low</v>
      </c>
      <c r="AE145">
        <f>IF(ISNUMBER(MATCH("N/A",J145:N145,0)),"",IFERROR((5 * SUMPRODUCT(J144:N144,J145:N145) - PRODUCT(SUM(J144:N144),SUM(J145:N145))) / ((5 * SUM((J144^2)+(K144^2)+(L144^2)+(M144^2)+(N144^2))) - SUM(J144:N144)^2),""))</f>
        <v>-71212000</v>
      </c>
      <c r="AF145">
        <f>IFERROR(CORREL(J144:N144,J145:N145),"")</f>
        <v>-0.8966441894274515</v>
      </c>
      <c r="AZ145">
        <f t="shared" ref="AZ145:AZ208" si="38">IF(Q145=S145,0,1)</f>
        <v>1</v>
      </c>
      <c r="BA145" t="str">
        <f>IF(AZ145=1,IF(Q145="","",IF(Q145=N144,"Yes","No")),"")</f>
        <v>No</v>
      </c>
      <c r="BB145" t="str">
        <f t="shared" ref="BB145:BB208" si="39">IF(BA145="Yes",P145,"")</f>
        <v/>
      </c>
      <c r="BC145" t="str">
        <f>IF(AZ145=1,IF(S145="","",IF(S145=N144,"Yes","No")),"")</f>
        <v>Yes</v>
      </c>
      <c r="BD145">
        <f t="shared" ref="BD145:BD208" si="40">IF(BC145="Yes",R145,"")</f>
        <v>590260000</v>
      </c>
      <c r="BE145" t="str">
        <f t="shared" ref="BE145:BE208" si="41">IFERROR(IF(SIGN(AE145)=1,"Increasing",IF(SIGN(AE145)=-1,"Decreasing","")),"")</f>
        <v>Decreasing</v>
      </c>
      <c r="BF145" t="str">
        <f t="shared" ref="BF145:BF208" si="42">IF(OR(AND(BE145="Increasing",BA145="Yes"),AND(BE145="Decreasing",BC145="Yes")),"Yes","No")</f>
        <v>Yes</v>
      </c>
      <c r="BG145" t="str">
        <f t="shared" ref="BG145:BG208" si="43">IF(I145="pos_trend","Yes","No")</f>
        <v>No</v>
      </c>
      <c r="BH145" t="str">
        <f t="shared" ref="BH145:BH208" si="44">IF(AF145&lt;&gt;"",IF(ABS(AF145)&gt;0.8,"Yes","No"),"")</f>
        <v>Yes</v>
      </c>
    </row>
    <row r="146" spans="1:60" x14ac:dyDescent="0.3">
      <c r="A146" s="1">
        <v>1</v>
      </c>
      <c r="B146" t="s">
        <v>263</v>
      </c>
      <c r="C146" t="s">
        <v>264</v>
      </c>
      <c r="D146" t="s">
        <v>1081</v>
      </c>
      <c r="E146" t="s">
        <v>2599</v>
      </c>
      <c r="F146" t="s">
        <v>2600</v>
      </c>
      <c r="G146" t="s">
        <v>2601</v>
      </c>
      <c r="I146" t="str">
        <f t="shared" si="21"/>
        <v>N/A</v>
      </c>
      <c r="J146" t="str">
        <f t="shared" si="22"/>
        <v>N/A</v>
      </c>
      <c r="K146">
        <f t="shared" si="23"/>
        <v>1.4499999999999999E-2</v>
      </c>
      <c r="L146">
        <f t="shared" si="24"/>
        <v>-1.9099999999999999E-2</v>
      </c>
      <c r="M146">
        <f t="shared" si="25"/>
        <v>-0.22010000000000002</v>
      </c>
      <c r="N146">
        <f t="shared" si="26"/>
        <v>-0.10060000000000001</v>
      </c>
      <c r="P146">
        <f t="shared" si="27"/>
        <v>1.4499999999999999E-2</v>
      </c>
      <c r="Q146">
        <f>IFERROR(J144+MATCH(P146,J146:N146,0)-1,"")</f>
        <v>2013</v>
      </c>
      <c r="R146">
        <f t="shared" si="28"/>
        <v>-0.22010000000000002</v>
      </c>
      <c r="S146">
        <f>IFERROR(J144+MATCH(R146,J146:N146,0)-1,"")</f>
        <v>2015</v>
      </c>
      <c r="T146">
        <f t="shared" si="29"/>
        <v>-8.1325000000000008E-2</v>
      </c>
      <c r="U146">
        <f t="shared" si="30"/>
        <v>0.10437817061052566</v>
      </c>
      <c r="V146" t="str">
        <f t="shared" si="31"/>
        <v/>
      </c>
      <c r="W146">
        <f t="shared" si="32"/>
        <v>0.91805594445182637</v>
      </c>
      <c r="X146">
        <f t="shared" si="33"/>
        <v>0.59614955537192693</v>
      </c>
      <c r="Y146">
        <f t="shared" si="34"/>
        <v>-1.3295404507310431</v>
      </c>
      <c r="Z146">
        <f t="shared" si="35"/>
        <v>-0.18466504909271017</v>
      </c>
      <c r="AA146">
        <f t="shared" si="36"/>
        <v>-1.3295404507310431</v>
      </c>
      <c r="AB146">
        <f>IFERROR(V144+MATCH(AA146,V146:Z146,0)-1,"")</f>
        <v>2015</v>
      </c>
      <c r="AC146" t="str">
        <f t="shared" si="37"/>
        <v>Low</v>
      </c>
      <c r="AE146" t="str">
        <f>IF(ISNUMBER(MATCH("N/A",J146:N146,0)),"",IFERROR((5 * SUMPRODUCT(J144:N144,J146:N146) - PRODUCT(SUM(J144:N144),SUM(J146:N146))) / ((5 * SUM((J144^2)+(K144^2)+(L144^2)+(M144^2)+(N144^2))) - SUM(J144:N144)^2),""))</f>
        <v/>
      </c>
      <c r="AF146">
        <f>IFERROR(CORREL(J144:N144,J146:N146),"")</f>
        <v>-0.67568751513762415</v>
      </c>
      <c r="AZ146">
        <f t="shared" si="38"/>
        <v>1</v>
      </c>
      <c r="BA146" t="str">
        <f>IF(AZ146=1,IF(Q146="","",IF(Q146=N144,"Yes","No")),"")</f>
        <v>No</v>
      </c>
      <c r="BB146" t="str">
        <f t="shared" si="39"/>
        <v/>
      </c>
      <c r="BC146" t="str">
        <f>IF(AZ146=1,IF(S146="","",IF(S146=N144,"Yes","No")),"")</f>
        <v>No</v>
      </c>
      <c r="BD146" t="str">
        <f t="shared" si="40"/>
        <v/>
      </c>
      <c r="BE146" t="str">
        <f t="shared" si="41"/>
        <v/>
      </c>
      <c r="BF146" t="str">
        <f t="shared" si="42"/>
        <v>No</v>
      </c>
      <c r="BG146" t="str">
        <f t="shared" si="43"/>
        <v>No</v>
      </c>
      <c r="BH146" t="str">
        <f t="shared" si="44"/>
        <v>No</v>
      </c>
    </row>
    <row r="147" spans="1:60" x14ac:dyDescent="0.3">
      <c r="A147" s="1">
        <v>2</v>
      </c>
      <c r="B147" t="s">
        <v>269</v>
      </c>
      <c r="C147" t="s">
        <v>2602</v>
      </c>
      <c r="D147" t="s">
        <v>2603</v>
      </c>
      <c r="E147" t="s">
        <v>2604</v>
      </c>
      <c r="F147" t="s">
        <v>2605</v>
      </c>
      <c r="G147" t="s">
        <v>2606</v>
      </c>
      <c r="I147" t="str">
        <f t="shared" si="21"/>
        <v>neg_trend</v>
      </c>
      <c r="J147">
        <f t="shared" si="22"/>
        <v>604010000</v>
      </c>
      <c r="K147">
        <f t="shared" si="23"/>
        <v>589560000</v>
      </c>
      <c r="L147">
        <f t="shared" si="24"/>
        <v>576440000</v>
      </c>
      <c r="M147">
        <f t="shared" si="25"/>
        <v>447550000</v>
      </c>
      <c r="N147">
        <f t="shared" si="26"/>
        <v>403340000</v>
      </c>
      <c r="P147">
        <f t="shared" si="27"/>
        <v>604010000</v>
      </c>
      <c r="Q147">
        <f>IFERROR(J144+MATCH(P147,J147:N147,0)-1,"")</f>
        <v>2012</v>
      </c>
      <c r="R147">
        <f t="shared" si="28"/>
        <v>403340000</v>
      </c>
      <c r="S147">
        <f>IFERROR(J144+MATCH(R147,J147:N147,0)-1,"")</f>
        <v>2016</v>
      </c>
      <c r="T147">
        <f t="shared" si="29"/>
        <v>524180000</v>
      </c>
      <c r="U147">
        <f t="shared" si="30"/>
        <v>91995846.917129904</v>
      </c>
      <c r="V147">
        <f t="shared" si="31"/>
        <v>0.8677565637491339</v>
      </c>
      <c r="W147">
        <f t="shared" si="32"/>
        <v>0.71068425576748562</v>
      </c>
      <c r="X147">
        <f t="shared" si="33"/>
        <v>0.56806912215369831</v>
      </c>
      <c r="Y147">
        <f t="shared" si="34"/>
        <v>-0.83297238481894187</v>
      </c>
      <c r="Z147">
        <f t="shared" si="35"/>
        <v>-1.3135375568513759</v>
      </c>
      <c r="AA147">
        <f t="shared" si="36"/>
        <v>-1.3135375568513759</v>
      </c>
      <c r="AB147">
        <f>IFERROR(V144+MATCH(AA147,V147:Z147,0)-1,"")</f>
        <v>2016</v>
      </c>
      <c r="AC147" t="str">
        <f t="shared" si="37"/>
        <v>Low</v>
      </c>
      <c r="AE147">
        <f>IF(ISNUMBER(MATCH("N/A",J147:N147,0)),"",IFERROR((5 * SUMPRODUCT(J144:N144,J147:N147) - PRODUCT(SUM(J144:N144),SUM(J147:N147))) / ((5 * SUM((J144^2)+(K144^2)+(L144^2)+(M144^2)+(N144^2))) - SUM(J144:N144)^2),""))</f>
        <v>-54335000</v>
      </c>
      <c r="AF147">
        <f>IFERROR(CORREL(J144:N144,J147:N147),"")</f>
        <v>-0.93385931225801366</v>
      </c>
      <c r="AZ147">
        <f t="shared" si="38"/>
        <v>1</v>
      </c>
      <c r="BA147" t="str">
        <f>IF(AZ147=1,IF(Q147="","",IF(Q147=N144,"Yes","No")),"")</f>
        <v>No</v>
      </c>
      <c r="BB147" t="str">
        <f t="shared" si="39"/>
        <v/>
      </c>
      <c r="BC147" t="str">
        <f>IF(AZ147=1,IF(S147="","",IF(S147=N144,"Yes","No")),"")</f>
        <v>Yes</v>
      </c>
      <c r="BD147">
        <f t="shared" si="40"/>
        <v>403340000</v>
      </c>
      <c r="BE147" t="str">
        <f t="shared" si="41"/>
        <v>Decreasing</v>
      </c>
      <c r="BF147" t="str">
        <f t="shared" si="42"/>
        <v>Yes</v>
      </c>
      <c r="BG147" t="str">
        <f t="shared" si="43"/>
        <v>No</v>
      </c>
      <c r="BH147" t="str">
        <f t="shared" si="44"/>
        <v>Yes</v>
      </c>
    </row>
    <row r="148" spans="1:60" x14ac:dyDescent="0.3">
      <c r="A148" s="1">
        <v>3</v>
      </c>
      <c r="B148" t="s">
        <v>275</v>
      </c>
      <c r="C148" t="s">
        <v>2607</v>
      </c>
      <c r="D148" t="s">
        <v>2608</v>
      </c>
      <c r="E148" t="s">
        <v>2609</v>
      </c>
      <c r="F148" t="s">
        <v>2610</v>
      </c>
      <c r="G148" t="s">
        <v>2611</v>
      </c>
      <c r="I148" t="str">
        <f t="shared" si="21"/>
        <v>neg_trend</v>
      </c>
      <c r="J148">
        <f t="shared" si="22"/>
        <v>584680000</v>
      </c>
      <c r="K148">
        <f t="shared" si="23"/>
        <v>570490000</v>
      </c>
      <c r="L148">
        <f t="shared" si="24"/>
        <v>556870000</v>
      </c>
      <c r="M148">
        <f t="shared" si="25"/>
        <v>423610000</v>
      </c>
      <c r="N148">
        <f t="shared" si="26"/>
        <v>377720000</v>
      </c>
      <c r="P148">
        <f t="shared" si="27"/>
        <v>584680000</v>
      </c>
      <c r="Q148">
        <f>IFERROR(J144+MATCH(P148,J148:N148,0)-1,"")</f>
        <v>2012</v>
      </c>
      <c r="R148">
        <f t="shared" si="28"/>
        <v>377720000</v>
      </c>
      <c r="S148">
        <f>IFERROR(J144+MATCH(R148,J148:N148,0)-1,"")</f>
        <v>2016</v>
      </c>
      <c r="T148">
        <f t="shared" si="29"/>
        <v>502674000</v>
      </c>
      <c r="U148">
        <f t="shared" si="30"/>
        <v>95033965.664913714</v>
      </c>
      <c r="V148">
        <f t="shared" si="31"/>
        <v>0.8629125326533269</v>
      </c>
      <c r="W148">
        <f t="shared" si="32"/>
        <v>0.71359749670046113</v>
      </c>
      <c r="X148">
        <f t="shared" si="33"/>
        <v>0.57028031631441245</v>
      </c>
      <c r="Y148">
        <f t="shared" si="34"/>
        <v>-0.83195517988565026</v>
      </c>
      <c r="Z148">
        <f t="shared" si="35"/>
        <v>-1.3148351657825501</v>
      </c>
      <c r="AA148">
        <f t="shared" si="36"/>
        <v>-1.3148351657825501</v>
      </c>
      <c r="AB148">
        <f>IFERROR(V144+MATCH(AA148,V148:Z148,0)-1,"")</f>
        <v>2016</v>
      </c>
      <c r="AC148" t="str">
        <f t="shared" si="37"/>
        <v>Low</v>
      </c>
      <c r="AE148">
        <f>IF(ISNUMBER(MATCH("N/A",J148:N148,0)),"",IFERROR((5 * SUMPRODUCT(J144:N144,J148:N148) - PRODUCT(SUM(J144:N144),SUM(J148:N148))) / ((5 * SUM((J144^2)+(K144^2)+(L144^2)+(M144^2)+(N144^2))) - SUM(J144:N144)^2),""))</f>
        <v>-56080000</v>
      </c>
      <c r="AF148">
        <f>IFERROR(CORREL(J144:N144,J148:N148),"")</f>
        <v>-0.93303762471377294</v>
      </c>
      <c r="AZ148">
        <f t="shared" si="38"/>
        <v>1</v>
      </c>
      <c r="BA148" t="str">
        <f>IF(AZ148=1,IF(Q148="","",IF(Q148=N144,"Yes","No")),"")</f>
        <v>No</v>
      </c>
      <c r="BB148" t="str">
        <f t="shared" si="39"/>
        <v/>
      </c>
      <c r="BC148" t="str">
        <f>IF(AZ148=1,IF(S148="","",IF(S148=N144,"Yes","No")),"")</f>
        <v>Yes</v>
      </c>
      <c r="BD148">
        <f t="shared" si="40"/>
        <v>377720000</v>
      </c>
      <c r="BE148" t="str">
        <f t="shared" si="41"/>
        <v>Decreasing</v>
      </c>
      <c r="BF148" t="str">
        <f t="shared" si="42"/>
        <v>Yes</v>
      </c>
      <c r="BG148" t="str">
        <f t="shared" si="43"/>
        <v>No</v>
      </c>
      <c r="BH148" t="str">
        <f t="shared" si="44"/>
        <v>Yes</v>
      </c>
    </row>
    <row r="149" spans="1:60" x14ac:dyDescent="0.3">
      <c r="A149" s="1">
        <v>4</v>
      </c>
      <c r="B149" t="s">
        <v>281</v>
      </c>
      <c r="C149" t="s">
        <v>2612</v>
      </c>
      <c r="D149" t="s">
        <v>2613</v>
      </c>
      <c r="E149" t="s">
        <v>2614</v>
      </c>
      <c r="F149" t="s">
        <v>2615</v>
      </c>
      <c r="G149" t="s">
        <v>2616</v>
      </c>
      <c r="I149" t="str">
        <f t="shared" si="21"/>
        <v>N/A</v>
      </c>
      <c r="J149">
        <f t="shared" si="22"/>
        <v>19330000</v>
      </c>
      <c r="K149">
        <f t="shared" si="23"/>
        <v>19070000</v>
      </c>
      <c r="L149">
        <f t="shared" si="24"/>
        <v>19560000</v>
      </c>
      <c r="M149">
        <f t="shared" si="25"/>
        <v>23940000</v>
      </c>
      <c r="N149">
        <f t="shared" si="26"/>
        <v>25620000</v>
      </c>
      <c r="P149">
        <f t="shared" si="27"/>
        <v>25620000</v>
      </c>
      <c r="Q149">
        <f>IFERROR(J144+MATCH(P149,J149:N149,0)-1,"")</f>
        <v>2016</v>
      </c>
      <c r="R149">
        <f t="shared" si="28"/>
        <v>19070000</v>
      </c>
      <c r="S149">
        <f>IFERROR(J144+MATCH(R149,J149:N149,0)-1,"")</f>
        <v>2013</v>
      </c>
      <c r="T149">
        <f t="shared" si="29"/>
        <v>21504000</v>
      </c>
      <c r="U149">
        <f t="shared" si="30"/>
        <v>3053904.0587418592</v>
      </c>
      <c r="V149">
        <f t="shared" si="31"/>
        <v>-0.71187567067697599</v>
      </c>
      <c r="W149">
        <f t="shared" si="32"/>
        <v>-0.79701259541295288</v>
      </c>
      <c r="X149">
        <f t="shared" si="33"/>
        <v>-0.6365622372566887</v>
      </c>
      <c r="Y149">
        <f t="shared" si="34"/>
        <v>0.79766749483399879</v>
      </c>
      <c r="Z149">
        <f t="shared" si="35"/>
        <v>1.3477830085126188</v>
      </c>
      <c r="AA149">
        <f t="shared" si="36"/>
        <v>1.3477830085126188</v>
      </c>
      <c r="AB149">
        <f>IFERROR(V144+MATCH(AA149,V149:Z149,0)-1,"")</f>
        <v>2016</v>
      </c>
      <c r="AC149" t="str">
        <f t="shared" si="37"/>
        <v>High</v>
      </c>
      <c r="AE149">
        <f>IF(ISNUMBER(MATCH("N/A",J149:N149,0)),"",IFERROR((5 * SUMPRODUCT(J144:N144,J149:N149) - PRODUCT(SUM(J144:N144),SUM(J149:N149))) / ((5 * SUM((J144^2)+(K144^2)+(L144^2)+(M144^2)+(N144^2))) - SUM(J144:N144)^2),""))</f>
        <v>1745000</v>
      </c>
      <c r="AF149">
        <f>IFERROR(CORREL(J144:N144,J149:N149),"")</f>
        <v>0.90346232410247806</v>
      </c>
      <c r="AZ149">
        <f t="shared" si="38"/>
        <v>1</v>
      </c>
      <c r="BA149" t="str">
        <f>IF(AZ149=1,IF(Q149="","",IF(Q149=N144,"Yes","No")),"")</f>
        <v>Yes</v>
      </c>
      <c r="BB149">
        <f t="shared" si="39"/>
        <v>25620000</v>
      </c>
      <c r="BC149" t="str">
        <f>IF(AZ149=1,IF(S149="","",IF(S149=N144,"Yes","No")),"")</f>
        <v>No</v>
      </c>
      <c r="BD149" t="str">
        <f t="shared" si="40"/>
        <v/>
      </c>
      <c r="BE149" t="str">
        <f t="shared" si="41"/>
        <v>Increasing</v>
      </c>
      <c r="BF149" t="str">
        <f t="shared" si="42"/>
        <v>Yes</v>
      </c>
      <c r="BG149" t="str">
        <f t="shared" si="43"/>
        <v>No</v>
      </c>
      <c r="BH149" t="str">
        <f t="shared" si="44"/>
        <v>Yes</v>
      </c>
    </row>
    <row r="150" spans="1:60" x14ac:dyDescent="0.3">
      <c r="A150" s="1">
        <v>5</v>
      </c>
      <c r="B150" t="s">
        <v>287</v>
      </c>
      <c r="C150" t="s">
        <v>2617</v>
      </c>
      <c r="D150" t="s">
        <v>2618</v>
      </c>
      <c r="E150" t="s">
        <v>2619</v>
      </c>
      <c r="F150" t="s">
        <v>2620</v>
      </c>
      <c r="G150" t="s">
        <v>2621</v>
      </c>
      <c r="I150" t="str">
        <f t="shared" si="21"/>
        <v>N/A</v>
      </c>
      <c r="J150">
        <f t="shared" si="22"/>
        <v>15730000</v>
      </c>
      <c r="K150">
        <f t="shared" si="23"/>
        <v>16030000.000000002</v>
      </c>
      <c r="L150">
        <f t="shared" si="24"/>
        <v>16450000</v>
      </c>
      <c r="M150">
        <f t="shared" si="25"/>
        <v>14250000</v>
      </c>
      <c r="N150">
        <f t="shared" si="26"/>
        <v>13300000</v>
      </c>
      <c r="P150">
        <f t="shared" si="27"/>
        <v>16450000</v>
      </c>
      <c r="Q150">
        <f>IFERROR(J144+MATCH(P150,J150:N150,0)-1,"")</f>
        <v>2014</v>
      </c>
      <c r="R150">
        <f t="shared" si="28"/>
        <v>13300000</v>
      </c>
      <c r="S150">
        <f>IFERROR(J144+MATCH(R150,J150:N150,0)-1,"")</f>
        <v>2016</v>
      </c>
      <c r="T150">
        <f t="shared" si="29"/>
        <v>15152000</v>
      </c>
      <c r="U150">
        <f t="shared" si="30"/>
        <v>1326016.5911480901</v>
      </c>
      <c r="V150">
        <f t="shared" si="31"/>
        <v>0.43589198193934869</v>
      </c>
      <c r="W150">
        <f t="shared" si="32"/>
        <v>0.66213349505665908</v>
      </c>
      <c r="X150">
        <f t="shared" si="33"/>
        <v>0.97887161342089035</v>
      </c>
      <c r="Y150">
        <f t="shared" si="34"/>
        <v>-0.68023281610604247</v>
      </c>
      <c r="Z150">
        <f t="shared" si="35"/>
        <v>-1.3966642743108544</v>
      </c>
      <c r="AA150">
        <f t="shared" si="36"/>
        <v>-1.3966642743108544</v>
      </c>
      <c r="AB150">
        <f>IFERROR(V144+MATCH(AA150,V150:Z150,0)-1,"")</f>
        <v>2016</v>
      </c>
      <c r="AC150" t="str">
        <f t="shared" si="37"/>
        <v>Low</v>
      </c>
      <c r="AE150">
        <f>IF(ISNUMBER(MATCH("N/A",J150:N150,0)),"",IFERROR((5 * SUMPRODUCT(J144:N144,J150:N150) - PRODUCT(SUM(J144:N144),SUM(J150:N150))) / ((5 * SUM((J144^2)+(K144^2)+(L144^2)+(M144^2)+(N144^2))) - SUM(J144:N144)^2),""))</f>
        <v>-664000</v>
      </c>
      <c r="AF150">
        <f>IFERROR(CORREL(J144:N144,J150:N150),"")</f>
        <v>-0.79175192089180402</v>
      </c>
      <c r="AZ150">
        <f t="shared" si="38"/>
        <v>1</v>
      </c>
      <c r="BA150" t="str">
        <f>IF(AZ150=1,IF(Q150="","",IF(Q150=N144,"Yes","No")),"")</f>
        <v>No</v>
      </c>
      <c r="BB150" t="str">
        <f t="shared" si="39"/>
        <v/>
      </c>
      <c r="BC150" t="str">
        <f>IF(AZ150=1,IF(S150="","",IF(S150=N144,"Yes","No")),"")</f>
        <v>Yes</v>
      </c>
      <c r="BD150">
        <f t="shared" si="40"/>
        <v>13300000</v>
      </c>
      <c r="BE150" t="str">
        <f t="shared" si="41"/>
        <v>Decreasing</v>
      </c>
      <c r="BF150" t="str">
        <f t="shared" si="42"/>
        <v>Yes</v>
      </c>
      <c r="BG150" t="str">
        <f t="shared" si="43"/>
        <v>No</v>
      </c>
      <c r="BH150" t="str">
        <f t="shared" si="44"/>
        <v>No</v>
      </c>
    </row>
    <row r="151" spans="1:60" x14ac:dyDescent="0.3">
      <c r="A151" s="1">
        <v>6</v>
      </c>
      <c r="B151" t="s">
        <v>293</v>
      </c>
      <c r="C151" t="s">
        <v>2622</v>
      </c>
      <c r="D151" t="s">
        <v>2623</v>
      </c>
      <c r="E151" t="s">
        <v>2153</v>
      </c>
      <c r="F151" t="s">
        <v>2624</v>
      </c>
      <c r="G151" t="s">
        <v>2625</v>
      </c>
      <c r="I151" t="str">
        <f t="shared" si="21"/>
        <v>N/A</v>
      </c>
      <c r="J151">
        <f t="shared" si="22"/>
        <v>3600000</v>
      </c>
      <c r="K151">
        <f t="shared" si="23"/>
        <v>3040000</v>
      </c>
      <c r="L151">
        <f t="shared" si="24"/>
        <v>3120000</v>
      </c>
      <c r="M151">
        <f t="shared" si="25"/>
        <v>9680000</v>
      </c>
      <c r="N151">
        <f t="shared" si="26"/>
        <v>12320000</v>
      </c>
      <c r="P151">
        <f t="shared" si="27"/>
        <v>12320000</v>
      </c>
      <c r="Q151">
        <f>IFERROR(J144+MATCH(P151,J151:N151,0)-1,"")</f>
        <v>2016</v>
      </c>
      <c r="R151">
        <f t="shared" si="28"/>
        <v>3040000</v>
      </c>
      <c r="S151">
        <f>IFERROR(J144+MATCH(R151,J151:N151,0)-1,"")</f>
        <v>2013</v>
      </c>
      <c r="T151">
        <f t="shared" si="29"/>
        <v>6352000</v>
      </c>
      <c r="U151">
        <f t="shared" si="30"/>
        <v>4349749.4180699652</v>
      </c>
      <c r="V151">
        <f t="shared" si="31"/>
        <v>-0.63268012372563165</v>
      </c>
      <c r="W151">
        <f t="shared" si="32"/>
        <v>-0.76142317215817301</v>
      </c>
      <c r="X151">
        <f t="shared" si="33"/>
        <v>-0.7430313080963814</v>
      </c>
      <c r="Y151">
        <f t="shared" si="34"/>
        <v>0.76510154497053129</v>
      </c>
      <c r="Z151">
        <f t="shared" si="35"/>
        <v>1.3720330590096548</v>
      </c>
      <c r="AA151">
        <f t="shared" si="36"/>
        <v>1.3720330590096548</v>
      </c>
      <c r="AB151">
        <f>IFERROR(V144+MATCH(AA151,V151:Z151,0)-1,"")</f>
        <v>2016</v>
      </c>
      <c r="AC151" t="str">
        <f t="shared" si="37"/>
        <v>High</v>
      </c>
      <c r="AE151">
        <f>IF(ISNUMBER(MATCH("N/A",J151:N151,0)),"",IFERROR((5 * SUMPRODUCT(J144:N144,J151:N151) - PRODUCT(SUM(J144:N144),SUM(J151:N151))) / ((5 * SUM((J144^2)+(K144^2)+(L144^2)+(M144^2)+(N144^2))) - SUM(J144:N144)^2),""))</f>
        <v>2408000</v>
      </c>
      <c r="AF151">
        <f>IFERROR(CORREL(J144:N144,J151:N151),"")</f>
        <v>0.87531072181443248</v>
      </c>
      <c r="AZ151">
        <f t="shared" si="38"/>
        <v>1</v>
      </c>
      <c r="BA151" t="str">
        <f>IF(AZ151=1,IF(Q151="","",IF(Q151=N144,"Yes","No")),"")</f>
        <v>Yes</v>
      </c>
      <c r="BB151">
        <f t="shared" si="39"/>
        <v>12320000</v>
      </c>
      <c r="BC151" t="str">
        <f>IF(AZ151=1,IF(S151="","",IF(S151=N144,"Yes","No")),"")</f>
        <v>No</v>
      </c>
      <c r="BD151" t="str">
        <f t="shared" si="40"/>
        <v/>
      </c>
      <c r="BE151" t="str">
        <f t="shared" si="41"/>
        <v>Increasing</v>
      </c>
      <c r="BF151" t="str">
        <f t="shared" si="42"/>
        <v>Yes</v>
      </c>
      <c r="BG151" t="str">
        <f t="shared" si="43"/>
        <v>No</v>
      </c>
      <c r="BH151" t="str">
        <f t="shared" si="44"/>
        <v>Yes</v>
      </c>
    </row>
    <row r="152" spans="1:60" x14ac:dyDescent="0.3">
      <c r="A152" s="1">
        <v>7</v>
      </c>
      <c r="B152" t="s">
        <v>298</v>
      </c>
      <c r="C152" t="s">
        <v>264</v>
      </c>
      <c r="D152" t="s">
        <v>2626</v>
      </c>
      <c r="E152" t="s">
        <v>2627</v>
      </c>
      <c r="F152" t="s">
        <v>2628</v>
      </c>
      <c r="G152" t="s">
        <v>2629</v>
      </c>
      <c r="I152" t="str">
        <f t="shared" si="21"/>
        <v>N/A</v>
      </c>
      <c r="J152" t="str">
        <f t="shared" si="22"/>
        <v>N/A</v>
      </c>
      <c r="K152">
        <f t="shared" si="23"/>
        <v>-2.3900000000000001E-2</v>
      </c>
      <c r="L152">
        <f t="shared" si="24"/>
        <v>-2.23E-2</v>
      </c>
      <c r="M152">
        <f t="shared" si="25"/>
        <v>-0.22359999999999999</v>
      </c>
      <c r="N152">
        <f t="shared" si="26"/>
        <v>-9.8800000000000013E-2</v>
      </c>
      <c r="P152">
        <f t="shared" si="27"/>
        <v>-2.23E-2</v>
      </c>
      <c r="Q152">
        <f>IFERROR(J144+MATCH(P152,J152:N152,0)-1,"")</f>
        <v>2014</v>
      </c>
      <c r="R152">
        <f t="shared" si="28"/>
        <v>-0.22359999999999999</v>
      </c>
      <c r="S152">
        <f>IFERROR(J144+MATCH(R152,J152:N152,0)-1,"")</f>
        <v>2015</v>
      </c>
      <c r="T152">
        <f t="shared" si="29"/>
        <v>-9.2149999999999996E-2</v>
      </c>
      <c r="U152">
        <f t="shared" si="30"/>
        <v>9.4622777384729115E-2</v>
      </c>
      <c r="V152" t="str">
        <f t="shared" si="31"/>
        <v/>
      </c>
      <c r="W152">
        <f t="shared" si="32"/>
        <v>0.72128510583134342</v>
      </c>
      <c r="X152">
        <f t="shared" si="33"/>
        <v>0.73819435373361675</v>
      </c>
      <c r="Y152">
        <f t="shared" si="34"/>
        <v>-1.3892003979711371</v>
      </c>
      <c r="Z152">
        <f t="shared" si="35"/>
        <v>-7.0279061593823397E-2</v>
      </c>
      <c r="AA152">
        <f t="shared" si="36"/>
        <v>-1.3892003979711371</v>
      </c>
      <c r="AB152">
        <f>IFERROR(V144+MATCH(AA152,V152:Z152,0)-1,"")</f>
        <v>2015</v>
      </c>
      <c r="AC152" t="str">
        <f t="shared" si="37"/>
        <v>Low</v>
      </c>
      <c r="AE152" t="str">
        <f>IF(ISNUMBER(MATCH("N/A",J152:N152,0)),"",IFERROR((5 * SUMPRODUCT(J144:N144,J152:N152) - PRODUCT(SUM(J144:N144),SUM(J152:N152))) / ((5 * SUM((J144^2)+(K144^2)+(L144^2)+(M144^2)+(N144^2))) - SUM(J144:N144)^2),""))</f>
        <v/>
      </c>
      <c r="AF152">
        <f>IFERROR(CORREL(J144:N144,J152:N152),"")</f>
        <v>-0.58121696526127364</v>
      </c>
      <c r="AZ152">
        <f t="shared" si="38"/>
        <v>1</v>
      </c>
      <c r="BA152" t="str">
        <f>IF(AZ152=1,IF(Q152="","",IF(Q152=N144,"Yes","No")),"")</f>
        <v>No</v>
      </c>
      <c r="BB152" t="str">
        <f t="shared" si="39"/>
        <v/>
      </c>
      <c r="BC152" t="str">
        <f>IF(AZ152=1,IF(S152="","",IF(S152=N144,"Yes","No")),"")</f>
        <v>No</v>
      </c>
      <c r="BD152" t="str">
        <f t="shared" si="40"/>
        <v/>
      </c>
      <c r="BE152" t="str">
        <f t="shared" si="41"/>
        <v/>
      </c>
      <c r="BF152" t="str">
        <f t="shared" si="42"/>
        <v>No</v>
      </c>
      <c r="BG152" t="str">
        <f t="shared" si="43"/>
        <v>No</v>
      </c>
      <c r="BH152" t="str">
        <f t="shared" si="44"/>
        <v>No</v>
      </c>
    </row>
    <row r="153" spans="1:60" x14ac:dyDescent="0.3">
      <c r="A153" s="1">
        <v>8</v>
      </c>
      <c r="B153" t="s">
        <v>303</v>
      </c>
      <c r="C153" t="s">
        <v>2630</v>
      </c>
      <c r="D153" t="s">
        <v>2631</v>
      </c>
      <c r="E153" t="s">
        <v>2632</v>
      </c>
      <c r="F153" t="s">
        <v>2633</v>
      </c>
      <c r="G153" t="s">
        <v>2634</v>
      </c>
      <c r="I153" t="str">
        <f t="shared" si="21"/>
        <v>N/A</v>
      </c>
      <c r="J153">
        <f t="shared" si="22"/>
        <v>241540000</v>
      </c>
      <c r="K153">
        <f t="shared" si="23"/>
        <v>268250000</v>
      </c>
      <c r="L153">
        <f t="shared" si="24"/>
        <v>265010000</v>
      </c>
      <c r="M153">
        <f t="shared" si="25"/>
        <v>208720000</v>
      </c>
      <c r="N153">
        <f t="shared" si="26"/>
        <v>186920000</v>
      </c>
      <c r="P153">
        <f t="shared" si="27"/>
        <v>268250000</v>
      </c>
      <c r="Q153">
        <f>IFERROR(J144+MATCH(P153,J153:N153,0)-1,"")</f>
        <v>2013</v>
      </c>
      <c r="R153">
        <f t="shared" si="28"/>
        <v>186920000</v>
      </c>
      <c r="S153">
        <f>IFERROR(J144+MATCH(R153,J153:N153,0)-1,"")</f>
        <v>2016</v>
      </c>
      <c r="T153">
        <f t="shared" si="29"/>
        <v>234088000</v>
      </c>
      <c r="U153">
        <f t="shared" si="30"/>
        <v>35521473.36471279</v>
      </c>
      <c r="V153">
        <f t="shared" si="31"/>
        <v>0.20978859529522934</v>
      </c>
      <c r="W153">
        <f t="shared" si="32"/>
        <v>0.96172812566768984</v>
      </c>
      <c r="X153">
        <f t="shared" si="33"/>
        <v>0.87051569293063358</v>
      </c>
      <c r="Y153">
        <f t="shared" si="34"/>
        <v>-0.71415956594865515</v>
      </c>
      <c r="Z153">
        <f t="shared" si="35"/>
        <v>-1.3278728479448978</v>
      </c>
      <c r="AA153">
        <f t="shared" si="36"/>
        <v>-1.3278728479448978</v>
      </c>
      <c r="AB153">
        <f>IFERROR(V144+MATCH(AA153,V153:Z153,0)-1,"")</f>
        <v>2016</v>
      </c>
      <c r="AC153" t="str">
        <f t="shared" si="37"/>
        <v>Low</v>
      </c>
      <c r="AE153">
        <f>IF(ISNUMBER(MATCH("N/A",J153:N153,0)),"",IFERROR((5 * SUMPRODUCT(J144:N144,J153:N153) - PRODUCT(SUM(J144:N144),SUM(J153:N153))) / ((5 * SUM((J144^2)+(K144^2)+(L144^2)+(M144^2)+(N144^2))) - SUM(J144:N144)^2),""))</f>
        <v>-16877000</v>
      </c>
      <c r="AF153">
        <f>IFERROR(CORREL(J144:N144,J153:N153),"")</f>
        <v>-0.75123235349352835</v>
      </c>
      <c r="AZ153">
        <f t="shared" si="38"/>
        <v>1</v>
      </c>
      <c r="BA153" t="str">
        <f>IF(AZ153=1,IF(Q153="","",IF(Q153=N144,"Yes","No")),"")</f>
        <v>No</v>
      </c>
      <c r="BB153" t="str">
        <f t="shared" si="39"/>
        <v/>
      </c>
      <c r="BC153" t="str">
        <f>IF(AZ153=1,IF(S153="","",IF(S153=N144,"Yes","No")),"")</f>
        <v>Yes</v>
      </c>
      <c r="BD153">
        <f t="shared" si="40"/>
        <v>186920000</v>
      </c>
      <c r="BE153" t="str">
        <f t="shared" si="41"/>
        <v>Decreasing</v>
      </c>
      <c r="BF153" t="str">
        <f t="shared" si="42"/>
        <v>Yes</v>
      </c>
      <c r="BG153" t="str">
        <f t="shared" si="43"/>
        <v>No</v>
      </c>
      <c r="BH153" t="str">
        <f t="shared" si="44"/>
        <v>No</v>
      </c>
    </row>
    <row r="154" spans="1:60" x14ac:dyDescent="0.3">
      <c r="A154" s="1">
        <v>9</v>
      </c>
      <c r="B154" t="s">
        <v>309</v>
      </c>
      <c r="C154" t="s">
        <v>264</v>
      </c>
      <c r="D154" t="s">
        <v>2635</v>
      </c>
      <c r="E154" t="s">
        <v>2636</v>
      </c>
      <c r="F154" t="s">
        <v>2637</v>
      </c>
      <c r="G154" t="s">
        <v>2638</v>
      </c>
      <c r="I154" t="str">
        <f t="shared" si="21"/>
        <v>N/A</v>
      </c>
      <c r="J154" t="str">
        <f t="shared" si="22"/>
        <v>N/A</v>
      </c>
      <c r="K154">
        <f t="shared" si="23"/>
        <v>0.1106</v>
      </c>
      <c r="L154">
        <f t="shared" si="24"/>
        <v>-1.21E-2</v>
      </c>
      <c r="M154">
        <f t="shared" si="25"/>
        <v>-0.21239999999999998</v>
      </c>
      <c r="N154">
        <f t="shared" si="26"/>
        <v>-0.1045</v>
      </c>
      <c r="P154">
        <f t="shared" si="27"/>
        <v>0.1106</v>
      </c>
      <c r="Q154">
        <f>IFERROR(J144+MATCH(P154,J154:N154,0)-1,"")</f>
        <v>2013</v>
      </c>
      <c r="R154">
        <f t="shared" si="28"/>
        <v>-0.21239999999999998</v>
      </c>
      <c r="S154">
        <f>IFERROR(J144+MATCH(R154,J154:N154,0)-1,"")</f>
        <v>2015</v>
      </c>
      <c r="T154">
        <f t="shared" si="29"/>
        <v>-5.4599999999999996E-2</v>
      </c>
      <c r="U154">
        <f t="shared" si="30"/>
        <v>0.13722018801911035</v>
      </c>
      <c r="V154" t="str">
        <f t="shared" si="31"/>
        <v/>
      </c>
      <c r="W154">
        <f t="shared" si="32"/>
        <v>1.203904486539495</v>
      </c>
      <c r="X154">
        <f t="shared" si="33"/>
        <v>0.30972119054436159</v>
      </c>
      <c r="Y154">
        <f t="shared" si="34"/>
        <v>-1.1499765615976532</v>
      </c>
      <c r="Z154">
        <f t="shared" si="35"/>
        <v>-0.36364911548620338</v>
      </c>
      <c r="AA154">
        <f t="shared" si="36"/>
        <v>1.203904486539495</v>
      </c>
      <c r="AB154">
        <f>IFERROR(V144+MATCH(AA154,V154:Z154,0)-1,"")</f>
        <v>2013</v>
      </c>
      <c r="AC154" t="str">
        <f t="shared" si="37"/>
        <v>High</v>
      </c>
      <c r="AE154" t="str">
        <f>IF(ISNUMBER(MATCH("N/A",J154:N154,0)),"",IFERROR((5 * SUMPRODUCT(J144:N144,J154:N154) - PRODUCT(SUM(J144:N144),SUM(J154:N154))) / ((5 * SUM((J144^2)+(K144^2)+(L144^2)+(M144^2)+(N144^2))) - SUM(J144:N144)^2),""))</f>
        <v/>
      </c>
      <c r="AF154">
        <f>IFERROR(CORREL(J144:N144,J154:N154),"")</f>
        <v>-0.79555706897804501</v>
      </c>
      <c r="AZ154">
        <f t="shared" si="38"/>
        <v>1</v>
      </c>
      <c r="BA154" t="str">
        <f>IF(AZ154=1,IF(Q154="","",IF(Q154=N144,"Yes","No")),"")</f>
        <v>No</v>
      </c>
      <c r="BB154" t="str">
        <f t="shared" si="39"/>
        <v/>
      </c>
      <c r="BC154" t="str">
        <f>IF(AZ154=1,IF(S154="","",IF(S154=N144,"Yes","No")),"")</f>
        <v>No</v>
      </c>
      <c r="BD154" t="str">
        <f t="shared" si="40"/>
        <v/>
      </c>
      <c r="BE154" t="str">
        <f t="shared" si="41"/>
        <v/>
      </c>
      <c r="BF154" t="str">
        <f t="shared" si="42"/>
        <v>No</v>
      </c>
      <c r="BG154" t="str">
        <f t="shared" si="43"/>
        <v>No</v>
      </c>
      <c r="BH154" t="str">
        <f t="shared" si="44"/>
        <v>No</v>
      </c>
    </row>
    <row r="155" spans="1:60" x14ac:dyDescent="0.3">
      <c r="A155" s="1">
        <v>10</v>
      </c>
      <c r="B155" t="s">
        <v>314</v>
      </c>
      <c r="C155" t="s">
        <v>264</v>
      </c>
      <c r="D155" t="s">
        <v>264</v>
      </c>
      <c r="E155" t="s">
        <v>264</v>
      </c>
      <c r="F155" t="s">
        <v>264</v>
      </c>
      <c r="G155" t="s">
        <v>2639</v>
      </c>
      <c r="I155" t="str">
        <f t="shared" si="21"/>
        <v>N/A</v>
      </c>
      <c r="J155" t="str">
        <f t="shared" si="22"/>
        <v>N/A</v>
      </c>
      <c r="K155" t="str">
        <f t="shared" si="23"/>
        <v>N/A</v>
      </c>
      <c r="L155" t="str">
        <f t="shared" si="24"/>
        <v>N/A</v>
      </c>
      <c r="M155" t="str">
        <f t="shared" si="25"/>
        <v>N/A</v>
      </c>
      <c r="N155">
        <f t="shared" si="26"/>
        <v>0.31670000000000004</v>
      </c>
      <c r="P155">
        <f t="shared" si="27"/>
        <v>0.31670000000000004</v>
      </c>
      <c r="Q155">
        <f>IFERROR(J144+MATCH(P155,J155:N155,0)-1,"")</f>
        <v>2016</v>
      </c>
      <c r="R155">
        <f t="shared" si="28"/>
        <v>0.31670000000000004</v>
      </c>
      <c r="S155">
        <f>IFERROR(J144+MATCH(R155,J155:N155,0)-1,"")</f>
        <v>2016</v>
      </c>
      <c r="T155">
        <f t="shared" si="29"/>
        <v>0.31670000000000004</v>
      </c>
      <c r="U155" t="str">
        <f t="shared" si="30"/>
        <v/>
      </c>
      <c r="V155" t="str">
        <f t="shared" si="31"/>
        <v/>
      </c>
      <c r="W155" t="str">
        <f t="shared" si="32"/>
        <v/>
      </c>
      <c r="X155" t="str">
        <f t="shared" si="33"/>
        <v/>
      </c>
      <c r="Y155" t="str">
        <f t="shared" si="34"/>
        <v/>
      </c>
      <c r="Z155" t="str">
        <f t="shared" si="35"/>
        <v/>
      </c>
      <c r="AA155">
        <f t="shared" si="36"/>
        <v>0</v>
      </c>
      <c r="AB155" t="str">
        <f>IFERROR(V144+MATCH(AA155,V155:Z155,0)-1,"")</f>
        <v/>
      </c>
      <c r="AC155" t="str">
        <f t="shared" si="37"/>
        <v/>
      </c>
      <c r="AE155" t="str">
        <f>IF(ISNUMBER(MATCH("N/A",J155:N155,0)),"",IFERROR((5 * SUMPRODUCT(J144:N144,J155:N155) - PRODUCT(SUM(J144:N144),SUM(J155:N155))) / ((5 * SUM((J144^2)+(K144^2)+(L144^2)+(M144^2)+(N144^2))) - SUM(J144:N144)^2),""))</f>
        <v/>
      </c>
      <c r="AF155" t="str">
        <f>IFERROR(CORREL(J144:N144,J155:N155),"")</f>
        <v/>
      </c>
      <c r="AZ155">
        <f t="shared" si="38"/>
        <v>0</v>
      </c>
      <c r="BA155" t="str">
        <f>IF(AZ155=1,IF(Q155="","",IF(Q155=N144,"Yes","No")),"")</f>
        <v/>
      </c>
      <c r="BB155" t="str">
        <f t="shared" si="39"/>
        <v/>
      </c>
      <c r="BC155" t="str">
        <f>IF(AZ155=1,IF(S155="","",IF(S155=N144,"Yes","No")),"")</f>
        <v/>
      </c>
      <c r="BD155" t="str">
        <f t="shared" si="40"/>
        <v/>
      </c>
      <c r="BE155" t="str">
        <f t="shared" si="41"/>
        <v/>
      </c>
      <c r="BF155" t="str">
        <f t="shared" si="42"/>
        <v>No</v>
      </c>
      <c r="BG155" t="str">
        <f t="shared" si="43"/>
        <v>No</v>
      </c>
      <c r="BH155" t="str">
        <f t="shared" si="44"/>
        <v/>
      </c>
    </row>
    <row r="156" spans="1:60" x14ac:dyDescent="0.3">
      <c r="I156" t="str">
        <f t="shared" ref="I156:I187" si="45">IF(AND(K156&gt; J156, L156&gt; K156, M156&gt; L156, N156&gt; M156), "pos_trend", IF(AND(K156&lt; J156, L156&lt; K156, M156&lt; L156, N156&lt; M156), "neg_trend", "N/A"))</f>
        <v>N/A</v>
      </c>
      <c r="J156" t="str">
        <f t="shared" si="22"/>
        <v>N/A</v>
      </c>
      <c r="K156" t="str">
        <f t="shared" si="23"/>
        <v>N/A</v>
      </c>
      <c r="L156" t="str">
        <f t="shared" si="24"/>
        <v>N/A</v>
      </c>
      <c r="M156" t="str">
        <f t="shared" si="25"/>
        <v>N/A</v>
      </c>
      <c r="N156" t="str">
        <f t="shared" si="26"/>
        <v>N/A</v>
      </c>
      <c r="P156">
        <f t="shared" si="27"/>
        <v>0</v>
      </c>
      <c r="Q156" t="str">
        <f>IFERROR(J144+MATCH(P156,J156:N156,0)-1,"")</f>
        <v/>
      </c>
      <c r="R156" t="str">
        <f t="shared" si="28"/>
        <v/>
      </c>
      <c r="S156" t="str">
        <f>IFERROR(J144+MATCH(R156,J156:N156,0)-1,"")</f>
        <v/>
      </c>
      <c r="T156" t="str">
        <f t="shared" si="29"/>
        <v/>
      </c>
      <c r="U156" t="str">
        <f t="shared" si="30"/>
        <v/>
      </c>
      <c r="V156" t="str">
        <f t="shared" si="31"/>
        <v/>
      </c>
      <c r="W156" t="str">
        <f t="shared" si="32"/>
        <v/>
      </c>
      <c r="X156" t="str">
        <f t="shared" si="33"/>
        <v/>
      </c>
      <c r="Y156" t="str">
        <f t="shared" si="34"/>
        <v/>
      </c>
      <c r="Z156" t="str">
        <f t="shared" si="35"/>
        <v/>
      </c>
      <c r="AA156">
        <f t="shared" si="36"/>
        <v>0</v>
      </c>
      <c r="AB156" t="str">
        <f>IFERROR(V144+MATCH(AA156,V156:Z156,0)-1,"")</f>
        <v/>
      </c>
      <c r="AC156" t="str">
        <f t="shared" si="37"/>
        <v/>
      </c>
      <c r="AE156" t="str">
        <f>IF(ISNUMBER(MATCH("N/A",J156:N156,0)),"",IFERROR((5 * SUMPRODUCT(J144:N144,J156:N156) - PRODUCT(SUM(J144:N144),SUM(J156:N156))) / ((5 * SUM((J144^2)+(K144^2)+(L144^2)+(M144^2)+(N144^2))) - SUM(J144:N144)^2),""))</f>
        <v/>
      </c>
      <c r="AF156" t="str">
        <f>IFERROR(CORREL(J144:N144,J156:N156),"")</f>
        <v/>
      </c>
      <c r="AZ156">
        <f t="shared" si="38"/>
        <v>0</v>
      </c>
      <c r="BA156" t="str">
        <f>IF(AZ156=1,IF(Q156="","",IF(Q156=N144,"Yes","No")),"")</f>
        <v/>
      </c>
      <c r="BB156" t="str">
        <f t="shared" si="39"/>
        <v/>
      </c>
      <c r="BC156" t="str">
        <f>IF(AZ156=1,IF(S156="","",IF(S156=N144,"Yes","No")),"")</f>
        <v/>
      </c>
      <c r="BD156" t="str">
        <f t="shared" si="40"/>
        <v/>
      </c>
      <c r="BE156" t="str">
        <f t="shared" si="41"/>
        <v/>
      </c>
      <c r="BF156" t="str">
        <f t="shared" si="42"/>
        <v>No</v>
      </c>
      <c r="BG156" t="str">
        <f t="shared" si="43"/>
        <v>No</v>
      </c>
      <c r="BH156" t="str">
        <f t="shared" si="44"/>
        <v/>
      </c>
    </row>
    <row r="157" spans="1:60" x14ac:dyDescent="0.3">
      <c r="B157" s="1" t="s">
        <v>316</v>
      </c>
      <c r="C157" s="1" t="s">
        <v>252</v>
      </c>
      <c r="D157" s="1" t="s">
        <v>253</v>
      </c>
      <c r="E157" s="1" t="s">
        <v>254</v>
      </c>
      <c r="F157" s="1" t="s">
        <v>255</v>
      </c>
      <c r="G157" s="1" t="s">
        <v>256</v>
      </c>
      <c r="H157" s="1" t="s">
        <v>257</v>
      </c>
      <c r="P157">
        <f t="shared" si="27"/>
        <v>0</v>
      </c>
      <c r="Q157" t="str">
        <f>IFERROR(J144+MATCH(P157,J157:N157,0)-1,"")</f>
        <v/>
      </c>
      <c r="R157" t="str">
        <f t="shared" si="28"/>
        <v/>
      </c>
      <c r="S157" t="str">
        <f>IFERROR(J144+MATCH(R157,J157:N157,0)-1,"")</f>
        <v/>
      </c>
      <c r="T157" t="str">
        <f t="shared" si="29"/>
        <v/>
      </c>
      <c r="U157" t="str">
        <f t="shared" si="30"/>
        <v/>
      </c>
      <c r="V157" t="str">
        <f t="shared" si="31"/>
        <v/>
      </c>
      <c r="W157" t="str">
        <f t="shared" si="32"/>
        <v/>
      </c>
      <c r="X157" t="str">
        <f t="shared" si="33"/>
        <v/>
      </c>
      <c r="Y157" t="str">
        <f t="shared" si="34"/>
        <v/>
      </c>
      <c r="Z157" t="str">
        <f t="shared" si="35"/>
        <v/>
      </c>
      <c r="AA157">
        <f t="shared" si="36"/>
        <v>0</v>
      </c>
      <c r="AB157" t="str">
        <f>IFERROR(V144+MATCH(AA157,V157:Z157,0)-1,"")</f>
        <v/>
      </c>
      <c r="AC157" t="str">
        <f t="shared" si="37"/>
        <v/>
      </c>
      <c r="AE157">
        <f>IF(ISNUMBER(MATCH("N/A",J157:N157,0)),"",IFERROR((5 * SUMPRODUCT(J144:N144,J157:N157) - PRODUCT(SUM(J144:N144),SUM(J157:N157))) / ((5 * SUM((J144^2)+(K144^2)+(L144^2)+(M144^2)+(N144^2))) - SUM(J144:N144)^2),""))</f>
        <v>0</v>
      </c>
      <c r="AF157" t="str">
        <f>IFERROR(CORREL(J144:N144,J157:N157),"")</f>
        <v/>
      </c>
      <c r="AZ157">
        <f t="shared" si="38"/>
        <v>0</v>
      </c>
      <c r="BA157" t="str">
        <f>IF(AZ157=1,IF(Q157="","",IF(Q157=N144,"Yes","No")),"")</f>
        <v/>
      </c>
      <c r="BB157" t="str">
        <f t="shared" si="39"/>
        <v/>
      </c>
      <c r="BC157" t="str">
        <f>IF(AZ157=1,IF(S157="","",IF(S157=N144,"Yes","No")),"")</f>
        <v/>
      </c>
      <c r="BD157" t="str">
        <f t="shared" si="40"/>
        <v/>
      </c>
      <c r="BE157" t="str">
        <f t="shared" si="41"/>
        <v/>
      </c>
      <c r="BF157" t="str">
        <f t="shared" si="42"/>
        <v>No</v>
      </c>
      <c r="BG157" t="str">
        <f t="shared" si="43"/>
        <v>No</v>
      </c>
      <c r="BH157" t="str">
        <f t="shared" si="44"/>
        <v/>
      </c>
    </row>
    <row r="158" spans="1:60" x14ac:dyDescent="0.3">
      <c r="A158" s="1">
        <v>0</v>
      </c>
      <c r="B158" t="s">
        <v>317</v>
      </c>
      <c r="C158" t="s">
        <v>2640</v>
      </c>
      <c r="D158" t="s">
        <v>2641</v>
      </c>
      <c r="E158" t="s">
        <v>2642</v>
      </c>
      <c r="F158" t="s">
        <v>2643</v>
      </c>
      <c r="G158" t="s">
        <v>2644</v>
      </c>
      <c r="I158" t="str">
        <f t="shared" ref="I158:I204" si="46">IF(AND(K158&gt; J158, L158&gt; K158, M158&gt; L158, N158&gt; M158), "pos_trend", IF(AND(K158&lt; J158, L158&lt; K158, M158&lt; L158, N158&lt; M158), "neg_trend", "N/A"))</f>
        <v>N/A</v>
      </c>
      <c r="J158">
        <f>IFERROR(IF(TRIM(C158)="-", "0", IF(RIGHT(C158,1)=")",IF(RIGHT(C158,2)="T)",-1000000000000*VALUE(MID(C158,2,LEN(C158)-3)),IF(RIGHT(C158,2)="M)",-1000000*VALUE(MID(C158,2,LEN(C158)-3)),IF(RIGHT(C158,2)="B)",-1000000000*VALUE(MID(C158,2,LEN(C158)-3)),IF(RIGHT(C158,2)="k)",-1000*VALUE(MID(C158,2,LEN(C158)-3)),VALUE(SUBSTITUTE(C158,",","")))))),IF(RIGHT(C158,1)="T",1000000000000*VALUE(LEFT(C158,LEN(C158)-1)),IF(RIGHT(C158,1)="M",1000000*VALUE(LEFT(C158,LEN(C158)-1)),IF(RIGHT(C158,1)="B",1000000000*VALUE(LEFT(C158,LEN(C158)-1)),IF(RIGHT(C158,1)="%",0.01*VALUE(LEFT(C158,LEN(C158)-1)),IF(RIGHT(C158,1)="k",1000*VALUE(LEFT(C158,LEN(C158)-1)),VALUE(SUBSTITUTE(C158,",",""))))))))),"N/A")</f>
        <v>179380000</v>
      </c>
      <c r="K158">
        <f>IFERROR(IF(TRIM(D158)="-", "0", IF(RIGHT(D158,1)=")",IF(RIGHT(D158,2)="T)",-1000000000000*VALUE(MID(D158,2,LEN(D158)-3)),IF(RIGHT(D158,2)="M)",-1000000*VALUE(MID(D158,2,LEN(D158)-3)),IF(RIGHT(D158,2)="B)",-1000000000*VALUE(MID(D158,2,LEN(D158)-3)),IF(RIGHT(D158,2)="k)",-1000*VALUE(MID(D158,2,LEN(D158)-3)),VALUE(SUBSTITUTE(D158,",","")))))),IF(RIGHT(D158,1)="T",1000000000000*VALUE(LEFT(D158,LEN(D158)-1)),IF(RIGHT(D158,1)="M",1000000*VALUE(LEFT(D158,LEN(D158)-1)),IF(RIGHT(D158,1)="B",1000000000*VALUE(LEFT(D158,LEN(D158)-1)),IF(RIGHT(D158,1)="%",0.01*VALUE(LEFT(D158,LEN(D158)-1)),IF(RIGHT(D158,1)="k",1000*VALUE(LEFT(D158,LEN(D158)-1)),VALUE(SUBSTITUTE(D158,",",""))))))))),"N/A")</f>
        <v>182950000</v>
      </c>
      <c r="L158">
        <f>IFERROR(IF(TRIM(E158)="-", "0", IF(RIGHT(E158,1)=")",IF(RIGHT(E158,2)="T)",-1000000000000*VALUE(MID(E158,2,LEN(E158)-3)),IF(RIGHT(E158,2)="M)",-1000000*VALUE(MID(E158,2,LEN(E158)-3)),IF(RIGHT(E158,2)="B)",-1000000000*VALUE(MID(E158,2,LEN(E158)-3)),IF(RIGHT(E158,2)="k)",-1000*VALUE(MID(E158,2,LEN(E158)-3)),VALUE(SUBSTITUTE(E158,",","")))))),IF(RIGHT(E158,1)="T",1000000000000*VALUE(LEFT(E158,LEN(E158)-1)),IF(RIGHT(E158,1)="M",1000000*VALUE(LEFT(E158,LEN(E158)-1)),IF(RIGHT(E158,1)="B",1000000000*VALUE(LEFT(E158,LEN(E158)-1)),IF(RIGHT(E158,1)="%",0.01*VALUE(LEFT(E158,LEN(E158)-1)),IF(RIGHT(E158,1)="k",1000*VALUE(LEFT(E158,LEN(E158)-1)),VALUE(SUBSTITUTE(E158,",",""))))))))),"N/A")</f>
        <v>178800000</v>
      </c>
      <c r="M158">
        <f>IFERROR(IF(TRIM(F158)="-", "0", IF(RIGHT(F158,1)=")",IF(RIGHT(F158,2)="T)",-1000000000000*VALUE(MID(F158,2,LEN(F158)-3)),IF(RIGHT(F158,2)="M)",-1000000*VALUE(MID(F158,2,LEN(F158)-3)),IF(RIGHT(F158,2)="B)",-1000000000*VALUE(MID(F158,2,LEN(F158)-3)),IF(RIGHT(F158,2)="k)",-1000*VALUE(MID(F158,2,LEN(F158)-3)),VALUE(SUBSTITUTE(F158,",","")))))),IF(RIGHT(F158,1)="T",1000000000000*VALUE(LEFT(F158,LEN(F158)-1)),IF(RIGHT(F158,1)="M",1000000*VALUE(LEFT(F158,LEN(F158)-1)),IF(RIGHT(F158,1)="B",1000000000*VALUE(LEFT(F158,LEN(F158)-1)),IF(RIGHT(F158,1)="%",0.01*VALUE(LEFT(F158,LEN(F158)-1)),IF(RIGHT(F158,1)="k",1000*VALUE(LEFT(F158,LEN(F158)-1)),VALUE(SUBSTITUTE(F158,",",""))))))))),"N/A")</f>
        <v>156300000</v>
      </c>
      <c r="N158">
        <f>IFERROR(IF(TRIM(G158)="-", "0", IF(RIGHT(G158,1)=")",IF(RIGHT(G158,2)="T)",-1000000000000*VALUE(MID(G158,2,LEN(G158)-3)),IF(RIGHT(G158,2)="M)",-1000000*VALUE(MID(G158,2,LEN(G158)-3)),IF(RIGHT(G158,2)="B)",-1000000000*VALUE(MID(G158,2,LEN(G158)-3)),IF(RIGHT(G158,2)="k)",-1000*VALUE(MID(G158,2,LEN(G158)-3)),VALUE(SUBSTITUTE(G158,",","")))))),IF(RIGHT(G158,1)="T",1000000000000*VALUE(LEFT(G158,LEN(G158)-1)),IF(RIGHT(G158,1)="M",1000000*VALUE(LEFT(G158,LEN(G158)-1)),IF(RIGHT(G158,1)="B",1000000000*VALUE(LEFT(G158,LEN(G158)-1)),IF(RIGHT(G158,1)="%",0.01*VALUE(LEFT(G158,LEN(G158)-1)),IF(RIGHT(G158,1)="k",1000*VALUE(LEFT(G158,LEN(G158)-1)),VALUE(SUBSTITUTE(G158,",",""))))))))),"N/A")</f>
        <v>154820000</v>
      </c>
      <c r="P158">
        <f t="shared" si="27"/>
        <v>182950000</v>
      </c>
      <c r="Q158">
        <f>IFERROR(J144+MATCH(P158,J158:N158,0)-1,"")</f>
        <v>2013</v>
      </c>
      <c r="R158">
        <f t="shared" si="28"/>
        <v>154820000</v>
      </c>
      <c r="S158">
        <f>IFERROR(J144+MATCH(R158,J158:N158,0)-1,"")</f>
        <v>2016</v>
      </c>
      <c r="T158">
        <f t="shared" si="29"/>
        <v>170450000</v>
      </c>
      <c r="U158">
        <f t="shared" si="30"/>
        <v>13695225.445387892</v>
      </c>
      <c r="V158">
        <f t="shared" si="31"/>
        <v>0.65205206264109616</v>
      </c>
      <c r="W158">
        <f t="shared" si="32"/>
        <v>0.91272685140131038</v>
      </c>
      <c r="X158">
        <f t="shared" si="33"/>
        <v>0.6097015367360753</v>
      </c>
      <c r="Y158">
        <f t="shared" si="34"/>
        <v>-1.0332067957862834</v>
      </c>
      <c r="Z158">
        <f t="shared" si="35"/>
        <v>-1.1412736549921985</v>
      </c>
      <c r="AA158">
        <f t="shared" si="36"/>
        <v>-1.1412736549921985</v>
      </c>
      <c r="AB158">
        <f>IFERROR(V144+MATCH(AA158,V158:Z158,0)-1,"")</f>
        <v>2016</v>
      </c>
      <c r="AC158" t="str">
        <f t="shared" si="37"/>
        <v>Low</v>
      </c>
      <c r="AE158">
        <f>IF(ISNUMBER(MATCH("N/A",J158:N158,0)),"",IFERROR((5 * SUMPRODUCT(J144:N144,J158:N158) - PRODUCT(SUM(J144:N144),SUM(J158:N158))) / ((5 * SUM((J144^2)+(K144^2)+(L144^2)+(M144^2)+(N144^2))) - SUM(J144:N144)^2),""))</f>
        <v>-7577000</v>
      </c>
      <c r="AF158">
        <f>IFERROR(CORREL(J144:N144,J158:N158),"")</f>
        <v>-0.87477851046128452</v>
      </c>
      <c r="AZ158">
        <f t="shared" si="38"/>
        <v>1</v>
      </c>
      <c r="BA158" t="str">
        <f>IF(AZ158=1,IF(Q158="","",IF(Q158=N144,"Yes","No")),"")</f>
        <v>No</v>
      </c>
      <c r="BB158" t="str">
        <f t="shared" si="39"/>
        <v/>
      </c>
      <c r="BC158" t="str">
        <f>IF(AZ158=1,IF(S158="","",IF(S158=N144,"Yes","No")),"")</f>
        <v>Yes</v>
      </c>
      <c r="BD158">
        <f t="shared" si="40"/>
        <v>154820000</v>
      </c>
      <c r="BE158" t="str">
        <f t="shared" si="41"/>
        <v>Decreasing</v>
      </c>
      <c r="BF158" t="str">
        <f t="shared" si="42"/>
        <v>Yes</v>
      </c>
      <c r="BG158" t="str">
        <f t="shared" si="43"/>
        <v>No</v>
      </c>
      <c r="BH158" t="str">
        <f t="shared" si="44"/>
        <v>Yes</v>
      </c>
    </row>
    <row r="159" spans="1:60" x14ac:dyDescent="0.3">
      <c r="A159" s="1">
        <v>1</v>
      </c>
      <c r="B159" t="s">
        <v>321</v>
      </c>
      <c r="C159" t="s">
        <v>2645</v>
      </c>
      <c r="D159" t="s">
        <v>2646</v>
      </c>
      <c r="E159" t="s">
        <v>2647</v>
      </c>
      <c r="F159" t="s">
        <v>2648</v>
      </c>
      <c r="G159" t="s">
        <v>2648</v>
      </c>
      <c r="I159" t="str">
        <f t="shared" si="46"/>
        <v>N/A</v>
      </c>
      <c r="J159">
        <f t="shared" ref="J159:J204" si="47">IFERROR(IF(TRIM(C159)="-", "N/A", IF(RIGHT(C159,1)=")",IF(RIGHT(C159,2)="T)",-1000000000000*VALUE(MID(C159,2,LEN(C159)-3)),IF(RIGHT(C159,2)="M)",-1000000*VALUE(MID(C159,2,LEN(C159)-3)),IF(RIGHT(C159,2)="B)",-1000000000*VALUE(MID(C159,2,LEN(C159)-3)),IF(RIGHT(C159,2)="k)",-1000*VALUE(MID(C159,2,LEN(C159)-3)),VALUE(SUBSTITUTE(C159,",","")))))),IF(RIGHT(C159,1)="T",1000000000000*VALUE(LEFT(C159,LEN(C159)-1)),IF(RIGHT(C159,1)="M",1000000*VALUE(LEFT(C159,LEN(C159)-1)),IF(RIGHT(C159,1)="B",1000000000*VALUE(LEFT(C159,LEN(C159)-1)),IF(RIGHT(C159,1)="%",0.01*VALUE(LEFT(C159,LEN(C159)-1)),IF(RIGHT(C159,1)="k",1000*VALUE(LEFT(C159,LEN(C159)-1)),VALUE(SUBSTITUTE(C159,",",""))))))))),"N/A")</f>
        <v>8400000</v>
      </c>
      <c r="K159">
        <f t="shared" ref="K159:K204" si="48">IFERROR(IF(TRIM(D159)="-", "N/A", IF(RIGHT(D159,1)=")",IF(RIGHT(D159,2)="T)",-1000000000000*VALUE(MID(D159,2,LEN(D159)-3)),IF(RIGHT(D159,2)="M)",-1000000*VALUE(MID(D159,2,LEN(D159)-3)),IF(RIGHT(D159,2)="B)",-1000000000*VALUE(MID(D159,2,LEN(D159)-3)),IF(RIGHT(D159,2)="k)",-1000*VALUE(MID(D159,2,LEN(D159)-3)),VALUE(SUBSTITUTE(D159,",","")))))),IF(RIGHT(D159,1)="T",1000000000000*VALUE(LEFT(D159,LEN(D159)-1)),IF(RIGHT(D159,1)="M",1000000*VALUE(LEFT(D159,LEN(D159)-1)),IF(RIGHT(D159,1)="B",1000000000*VALUE(LEFT(D159,LEN(D159)-1)),IF(RIGHT(D159,1)="%",0.01*VALUE(LEFT(D159,LEN(D159)-1)),IF(RIGHT(D159,1)="k",1000*VALUE(LEFT(D159,LEN(D159)-1)),VALUE(SUBSTITUTE(D159,",",""))))))))),"N/A")</f>
        <v>6500000</v>
      </c>
      <c r="L159">
        <f t="shared" ref="L159:L204" si="49">IFERROR(IF(TRIM(E159)="-", "N/A", IF(RIGHT(E159,1)=")",IF(RIGHT(E159,2)="T)",-1000000000000*VALUE(MID(E159,2,LEN(E159)-3)),IF(RIGHT(E159,2)="M)",-1000000*VALUE(MID(E159,2,LEN(E159)-3)),IF(RIGHT(E159,2)="B)",-1000000000*VALUE(MID(E159,2,LEN(E159)-3)),IF(RIGHT(E159,2)="k)",-1000*VALUE(MID(E159,2,LEN(E159)-3)),VALUE(SUBSTITUTE(E159,",","")))))),IF(RIGHT(E159,1)="T",1000000000000*VALUE(LEFT(E159,LEN(E159)-1)),IF(RIGHT(E159,1)="M",1000000*VALUE(LEFT(E159,LEN(E159)-1)),IF(RIGHT(E159,1)="B",1000000000*VALUE(LEFT(E159,LEN(E159)-1)),IF(RIGHT(E159,1)="%",0.01*VALUE(LEFT(E159,LEN(E159)-1)),IF(RIGHT(E159,1)="k",1000*VALUE(LEFT(E159,LEN(E159)-1)),VALUE(SUBSTITUTE(E159,",",""))))))))),"N/A")</f>
        <v>7800000</v>
      </c>
      <c r="M159">
        <f t="shared" ref="M159:M204" si="50">IFERROR(IF(TRIM(F159)="-", "N/A", IF(RIGHT(F159,1)=")",IF(RIGHT(F159,2)="T)",-1000000000000*VALUE(MID(F159,2,LEN(F159)-3)),IF(RIGHT(F159,2)="M)",-1000000*VALUE(MID(F159,2,LEN(F159)-3)),IF(RIGHT(F159,2)="B)",-1000000000*VALUE(MID(F159,2,LEN(F159)-3)),IF(RIGHT(F159,2)="k)",-1000*VALUE(MID(F159,2,LEN(F159)-3)),VALUE(SUBSTITUTE(F159,",","")))))),IF(RIGHT(F159,1)="T",1000000000000*VALUE(LEFT(F159,LEN(F159)-1)),IF(RIGHT(F159,1)="M",1000000*VALUE(LEFT(F159,LEN(F159)-1)),IF(RIGHT(F159,1)="B",1000000000*VALUE(LEFT(F159,LEN(F159)-1)),IF(RIGHT(F159,1)="%",0.01*VALUE(LEFT(F159,LEN(F159)-1)),IF(RIGHT(F159,1)="k",1000*VALUE(LEFT(F159,LEN(F159)-1)),VALUE(SUBSTITUTE(F159,",",""))))))))),"N/A")</f>
        <v>5900000</v>
      </c>
      <c r="N159">
        <f t="shared" ref="N159:N204" si="51">IFERROR(IF(TRIM(G159)="-", "N/A", IF(RIGHT(G159,1)=")",IF(RIGHT(G159,2)="T)",-1000000000000*VALUE(MID(G159,2,LEN(G159)-3)),IF(RIGHT(G159,2)="M)",-1000000*VALUE(MID(G159,2,LEN(G159)-3)),IF(RIGHT(G159,2)="B)",-1000000000*VALUE(MID(G159,2,LEN(G159)-3)),IF(RIGHT(G159,2)="k)",-1000*VALUE(MID(G159,2,LEN(G159)-3)),VALUE(SUBSTITUTE(G159,",","")))))),IF(RIGHT(G159,1)="T",1000000000000*VALUE(LEFT(G159,LEN(G159)-1)),IF(RIGHT(G159,1)="M",1000000*VALUE(LEFT(G159,LEN(G159)-1)),IF(RIGHT(G159,1)="B",1000000000*VALUE(LEFT(G159,LEN(G159)-1)),IF(RIGHT(G159,1)="%",0.01*VALUE(LEFT(G159,LEN(G159)-1)),IF(RIGHT(G159,1)="k",1000*VALUE(LEFT(G159,LEN(G159)-1)),VALUE(SUBSTITUTE(G159,",",""))))))))),"N/A")</f>
        <v>5900000</v>
      </c>
      <c r="P159">
        <f t="shared" si="27"/>
        <v>8400000</v>
      </c>
      <c r="Q159">
        <f>IFERROR(J144+MATCH(P159,J159:N159,0)-1,"")</f>
        <v>2012</v>
      </c>
      <c r="R159">
        <f t="shared" si="28"/>
        <v>5900000</v>
      </c>
      <c r="S159">
        <f>IFERROR(J144+MATCH(R159,J159:N159,0)-1,"")</f>
        <v>2015</v>
      </c>
      <c r="T159">
        <f t="shared" si="29"/>
        <v>6900000</v>
      </c>
      <c r="U159">
        <f t="shared" si="30"/>
        <v>1142365.9658795863</v>
      </c>
      <c r="V159">
        <f t="shared" si="31"/>
        <v>1.3130643285972254</v>
      </c>
      <c r="W159">
        <f t="shared" si="32"/>
        <v>-0.35015048762592682</v>
      </c>
      <c r="X159">
        <f t="shared" si="33"/>
        <v>0.78783859715833526</v>
      </c>
      <c r="Y159">
        <f t="shared" si="34"/>
        <v>-0.875376219064817</v>
      </c>
      <c r="Z159">
        <f t="shared" si="35"/>
        <v>-0.875376219064817</v>
      </c>
      <c r="AA159">
        <f t="shared" si="36"/>
        <v>1.3130643285972254</v>
      </c>
      <c r="AB159">
        <f>IFERROR(V144+MATCH(AA159,V159:Z159,0)-1,"")</f>
        <v>2012</v>
      </c>
      <c r="AC159" t="str">
        <f t="shared" si="37"/>
        <v>High</v>
      </c>
      <c r="AE159">
        <f>IF(ISNUMBER(MATCH("N/A",J159:N159,0)),"",IFERROR((5 * SUMPRODUCT(J144:N144,J159:N159) - PRODUCT(SUM(J144:N144),SUM(J159:N159))) / ((5 * SUM((J144^2)+(K144^2)+(L144^2)+(M144^2)+(N144^2))) - SUM(J144:N144)^2),""))</f>
        <v>-560000</v>
      </c>
      <c r="AF159">
        <f>IFERROR(CORREL(J144:N144,J159:N159),"")</f>
        <v>-0.77509114530157297</v>
      </c>
      <c r="AZ159">
        <f t="shared" si="38"/>
        <v>1</v>
      </c>
      <c r="BA159" t="str">
        <f>IF(AZ159=1,IF(Q159="","",IF(Q159=N144,"Yes","No")),"")</f>
        <v>No</v>
      </c>
      <c r="BB159" t="str">
        <f t="shared" si="39"/>
        <v/>
      </c>
      <c r="BC159" t="str">
        <f>IF(AZ159=1,IF(S159="","",IF(S159=N144,"Yes","No")),"")</f>
        <v>No</v>
      </c>
      <c r="BD159" t="str">
        <f t="shared" si="40"/>
        <v/>
      </c>
      <c r="BE159" t="str">
        <f t="shared" si="41"/>
        <v>Decreasing</v>
      </c>
      <c r="BF159" t="str">
        <f t="shared" si="42"/>
        <v>No</v>
      </c>
      <c r="BG159" t="str">
        <f t="shared" si="43"/>
        <v>No</v>
      </c>
      <c r="BH159" t="str">
        <f t="shared" si="44"/>
        <v>No</v>
      </c>
    </row>
    <row r="160" spans="1:60" x14ac:dyDescent="0.3">
      <c r="A160" s="1">
        <v>2</v>
      </c>
      <c r="B160" t="s">
        <v>322</v>
      </c>
      <c r="C160" t="s">
        <v>2649</v>
      </c>
      <c r="D160" t="s">
        <v>2650</v>
      </c>
      <c r="E160" t="s">
        <v>2651</v>
      </c>
      <c r="F160" t="s">
        <v>2652</v>
      </c>
      <c r="G160" t="s">
        <v>2653</v>
      </c>
      <c r="I160" t="str">
        <f t="shared" si="46"/>
        <v>N/A</v>
      </c>
      <c r="J160">
        <f t="shared" si="47"/>
        <v>170980000</v>
      </c>
      <c r="K160">
        <f t="shared" si="48"/>
        <v>176450000</v>
      </c>
      <c r="L160">
        <f t="shared" si="49"/>
        <v>171000000</v>
      </c>
      <c r="M160">
        <f t="shared" si="50"/>
        <v>150400000</v>
      </c>
      <c r="N160">
        <f t="shared" si="51"/>
        <v>148920000</v>
      </c>
      <c r="P160">
        <f t="shared" si="27"/>
        <v>176450000</v>
      </c>
      <c r="Q160">
        <f>IFERROR(J144+MATCH(P160,J160:N160,0)-1,"")</f>
        <v>2013</v>
      </c>
      <c r="R160">
        <f t="shared" si="28"/>
        <v>148920000</v>
      </c>
      <c r="S160">
        <f>IFERROR(J144+MATCH(R160,J160:N160,0)-1,"")</f>
        <v>2016</v>
      </c>
      <c r="T160">
        <f t="shared" si="29"/>
        <v>163550000</v>
      </c>
      <c r="U160">
        <f t="shared" si="30"/>
        <v>12884843.80968586</v>
      </c>
      <c r="V160">
        <f t="shared" si="31"/>
        <v>0.57664649333309592</v>
      </c>
      <c r="W160">
        <f t="shared" si="32"/>
        <v>1.00117628048411</v>
      </c>
      <c r="X160">
        <f t="shared" si="33"/>
        <v>0.57819870462066825</v>
      </c>
      <c r="Y160">
        <f t="shared" si="34"/>
        <v>-1.0205789215787633</v>
      </c>
      <c r="Z160">
        <f t="shared" si="35"/>
        <v>-1.1354425568591109</v>
      </c>
      <c r="AA160">
        <f t="shared" si="36"/>
        <v>-1.1354425568591109</v>
      </c>
      <c r="AB160">
        <f>IFERROR(V144+MATCH(AA160,V160:Z160,0)-1,"")</f>
        <v>2016</v>
      </c>
      <c r="AC160" t="str">
        <f t="shared" si="37"/>
        <v>Low</v>
      </c>
      <c r="AE160">
        <f>IF(ISNUMBER(MATCH("N/A",J160:N160,0)),"",IFERROR((5 * SUMPRODUCT(J144:N144,J160:N160) - PRODUCT(SUM(J144:N144),SUM(J160:N160))) / ((5 * SUM((J144^2)+(K144^2)+(L144^2)+(M144^2)+(N144^2))) - SUM(J144:N144)^2),""))</f>
        <v>-7017000</v>
      </c>
      <c r="AF160">
        <f>IFERROR(CORREL(J144:N144,J160:N160),"")</f>
        <v>-0.86107766105480321</v>
      </c>
      <c r="AZ160">
        <f t="shared" si="38"/>
        <v>1</v>
      </c>
      <c r="BA160" t="str">
        <f>IF(AZ160=1,IF(Q160="","",IF(Q160=N144,"Yes","No")),"")</f>
        <v>No</v>
      </c>
      <c r="BB160" t="str">
        <f t="shared" si="39"/>
        <v/>
      </c>
      <c r="BC160" t="str">
        <f>IF(AZ160=1,IF(S160="","",IF(S160=N144,"Yes","No")),"")</f>
        <v>Yes</v>
      </c>
      <c r="BD160">
        <f t="shared" si="40"/>
        <v>148920000</v>
      </c>
      <c r="BE160" t="str">
        <f t="shared" si="41"/>
        <v>Decreasing</v>
      </c>
      <c r="BF160" t="str">
        <f t="shared" si="42"/>
        <v>Yes</v>
      </c>
      <c r="BG160" t="str">
        <f t="shared" si="43"/>
        <v>No</v>
      </c>
      <c r="BH160" t="str">
        <f t="shared" si="44"/>
        <v>Yes</v>
      </c>
    </row>
    <row r="161" spans="1:60" x14ac:dyDescent="0.3">
      <c r="A161" s="1">
        <v>3</v>
      </c>
      <c r="B161" t="s">
        <v>323</v>
      </c>
      <c r="C161" t="s">
        <v>264</v>
      </c>
      <c r="D161" t="s">
        <v>2654</v>
      </c>
      <c r="E161" t="s">
        <v>2655</v>
      </c>
      <c r="F161" t="s">
        <v>2656</v>
      </c>
      <c r="G161" t="s">
        <v>2657</v>
      </c>
      <c r="I161" t="str">
        <f t="shared" si="46"/>
        <v>N/A</v>
      </c>
      <c r="J161" t="str">
        <f t="shared" si="47"/>
        <v>N/A</v>
      </c>
      <c r="K161">
        <f t="shared" si="48"/>
        <v>1.9900000000000001E-2</v>
      </c>
      <c r="L161">
        <f t="shared" si="49"/>
        <v>-2.2700000000000001E-2</v>
      </c>
      <c r="M161">
        <f t="shared" si="50"/>
        <v>-0.1258</v>
      </c>
      <c r="N161">
        <f t="shared" si="51"/>
        <v>-9.4999999999999998E-3</v>
      </c>
      <c r="P161">
        <f t="shared" si="27"/>
        <v>1.9900000000000001E-2</v>
      </c>
      <c r="Q161">
        <f>IFERROR(J144+MATCH(P161,J161:N161,0)-1,"")</f>
        <v>2013</v>
      </c>
      <c r="R161">
        <f t="shared" si="28"/>
        <v>-0.1258</v>
      </c>
      <c r="S161">
        <f>IFERROR(J144+MATCH(R161,J161:N161,0)-1,"")</f>
        <v>2015</v>
      </c>
      <c r="T161">
        <f t="shared" si="29"/>
        <v>-3.4525E-2</v>
      </c>
      <c r="U161">
        <f t="shared" si="30"/>
        <v>6.3401596983041361E-2</v>
      </c>
      <c r="V161" t="str">
        <f t="shared" si="31"/>
        <v/>
      </c>
      <c r="W161">
        <f t="shared" si="32"/>
        <v>0.85841686313607501</v>
      </c>
      <c r="X161">
        <f t="shared" si="33"/>
        <v>0.1865094975945629</v>
      </c>
      <c r="Y161">
        <f t="shared" si="34"/>
        <v>-1.4396325068028524</v>
      </c>
      <c r="Z161">
        <f t="shared" si="35"/>
        <v>0.39470614607221449</v>
      </c>
      <c r="AA161">
        <f t="shared" si="36"/>
        <v>-1.4396325068028524</v>
      </c>
      <c r="AB161">
        <f>IFERROR(V144+MATCH(AA161,V161:Z161,0)-1,"")</f>
        <v>2015</v>
      </c>
      <c r="AC161" t="str">
        <f t="shared" si="37"/>
        <v>Low</v>
      </c>
      <c r="AE161" t="str">
        <f>IF(ISNUMBER(MATCH("N/A",J161:N161,0)),"",IFERROR((5 * SUMPRODUCT(J144:N144,J161:N161) - PRODUCT(SUM(J144:N144),SUM(J161:N161))) / ((5 * SUM((J144^2)+(K144^2)+(L144^2)+(M144^2)+(N144^2))) - SUM(J144:N144)^2),""))</f>
        <v/>
      </c>
      <c r="AF161">
        <f>IFERROR(CORREL(J144:N144,J161:N161),"")</f>
        <v>-0.38952841851794107</v>
      </c>
      <c r="AZ161">
        <f t="shared" si="38"/>
        <v>1</v>
      </c>
      <c r="BA161" t="str">
        <f>IF(AZ161=1,IF(Q161="","",IF(Q161=N144,"Yes","No")),"")</f>
        <v>No</v>
      </c>
      <c r="BB161" t="str">
        <f t="shared" si="39"/>
        <v/>
      </c>
      <c r="BC161" t="str">
        <f>IF(AZ161=1,IF(S161="","",IF(S161=N144,"Yes","No")),"")</f>
        <v>No</v>
      </c>
      <c r="BD161" t="str">
        <f t="shared" si="40"/>
        <v/>
      </c>
      <c r="BE161" t="str">
        <f t="shared" si="41"/>
        <v/>
      </c>
      <c r="BF161" t="str">
        <f t="shared" si="42"/>
        <v>No</v>
      </c>
      <c r="BG161" t="str">
        <f t="shared" si="43"/>
        <v>No</v>
      </c>
      <c r="BH161" t="str">
        <f t="shared" si="44"/>
        <v>No</v>
      </c>
    </row>
    <row r="162" spans="1:60" x14ac:dyDescent="0.3">
      <c r="A162" s="1">
        <v>4</v>
      </c>
      <c r="B162" t="s">
        <v>328</v>
      </c>
      <c r="C162" t="s">
        <v>264</v>
      </c>
      <c r="D162" t="s">
        <v>264</v>
      </c>
      <c r="E162" t="s">
        <v>264</v>
      </c>
      <c r="F162" t="s">
        <v>264</v>
      </c>
      <c r="G162" t="s">
        <v>264</v>
      </c>
      <c r="I162" t="str">
        <f t="shared" si="46"/>
        <v>N/A</v>
      </c>
      <c r="J162" t="str">
        <f t="shared" si="47"/>
        <v>N/A</v>
      </c>
      <c r="K162" t="str">
        <f t="shared" si="48"/>
        <v>N/A</v>
      </c>
      <c r="L162" t="str">
        <f t="shared" si="49"/>
        <v>N/A</v>
      </c>
      <c r="M162" t="str">
        <f t="shared" si="50"/>
        <v>N/A</v>
      </c>
      <c r="N162" t="str">
        <f t="shared" si="51"/>
        <v>N/A</v>
      </c>
      <c r="P162">
        <f t="shared" si="27"/>
        <v>0</v>
      </c>
      <c r="Q162" t="str">
        <f>IFERROR(J144+MATCH(P162,J162:N162,0)-1,"")</f>
        <v/>
      </c>
      <c r="R162" t="str">
        <f t="shared" si="28"/>
        <v/>
      </c>
      <c r="S162" t="str">
        <f>IFERROR(J144+MATCH(R162,J162:N162,0)-1,"")</f>
        <v/>
      </c>
      <c r="T162" t="str">
        <f t="shared" si="29"/>
        <v/>
      </c>
      <c r="U162" t="str">
        <f t="shared" si="30"/>
        <v/>
      </c>
      <c r="V162" t="str">
        <f t="shared" si="31"/>
        <v/>
      </c>
      <c r="W162" t="str">
        <f t="shared" si="32"/>
        <v/>
      </c>
      <c r="X162" t="str">
        <f t="shared" si="33"/>
        <v/>
      </c>
      <c r="Y162" t="str">
        <f t="shared" si="34"/>
        <v/>
      </c>
      <c r="Z162" t="str">
        <f t="shared" si="35"/>
        <v/>
      </c>
      <c r="AA162">
        <f t="shared" si="36"/>
        <v>0</v>
      </c>
      <c r="AB162" t="str">
        <f>IFERROR(V144+MATCH(AA162,V162:Z162,0)-1,"")</f>
        <v/>
      </c>
      <c r="AC162" t="str">
        <f t="shared" si="37"/>
        <v/>
      </c>
      <c r="AE162" t="str">
        <f>IF(ISNUMBER(MATCH("N/A",J162:N162,0)),"",IFERROR((5 * SUMPRODUCT(J144:N144,J162:N162) - PRODUCT(SUM(J144:N144),SUM(J162:N162))) / ((5 * SUM((J144^2)+(K144^2)+(L144^2)+(M144^2)+(N144^2))) - SUM(J144:N144)^2),""))</f>
        <v/>
      </c>
      <c r="AF162" t="str">
        <f>IFERROR(CORREL(J144:N144,J162:N162),"")</f>
        <v/>
      </c>
      <c r="AZ162">
        <f t="shared" si="38"/>
        <v>0</v>
      </c>
      <c r="BA162" t="str">
        <f>IF(AZ162=1,IF(Q162="","",IF(Q162=N144,"Yes","No")),"")</f>
        <v/>
      </c>
      <c r="BB162" t="str">
        <f t="shared" si="39"/>
        <v/>
      </c>
      <c r="BC162" t="str">
        <f>IF(AZ162=1,IF(S162="","",IF(S162=N144,"Yes","No")),"")</f>
        <v/>
      </c>
      <c r="BD162" t="str">
        <f t="shared" si="40"/>
        <v/>
      </c>
      <c r="BE162" t="str">
        <f t="shared" si="41"/>
        <v/>
      </c>
      <c r="BF162" t="str">
        <f t="shared" si="42"/>
        <v>No</v>
      </c>
      <c r="BG162" t="str">
        <f t="shared" si="43"/>
        <v>No</v>
      </c>
      <c r="BH162" t="str">
        <f t="shared" si="44"/>
        <v/>
      </c>
    </row>
    <row r="163" spans="1:60" x14ac:dyDescent="0.3">
      <c r="A163" s="1">
        <v>5</v>
      </c>
      <c r="B163" t="s">
        <v>331</v>
      </c>
      <c r="C163" t="s">
        <v>2658</v>
      </c>
      <c r="D163" t="s">
        <v>2659</v>
      </c>
      <c r="E163" t="s">
        <v>2660</v>
      </c>
      <c r="F163" t="s">
        <v>2661</v>
      </c>
      <c r="G163" t="s">
        <v>2662</v>
      </c>
      <c r="I163" t="str">
        <f t="shared" si="46"/>
        <v>N/A</v>
      </c>
      <c r="J163">
        <f t="shared" si="47"/>
        <v>15630000</v>
      </c>
      <c r="K163">
        <f t="shared" si="48"/>
        <v>16120000.000000002</v>
      </c>
      <c r="L163">
        <f t="shared" si="49"/>
        <v>21450000</v>
      </c>
      <c r="M163">
        <f t="shared" si="50"/>
        <v>26750000</v>
      </c>
      <c r="N163">
        <f t="shared" si="51"/>
        <v>21180000</v>
      </c>
      <c r="P163">
        <f t="shared" si="27"/>
        <v>26750000</v>
      </c>
      <c r="Q163">
        <f>IFERROR(J144+MATCH(P163,J163:N163,0)-1,"")</f>
        <v>2015</v>
      </c>
      <c r="R163">
        <f t="shared" si="28"/>
        <v>15630000</v>
      </c>
      <c r="S163">
        <f>IFERROR(J144+MATCH(R163,J163:N163,0)-1,"")</f>
        <v>2012</v>
      </c>
      <c r="T163">
        <f t="shared" si="29"/>
        <v>20226000</v>
      </c>
      <c r="U163">
        <f t="shared" si="30"/>
        <v>4553935.6605029013</v>
      </c>
      <c r="V163">
        <f t="shared" si="31"/>
        <v>-1.0092369200254474</v>
      </c>
      <c r="W163">
        <f t="shared" si="32"/>
        <v>-0.90163768355624141</v>
      </c>
      <c r="X163">
        <f t="shared" si="33"/>
        <v>0.26877850089450561</v>
      </c>
      <c r="Y163">
        <f t="shared" si="34"/>
        <v>1.4326069769899956</v>
      </c>
      <c r="Z163">
        <f t="shared" si="35"/>
        <v>0.20948912569718819</v>
      </c>
      <c r="AA163">
        <f t="shared" si="36"/>
        <v>1.4326069769899956</v>
      </c>
      <c r="AB163">
        <f>IFERROR(V144+MATCH(AA163,V163:Z163,0)-1,"")</f>
        <v>2015</v>
      </c>
      <c r="AC163" t="str">
        <f t="shared" si="37"/>
        <v>High</v>
      </c>
      <c r="AE163">
        <f>IF(ISNUMBER(MATCH("N/A",J163:N163,0)),"",IFERROR((5 * SUMPRODUCT(J144:N144,J163:N163) - PRODUCT(SUM(J144:N144),SUM(J163:N163))) / ((5 * SUM((J144^2)+(K144^2)+(L144^2)+(M144^2)+(N144^2))) - SUM(J144:N144)^2),""))</f>
        <v>2173000</v>
      </c>
      <c r="AF163">
        <f>IFERROR(CORREL(J144:N144,J163:N163),"")</f>
        <v>0.75447150199603819</v>
      </c>
      <c r="AZ163">
        <f t="shared" si="38"/>
        <v>1</v>
      </c>
      <c r="BA163" t="str">
        <f>IF(AZ163=1,IF(Q163="","",IF(Q163=N144,"Yes","No")),"")</f>
        <v>No</v>
      </c>
      <c r="BB163" t="str">
        <f t="shared" si="39"/>
        <v/>
      </c>
      <c r="BC163" t="str">
        <f>IF(AZ163=1,IF(S163="","",IF(S163=N144,"Yes","No")),"")</f>
        <v>No</v>
      </c>
      <c r="BD163" t="str">
        <f t="shared" si="40"/>
        <v/>
      </c>
      <c r="BE163" t="str">
        <f t="shared" si="41"/>
        <v>Increasing</v>
      </c>
      <c r="BF163" t="str">
        <f t="shared" si="42"/>
        <v>No</v>
      </c>
      <c r="BG163" t="str">
        <f t="shared" si="43"/>
        <v>No</v>
      </c>
      <c r="BH163" t="str">
        <f t="shared" si="44"/>
        <v>No</v>
      </c>
    </row>
    <row r="164" spans="1:60" x14ac:dyDescent="0.3">
      <c r="A164" s="1">
        <v>6</v>
      </c>
      <c r="B164" t="s">
        <v>336</v>
      </c>
      <c r="C164" t="s">
        <v>2663</v>
      </c>
      <c r="D164" t="s">
        <v>2664</v>
      </c>
      <c r="E164" t="s">
        <v>2665</v>
      </c>
      <c r="F164" t="s">
        <v>2666</v>
      </c>
      <c r="G164" t="s">
        <v>2667</v>
      </c>
      <c r="I164" t="str">
        <f t="shared" si="46"/>
        <v>N/A</v>
      </c>
      <c r="J164">
        <f t="shared" si="47"/>
        <v>46530000</v>
      </c>
      <c r="K164">
        <f t="shared" si="48"/>
        <v>69170000</v>
      </c>
      <c r="L164">
        <f t="shared" si="49"/>
        <v>64760000.000000007</v>
      </c>
      <c r="M164">
        <f t="shared" si="50"/>
        <v>25670000</v>
      </c>
      <c r="N164">
        <f t="shared" si="51"/>
        <v>10920000</v>
      </c>
      <c r="P164">
        <f t="shared" si="27"/>
        <v>69170000</v>
      </c>
      <c r="Q164">
        <f>IFERROR(J144+MATCH(P164,J164:N164,0)-1,"")</f>
        <v>2013</v>
      </c>
      <c r="R164">
        <f t="shared" si="28"/>
        <v>10920000</v>
      </c>
      <c r="S164">
        <f>IFERROR(J144+MATCH(R164,J164:N164,0)-1,"")</f>
        <v>2016</v>
      </c>
      <c r="T164">
        <f t="shared" si="29"/>
        <v>43410000</v>
      </c>
      <c r="U164">
        <f t="shared" si="30"/>
        <v>24997210.844412223</v>
      </c>
      <c r="V164">
        <f t="shared" si="31"/>
        <v>0.12481392501825589</v>
      </c>
      <c r="W164">
        <f t="shared" si="32"/>
        <v>1.0305149706635486</v>
      </c>
      <c r="X164">
        <f t="shared" si="33"/>
        <v>0.85409528818582181</v>
      </c>
      <c r="Y164">
        <f t="shared" si="34"/>
        <v>-0.70967917622559595</v>
      </c>
      <c r="Z164">
        <f t="shared" si="35"/>
        <v>-1.29974500764203</v>
      </c>
      <c r="AA164">
        <f t="shared" si="36"/>
        <v>-1.29974500764203</v>
      </c>
      <c r="AB164">
        <f>IFERROR(V144+MATCH(AA164,V164:Z164,0)-1,"")</f>
        <v>2016</v>
      </c>
      <c r="AC164" t="str">
        <f t="shared" si="37"/>
        <v>Low</v>
      </c>
      <c r="AE164">
        <f>IF(ISNUMBER(MATCH("N/A",J164:N164,0)),"",IFERROR((5 * SUMPRODUCT(J144:N144,J164:N164) - PRODUCT(SUM(J144:N144),SUM(J164:N164))) / ((5 * SUM((J144^2)+(K144^2)+(L144^2)+(M144^2)+(N144^2))) - SUM(J144:N144)^2),""))</f>
        <v>-11472000</v>
      </c>
      <c r="AF164">
        <f>IFERROR(CORREL(J144:N144,J164:N164),"")</f>
        <v>-0.7256339425876589</v>
      </c>
      <c r="AZ164">
        <f t="shared" si="38"/>
        <v>1</v>
      </c>
      <c r="BA164" t="str">
        <f>IF(AZ164=1,IF(Q164="","",IF(Q164=N144,"Yes","No")),"")</f>
        <v>No</v>
      </c>
      <c r="BB164" t="str">
        <f t="shared" si="39"/>
        <v/>
      </c>
      <c r="BC164" t="str">
        <f>IF(AZ164=1,IF(S164="","",IF(S164=N144,"Yes","No")),"")</f>
        <v>Yes</v>
      </c>
      <c r="BD164">
        <f t="shared" si="40"/>
        <v>10920000</v>
      </c>
      <c r="BE164" t="str">
        <f t="shared" si="41"/>
        <v>Decreasing</v>
      </c>
      <c r="BF164" t="str">
        <f t="shared" si="42"/>
        <v>Yes</v>
      </c>
      <c r="BG164" t="str">
        <f t="shared" si="43"/>
        <v>No</v>
      </c>
      <c r="BH164" t="str">
        <f t="shared" si="44"/>
        <v>No</v>
      </c>
    </row>
    <row r="165" spans="1:60" x14ac:dyDescent="0.3">
      <c r="A165" s="1">
        <v>7</v>
      </c>
      <c r="B165" t="s">
        <v>341</v>
      </c>
      <c r="C165" t="s">
        <v>2668</v>
      </c>
      <c r="D165" t="s">
        <v>2669</v>
      </c>
      <c r="E165" t="s">
        <v>2670</v>
      </c>
      <c r="F165" t="s">
        <v>2671</v>
      </c>
      <c r="G165" t="s">
        <v>2112</v>
      </c>
      <c r="I165" t="str">
        <f t="shared" si="46"/>
        <v>N/A</v>
      </c>
      <c r="J165">
        <f t="shared" si="47"/>
        <v>-513000</v>
      </c>
      <c r="K165">
        <f t="shared" si="48"/>
        <v>-1980000</v>
      </c>
      <c r="L165">
        <f t="shared" si="49"/>
        <v>1160000</v>
      </c>
      <c r="M165">
        <f t="shared" si="50"/>
        <v>-402000</v>
      </c>
      <c r="N165">
        <f t="shared" si="51"/>
        <v>2069999.9999999998</v>
      </c>
      <c r="P165">
        <f t="shared" si="27"/>
        <v>2069999.9999999998</v>
      </c>
      <c r="Q165">
        <f>IFERROR(J144+MATCH(P165,J165:N165,0)-1,"")</f>
        <v>2016</v>
      </c>
      <c r="R165">
        <f t="shared" si="28"/>
        <v>-1980000</v>
      </c>
      <c r="S165">
        <f>IFERROR(J144+MATCH(R165,J165:N165,0)-1,"")</f>
        <v>2013</v>
      </c>
      <c r="T165">
        <f t="shared" si="29"/>
        <v>66999.999999999956</v>
      </c>
      <c r="U165">
        <f t="shared" si="30"/>
        <v>1577436.8450115523</v>
      </c>
      <c r="V165">
        <f t="shared" si="31"/>
        <v>-0.36768508472093686</v>
      </c>
      <c r="W165">
        <f t="shared" si="32"/>
        <v>-1.29767477314441</v>
      </c>
      <c r="X165">
        <f t="shared" si="33"/>
        <v>0.69289620275859309</v>
      </c>
      <c r="Y165">
        <f t="shared" si="34"/>
        <v>-0.29731776678296445</v>
      </c>
      <c r="Z165">
        <f t="shared" si="35"/>
        <v>1.2697814218897181</v>
      </c>
      <c r="AA165">
        <f t="shared" si="36"/>
        <v>-1.29767477314441</v>
      </c>
      <c r="AB165">
        <f>IFERROR(V144+MATCH(AA165,V165:Z165,0)-1,"")</f>
        <v>2013</v>
      </c>
      <c r="AC165" t="str">
        <f t="shared" si="37"/>
        <v>Low</v>
      </c>
      <c r="AE165">
        <f>IF(ISNUMBER(MATCH("N/A",J165:N165,0)),"",IFERROR((5 * SUMPRODUCT(J144:N144,J165:N165) - PRODUCT(SUM(J144:N144),SUM(J165:N165))) / ((5 * SUM((J144^2)+(K144^2)+(L144^2)+(M144^2)+(N144^2))) - SUM(J144:N144)^2),""))</f>
        <v>674400</v>
      </c>
      <c r="AF165">
        <f>IFERROR(CORREL(J144:N144,J165:N165),"")</f>
        <v>0.67598270598336907</v>
      </c>
      <c r="AZ165">
        <f t="shared" si="38"/>
        <v>1</v>
      </c>
      <c r="BA165" t="str">
        <f>IF(AZ165=1,IF(Q165="","",IF(Q165=N144,"Yes","No")),"")</f>
        <v>Yes</v>
      </c>
      <c r="BB165">
        <f t="shared" si="39"/>
        <v>2069999.9999999998</v>
      </c>
      <c r="BC165" t="str">
        <f>IF(AZ165=1,IF(S165="","",IF(S165=N144,"Yes","No")),"")</f>
        <v>No</v>
      </c>
      <c r="BD165" t="str">
        <f t="shared" si="40"/>
        <v/>
      </c>
      <c r="BE165" t="str">
        <f t="shared" si="41"/>
        <v>Increasing</v>
      </c>
      <c r="BF165" t="str">
        <f t="shared" si="42"/>
        <v>Yes</v>
      </c>
      <c r="BG165" t="str">
        <f t="shared" si="43"/>
        <v>No</v>
      </c>
      <c r="BH165" t="str">
        <f t="shared" si="44"/>
        <v>No</v>
      </c>
    </row>
    <row r="166" spans="1:60" x14ac:dyDescent="0.3">
      <c r="A166" s="1">
        <v>8</v>
      </c>
      <c r="B166" t="s">
        <v>347</v>
      </c>
      <c r="C166" t="s">
        <v>2672</v>
      </c>
      <c r="D166" t="s">
        <v>2673</v>
      </c>
      <c r="E166" t="s">
        <v>264</v>
      </c>
      <c r="F166" t="s">
        <v>264</v>
      </c>
      <c r="G166" t="s">
        <v>264</v>
      </c>
      <c r="I166" t="str">
        <f t="shared" si="46"/>
        <v>N/A</v>
      </c>
      <c r="J166">
        <f t="shared" si="47"/>
        <v>269000</v>
      </c>
      <c r="K166">
        <f t="shared" si="48"/>
        <v>264000</v>
      </c>
      <c r="L166" t="str">
        <f t="shared" si="49"/>
        <v>N/A</v>
      </c>
      <c r="M166" t="str">
        <f t="shared" si="50"/>
        <v>N/A</v>
      </c>
      <c r="N166" t="str">
        <f t="shared" si="51"/>
        <v>N/A</v>
      </c>
      <c r="P166">
        <f t="shared" si="27"/>
        <v>269000</v>
      </c>
      <c r="Q166">
        <f>IFERROR(J144+MATCH(P166,J166:N166,0)-1,"")</f>
        <v>2012</v>
      </c>
      <c r="R166">
        <f t="shared" si="28"/>
        <v>264000</v>
      </c>
      <c r="S166">
        <f>IFERROR(J144+MATCH(R166,J166:N166,0)-1,"")</f>
        <v>2013</v>
      </c>
      <c r="T166">
        <f t="shared" si="29"/>
        <v>266500</v>
      </c>
      <c r="U166">
        <f t="shared" si="30"/>
        <v>3535.5339059327375</v>
      </c>
      <c r="V166">
        <f t="shared" si="31"/>
        <v>0.70710678118654757</v>
      </c>
      <c r="W166">
        <f t="shared" si="32"/>
        <v>-0.70710678118654757</v>
      </c>
      <c r="X166" t="str">
        <f t="shared" si="33"/>
        <v/>
      </c>
      <c r="Y166" t="str">
        <f t="shared" si="34"/>
        <v/>
      </c>
      <c r="Z166" t="str">
        <f t="shared" si="35"/>
        <v/>
      </c>
      <c r="AA166">
        <f t="shared" si="36"/>
        <v>-0.70710678118654757</v>
      </c>
      <c r="AB166">
        <f>IFERROR(V144+MATCH(AA166,V166:Z166,0)-1,"")</f>
        <v>2013</v>
      </c>
      <c r="AC166" t="str">
        <f t="shared" si="37"/>
        <v>Low</v>
      </c>
      <c r="AE166" t="str">
        <f>IF(ISNUMBER(MATCH("N/A",J166:N166,0)),"",IFERROR((5 * SUMPRODUCT(J144:N144,J166:N166) - PRODUCT(SUM(J144:N144),SUM(J166:N166))) / ((5 * SUM((J144^2)+(K144^2)+(L144^2)+(M144^2)+(N144^2))) - SUM(J144:N144)^2),""))</f>
        <v/>
      </c>
      <c r="AF166">
        <f>IFERROR(CORREL(J144:N144,J166:N166),"")</f>
        <v>-1</v>
      </c>
      <c r="AZ166">
        <f t="shared" si="38"/>
        <v>1</v>
      </c>
      <c r="BA166" t="str">
        <f>IF(AZ166=1,IF(Q166="","",IF(Q166=N144,"Yes","No")),"")</f>
        <v>No</v>
      </c>
      <c r="BB166" t="str">
        <f t="shared" si="39"/>
        <v/>
      </c>
      <c r="BC166" t="str">
        <f>IF(AZ166=1,IF(S166="","",IF(S166=N144,"Yes","No")),"")</f>
        <v>No</v>
      </c>
      <c r="BD166" t="str">
        <f t="shared" si="40"/>
        <v/>
      </c>
      <c r="BE166" t="str">
        <f t="shared" si="41"/>
        <v/>
      </c>
      <c r="BF166" t="str">
        <f t="shared" si="42"/>
        <v>No</v>
      </c>
      <c r="BG166" t="str">
        <f t="shared" si="43"/>
        <v>No</v>
      </c>
      <c r="BH166" t="str">
        <f t="shared" si="44"/>
        <v>Yes</v>
      </c>
    </row>
    <row r="167" spans="1:60" x14ac:dyDescent="0.3">
      <c r="A167" s="1">
        <v>9</v>
      </c>
      <c r="B167" t="s">
        <v>353</v>
      </c>
      <c r="C167" t="s">
        <v>264</v>
      </c>
      <c r="D167" t="s">
        <v>264</v>
      </c>
      <c r="E167" t="s">
        <v>264</v>
      </c>
      <c r="F167" t="s">
        <v>264</v>
      </c>
      <c r="G167" t="s">
        <v>264</v>
      </c>
      <c r="I167" t="str">
        <f t="shared" si="46"/>
        <v>N/A</v>
      </c>
      <c r="J167" t="str">
        <f t="shared" si="47"/>
        <v>N/A</v>
      </c>
      <c r="K167" t="str">
        <f t="shared" si="48"/>
        <v>N/A</v>
      </c>
      <c r="L167" t="str">
        <f t="shared" si="49"/>
        <v>N/A</v>
      </c>
      <c r="M167" t="str">
        <f t="shared" si="50"/>
        <v>N/A</v>
      </c>
      <c r="N167" t="str">
        <f t="shared" si="51"/>
        <v>N/A</v>
      </c>
      <c r="P167">
        <f t="shared" si="27"/>
        <v>0</v>
      </c>
      <c r="Q167" t="str">
        <f>IFERROR(J144+MATCH(P167,J167:N167,0)-1,"")</f>
        <v/>
      </c>
      <c r="R167" t="str">
        <f t="shared" si="28"/>
        <v/>
      </c>
      <c r="S167" t="str">
        <f>IFERROR(J144+MATCH(R167,J167:N167,0)-1,"")</f>
        <v/>
      </c>
      <c r="T167" t="str">
        <f t="shared" si="29"/>
        <v/>
      </c>
      <c r="U167" t="str">
        <f t="shared" si="30"/>
        <v/>
      </c>
      <c r="V167" t="str">
        <f t="shared" si="31"/>
        <v/>
      </c>
      <c r="W167" t="str">
        <f t="shared" si="32"/>
        <v/>
      </c>
      <c r="X167" t="str">
        <f t="shared" si="33"/>
        <v/>
      </c>
      <c r="Y167" t="str">
        <f t="shared" si="34"/>
        <v/>
      </c>
      <c r="Z167" t="str">
        <f t="shared" si="35"/>
        <v/>
      </c>
      <c r="AA167">
        <f t="shared" si="36"/>
        <v>0</v>
      </c>
      <c r="AB167" t="str">
        <f>IFERROR(V144+MATCH(AA167,V167:Z167,0)-1,"")</f>
        <v/>
      </c>
      <c r="AC167" t="str">
        <f t="shared" si="37"/>
        <v/>
      </c>
      <c r="AE167" t="str">
        <f>IF(ISNUMBER(MATCH("N/A",J167:N167,0)),"",IFERROR((5 * SUMPRODUCT(J144:N144,J167:N167) - PRODUCT(SUM(J144:N144),SUM(J167:N167))) / ((5 * SUM((J144^2)+(K144^2)+(L144^2)+(M144^2)+(N144^2))) - SUM(J144:N144)^2),""))</f>
        <v/>
      </c>
      <c r="AF167" t="str">
        <f>IFERROR(CORREL(J144:N144,J167:N167),"")</f>
        <v/>
      </c>
      <c r="AZ167">
        <f t="shared" si="38"/>
        <v>0</v>
      </c>
      <c r="BA167" t="str">
        <f>IF(AZ167=1,IF(Q167="","",IF(Q167=N144,"Yes","No")),"")</f>
        <v/>
      </c>
      <c r="BB167" t="str">
        <f t="shared" si="39"/>
        <v/>
      </c>
      <c r="BC167" t="str">
        <f>IF(AZ167=1,IF(S167="","",IF(S167=N144,"Yes","No")),"")</f>
        <v/>
      </c>
      <c r="BD167" t="str">
        <f t="shared" si="40"/>
        <v/>
      </c>
      <c r="BE167" t="str">
        <f t="shared" si="41"/>
        <v/>
      </c>
      <c r="BF167" t="str">
        <f t="shared" si="42"/>
        <v>No</v>
      </c>
      <c r="BG167" t="str">
        <f t="shared" si="43"/>
        <v>No</v>
      </c>
      <c r="BH167" t="str">
        <f t="shared" si="44"/>
        <v/>
      </c>
    </row>
    <row r="168" spans="1:60" x14ac:dyDescent="0.3">
      <c r="A168" s="1">
        <v>10</v>
      </c>
      <c r="B168" t="s">
        <v>354</v>
      </c>
      <c r="C168" t="s">
        <v>2674</v>
      </c>
      <c r="D168" t="s">
        <v>2675</v>
      </c>
      <c r="E168" t="s">
        <v>2676</v>
      </c>
      <c r="F168" t="s">
        <v>2677</v>
      </c>
      <c r="G168" t="s">
        <v>1605</v>
      </c>
      <c r="I168" t="str">
        <f t="shared" si="46"/>
        <v>N/A</v>
      </c>
      <c r="J168">
        <f t="shared" si="47"/>
        <v>4530000</v>
      </c>
      <c r="K168">
        <f t="shared" si="48"/>
        <v>3430000</v>
      </c>
      <c r="L168">
        <f t="shared" si="49"/>
        <v>2650000</v>
      </c>
      <c r="M168">
        <f t="shared" si="50"/>
        <v>2840000</v>
      </c>
      <c r="N168">
        <f t="shared" si="51"/>
        <v>3310000</v>
      </c>
      <c r="P168">
        <f t="shared" si="27"/>
        <v>4530000</v>
      </c>
      <c r="Q168">
        <f>IFERROR(J144+MATCH(P168,J168:N168,0)-1,"")</f>
        <v>2012</v>
      </c>
      <c r="R168">
        <f t="shared" si="28"/>
        <v>2650000</v>
      </c>
      <c r="S168">
        <f>IFERROR(J144+MATCH(R168,J168:N168,0)-1,"")</f>
        <v>2014</v>
      </c>
      <c r="T168">
        <f t="shared" si="29"/>
        <v>3352000</v>
      </c>
      <c r="U168">
        <f t="shared" si="30"/>
        <v>733225.74968422926</v>
      </c>
      <c r="V168">
        <f t="shared" si="31"/>
        <v>1.6065993324802315</v>
      </c>
      <c r="W168">
        <f t="shared" si="32"/>
        <v>0.10637924272789308</v>
      </c>
      <c r="X168">
        <f t="shared" si="33"/>
        <v>-0.95741318455103774</v>
      </c>
      <c r="Y168">
        <f t="shared" si="34"/>
        <v>-0.69828425995745202</v>
      </c>
      <c r="Z168">
        <f t="shared" si="35"/>
        <v>-5.7281130699634739E-2</v>
      </c>
      <c r="AA168">
        <f t="shared" si="36"/>
        <v>1.6065993324802315</v>
      </c>
      <c r="AB168">
        <f>IFERROR(V144+MATCH(AA168,V168:Z168,0)-1,"")</f>
        <v>2012</v>
      </c>
      <c r="AC168" t="str">
        <f t="shared" si="37"/>
        <v>High</v>
      </c>
      <c r="AE168">
        <f>IF(ISNUMBER(MATCH("N/A",J168:N168,0)),"",IFERROR((5 * SUMPRODUCT(J144:N144,J168:N168) - PRODUCT(SUM(J144:N144),SUM(J168:N168))) / ((5 * SUM((J144^2)+(K144^2)+(L144^2)+(M144^2)+(N144^2))) - SUM(J144:N144)^2),""))</f>
        <v>-303000</v>
      </c>
      <c r="AF168">
        <f>IFERROR(CORREL(J144:N144,J168:N168),"")</f>
        <v>-0.6533936727151658</v>
      </c>
      <c r="AZ168">
        <f t="shared" si="38"/>
        <v>1</v>
      </c>
      <c r="BA168" t="str">
        <f>IF(AZ168=1,IF(Q168="","",IF(Q168=N144,"Yes","No")),"")</f>
        <v>No</v>
      </c>
      <c r="BB168" t="str">
        <f t="shared" si="39"/>
        <v/>
      </c>
      <c r="BC168" t="str">
        <f>IF(AZ168=1,IF(S168="","",IF(S168=N144,"Yes","No")),"")</f>
        <v>No</v>
      </c>
      <c r="BD168" t="str">
        <f t="shared" si="40"/>
        <v/>
      </c>
      <c r="BE168" t="str">
        <f t="shared" si="41"/>
        <v>Decreasing</v>
      </c>
      <c r="BF168" t="str">
        <f t="shared" si="42"/>
        <v>No</v>
      </c>
      <c r="BG168" t="str">
        <f t="shared" si="43"/>
        <v>No</v>
      </c>
      <c r="BH168" t="str">
        <f t="shared" si="44"/>
        <v>No</v>
      </c>
    </row>
    <row r="169" spans="1:60" x14ac:dyDescent="0.3">
      <c r="A169" s="1">
        <v>11</v>
      </c>
      <c r="B169" t="s">
        <v>360</v>
      </c>
      <c r="C169" t="s">
        <v>264</v>
      </c>
      <c r="D169" t="s">
        <v>2678</v>
      </c>
      <c r="E169" t="s">
        <v>2679</v>
      </c>
      <c r="F169" t="s">
        <v>2680</v>
      </c>
      <c r="G169" t="s">
        <v>2681</v>
      </c>
      <c r="I169" t="str">
        <f t="shared" si="46"/>
        <v>N/A</v>
      </c>
      <c r="J169" t="str">
        <f t="shared" si="47"/>
        <v>N/A</v>
      </c>
      <c r="K169">
        <f t="shared" si="48"/>
        <v>-0.24360000000000001</v>
      </c>
      <c r="L169">
        <f t="shared" si="49"/>
        <v>-0.22570000000000001</v>
      </c>
      <c r="M169">
        <f t="shared" si="50"/>
        <v>7.2400000000000006E-2</v>
      </c>
      <c r="N169">
        <f t="shared" si="51"/>
        <v>0.16390000000000002</v>
      </c>
      <c r="P169">
        <f t="shared" si="27"/>
        <v>0.16390000000000002</v>
      </c>
      <c r="Q169">
        <f>IFERROR(J144+MATCH(P169,J169:N169,0)-1,"")</f>
        <v>2016</v>
      </c>
      <c r="R169">
        <f t="shared" si="28"/>
        <v>-0.24360000000000001</v>
      </c>
      <c r="S169">
        <f>IFERROR(J144+MATCH(R169,J169:N169,0)-1,"")</f>
        <v>2013</v>
      </c>
      <c r="T169">
        <f t="shared" si="29"/>
        <v>-5.8250000000000003E-2</v>
      </c>
      <c r="U169">
        <f t="shared" si="30"/>
        <v>0.2072150010657208</v>
      </c>
      <c r="V169" t="str">
        <f t="shared" si="31"/>
        <v/>
      </c>
      <c r="W169">
        <f t="shared" si="32"/>
        <v>-0.89448157250552518</v>
      </c>
      <c r="X169">
        <f t="shared" si="33"/>
        <v>-0.80809786520663718</v>
      </c>
      <c r="Y169">
        <f t="shared" si="34"/>
        <v>0.63050454517316901</v>
      </c>
      <c r="Z169">
        <f t="shared" si="35"/>
        <v>1.0720748925389934</v>
      </c>
      <c r="AA169">
        <f t="shared" si="36"/>
        <v>1.0720748925389934</v>
      </c>
      <c r="AB169">
        <f>IFERROR(V144+MATCH(AA169,V169:Z169,0)-1,"")</f>
        <v>2016</v>
      </c>
      <c r="AC169" t="str">
        <f t="shared" si="37"/>
        <v>High</v>
      </c>
      <c r="AE169" t="str">
        <f>IF(ISNUMBER(MATCH("N/A",J169:N169,0)),"",IFERROR((5 * SUMPRODUCT(J144:N144,J169:N169) - PRODUCT(SUM(J144:N144),SUM(J169:N169))) / ((5 * SUM((J144^2)+(K144^2)+(L144^2)+(M144^2)+(N144^2))) - SUM(J144:N144)^2),""))</f>
        <v/>
      </c>
      <c r="AF169">
        <f>IFERROR(CORREL(J144:N144,J169:N169),"")</f>
        <v>0.94736681642322274</v>
      </c>
      <c r="AZ169">
        <f t="shared" si="38"/>
        <v>1</v>
      </c>
      <c r="BA169" t="str">
        <f>IF(AZ169=1,IF(Q169="","",IF(Q169=N144,"Yes","No")),"")</f>
        <v>Yes</v>
      </c>
      <c r="BB169">
        <f t="shared" si="39"/>
        <v>0.16390000000000002</v>
      </c>
      <c r="BC169" t="str">
        <f>IF(AZ169=1,IF(S169="","",IF(S169=N144,"Yes","No")),"")</f>
        <v>No</v>
      </c>
      <c r="BD169" t="str">
        <f t="shared" si="40"/>
        <v/>
      </c>
      <c r="BE169" t="str">
        <f t="shared" si="41"/>
        <v/>
      </c>
      <c r="BF169" t="str">
        <f t="shared" si="42"/>
        <v>No</v>
      </c>
      <c r="BG169" t="str">
        <f t="shared" si="43"/>
        <v>No</v>
      </c>
      <c r="BH169" t="str">
        <f t="shared" si="44"/>
        <v>Yes</v>
      </c>
    </row>
    <row r="170" spans="1:60" x14ac:dyDescent="0.3">
      <c r="A170" s="1">
        <v>12</v>
      </c>
      <c r="B170" t="s">
        <v>365</v>
      </c>
      <c r="C170" t="s">
        <v>2674</v>
      </c>
      <c r="D170" t="s">
        <v>2675</v>
      </c>
      <c r="E170" t="s">
        <v>2676</v>
      </c>
      <c r="F170" t="s">
        <v>2677</v>
      </c>
      <c r="G170" t="s">
        <v>1605</v>
      </c>
      <c r="I170" t="str">
        <f t="shared" si="46"/>
        <v>N/A</v>
      </c>
      <c r="J170">
        <f t="shared" si="47"/>
        <v>4530000</v>
      </c>
      <c r="K170">
        <f t="shared" si="48"/>
        <v>3430000</v>
      </c>
      <c r="L170">
        <f t="shared" si="49"/>
        <v>2650000</v>
      </c>
      <c r="M170">
        <f t="shared" si="50"/>
        <v>2840000</v>
      </c>
      <c r="N170">
        <f t="shared" si="51"/>
        <v>3310000</v>
      </c>
      <c r="P170">
        <f t="shared" si="27"/>
        <v>4530000</v>
      </c>
      <c r="Q170">
        <f>IFERROR(J144+MATCH(P170,J170:N170,0)-1,"")</f>
        <v>2012</v>
      </c>
      <c r="R170">
        <f t="shared" si="28"/>
        <v>2650000</v>
      </c>
      <c r="S170">
        <f>IFERROR(J144+MATCH(R170,J170:N170,0)-1,"")</f>
        <v>2014</v>
      </c>
      <c r="T170">
        <f t="shared" si="29"/>
        <v>3352000</v>
      </c>
      <c r="U170">
        <f t="shared" si="30"/>
        <v>733225.74968422926</v>
      </c>
      <c r="V170">
        <f t="shared" si="31"/>
        <v>1.6065993324802315</v>
      </c>
      <c r="W170">
        <f t="shared" si="32"/>
        <v>0.10637924272789308</v>
      </c>
      <c r="X170">
        <f t="shared" si="33"/>
        <v>-0.95741318455103774</v>
      </c>
      <c r="Y170">
        <f t="shared" si="34"/>
        <v>-0.69828425995745202</v>
      </c>
      <c r="Z170">
        <f t="shared" si="35"/>
        <v>-5.7281130699634739E-2</v>
      </c>
      <c r="AA170">
        <f t="shared" si="36"/>
        <v>1.6065993324802315</v>
      </c>
      <c r="AB170">
        <f>IFERROR(V144+MATCH(AA170,V170:Z170,0)-1,"")</f>
        <v>2012</v>
      </c>
      <c r="AC170" t="str">
        <f t="shared" si="37"/>
        <v>High</v>
      </c>
      <c r="AE170">
        <f>IF(ISNUMBER(MATCH("N/A",J170:N170,0)),"",IFERROR((5 * SUMPRODUCT(J144:N144,J170:N170) - PRODUCT(SUM(J144:N144),SUM(J170:N170))) / ((5 * SUM((J144^2)+(K144^2)+(L144^2)+(M144^2)+(N144^2))) - SUM(J144:N144)^2),""))</f>
        <v>-303000</v>
      </c>
      <c r="AF170">
        <f>IFERROR(CORREL(J144:N144,J170:N170),"")</f>
        <v>-0.6533936727151658</v>
      </c>
      <c r="AZ170">
        <f t="shared" si="38"/>
        <v>1</v>
      </c>
      <c r="BA170" t="str">
        <f>IF(AZ170=1,IF(Q170="","",IF(Q170=N144,"Yes","No")),"")</f>
        <v>No</v>
      </c>
      <c r="BB170" t="str">
        <f t="shared" si="39"/>
        <v/>
      </c>
      <c r="BC170" t="str">
        <f>IF(AZ170=1,IF(S170="","",IF(S170=N144,"Yes","No")),"")</f>
        <v>No</v>
      </c>
      <c r="BD170" t="str">
        <f t="shared" si="40"/>
        <v/>
      </c>
      <c r="BE170" t="str">
        <f t="shared" si="41"/>
        <v>Decreasing</v>
      </c>
      <c r="BF170" t="str">
        <f t="shared" si="42"/>
        <v>No</v>
      </c>
      <c r="BG170" t="str">
        <f t="shared" si="43"/>
        <v>No</v>
      </c>
      <c r="BH170" t="str">
        <f t="shared" si="44"/>
        <v>No</v>
      </c>
    </row>
    <row r="171" spans="1:60" x14ac:dyDescent="0.3">
      <c r="A171" s="1">
        <v>13</v>
      </c>
      <c r="B171" t="s">
        <v>366</v>
      </c>
      <c r="C171" t="s">
        <v>264</v>
      </c>
      <c r="D171" t="s">
        <v>264</v>
      </c>
      <c r="E171" t="s">
        <v>264</v>
      </c>
      <c r="F171" t="s">
        <v>264</v>
      </c>
      <c r="G171" t="s">
        <v>264</v>
      </c>
      <c r="I171" t="str">
        <f t="shared" si="46"/>
        <v>N/A</v>
      </c>
      <c r="J171" t="str">
        <f t="shared" si="47"/>
        <v>N/A</v>
      </c>
      <c r="K171" t="str">
        <f t="shared" si="48"/>
        <v>N/A</v>
      </c>
      <c r="L171" t="str">
        <f t="shared" si="49"/>
        <v>N/A</v>
      </c>
      <c r="M171" t="str">
        <f t="shared" si="50"/>
        <v>N/A</v>
      </c>
      <c r="N171" t="str">
        <f t="shared" si="51"/>
        <v>N/A</v>
      </c>
      <c r="P171">
        <f t="shared" si="27"/>
        <v>0</v>
      </c>
      <c r="Q171" t="str">
        <f>IFERROR(J144+MATCH(P171,J171:N171,0)-1,"")</f>
        <v/>
      </c>
      <c r="R171" t="str">
        <f t="shared" si="28"/>
        <v/>
      </c>
      <c r="S171" t="str">
        <f>IFERROR(J144+MATCH(R171,J171:N171,0)-1,"")</f>
        <v/>
      </c>
      <c r="T171" t="str">
        <f t="shared" si="29"/>
        <v/>
      </c>
      <c r="U171" t="str">
        <f t="shared" si="30"/>
        <v/>
      </c>
      <c r="V171" t="str">
        <f t="shared" si="31"/>
        <v/>
      </c>
      <c r="W171" t="str">
        <f t="shared" si="32"/>
        <v/>
      </c>
      <c r="X171" t="str">
        <f t="shared" si="33"/>
        <v/>
      </c>
      <c r="Y171" t="str">
        <f t="shared" si="34"/>
        <v/>
      </c>
      <c r="Z171" t="str">
        <f t="shared" si="35"/>
        <v/>
      </c>
      <c r="AA171">
        <f t="shared" si="36"/>
        <v>0</v>
      </c>
      <c r="AB171" t="str">
        <f>IFERROR(V144+MATCH(AA171,V171:Z171,0)-1,"")</f>
        <v/>
      </c>
      <c r="AC171" t="str">
        <f t="shared" si="37"/>
        <v/>
      </c>
      <c r="AE171" t="str">
        <f>IF(ISNUMBER(MATCH("N/A",J171:N171,0)),"",IFERROR((5 * SUMPRODUCT(J144:N144,J171:N171) - PRODUCT(SUM(J144:N144),SUM(J171:N171))) / ((5 * SUM((J144^2)+(K144^2)+(L144^2)+(M144^2)+(N144^2))) - SUM(J144:N144)^2),""))</f>
        <v/>
      </c>
      <c r="AF171" t="str">
        <f>IFERROR(CORREL(J144:N144,J171:N171),"")</f>
        <v/>
      </c>
      <c r="AZ171">
        <f t="shared" si="38"/>
        <v>0</v>
      </c>
      <c r="BA171" t="str">
        <f>IF(AZ171=1,IF(Q171="","",IF(Q171=N144,"Yes","No")),"")</f>
        <v/>
      </c>
      <c r="BB171" t="str">
        <f t="shared" si="39"/>
        <v/>
      </c>
      <c r="BC171" t="str">
        <f>IF(AZ171=1,IF(S171="","",IF(S171=N144,"Yes","No")),"")</f>
        <v/>
      </c>
      <c r="BD171" t="str">
        <f t="shared" si="40"/>
        <v/>
      </c>
      <c r="BE171" t="str">
        <f t="shared" si="41"/>
        <v/>
      </c>
      <c r="BF171" t="str">
        <f t="shared" si="42"/>
        <v>No</v>
      </c>
      <c r="BG171" t="str">
        <f t="shared" si="43"/>
        <v>No</v>
      </c>
      <c r="BH171" t="str">
        <f t="shared" si="44"/>
        <v/>
      </c>
    </row>
    <row r="172" spans="1:60" x14ac:dyDescent="0.3">
      <c r="A172" s="1">
        <v>14</v>
      </c>
      <c r="B172" t="s">
        <v>367</v>
      </c>
      <c r="C172" t="s">
        <v>2682</v>
      </c>
      <c r="D172" t="s">
        <v>2683</v>
      </c>
      <c r="E172" t="s">
        <v>2684</v>
      </c>
      <c r="F172" t="s">
        <v>2685</v>
      </c>
      <c r="G172" t="s">
        <v>2624</v>
      </c>
      <c r="I172" t="str">
        <f t="shared" si="46"/>
        <v>N/A</v>
      </c>
      <c r="J172">
        <f t="shared" si="47"/>
        <v>41760000</v>
      </c>
      <c r="K172">
        <f t="shared" si="48"/>
        <v>64040000.000000007</v>
      </c>
      <c r="L172">
        <f t="shared" si="49"/>
        <v>63260000</v>
      </c>
      <c r="M172">
        <f t="shared" si="50"/>
        <v>22430000</v>
      </c>
      <c r="N172">
        <f t="shared" si="51"/>
        <v>9680000</v>
      </c>
      <c r="P172">
        <f t="shared" si="27"/>
        <v>64040000.000000007</v>
      </c>
      <c r="Q172">
        <f>IFERROR(J144+MATCH(P172,J172:N172,0)-1,"")</f>
        <v>2013</v>
      </c>
      <c r="R172">
        <f t="shared" si="28"/>
        <v>9680000</v>
      </c>
      <c r="S172">
        <f>IFERROR(J144+MATCH(R172,J172:N172,0)-1,"")</f>
        <v>2016</v>
      </c>
      <c r="T172">
        <f t="shared" si="29"/>
        <v>40234000</v>
      </c>
      <c r="U172">
        <f t="shared" si="30"/>
        <v>24237266.347507097</v>
      </c>
      <c r="V172">
        <f t="shared" si="31"/>
        <v>6.2960895759473945E-2</v>
      </c>
      <c r="W172">
        <f t="shared" si="32"/>
        <v>0.98220647735913313</v>
      </c>
      <c r="X172">
        <f t="shared" si="33"/>
        <v>0.95002463024747508</v>
      </c>
      <c r="Y172">
        <f t="shared" si="34"/>
        <v>-0.73457128971276153</v>
      </c>
      <c r="Z172">
        <f t="shared" si="35"/>
        <v>-1.2606207136533203</v>
      </c>
      <c r="AA172">
        <f t="shared" si="36"/>
        <v>-1.2606207136533203</v>
      </c>
      <c r="AB172">
        <f>IFERROR(V144+MATCH(AA172,V172:Z172,0)-1,"")</f>
        <v>2016</v>
      </c>
      <c r="AC172" t="str">
        <f t="shared" si="37"/>
        <v>Low</v>
      </c>
      <c r="AE172">
        <f>IF(ISNUMBER(MATCH("N/A",J172:N172,0)),"",IFERROR((5 * SUMPRODUCT(J144:N144,J172:N172) - PRODUCT(SUM(J144:N144),SUM(J172:N172))) / ((5 * SUM((J144^2)+(K144^2)+(L144^2)+(M144^2)+(N144^2))) - SUM(J144:N144)^2),""))</f>
        <v>-10577000</v>
      </c>
      <c r="AF172">
        <f>IFERROR(CORREL(J144:N144,J172:N172),"")</f>
        <v>-0.68999965449983891</v>
      </c>
      <c r="AZ172">
        <f t="shared" si="38"/>
        <v>1</v>
      </c>
      <c r="BA172" t="str">
        <f>IF(AZ172=1,IF(Q172="","",IF(Q172=N144,"Yes","No")),"")</f>
        <v>No</v>
      </c>
      <c r="BB172" t="str">
        <f t="shared" si="39"/>
        <v/>
      </c>
      <c r="BC172" t="str">
        <f>IF(AZ172=1,IF(S172="","",IF(S172=N144,"Yes","No")),"")</f>
        <v>Yes</v>
      </c>
      <c r="BD172">
        <f t="shared" si="40"/>
        <v>9680000</v>
      </c>
      <c r="BE172" t="str">
        <f t="shared" si="41"/>
        <v>Decreasing</v>
      </c>
      <c r="BF172" t="str">
        <f t="shared" si="42"/>
        <v>Yes</v>
      </c>
      <c r="BG172" t="str">
        <f t="shared" si="43"/>
        <v>No</v>
      </c>
      <c r="BH172" t="str">
        <f t="shared" si="44"/>
        <v>No</v>
      </c>
    </row>
    <row r="173" spans="1:60" x14ac:dyDescent="0.3">
      <c r="A173" s="1">
        <v>15</v>
      </c>
      <c r="B173" t="s">
        <v>373</v>
      </c>
      <c r="C173" t="s">
        <v>264</v>
      </c>
      <c r="D173" t="s">
        <v>2686</v>
      </c>
      <c r="E173" t="s">
        <v>2636</v>
      </c>
      <c r="F173" t="s">
        <v>2687</v>
      </c>
      <c r="G173" t="s">
        <v>2688</v>
      </c>
      <c r="I173" t="str">
        <f t="shared" si="46"/>
        <v>N/A</v>
      </c>
      <c r="J173" t="str">
        <f t="shared" si="47"/>
        <v>N/A</v>
      </c>
      <c r="K173">
        <f t="shared" si="48"/>
        <v>0.53349999999999997</v>
      </c>
      <c r="L173">
        <f t="shared" si="49"/>
        <v>-1.21E-2</v>
      </c>
      <c r="M173">
        <f t="shared" si="50"/>
        <v>-0.64549999999999996</v>
      </c>
      <c r="N173">
        <f t="shared" si="51"/>
        <v>-0.56840000000000002</v>
      </c>
      <c r="P173">
        <f t="shared" si="27"/>
        <v>0.53349999999999997</v>
      </c>
      <c r="Q173">
        <f>IFERROR(J144+MATCH(P173,J173:N173,0)-1,"")</f>
        <v>2013</v>
      </c>
      <c r="R173">
        <f t="shared" si="28"/>
        <v>-0.64549999999999996</v>
      </c>
      <c r="S173">
        <f>IFERROR(J144+MATCH(R173,J173:N173,0)-1,"")</f>
        <v>2015</v>
      </c>
      <c r="T173">
        <f t="shared" si="29"/>
        <v>-0.173125</v>
      </c>
      <c r="U173">
        <f t="shared" si="30"/>
        <v>0.54912913098833138</v>
      </c>
      <c r="V173" t="str">
        <f t="shared" si="31"/>
        <v/>
      </c>
      <c r="W173">
        <f t="shared" si="32"/>
        <v>1.2868102603265739</v>
      </c>
      <c r="X173">
        <f t="shared" si="33"/>
        <v>0.29323703827219044</v>
      </c>
      <c r="Y173">
        <f t="shared" si="34"/>
        <v>-0.8602257162168977</v>
      </c>
      <c r="Z173">
        <f t="shared" si="35"/>
        <v>-0.71982158238186666</v>
      </c>
      <c r="AA173">
        <f t="shared" si="36"/>
        <v>1.2868102603265739</v>
      </c>
      <c r="AB173">
        <f>IFERROR(V144+MATCH(AA173,V173:Z173,0)-1,"")</f>
        <v>2013</v>
      </c>
      <c r="AC173" t="str">
        <f t="shared" si="37"/>
        <v>High</v>
      </c>
      <c r="AE173" t="str">
        <f>IF(ISNUMBER(MATCH("N/A",J173:N173,0)),"",IFERROR((5 * SUMPRODUCT(J144:N144,J173:N173) - PRODUCT(SUM(J144:N144),SUM(J173:N173))) / ((5 * SUM((J144^2)+(K144^2)+(L144^2)+(M144^2)+(N144^2))) - SUM(J144:N144)^2),""))</f>
        <v/>
      </c>
      <c r="AF173">
        <f>IFERROR(CORREL(J144:N144,J173:N173),"")</f>
        <v>-0.92607657216482153</v>
      </c>
      <c r="AZ173">
        <f t="shared" si="38"/>
        <v>1</v>
      </c>
      <c r="BA173" t="str">
        <f>IF(AZ173=1,IF(Q173="","",IF(Q173=N144,"Yes","No")),"")</f>
        <v>No</v>
      </c>
      <c r="BB173" t="str">
        <f t="shared" si="39"/>
        <v/>
      </c>
      <c r="BC173" t="str">
        <f>IF(AZ173=1,IF(S173="","",IF(S173=N144,"Yes","No")),"")</f>
        <v>No</v>
      </c>
      <c r="BD173" t="str">
        <f t="shared" si="40"/>
        <v/>
      </c>
      <c r="BE173" t="str">
        <f t="shared" si="41"/>
        <v/>
      </c>
      <c r="BF173" t="str">
        <f t="shared" si="42"/>
        <v>No</v>
      </c>
      <c r="BG173" t="str">
        <f t="shared" si="43"/>
        <v>No</v>
      </c>
      <c r="BH173" t="str">
        <f t="shared" si="44"/>
        <v>Yes</v>
      </c>
    </row>
    <row r="174" spans="1:60" x14ac:dyDescent="0.3">
      <c r="A174" s="1">
        <v>16</v>
      </c>
      <c r="B174" t="s">
        <v>378</v>
      </c>
      <c r="C174" t="s">
        <v>264</v>
      </c>
      <c r="D174" t="s">
        <v>264</v>
      </c>
      <c r="E174" t="s">
        <v>264</v>
      </c>
      <c r="F174" t="s">
        <v>264</v>
      </c>
      <c r="G174" t="s">
        <v>2689</v>
      </c>
      <c r="I174" t="str">
        <f t="shared" si="46"/>
        <v>N/A</v>
      </c>
      <c r="J174" t="str">
        <f t="shared" si="47"/>
        <v>N/A</v>
      </c>
      <c r="K174" t="str">
        <f t="shared" si="48"/>
        <v>N/A</v>
      </c>
      <c r="L174" t="str">
        <f t="shared" si="49"/>
        <v>N/A</v>
      </c>
      <c r="M174" t="str">
        <f t="shared" si="50"/>
        <v>N/A</v>
      </c>
      <c r="N174">
        <f t="shared" si="51"/>
        <v>1.6399999999999998E-2</v>
      </c>
      <c r="P174">
        <f t="shared" si="27"/>
        <v>1.6399999999999998E-2</v>
      </c>
      <c r="Q174">
        <f>IFERROR(J144+MATCH(P174,J174:N174,0)-1,"")</f>
        <v>2016</v>
      </c>
      <c r="R174">
        <f t="shared" si="28"/>
        <v>1.6399999999999998E-2</v>
      </c>
      <c r="S174">
        <f>IFERROR(J144+MATCH(R174,J174:N174,0)-1,"")</f>
        <v>2016</v>
      </c>
      <c r="T174">
        <f t="shared" si="29"/>
        <v>1.6399999999999998E-2</v>
      </c>
      <c r="U174" t="str">
        <f t="shared" si="30"/>
        <v/>
      </c>
      <c r="V174" t="str">
        <f t="shared" si="31"/>
        <v/>
      </c>
      <c r="W174" t="str">
        <f t="shared" si="32"/>
        <v/>
      </c>
      <c r="X174" t="str">
        <f t="shared" si="33"/>
        <v/>
      </c>
      <c r="Y174" t="str">
        <f t="shared" si="34"/>
        <v/>
      </c>
      <c r="Z174" t="str">
        <f t="shared" si="35"/>
        <v/>
      </c>
      <c r="AA174">
        <f t="shared" si="36"/>
        <v>0</v>
      </c>
      <c r="AB174" t="str">
        <f>IFERROR(V144+MATCH(AA174,V174:Z174,0)-1,"")</f>
        <v/>
      </c>
      <c r="AC174" t="str">
        <f t="shared" si="37"/>
        <v/>
      </c>
      <c r="AE174" t="str">
        <f>IF(ISNUMBER(MATCH("N/A",J174:N174,0)),"",IFERROR((5 * SUMPRODUCT(J144:N144,J174:N174) - PRODUCT(SUM(J144:N144),SUM(J174:N174))) / ((5 * SUM((J144^2)+(K144^2)+(L144^2)+(M144^2)+(N144^2))) - SUM(J144:N144)^2),""))</f>
        <v/>
      </c>
      <c r="AF174" t="str">
        <f>IFERROR(CORREL(J144:N144,J174:N174),"")</f>
        <v/>
      </c>
      <c r="AZ174">
        <f t="shared" si="38"/>
        <v>0</v>
      </c>
      <c r="BA174" t="str">
        <f>IF(AZ174=1,IF(Q174="","",IF(Q174=N144,"Yes","No")),"")</f>
        <v/>
      </c>
      <c r="BB174" t="str">
        <f t="shared" si="39"/>
        <v/>
      </c>
      <c r="BC174" t="str">
        <f>IF(AZ174=1,IF(S174="","",IF(S174=N144,"Yes","No")),"")</f>
        <v/>
      </c>
      <c r="BD174" t="str">
        <f t="shared" si="40"/>
        <v/>
      </c>
      <c r="BE174" t="str">
        <f t="shared" si="41"/>
        <v/>
      </c>
      <c r="BF174" t="str">
        <f t="shared" si="42"/>
        <v>No</v>
      </c>
      <c r="BG174" t="str">
        <f t="shared" si="43"/>
        <v>No</v>
      </c>
      <c r="BH174" t="str">
        <f t="shared" si="44"/>
        <v/>
      </c>
    </row>
    <row r="175" spans="1:60" x14ac:dyDescent="0.3">
      <c r="A175" s="1">
        <v>17</v>
      </c>
      <c r="B175" t="s">
        <v>380</v>
      </c>
      <c r="C175" t="s">
        <v>2690</v>
      </c>
      <c r="D175" t="s">
        <v>2691</v>
      </c>
      <c r="E175" t="s">
        <v>2692</v>
      </c>
      <c r="F175" t="s">
        <v>2693</v>
      </c>
      <c r="G175" t="s">
        <v>2694</v>
      </c>
      <c r="I175" t="str">
        <f t="shared" si="46"/>
        <v>N/A</v>
      </c>
      <c r="J175">
        <f t="shared" si="47"/>
        <v>10960000</v>
      </c>
      <c r="K175">
        <f t="shared" si="48"/>
        <v>16920000</v>
      </c>
      <c r="L175">
        <f t="shared" si="49"/>
        <v>12880000</v>
      </c>
      <c r="M175">
        <f t="shared" si="50"/>
        <v>12570000</v>
      </c>
      <c r="N175">
        <f t="shared" si="51"/>
        <v>-421000</v>
      </c>
      <c r="P175">
        <f t="shared" si="27"/>
        <v>16920000</v>
      </c>
      <c r="Q175">
        <f>IFERROR(J144+MATCH(P175,J175:N175,0)-1,"")</f>
        <v>2013</v>
      </c>
      <c r="R175">
        <f t="shared" si="28"/>
        <v>-421000</v>
      </c>
      <c r="S175">
        <f>IFERROR(J144+MATCH(R175,J175:N175,0)-1,"")</f>
        <v>2016</v>
      </c>
      <c r="T175">
        <f t="shared" si="29"/>
        <v>10581800</v>
      </c>
      <c r="U175">
        <f t="shared" si="30"/>
        <v>6530928.050438161</v>
      </c>
      <c r="V175">
        <f t="shared" si="31"/>
        <v>5.7909074648989055E-2</v>
      </c>
      <c r="W175">
        <f t="shared" si="32"/>
        <v>0.97048994431576519</v>
      </c>
      <c r="X175">
        <f t="shared" si="33"/>
        <v>0.35189485816580285</v>
      </c>
      <c r="Y175">
        <f t="shared" si="34"/>
        <v>0.30442840353548395</v>
      </c>
      <c r="Z175">
        <f t="shared" si="35"/>
        <v>-1.6847222806660411</v>
      </c>
      <c r="AA175">
        <f t="shared" si="36"/>
        <v>-1.6847222806660411</v>
      </c>
      <c r="AB175">
        <f>IFERROR(V144+MATCH(AA175,V175:Z175,0)-1,"")</f>
        <v>2016</v>
      </c>
      <c r="AC175" t="str">
        <f t="shared" si="37"/>
        <v>Low</v>
      </c>
      <c r="AE175">
        <f>IF(ISNUMBER(MATCH("N/A",J175:N175,0)),"",IFERROR((5 * SUMPRODUCT(J144:N144,J175:N175) - PRODUCT(SUM(J144:N144),SUM(J175:N175))) / ((5 * SUM((J144^2)+(K144^2)+(L144^2)+(M144^2)+(N144^2))) - SUM(J144:N144)^2),""))</f>
        <v>-2711200</v>
      </c>
      <c r="AF175">
        <f>IFERROR(CORREL(J144:N144,J175:N175),"")</f>
        <v>-0.65638199701750721</v>
      </c>
      <c r="AZ175">
        <f t="shared" si="38"/>
        <v>1</v>
      </c>
      <c r="BA175" t="str">
        <f>IF(AZ175=1,IF(Q175="","",IF(Q175=N144,"Yes","No")),"")</f>
        <v>No</v>
      </c>
      <c r="BB175" t="str">
        <f t="shared" si="39"/>
        <v/>
      </c>
      <c r="BC175" t="str">
        <f>IF(AZ175=1,IF(S175="","",IF(S175=N144,"Yes","No")),"")</f>
        <v>Yes</v>
      </c>
      <c r="BD175">
        <f t="shared" si="40"/>
        <v>-421000</v>
      </c>
      <c r="BE175" t="str">
        <f t="shared" si="41"/>
        <v>Decreasing</v>
      </c>
      <c r="BF175" t="str">
        <f t="shared" si="42"/>
        <v>Yes</v>
      </c>
      <c r="BG175" t="str">
        <f t="shared" si="43"/>
        <v>No</v>
      </c>
      <c r="BH175" t="str">
        <f t="shared" si="44"/>
        <v>No</v>
      </c>
    </row>
    <row r="176" spans="1:60" x14ac:dyDescent="0.3">
      <c r="A176" s="1">
        <v>18</v>
      </c>
      <c r="B176" t="s">
        <v>386</v>
      </c>
      <c r="C176" t="s">
        <v>1202</v>
      </c>
      <c r="D176" t="s">
        <v>1605</v>
      </c>
      <c r="E176" t="s">
        <v>2695</v>
      </c>
      <c r="F176" t="s">
        <v>264</v>
      </c>
      <c r="G176" t="s">
        <v>2696</v>
      </c>
      <c r="I176" t="str">
        <f t="shared" si="46"/>
        <v>N/A</v>
      </c>
      <c r="J176">
        <f t="shared" si="47"/>
        <v>4940000</v>
      </c>
      <c r="K176">
        <f t="shared" si="48"/>
        <v>3310000</v>
      </c>
      <c r="L176">
        <f t="shared" si="49"/>
        <v>5160000</v>
      </c>
      <c r="M176" t="str">
        <f t="shared" si="50"/>
        <v>N/A</v>
      </c>
      <c r="N176">
        <f t="shared" si="51"/>
        <v>-507000</v>
      </c>
      <c r="P176">
        <f t="shared" si="27"/>
        <v>5160000</v>
      </c>
      <c r="Q176">
        <f>IFERROR(J144+MATCH(P176,J176:N176,0)-1,"")</f>
        <v>2014</v>
      </c>
      <c r="R176">
        <f t="shared" si="28"/>
        <v>-507000</v>
      </c>
      <c r="S176">
        <f>IFERROR(J144+MATCH(R176,J176:N176,0)-1,"")</f>
        <v>2016</v>
      </c>
      <c r="T176">
        <f t="shared" si="29"/>
        <v>3225750</v>
      </c>
      <c r="U176">
        <f t="shared" si="30"/>
        <v>2621735.8594386787</v>
      </c>
      <c r="V176">
        <f t="shared" si="31"/>
        <v>0.65386068311512735</v>
      </c>
      <c r="W176">
        <f t="shared" si="32"/>
        <v>3.2135197638879676E-2</v>
      </c>
      <c r="X176">
        <f t="shared" si="33"/>
        <v>0.73777455232051048</v>
      </c>
      <c r="Y176" t="str">
        <f t="shared" si="34"/>
        <v/>
      </c>
      <c r="Z176">
        <f t="shared" si="35"/>
        <v>-1.4237704330745176</v>
      </c>
      <c r="AA176">
        <f t="shared" si="36"/>
        <v>-1.4237704330745176</v>
      </c>
      <c r="AB176">
        <f>IFERROR(V144+MATCH(AA176,V176:Z176,0)-1,"")</f>
        <v>2016</v>
      </c>
      <c r="AC176" t="str">
        <f t="shared" si="37"/>
        <v>Low</v>
      </c>
      <c r="AE176" t="str">
        <f>IF(ISNUMBER(MATCH("N/A",J176:N176,0)),"",IFERROR((5 * SUMPRODUCT(J144:N144,J176:N176) - PRODUCT(SUM(J144:N144),SUM(J176:N176))) / ((5 * SUM((J144^2)+(K144^2)+(L144^2)+(M144^2)+(N144^2))) - SUM(J144:N144)^2),""))</f>
        <v/>
      </c>
      <c r="AF176">
        <f>IFERROR(CORREL(J144:N144,J176:N176),"")</f>
        <v>-0.81729629148384642</v>
      </c>
      <c r="AZ176">
        <f t="shared" si="38"/>
        <v>1</v>
      </c>
      <c r="BA176" t="str">
        <f>IF(AZ176=1,IF(Q176="","",IF(Q176=N144,"Yes","No")),"")</f>
        <v>No</v>
      </c>
      <c r="BB176" t="str">
        <f t="shared" si="39"/>
        <v/>
      </c>
      <c r="BC176" t="str">
        <f>IF(AZ176=1,IF(S176="","",IF(S176=N144,"Yes","No")),"")</f>
        <v>Yes</v>
      </c>
      <c r="BD176">
        <f t="shared" si="40"/>
        <v>-507000</v>
      </c>
      <c r="BE176" t="str">
        <f t="shared" si="41"/>
        <v/>
      </c>
      <c r="BF176" t="str">
        <f t="shared" si="42"/>
        <v>No</v>
      </c>
      <c r="BG176" t="str">
        <f t="shared" si="43"/>
        <v>No</v>
      </c>
      <c r="BH176" t="str">
        <f t="shared" si="44"/>
        <v>Yes</v>
      </c>
    </row>
    <row r="177" spans="1:60" x14ac:dyDescent="0.3">
      <c r="A177" s="1">
        <v>19</v>
      </c>
      <c r="B177" t="s">
        <v>391</v>
      </c>
      <c r="C177" t="s">
        <v>2697</v>
      </c>
      <c r="D177" t="s">
        <v>2698</v>
      </c>
      <c r="E177" t="s">
        <v>2699</v>
      </c>
      <c r="F177" t="s">
        <v>264</v>
      </c>
      <c r="G177" t="s">
        <v>2700</v>
      </c>
      <c r="I177" t="str">
        <f t="shared" si="46"/>
        <v>N/A</v>
      </c>
      <c r="J177">
        <f t="shared" si="47"/>
        <v>6850000</v>
      </c>
      <c r="K177">
        <f t="shared" si="48"/>
        <v>7830000</v>
      </c>
      <c r="L177">
        <f t="shared" si="49"/>
        <v>10460000</v>
      </c>
      <c r="M177" t="str">
        <f t="shared" si="50"/>
        <v>N/A</v>
      </c>
      <c r="N177">
        <f t="shared" si="51"/>
        <v>10820000</v>
      </c>
      <c r="P177">
        <f t="shared" si="27"/>
        <v>10820000</v>
      </c>
      <c r="Q177">
        <f>IFERROR(J144+MATCH(P177,J177:N177,0)-1,"")</f>
        <v>2016</v>
      </c>
      <c r="R177">
        <f t="shared" si="28"/>
        <v>6850000</v>
      </c>
      <c r="S177">
        <f>IFERROR(J144+MATCH(R177,J177:N177,0)-1,"")</f>
        <v>2012</v>
      </c>
      <c r="T177">
        <f t="shared" si="29"/>
        <v>8990000</v>
      </c>
      <c r="U177">
        <f t="shared" si="30"/>
        <v>1952349.0125145828</v>
      </c>
      <c r="V177">
        <f t="shared" si="31"/>
        <v>-1.0961154928153582</v>
      </c>
      <c r="W177">
        <f t="shared" si="32"/>
        <v>-0.59415606152608202</v>
      </c>
      <c r="X177">
        <f t="shared" si="33"/>
        <v>0.75293914693391428</v>
      </c>
      <c r="Y177" t="str">
        <f t="shared" si="34"/>
        <v/>
      </c>
      <c r="Z177">
        <f t="shared" si="35"/>
        <v>0.93733240740752599</v>
      </c>
      <c r="AA177">
        <f t="shared" si="36"/>
        <v>-1.0961154928153582</v>
      </c>
      <c r="AB177">
        <f>IFERROR(V144+MATCH(AA177,V177:Z177,0)-1,"")</f>
        <v>2012</v>
      </c>
      <c r="AC177" t="str">
        <f t="shared" si="37"/>
        <v>Low</v>
      </c>
      <c r="AE177" t="str">
        <f>IF(ISNUMBER(MATCH("N/A",J177:N177,0)),"",IFERROR((5 * SUMPRODUCT(J144:N144,J177:N177) - PRODUCT(SUM(J144:N144),SUM(J177:N177))) / ((5 * SUM((J144^2)+(K144^2)+(L144^2)+(M144^2)+(N144^2))) - SUM(J144:N144)^2),""))</f>
        <v/>
      </c>
      <c r="AF177">
        <f>IFERROR(CORREL(J144:N144,J177:N177),"")</f>
        <v>0.90974417042304523</v>
      </c>
      <c r="AZ177">
        <f t="shared" si="38"/>
        <v>1</v>
      </c>
      <c r="BA177" t="str">
        <f>IF(AZ177=1,IF(Q177="","",IF(Q177=N144,"Yes","No")),"")</f>
        <v>Yes</v>
      </c>
      <c r="BB177">
        <f t="shared" si="39"/>
        <v>10820000</v>
      </c>
      <c r="BC177" t="str">
        <f>IF(AZ177=1,IF(S177="","",IF(S177=N144,"Yes","No")),"")</f>
        <v>No</v>
      </c>
      <c r="BD177" t="str">
        <f t="shared" si="40"/>
        <v/>
      </c>
      <c r="BE177" t="str">
        <f t="shared" si="41"/>
        <v/>
      </c>
      <c r="BF177" t="str">
        <f t="shared" si="42"/>
        <v>No</v>
      </c>
      <c r="BG177" t="str">
        <f t="shared" si="43"/>
        <v>No</v>
      </c>
      <c r="BH177" t="str">
        <f t="shared" si="44"/>
        <v>Yes</v>
      </c>
    </row>
    <row r="178" spans="1:60" x14ac:dyDescent="0.3">
      <c r="A178" s="1">
        <v>20</v>
      </c>
      <c r="B178" t="s">
        <v>392</v>
      </c>
      <c r="C178" t="s">
        <v>2701</v>
      </c>
      <c r="D178" t="s">
        <v>2702</v>
      </c>
      <c r="E178" t="s">
        <v>2703</v>
      </c>
      <c r="F178" t="s">
        <v>264</v>
      </c>
      <c r="G178" t="s">
        <v>2704</v>
      </c>
      <c r="I178" t="str">
        <f t="shared" si="46"/>
        <v>N/A</v>
      </c>
      <c r="J178">
        <f t="shared" si="47"/>
        <v>-1250000</v>
      </c>
      <c r="K178">
        <f t="shared" si="48"/>
        <v>-516000</v>
      </c>
      <c r="L178">
        <f t="shared" si="49"/>
        <v>-1150000</v>
      </c>
      <c r="M178" t="str">
        <f t="shared" si="50"/>
        <v>N/A</v>
      </c>
      <c r="N178">
        <f t="shared" si="51"/>
        <v>-7410000</v>
      </c>
      <c r="P178">
        <f t="shared" si="27"/>
        <v>-516000</v>
      </c>
      <c r="Q178">
        <f>IFERROR(J144+MATCH(P178,J178:N178,0)-1,"")</f>
        <v>2013</v>
      </c>
      <c r="R178">
        <f t="shared" si="28"/>
        <v>-7410000</v>
      </c>
      <c r="S178">
        <f>IFERROR(J144+MATCH(R178,J178:N178,0)-1,"")</f>
        <v>2016</v>
      </c>
      <c r="T178">
        <f t="shared" si="29"/>
        <v>-2581500</v>
      </c>
      <c r="U178">
        <f t="shared" si="30"/>
        <v>3235366.388319361</v>
      </c>
      <c r="V178">
        <f t="shared" si="31"/>
        <v>0.41154535226894634</v>
      </c>
      <c r="W178">
        <f t="shared" si="32"/>
        <v>0.63841301172475295</v>
      </c>
      <c r="X178">
        <f t="shared" si="33"/>
        <v>0.44245375273976467</v>
      </c>
      <c r="Y178" t="str">
        <f t="shared" si="34"/>
        <v/>
      </c>
      <c r="Z178">
        <f t="shared" si="35"/>
        <v>-1.4924121167334641</v>
      </c>
      <c r="AA178">
        <f t="shared" si="36"/>
        <v>-1.4924121167334641</v>
      </c>
      <c r="AB178">
        <f>IFERROR(V144+MATCH(AA178,V178:Z178,0)-1,"")</f>
        <v>2016</v>
      </c>
      <c r="AC178" t="str">
        <f t="shared" si="37"/>
        <v>Low</v>
      </c>
      <c r="AE178" t="str">
        <f>IF(ISNUMBER(MATCH("N/A",J178:N178,0)),"",IFERROR((5 * SUMPRODUCT(J144:N144,J178:N178) - PRODUCT(SUM(J144:N144),SUM(J178:N178))) / ((5 * SUM((J144^2)+(K144^2)+(L144^2)+(M144^2)+(N144^2))) - SUM(J144:N144)^2),""))</f>
        <v/>
      </c>
      <c r="AF178">
        <f>IFERROR(CORREL(J144:N144,J178:N178),"")</f>
        <v>-0.86783435409883858</v>
      </c>
      <c r="AZ178">
        <f t="shared" si="38"/>
        <v>1</v>
      </c>
      <c r="BA178" t="str">
        <f>IF(AZ178=1,IF(Q178="","",IF(Q178=N144,"Yes","No")),"")</f>
        <v>No</v>
      </c>
      <c r="BB178" t="str">
        <f t="shared" si="39"/>
        <v/>
      </c>
      <c r="BC178" t="str">
        <f>IF(AZ178=1,IF(S178="","",IF(S178=N144,"Yes","No")),"")</f>
        <v>Yes</v>
      </c>
      <c r="BD178">
        <f t="shared" si="40"/>
        <v>-7410000</v>
      </c>
      <c r="BE178" t="str">
        <f t="shared" si="41"/>
        <v/>
      </c>
      <c r="BF178" t="str">
        <f t="shared" si="42"/>
        <v>No</v>
      </c>
      <c r="BG178" t="str">
        <f t="shared" si="43"/>
        <v>No</v>
      </c>
      <c r="BH178" t="str">
        <f t="shared" si="44"/>
        <v>Yes</v>
      </c>
    </row>
    <row r="179" spans="1:60" x14ac:dyDescent="0.3">
      <c r="A179" s="1">
        <v>21</v>
      </c>
      <c r="B179" t="s">
        <v>397</v>
      </c>
      <c r="C179" t="s">
        <v>2705</v>
      </c>
      <c r="D179" t="s">
        <v>2706</v>
      </c>
      <c r="E179" t="s">
        <v>2707</v>
      </c>
      <c r="F179" t="s">
        <v>264</v>
      </c>
      <c r="G179" t="s">
        <v>2708</v>
      </c>
      <c r="I179" t="str">
        <f t="shared" si="46"/>
        <v>N/A</v>
      </c>
      <c r="J179">
        <f t="shared" si="47"/>
        <v>415000</v>
      </c>
      <c r="K179">
        <f t="shared" si="48"/>
        <v>6290000</v>
      </c>
      <c r="L179">
        <f t="shared" si="49"/>
        <v>-1590000</v>
      </c>
      <c r="M179" t="str">
        <f t="shared" si="50"/>
        <v>N/A</v>
      </c>
      <c r="N179">
        <f t="shared" si="51"/>
        <v>-3330000</v>
      </c>
      <c r="P179">
        <f t="shared" si="27"/>
        <v>6290000</v>
      </c>
      <c r="Q179">
        <f>IFERROR(J144+MATCH(P179,J179:N179,0)-1,"")</f>
        <v>2013</v>
      </c>
      <c r="R179">
        <f t="shared" si="28"/>
        <v>-3330000</v>
      </c>
      <c r="S179">
        <f>IFERROR(J144+MATCH(R179,J179:N179,0)-1,"")</f>
        <v>2016</v>
      </c>
      <c r="T179">
        <f t="shared" si="29"/>
        <v>446250</v>
      </c>
      <c r="U179">
        <f t="shared" si="30"/>
        <v>4185561.242732767</v>
      </c>
      <c r="V179">
        <f t="shared" si="31"/>
        <v>-7.466143293031061E-3</v>
      </c>
      <c r="W179">
        <f t="shared" si="32"/>
        <v>1.3961687957968083</v>
      </c>
      <c r="X179">
        <f t="shared" si="33"/>
        <v>-0.48649389697390394</v>
      </c>
      <c r="Y179" t="str">
        <f t="shared" si="34"/>
        <v/>
      </c>
      <c r="Z179">
        <f t="shared" si="35"/>
        <v>-0.90220875552987334</v>
      </c>
      <c r="AA179">
        <f t="shared" si="36"/>
        <v>1.3961687957968083</v>
      </c>
      <c r="AB179">
        <f>IFERROR(V144+MATCH(AA179,V179:Z179,0)-1,"")</f>
        <v>2013</v>
      </c>
      <c r="AC179" t="str">
        <f t="shared" si="37"/>
        <v>High</v>
      </c>
      <c r="AE179" t="str">
        <f>IF(ISNUMBER(MATCH("N/A",J179:N179,0)),"",IFERROR((5 * SUMPRODUCT(J144:N144,J179:N179) - PRODUCT(SUM(J144:N144),SUM(J179:N179))) / ((5 * SUM((J144^2)+(K144^2)+(L144^2)+(M144^2)+(N144^2))) - SUM(J144:N144)^2),""))</f>
        <v/>
      </c>
      <c r="AF179">
        <f>IFERROR(CORREL(J144:N144,J179:N179),"")</f>
        <v>-0.62177599815415241</v>
      </c>
      <c r="AZ179">
        <f t="shared" si="38"/>
        <v>1</v>
      </c>
      <c r="BA179" t="str">
        <f>IF(AZ179=1,IF(Q179="","",IF(Q179=N144,"Yes","No")),"")</f>
        <v>No</v>
      </c>
      <c r="BB179" t="str">
        <f t="shared" si="39"/>
        <v/>
      </c>
      <c r="BC179" t="str">
        <f>IF(AZ179=1,IF(S179="","",IF(S179=N144,"Yes","No")),"")</f>
        <v>Yes</v>
      </c>
      <c r="BD179">
        <f t="shared" si="40"/>
        <v>-3330000</v>
      </c>
      <c r="BE179" t="str">
        <f t="shared" si="41"/>
        <v/>
      </c>
      <c r="BF179" t="str">
        <f t="shared" si="42"/>
        <v>No</v>
      </c>
      <c r="BG179" t="str">
        <f t="shared" si="43"/>
        <v>No</v>
      </c>
      <c r="BH179" t="str">
        <f t="shared" si="44"/>
        <v>No</v>
      </c>
    </row>
    <row r="180" spans="1:60" x14ac:dyDescent="0.3">
      <c r="A180" s="1">
        <v>22</v>
      </c>
      <c r="B180" t="s">
        <v>398</v>
      </c>
      <c r="C180" t="s">
        <v>264</v>
      </c>
      <c r="D180" t="s">
        <v>264</v>
      </c>
      <c r="E180" t="s">
        <v>264</v>
      </c>
      <c r="F180" t="s">
        <v>264</v>
      </c>
      <c r="G180" t="s">
        <v>264</v>
      </c>
      <c r="I180" t="str">
        <f t="shared" si="46"/>
        <v>N/A</v>
      </c>
      <c r="J180" t="str">
        <f t="shared" si="47"/>
        <v>N/A</v>
      </c>
      <c r="K180" t="str">
        <f t="shared" si="48"/>
        <v>N/A</v>
      </c>
      <c r="L180" t="str">
        <f t="shared" si="49"/>
        <v>N/A</v>
      </c>
      <c r="M180" t="str">
        <f t="shared" si="50"/>
        <v>N/A</v>
      </c>
      <c r="N180" t="str">
        <f t="shared" si="51"/>
        <v>N/A</v>
      </c>
      <c r="P180">
        <f t="shared" si="27"/>
        <v>0</v>
      </c>
      <c r="Q180" t="str">
        <f>IFERROR(J144+MATCH(P180,J180:N180,0)-1,"")</f>
        <v/>
      </c>
      <c r="R180" t="str">
        <f t="shared" si="28"/>
        <v/>
      </c>
      <c r="S180" t="str">
        <f>IFERROR(J144+MATCH(R180,J180:N180,0)-1,"")</f>
        <v/>
      </c>
      <c r="T180" t="str">
        <f t="shared" si="29"/>
        <v/>
      </c>
      <c r="U180" t="str">
        <f t="shared" si="30"/>
        <v/>
      </c>
      <c r="V180" t="str">
        <f t="shared" si="31"/>
        <v/>
      </c>
      <c r="W180" t="str">
        <f t="shared" si="32"/>
        <v/>
      </c>
      <c r="X180" t="str">
        <f t="shared" si="33"/>
        <v/>
      </c>
      <c r="Y180" t="str">
        <f t="shared" si="34"/>
        <v/>
      </c>
      <c r="Z180" t="str">
        <f t="shared" si="35"/>
        <v/>
      </c>
      <c r="AA180">
        <f t="shared" si="36"/>
        <v>0</v>
      </c>
      <c r="AB180" t="str">
        <f>IFERROR(V144+MATCH(AA180,V180:Z180,0)-1,"")</f>
        <v/>
      </c>
      <c r="AC180" t="str">
        <f t="shared" si="37"/>
        <v/>
      </c>
      <c r="AE180" t="str">
        <f>IF(ISNUMBER(MATCH("N/A",J180:N180,0)),"",IFERROR((5 * SUMPRODUCT(J144:N144,J180:N180) - PRODUCT(SUM(J144:N144),SUM(J180:N180))) / ((5 * SUM((J144^2)+(K144^2)+(L144^2)+(M144^2)+(N144^2))) - SUM(J144:N144)^2),""))</f>
        <v/>
      </c>
      <c r="AF180" t="str">
        <f>IFERROR(CORREL(J144:N144,J180:N180),"")</f>
        <v/>
      </c>
      <c r="AZ180">
        <f t="shared" si="38"/>
        <v>0</v>
      </c>
      <c r="BA180" t="str">
        <f>IF(AZ180=1,IF(Q180="","",IF(Q180=N144,"Yes","No")),"")</f>
        <v/>
      </c>
      <c r="BB180" t="str">
        <f t="shared" si="39"/>
        <v/>
      </c>
      <c r="BC180" t="str">
        <f>IF(AZ180=1,IF(S180="","",IF(S180=N144,"Yes","No")),"")</f>
        <v/>
      </c>
      <c r="BD180" t="str">
        <f t="shared" si="40"/>
        <v/>
      </c>
      <c r="BE180" t="str">
        <f t="shared" si="41"/>
        <v/>
      </c>
      <c r="BF180" t="str">
        <f t="shared" si="42"/>
        <v>No</v>
      </c>
      <c r="BG180" t="str">
        <f t="shared" si="43"/>
        <v>No</v>
      </c>
      <c r="BH180" t="str">
        <f t="shared" si="44"/>
        <v/>
      </c>
    </row>
    <row r="181" spans="1:60" x14ac:dyDescent="0.3">
      <c r="A181" s="1">
        <v>23</v>
      </c>
      <c r="B181" t="s">
        <v>399</v>
      </c>
      <c r="C181" t="s">
        <v>264</v>
      </c>
      <c r="D181" t="s">
        <v>264</v>
      </c>
      <c r="E181" t="s">
        <v>264</v>
      </c>
      <c r="F181" t="s">
        <v>264</v>
      </c>
      <c r="G181" t="s">
        <v>264</v>
      </c>
      <c r="I181" t="str">
        <f t="shared" si="46"/>
        <v>N/A</v>
      </c>
      <c r="J181" t="str">
        <f t="shared" si="47"/>
        <v>N/A</v>
      </c>
      <c r="K181" t="str">
        <f t="shared" si="48"/>
        <v>N/A</v>
      </c>
      <c r="L181" t="str">
        <f t="shared" si="49"/>
        <v>N/A</v>
      </c>
      <c r="M181" t="str">
        <f t="shared" si="50"/>
        <v>N/A</v>
      </c>
      <c r="N181" t="str">
        <f t="shared" si="51"/>
        <v>N/A</v>
      </c>
      <c r="P181">
        <f t="shared" si="27"/>
        <v>0</v>
      </c>
      <c r="Q181" t="str">
        <f>IFERROR(J144+MATCH(P181,J181:N181,0)-1,"")</f>
        <v/>
      </c>
      <c r="R181" t="str">
        <f t="shared" si="28"/>
        <v/>
      </c>
      <c r="S181" t="str">
        <f>IFERROR(J144+MATCH(R181,J181:N181,0)-1,"")</f>
        <v/>
      </c>
      <c r="T181" t="str">
        <f t="shared" si="29"/>
        <v/>
      </c>
      <c r="U181" t="str">
        <f t="shared" si="30"/>
        <v/>
      </c>
      <c r="V181" t="str">
        <f t="shared" si="31"/>
        <v/>
      </c>
      <c r="W181" t="str">
        <f t="shared" si="32"/>
        <v/>
      </c>
      <c r="X181" t="str">
        <f t="shared" si="33"/>
        <v/>
      </c>
      <c r="Y181" t="str">
        <f t="shared" si="34"/>
        <v/>
      </c>
      <c r="Z181" t="str">
        <f t="shared" si="35"/>
        <v/>
      </c>
      <c r="AA181">
        <f t="shared" si="36"/>
        <v>0</v>
      </c>
      <c r="AB181" t="str">
        <f>IFERROR(V144+MATCH(AA181,V181:Z181,0)-1,"")</f>
        <v/>
      </c>
      <c r="AC181" t="str">
        <f t="shared" si="37"/>
        <v/>
      </c>
      <c r="AE181" t="str">
        <f>IF(ISNUMBER(MATCH("N/A",J181:N181,0)),"",IFERROR((5 * SUMPRODUCT(J144:N144,J181:N181) - PRODUCT(SUM(J144:N144),SUM(J181:N181))) / ((5 * SUM((J144^2)+(K144^2)+(L144^2)+(M144^2)+(N144^2))) - SUM(J144:N144)^2),""))</f>
        <v/>
      </c>
      <c r="AF181" t="str">
        <f>IFERROR(CORREL(J144:N144,J181:N181),"")</f>
        <v/>
      </c>
      <c r="AZ181">
        <f t="shared" si="38"/>
        <v>0</v>
      </c>
      <c r="BA181" t="str">
        <f>IF(AZ181=1,IF(Q181="","",IF(Q181=N144,"Yes","No")),"")</f>
        <v/>
      </c>
      <c r="BB181" t="str">
        <f t="shared" si="39"/>
        <v/>
      </c>
      <c r="BC181" t="str">
        <f>IF(AZ181=1,IF(S181="","",IF(S181=N144,"Yes","No")),"")</f>
        <v/>
      </c>
      <c r="BD181" t="str">
        <f t="shared" si="40"/>
        <v/>
      </c>
      <c r="BE181" t="str">
        <f t="shared" si="41"/>
        <v/>
      </c>
      <c r="BF181" t="str">
        <f t="shared" si="42"/>
        <v>No</v>
      </c>
      <c r="BG181" t="str">
        <f t="shared" si="43"/>
        <v>No</v>
      </c>
      <c r="BH181" t="str">
        <f t="shared" si="44"/>
        <v/>
      </c>
    </row>
    <row r="182" spans="1:60" x14ac:dyDescent="0.3">
      <c r="A182" s="1">
        <v>24</v>
      </c>
      <c r="B182" t="s">
        <v>400</v>
      </c>
      <c r="C182" t="s">
        <v>264</v>
      </c>
      <c r="D182" t="s">
        <v>264</v>
      </c>
      <c r="E182" t="s">
        <v>264</v>
      </c>
      <c r="F182" t="s">
        <v>264</v>
      </c>
      <c r="G182" t="s">
        <v>264</v>
      </c>
      <c r="I182" t="str">
        <f t="shared" si="46"/>
        <v>N/A</v>
      </c>
      <c r="J182" t="str">
        <f t="shared" si="47"/>
        <v>N/A</v>
      </c>
      <c r="K182" t="str">
        <f t="shared" si="48"/>
        <v>N/A</v>
      </c>
      <c r="L182" t="str">
        <f t="shared" si="49"/>
        <v>N/A</v>
      </c>
      <c r="M182" t="str">
        <f t="shared" si="50"/>
        <v>N/A</v>
      </c>
      <c r="N182" t="str">
        <f t="shared" si="51"/>
        <v>N/A</v>
      </c>
      <c r="P182">
        <f t="shared" si="27"/>
        <v>0</v>
      </c>
      <c r="Q182" t="str">
        <f>IFERROR(J144+MATCH(P182,J182:N182,0)-1,"")</f>
        <v/>
      </c>
      <c r="R182" t="str">
        <f t="shared" si="28"/>
        <v/>
      </c>
      <c r="S182" t="str">
        <f>IFERROR(J144+MATCH(R182,J182:N182,0)-1,"")</f>
        <v/>
      </c>
      <c r="T182" t="str">
        <f t="shared" si="29"/>
        <v/>
      </c>
      <c r="U182" t="str">
        <f t="shared" si="30"/>
        <v/>
      </c>
      <c r="V182" t="str">
        <f t="shared" si="31"/>
        <v/>
      </c>
      <c r="W182" t="str">
        <f t="shared" si="32"/>
        <v/>
      </c>
      <c r="X182" t="str">
        <f t="shared" si="33"/>
        <v/>
      </c>
      <c r="Y182" t="str">
        <f t="shared" si="34"/>
        <v/>
      </c>
      <c r="Z182" t="str">
        <f t="shared" si="35"/>
        <v/>
      </c>
      <c r="AA182">
        <f t="shared" si="36"/>
        <v>0</v>
      </c>
      <c r="AB182" t="str">
        <f>IFERROR(V144+MATCH(AA182,V182:Z182,0)-1,"")</f>
        <v/>
      </c>
      <c r="AC182" t="str">
        <f t="shared" si="37"/>
        <v/>
      </c>
      <c r="AE182" t="str">
        <f>IF(ISNUMBER(MATCH("N/A",J182:N182,0)),"",IFERROR((5 * SUMPRODUCT(J144:N144,J182:N182) - PRODUCT(SUM(J144:N144),SUM(J182:N182))) / ((5 * SUM((J144^2)+(K144^2)+(L144^2)+(M144^2)+(N144^2))) - SUM(J144:N144)^2),""))</f>
        <v/>
      </c>
      <c r="AF182" t="str">
        <f>IFERROR(CORREL(J144:N144,J182:N182),"")</f>
        <v/>
      </c>
      <c r="AZ182">
        <f t="shared" si="38"/>
        <v>0</v>
      </c>
      <c r="BA182" t="str">
        <f>IF(AZ182=1,IF(Q182="","",IF(Q182=N144,"Yes","No")),"")</f>
        <v/>
      </c>
      <c r="BB182" t="str">
        <f t="shared" si="39"/>
        <v/>
      </c>
      <c r="BC182" t="str">
        <f>IF(AZ182=1,IF(S182="","",IF(S182=N144,"Yes","No")),"")</f>
        <v/>
      </c>
      <c r="BD182" t="str">
        <f t="shared" si="40"/>
        <v/>
      </c>
      <c r="BE182" t="str">
        <f t="shared" si="41"/>
        <v/>
      </c>
      <c r="BF182" t="str">
        <f t="shared" si="42"/>
        <v>No</v>
      </c>
      <c r="BG182" t="str">
        <f t="shared" si="43"/>
        <v>No</v>
      </c>
      <c r="BH182" t="str">
        <f t="shared" si="44"/>
        <v/>
      </c>
    </row>
    <row r="183" spans="1:60" x14ac:dyDescent="0.3">
      <c r="A183" s="1">
        <v>25</v>
      </c>
      <c r="B183" t="s">
        <v>401</v>
      </c>
      <c r="C183" t="s">
        <v>2709</v>
      </c>
      <c r="D183" t="s">
        <v>2710</v>
      </c>
      <c r="E183" t="s">
        <v>2711</v>
      </c>
      <c r="F183" t="s">
        <v>2712</v>
      </c>
      <c r="G183" t="s">
        <v>2713</v>
      </c>
      <c r="I183" t="str">
        <f t="shared" si="46"/>
        <v>N/A</v>
      </c>
      <c r="J183">
        <f t="shared" si="47"/>
        <v>30800000</v>
      </c>
      <c r="K183">
        <f t="shared" si="48"/>
        <v>47120000</v>
      </c>
      <c r="L183">
        <f t="shared" si="49"/>
        <v>50390000</v>
      </c>
      <c r="M183">
        <f t="shared" si="50"/>
        <v>9860000</v>
      </c>
      <c r="N183">
        <f t="shared" si="51"/>
        <v>10100000</v>
      </c>
      <c r="P183">
        <f t="shared" si="27"/>
        <v>50390000</v>
      </c>
      <c r="Q183">
        <f>IFERROR(J144+MATCH(P183,J183:N183,0)-1,"")</f>
        <v>2014</v>
      </c>
      <c r="R183">
        <f t="shared" si="28"/>
        <v>9860000</v>
      </c>
      <c r="S183">
        <f>IFERROR(J144+MATCH(R183,J183:N183,0)-1,"")</f>
        <v>2015</v>
      </c>
      <c r="T183">
        <f t="shared" si="29"/>
        <v>29654000</v>
      </c>
      <c r="U183">
        <f t="shared" si="30"/>
        <v>19432688.439842802</v>
      </c>
      <c r="V183">
        <f t="shared" si="31"/>
        <v>5.8972797487472632E-2</v>
      </c>
      <c r="W183">
        <f t="shared" si="32"/>
        <v>0.89879483500540747</v>
      </c>
      <c r="X183">
        <f t="shared" si="33"/>
        <v>1.0670680006110231</v>
      </c>
      <c r="Y183">
        <f t="shared" si="34"/>
        <v>-1.0185929785925247</v>
      </c>
      <c r="Z183">
        <f t="shared" si="35"/>
        <v>-1.0062426545113785</v>
      </c>
      <c r="AA183">
        <f t="shared" si="36"/>
        <v>1.0670680006110231</v>
      </c>
      <c r="AB183">
        <f>IFERROR(V144+MATCH(AA183,V183:Z183,0)-1,"")</f>
        <v>2014</v>
      </c>
      <c r="AC183" t="str">
        <f t="shared" si="37"/>
        <v>High</v>
      </c>
      <c r="AE183">
        <f>IF(ISNUMBER(MATCH("N/A",J183:N183,0)),"",IFERROR((5 * SUMPRODUCT(J144:N144,J183:N183) - PRODUCT(SUM(J144:N144),SUM(J183:N183))) / ((5 * SUM((J144^2)+(K144^2)+(L144^2)+(M144^2)+(N144^2))) - SUM(J144:N144)^2),""))</f>
        <v>-7866000</v>
      </c>
      <c r="AF183">
        <f>IFERROR(CORREL(J144:N144,J183:N183),"")</f>
        <v>-0.64001633515320466</v>
      </c>
      <c r="AZ183">
        <f t="shared" si="38"/>
        <v>1</v>
      </c>
      <c r="BA183" t="str">
        <f>IF(AZ183=1,IF(Q183="","",IF(Q183=N144,"Yes","No")),"")</f>
        <v>No</v>
      </c>
      <c r="BB183" t="str">
        <f t="shared" si="39"/>
        <v/>
      </c>
      <c r="BC183" t="str">
        <f>IF(AZ183=1,IF(S183="","",IF(S183=N144,"Yes","No")),"")</f>
        <v>No</v>
      </c>
      <c r="BD183" t="str">
        <f t="shared" si="40"/>
        <v/>
      </c>
      <c r="BE183" t="str">
        <f t="shared" si="41"/>
        <v>Decreasing</v>
      </c>
      <c r="BF183" t="str">
        <f t="shared" si="42"/>
        <v>No</v>
      </c>
      <c r="BG183" t="str">
        <f t="shared" si="43"/>
        <v>No</v>
      </c>
      <c r="BH183" t="str">
        <f t="shared" si="44"/>
        <v>No</v>
      </c>
    </row>
    <row r="184" spans="1:60" x14ac:dyDescent="0.3">
      <c r="A184" s="1">
        <v>26</v>
      </c>
      <c r="B184" t="s">
        <v>407</v>
      </c>
      <c r="C184" t="s">
        <v>264</v>
      </c>
      <c r="D184" t="s">
        <v>264</v>
      </c>
      <c r="E184" t="s">
        <v>264</v>
      </c>
      <c r="F184" t="s">
        <v>264</v>
      </c>
      <c r="G184" t="s">
        <v>264</v>
      </c>
      <c r="I184" t="str">
        <f t="shared" si="46"/>
        <v>N/A</v>
      </c>
      <c r="J184" t="str">
        <f t="shared" si="47"/>
        <v>N/A</v>
      </c>
      <c r="K184" t="str">
        <f t="shared" si="48"/>
        <v>N/A</v>
      </c>
      <c r="L184" t="str">
        <f t="shared" si="49"/>
        <v>N/A</v>
      </c>
      <c r="M184" t="str">
        <f t="shared" si="50"/>
        <v>N/A</v>
      </c>
      <c r="N184" t="str">
        <f t="shared" si="51"/>
        <v>N/A</v>
      </c>
      <c r="P184">
        <f t="shared" si="27"/>
        <v>0</v>
      </c>
      <c r="Q184" t="str">
        <f>IFERROR(J144+MATCH(P184,J184:N184,0)-1,"")</f>
        <v/>
      </c>
      <c r="R184" t="str">
        <f t="shared" si="28"/>
        <v/>
      </c>
      <c r="S184" t="str">
        <f>IFERROR(J144+MATCH(R184,J184:N184,0)-1,"")</f>
        <v/>
      </c>
      <c r="T184" t="str">
        <f t="shared" si="29"/>
        <v/>
      </c>
      <c r="U184" t="str">
        <f t="shared" si="30"/>
        <v/>
      </c>
      <c r="V184" t="str">
        <f t="shared" si="31"/>
        <v/>
      </c>
      <c r="W184" t="str">
        <f t="shared" si="32"/>
        <v/>
      </c>
      <c r="X184" t="str">
        <f t="shared" si="33"/>
        <v/>
      </c>
      <c r="Y184" t="str">
        <f t="shared" si="34"/>
        <v/>
      </c>
      <c r="Z184" t="str">
        <f t="shared" si="35"/>
        <v/>
      </c>
      <c r="AA184">
        <f t="shared" si="36"/>
        <v>0</v>
      </c>
      <c r="AB184" t="str">
        <f>IFERROR(V144+MATCH(AA184,V184:Z184,0)-1,"")</f>
        <v/>
      </c>
      <c r="AC184" t="str">
        <f t="shared" si="37"/>
        <v/>
      </c>
      <c r="AE184" t="str">
        <f>IF(ISNUMBER(MATCH("N/A",J184:N184,0)),"",IFERROR((5 * SUMPRODUCT(J144:N144,J184:N184) - PRODUCT(SUM(J144:N144),SUM(J184:N184))) / ((5 * SUM((J144^2)+(K144^2)+(L144^2)+(M144^2)+(N144^2))) - SUM(J144:N144)^2),""))</f>
        <v/>
      </c>
      <c r="AF184" t="str">
        <f>IFERROR(CORREL(J144:N144,J184:N184),"")</f>
        <v/>
      </c>
      <c r="AZ184">
        <f t="shared" si="38"/>
        <v>0</v>
      </c>
      <c r="BA184" t="str">
        <f>IF(AZ184=1,IF(Q184="","",IF(Q184=N144,"Yes","No")),"")</f>
        <v/>
      </c>
      <c r="BB184" t="str">
        <f t="shared" si="39"/>
        <v/>
      </c>
      <c r="BC184" t="str">
        <f>IF(AZ184=1,IF(S184="","",IF(S184=N144,"Yes","No")),"")</f>
        <v/>
      </c>
      <c r="BD184" t="str">
        <f t="shared" si="40"/>
        <v/>
      </c>
      <c r="BE184" t="str">
        <f t="shared" si="41"/>
        <v/>
      </c>
      <c r="BF184" t="str">
        <f t="shared" si="42"/>
        <v>No</v>
      </c>
      <c r="BG184" t="str">
        <f t="shared" si="43"/>
        <v>No</v>
      </c>
      <c r="BH184" t="str">
        <f t="shared" si="44"/>
        <v/>
      </c>
    </row>
    <row r="185" spans="1:60" x14ac:dyDescent="0.3">
      <c r="A185" s="1">
        <v>27</v>
      </c>
      <c r="B185" t="s">
        <v>408</v>
      </c>
      <c r="C185" t="s">
        <v>2709</v>
      </c>
      <c r="D185" t="s">
        <v>2710</v>
      </c>
      <c r="E185" t="s">
        <v>2711</v>
      </c>
      <c r="F185" t="s">
        <v>2712</v>
      </c>
      <c r="G185" t="s">
        <v>2713</v>
      </c>
      <c r="I185" t="str">
        <f t="shared" si="46"/>
        <v>N/A</v>
      </c>
      <c r="J185">
        <f t="shared" si="47"/>
        <v>30800000</v>
      </c>
      <c r="K185">
        <f t="shared" si="48"/>
        <v>47120000</v>
      </c>
      <c r="L185">
        <f t="shared" si="49"/>
        <v>50390000</v>
      </c>
      <c r="M185">
        <f t="shared" si="50"/>
        <v>9860000</v>
      </c>
      <c r="N185">
        <f t="shared" si="51"/>
        <v>10100000</v>
      </c>
      <c r="P185">
        <f t="shared" si="27"/>
        <v>50390000</v>
      </c>
      <c r="Q185">
        <f>IFERROR(J144+MATCH(P185,J185:N185,0)-1,"")</f>
        <v>2014</v>
      </c>
      <c r="R185">
        <f t="shared" si="28"/>
        <v>9860000</v>
      </c>
      <c r="S185">
        <f>IFERROR(J144+MATCH(R185,J185:N185,0)-1,"")</f>
        <v>2015</v>
      </c>
      <c r="T185">
        <f t="shared" si="29"/>
        <v>29654000</v>
      </c>
      <c r="U185">
        <f t="shared" si="30"/>
        <v>19432688.439842802</v>
      </c>
      <c r="V185">
        <f t="shared" si="31"/>
        <v>5.8972797487472632E-2</v>
      </c>
      <c r="W185">
        <f t="shared" si="32"/>
        <v>0.89879483500540747</v>
      </c>
      <c r="X185">
        <f t="shared" si="33"/>
        <v>1.0670680006110231</v>
      </c>
      <c r="Y185">
        <f t="shared" si="34"/>
        <v>-1.0185929785925247</v>
      </c>
      <c r="Z185">
        <f t="shared" si="35"/>
        <v>-1.0062426545113785</v>
      </c>
      <c r="AA185">
        <f t="shared" si="36"/>
        <v>1.0670680006110231</v>
      </c>
      <c r="AB185">
        <f>IFERROR(V144+MATCH(AA185,V185:Z185,0)-1,"")</f>
        <v>2014</v>
      </c>
      <c r="AC185" t="str">
        <f t="shared" si="37"/>
        <v>High</v>
      </c>
      <c r="AE185">
        <f>IF(ISNUMBER(MATCH("N/A",J185:N185,0)),"",IFERROR((5 * SUMPRODUCT(J144:N144,J185:N185) - PRODUCT(SUM(J144:N144),SUM(J185:N185))) / ((5 * SUM((J144^2)+(K144^2)+(L144^2)+(M144^2)+(N144^2))) - SUM(J144:N144)^2),""))</f>
        <v>-7866000</v>
      </c>
      <c r="AF185">
        <f>IFERROR(CORREL(J144:N144,J185:N185),"")</f>
        <v>-0.64001633515320466</v>
      </c>
      <c r="AZ185">
        <f t="shared" si="38"/>
        <v>1</v>
      </c>
      <c r="BA185" t="str">
        <f>IF(AZ185=1,IF(Q185="","",IF(Q185=N144,"Yes","No")),"")</f>
        <v>No</v>
      </c>
      <c r="BB185" t="str">
        <f t="shared" si="39"/>
        <v/>
      </c>
      <c r="BC185" t="str">
        <f>IF(AZ185=1,IF(S185="","",IF(S185=N144,"Yes","No")),"")</f>
        <v>No</v>
      </c>
      <c r="BD185" t="str">
        <f t="shared" si="40"/>
        <v/>
      </c>
      <c r="BE185" t="str">
        <f t="shared" si="41"/>
        <v>Decreasing</v>
      </c>
      <c r="BF185" t="str">
        <f t="shared" si="42"/>
        <v>No</v>
      </c>
      <c r="BG185" t="str">
        <f t="shared" si="43"/>
        <v>No</v>
      </c>
      <c r="BH185" t="str">
        <f t="shared" si="44"/>
        <v>No</v>
      </c>
    </row>
    <row r="186" spans="1:60" x14ac:dyDescent="0.3">
      <c r="A186" s="1">
        <v>28</v>
      </c>
      <c r="B186" t="s">
        <v>409</v>
      </c>
      <c r="C186" t="s">
        <v>264</v>
      </c>
      <c r="D186" t="s">
        <v>2714</v>
      </c>
      <c r="E186" t="s">
        <v>2715</v>
      </c>
      <c r="F186" t="s">
        <v>2716</v>
      </c>
      <c r="G186" t="s">
        <v>2717</v>
      </c>
      <c r="I186" t="str">
        <f t="shared" si="46"/>
        <v>N/A</v>
      </c>
      <c r="J186" t="str">
        <f t="shared" si="47"/>
        <v>N/A</v>
      </c>
      <c r="K186">
        <f t="shared" si="48"/>
        <v>0.53</v>
      </c>
      <c r="L186">
        <f t="shared" si="49"/>
        <v>6.93E-2</v>
      </c>
      <c r="M186">
        <f t="shared" si="50"/>
        <v>-0.80430000000000013</v>
      </c>
      <c r="N186">
        <f t="shared" si="51"/>
        <v>2.4100000000000003E-2</v>
      </c>
      <c r="P186">
        <f t="shared" si="27"/>
        <v>0.53</v>
      </c>
      <c r="Q186">
        <f>IFERROR(J144+MATCH(P186,J186:N186,0)-1,"")</f>
        <v>2013</v>
      </c>
      <c r="R186">
        <f t="shared" si="28"/>
        <v>-0.80430000000000013</v>
      </c>
      <c r="S186">
        <f>IFERROR(J144+MATCH(R186,J186:N186,0)-1,"")</f>
        <v>2015</v>
      </c>
      <c r="T186">
        <f t="shared" si="29"/>
        <v>-4.5225000000000015E-2</v>
      </c>
      <c r="U186">
        <f t="shared" si="30"/>
        <v>0.55527788463675265</v>
      </c>
      <c r="V186" t="str">
        <f t="shared" si="31"/>
        <v/>
      </c>
      <c r="W186">
        <f t="shared" si="32"/>
        <v>1.0359227621253029</v>
      </c>
      <c r="X186">
        <f t="shared" si="33"/>
        <v>0.20624808437115966</v>
      </c>
      <c r="Y186">
        <f t="shared" si="34"/>
        <v>-1.3670182461823883</v>
      </c>
      <c r="Z186">
        <f t="shared" si="35"/>
        <v>0.12484739968592574</v>
      </c>
      <c r="AA186">
        <f t="shared" si="36"/>
        <v>-1.3670182461823883</v>
      </c>
      <c r="AB186">
        <f>IFERROR(V144+MATCH(AA186,V186:Z186,0)-1,"")</f>
        <v>2015</v>
      </c>
      <c r="AC186" t="str">
        <f t="shared" si="37"/>
        <v>Low</v>
      </c>
      <c r="AE186" t="str">
        <f>IF(ISNUMBER(MATCH("N/A",J186:N186,0)),"",IFERROR((5 * SUMPRODUCT(J144:N144,J186:N186) - PRODUCT(SUM(J144:N144),SUM(J186:N186))) / ((5 * SUM((J144^2)+(K144^2)+(L144^2)+(M144^2)+(N144^2))) - SUM(J144:N144)^2),""))</f>
        <v/>
      </c>
      <c r="AF186">
        <f>IFERROR(CORREL(J144:N144,J186:N186),"")</f>
        <v>-0.5559657804995175</v>
      </c>
      <c r="AZ186">
        <f t="shared" si="38"/>
        <v>1</v>
      </c>
      <c r="BA186" t="str">
        <f>IF(AZ186=1,IF(Q186="","",IF(Q186=N144,"Yes","No")),"")</f>
        <v>No</v>
      </c>
      <c r="BB186" t="str">
        <f t="shared" si="39"/>
        <v/>
      </c>
      <c r="BC186" t="str">
        <f>IF(AZ186=1,IF(S186="","",IF(S186=N144,"Yes","No")),"")</f>
        <v>No</v>
      </c>
      <c r="BD186" t="str">
        <f t="shared" si="40"/>
        <v/>
      </c>
      <c r="BE186" t="str">
        <f t="shared" si="41"/>
        <v/>
      </c>
      <c r="BF186" t="str">
        <f t="shared" si="42"/>
        <v>No</v>
      </c>
      <c r="BG186" t="str">
        <f t="shared" si="43"/>
        <v>No</v>
      </c>
      <c r="BH186" t="str">
        <f t="shared" si="44"/>
        <v>No</v>
      </c>
    </row>
    <row r="187" spans="1:60" x14ac:dyDescent="0.3">
      <c r="A187" s="1">
        <v>29</v>
      </c>
      <c r="B187" t="s">
        <v>414</v>
      </c>
      <c r="C187" t="s">
        <v>264</v>
      </c>
      <c r="D187" t="s">
        <v>264</v>
      </c>
      <c r="E187" t="s">
        <v>264</v>
      </c>
      <c r="F187" t="s">
        <v>264</v>
      </c>
      <c r="G187" t="s">
        <v>2718</v>
      </c>
      <c r="I187" t="str">
        <f t="shared" si="46"/>
        <v>N/A</v>
      </c>
      <c r="J187" t="str">
        <f t="shared" si="47"/>
        <v>N/A</v>
      </c>
      <c r="K187" t="str">
        <f t="shared" si="48"/>
        <v>N/A</v>
      </c>
      <c r="L187" t="str">
        <f t="shared" si="49"/>
        <v>N/A</v>
      </c>
      <c r="M187" t="str">
        <f t="shared" si="50"/>
        <v>N/A</v>
      </c>
      <c r="N187">
        <f t="shared" si="51"/>
        <v>1.7100000000000001E-2</v>
      </c>
      <c r="P187">
        <f t="shared" si="27"/>
        <v>1.7100000000000001E-2</v>
      </c>
      <c r="Q187">
        <f>IFERROR(J144+MATCH(P187,J187:N187,0)-1,"")</f>
        <v>2016</v>
      </c>
      <c r="R187">
        <f t="shared" si="28"/>
        <v>1.7100000000000001E-2</v>
      </c>
      <c r="S187">
        <f>IFERROR(J144+MATCH(R187,J187:N187,0)-1,"")</f>
        <v>2016</v>
      </c>
      <c r="T187">
        <f t="shared" si="29"/>
        <v>1.7100000000000001E-2</v>
      </c>
      <c r="U187" t="str">
        <f t="shared" si="30"/>
        <v/>
      </c>
      <c r="V187" t="str">
        <f t="shared" si="31"/>
        <v/>
      </c>
      <c r="W187" t="str">
        <f t="shared" si="32"/>
        <v/>
      </c>
      <c r="X187" t="str">
        <f t="shared" si="33"/>
        <v/>
      </c>
      <c r="Y187" t="str">
        <f t="shared" si="34"/>
        <v/>
      </c>
      <c r="Z187" t="str">
        <f t="shared" si="35"/>
        <v/>
      </c>
      <c r="AA187">
        <f t="shared" si="36"/>
        <v>0</v>
      </c>
      <c r="AB187" t="str">
        <f>IFERROR(V144+MATCH(AA187,V187:Z187,0)-1,"")</f>
        <v/>
      </c>
      <c r="AC187" t="str">
        <f t="shared" si="37"/>
        <v/>
      </c>
      <c r="AE187" t="str">
        <f>IF(ISNUMBER(MATCH("N/A",J187:N187,0)),"",IFERROR((5 * SUMPRODUCT(J144:N144,J187:N187) - PRODUCT(SUM(J144:N144),SUM(J187:N187))) / ((5 * SUM((J144^2)+(K144^2)+(L144^2)+(M144^2)+(N144^2))) - SUM(J144:N144)^2),""))</f>
        <v/>
      </c>
      <c r="AF187" t="str">
        <f>IFERROR(CORREL(J144:N144,J187:N187),"")</f>
        <v/>
      </c>
      <c r="AZ187">
        <f t="shared" si="38"/>
        <v>0</v>
      </c>
      <c r="BA187" t="str">
        <f>IF(AZ187=1,IF(Q187="","",IF(Q187=N144,"Yes","No")),"")</f>
        <v/>
      </c>
      <c r="BB187" t="str">
        <f t="shared" si="39"/>
        <v/>
      </c>
      <c r="BC187" t="str">
        <f>IF(AZ187=1,IF(S187="","",IF(S187=N144,"Yes","No")),"")</f>
        <v/>
      </c>
      <c r="BD187" t="str">
        <f t="shared" si="40"/>
        <v/>
      </c>
      <c r="BE187" t="str">
        <f t="shared" si="41"/>
        <v/>
      </c>
      <c r="BF187" t="str">
        <f t="shared" si="42"/>
        <v>No</v>
      </c>
      <c r="BG187" t="str">
        <f t="shared" si="43"/>
        <v>No</v>
      </c>
      <c r="BH187" t="str">
        <f t="shared" si="44"/>
        <v/>
      </c>
    </row>
    <row r="188" spans="1:60" x14ac:dyDescent="0.3">
      <c r="A188" s="1">
        <v>30</v>
      </c>
      <c r="B188" t="s">
        <v>416</v>
      </c>
      <c r="C188" t="s">
        <v>264</v>
      </c>
      <c r="D188" t="s">
        <v>264</v>
      </c>
      <c r="E188" t="s">
        <v>264</v>
      </c>
      <c r="F188" t="s">
        <v>264</v>
      </c>
      <c r="G188" t="s">
        <v>264</v>
      </c>
      <c r="I188" t="str">
        <f t="shared" si="46"/>
        <v>N/A</v>
      </c>
      <c r="J188" t="str">
        <f t="shared" si="47"/>
        <v>N/A</v>
      </c>
      <c r="K188" t="str">
        <f t="shared" si="48"/>
        <v>N/A</v>
      </c>
      <c r="L188" t="str">
        <f t="shared" si="49"/>
        <v>N/A</v>
      </c>
      <c r="M188" t="str">
        <f t="shared" si="50"/>
        <v>N/A</v>
      </c>
      <c r="N188" t="str">
        <f t="shared" si="51"/>
        <v>N/A</v>
      </c>
      <c r="P188">
        <f t="shared" si="27"/>
        <v>0</v>
      </c>
      <c r="Q188" t="str">
        <f>IFERROR(J144+MATCH(P188,J188:N188,0)-1,"")</f>
        <v/>
      </c>
      <c r="R188" t="str">
        <f t="shared" si="28"/>
        <v/>
      </c>
      <c r="S188" t="str">
        <f>IFERROR(J144+MATCH(R188,J188:N188,0)-1,"")</f>
        <v/>
      </c>
      <c r="T188" t="str">
        <f t="shared" si="29"/>
        <v/>
      </c>
      <c r="U188" t="str">
        <f t="shared" si="30"/>
        <v/>
      </c>
      <c r="V188" t="str">
        <f t="shared" si="31"/>
        <v/>
      </c>
      <c r="W188" t="str">
        <f t="shared" si="32"/>
        <v/>
      </c>
      <c r="X188" t="str">
        <f t="shared" si="33"/>
        <v/>
      </c>
      <c r="Y188" t="str">
        <f t="shared" si="34"/>
        <v/>
      </c>
      <c r="Z188" t="str">
        <f t="shared" si="35"/>
        <v/>
      </c>
      <c r="AA188">
        <f t="shared" si="36"/>
        <v>0</v>
      </c>
      <c r="AB188" t="str">
        <f>IFERROR(V144+MATCH(AA188,V188:Z188,0)-1,"")</f>
        <v/>
      </c>
      <c r="AC188" t="str">
        <f t="shared" si="37"/>
        <v/>
      </c>
      <c r="AE188" t="str">
        <f>IF(ISNUMBER(MATCH("N/A",J188:N188,0)),"",IFERROR((5 * SUMPRODUCT(J144:N144,J188:N188) - PRODUCT(SUM(J144:N144),SUM(J188:N188))) / ((5 * SUM((J144^2)+(K144^2)+(L144^2)+(M144^2)+(N144^2))) - SUM(J144:N144)^2),""))</f>
        <v/>
      </c>
      <c r="AF188" t="str">
        <f>IFERROR(CORREL(J144:N144,J188:N188),"")</f>
        <v/>
      </c>
      <c r="AZ188">
        <f t="shared" si="38"/>
        <v>0</v>
      </c>
      <c r="BA188" t="str">
        <f>IF(AZ188=1,IF(Q188="","",IF(Q188=N144,"Yes","No")),"")</f>
        <v/>
      </c>
      <c r="BB188" t="str">
        <f t="shared" si="39"/>
        <v/>
      </c>
      <c r="BC188" t="str">
        <f>IF(AZ188=1,IF(S188="","",IF(S188=N144,"Yes","No")),"")</f>
        <v/>
      </c>
      <c r="BD188" t="str">
        <f t="shared" si="40"/>
        <v/>
      </c>
      <c r="BE188" t="str">
        <f t="shared" si="41"/>
        <v/>
      </c>
      <c r="BF188" t="str">
        <f t="shared" si="42"/>
        <v>No</v>
      </c>
      <c r="BG188" t="str">
        <f t="shared" si="43"/>
        <v>No</v>
      </c>
      <c r="BH188" t="str">
        <f t="shared" si="44"/>
        <v/>
      </c>
    </row>
    <row r="189" spans="1:60" x14ac:dyDescent="0.3">
      <c r="A189" s="1">
        <v>31</v>
      </c>
      <c r="B189" t="s">
        <v>417</v>
      </c>
      <c r="C189" t="s">
        <v>264</v>
      </c>
      <c r="D189" t="s">
        <v>264</v>
      </c>
      <c r="E189" t="s">
        <v>264</v>
      </c>
      <c r="F189" t="s">
        <v>264</v>
      </c>
      <c r="G189" t="s">
        <v>264</v>
      </c>
      <c r="I189" t="str">
        <f t="shared" si="46"/>
        <v>N/A</v>
      </c>
      <c r="J189" t="str">
        <f t="shared" si="47"/>
        <v>N/A</v>
      </c>
      <c r="K189" t="str">
        <f t="shared" si="48"/>
        <v>N/A</v>
      </c>
      <c r="L189" t="str">
        <f t="shared" si="49"/>
        <v>N/A</v>
      </c>
      <c r="M189" t="str">
        <f t="shared" si="50"/>
        <v>N/A</v>
      </c>
      <c r="N189" t="str">
        <f t="shared" si="51"/>
        <v>N/A</v>
      </c>
      <c r="P189">
        <f t="shared" si="27"/>
        <v>0</v>
      </c>
      <c r="Q189" t="str">
        <f>IFERROR(J144+MATCH(P189,J189:N189,0)-1,"")</f>
        <v/>
      </c>
      <c r="R189" t="str">
        <f t="shared" si="28"/>
        <v/>
      </c>
      <c r="S189" t="str">
        <f>IFERROR(J144+MATCH(R189,J189:N189,0)-1,"")</f>
        <v/>
      </c>
      <c r="T189" t="str">
        <f t="shared" si="29"/>
        <v/>
      </c>
      <c r="U189" t="str">
        <f t="shared" si="30"/>
        <v/>
      </c>
      <c r="V189" t="str">
        <f t="shared" si="31"/>
        <v/>
      </c>
      <c r="W189" t="str">
        <f t="shared" si="32"/>
        <v/>
      </c>
      <c r="X189" t="str">
        <f t="shared" si="33"/>
        <v/>
      </c>
      <c r="Y189" t="str">
        <f t="shared" si="34"/>
        <v/>
      </c>
      <c r="Z189" t="str">
        <f t="shared" si="35"/>
        <v/>
      </c>
      <c r="AA189">
        <f t="shared" si="36"/>
        <v>0</v>
      </c>
      <c r="AB189" t="str">
        <f>IFERROR(V144+MATCH(AA189,V189:Z189,0)-1,"")</f>
        <v/>
      </c>
      <c r="AC189" t="str">
        <f t="shared" si="37"/>
        <v/>
      </c>
      <c r="AE189" t="str">
        <f>IF(ISNUMBER(MATCH("N/A",J189:N189,0)),"",IFERROR((5 * SUMPRODUCT(J144:N144,J189:N189) - PRODUCT(SUM(J144:N144),SUM(J189:N189))) / ((5 * SUM((J144^2)+(K144^2)+(L144^2)+(M144^2)+(N144^2))) - SUM(J144:N144)^2),""))</f>
        <v/>
      </c>
      <c r="AF189" t="str">
        <f>IFERROR(CORREL(J144:N144,J189:N189),"")</f>
        <v/>
      </c>
      <c r="AZ189">
        <f t="shared" si="38"/>
        <v>0</v>
      </c>
      <c r="BA189" t="str">
        <f>IF(AZ189=1,IF(Q189="","",IF(Q189=N144,"Yes","No")),"")</f>
        <v/>
      </c>
      <c r="BB189" t="str">
        <f t="shared" si="39"/>
        <v/>
      </c>
      <c r="BC189" t="str">
        <f>IF(AZ189=1,IF(S189="","",IF(S189=N144,"Yes","No")),"")</f>
        <v/>
      </c>
      <c r="BD189" t="str">
        <f t="shared" si="40"/>
        <v/>
      </c>
      <c r="BE189" t="str">
        <f t="shared" si="41"/>
        <v/>
      </c>
      <c r="BF189" t="str">
        <f t="shared" si="42"/>
        <v>No</v>
      </c>
      <c r="BG189" t="str">
        <f t="shared" si="43"/>
        <v>No</v>
      </c>
      <c r="BH189" t="str">
        <f t="shared" si="44"/>
        <v/>
      </c>
    </row>
    <row r="190" spans="1:60" x14ac:dyDescent="0.3">
      <c r="A190" s="1">
        <v>32</v>
      </c>
      <c r="B190" t="s">
        <v>418</v>
      </c>
      <c r="C190" t="s">
        <v>264</v>
      </c>
      <c r="D190" t="s">
        <v>264</v>
      </c>
      <c r="E190" t="s">
        <v>264</v>
      </c>
      <c r="F190" t="s">
        <v>264</v>
      </c>
      <c r="G190" t="s">
        <v>264</v>
      </c>
      <c r="I190" t="str">
        <f t="shared" si="46"/>
        <v>N/A</v>
      </c>
      <c r="J190" t="str">
        <f t="shared" si="47"/>
        <v>N/A</v>
      </c>
      <c r="K190" t="str">
        <f t="shared" si="48"/>
        <v>N/A</v>
      </c>
      <c r="L190" t="str">
        <f t="shared" si="49"/>
        <v>N/A</v>
      </c>
      <c r="M190" t="str">
        <f t="shared" si="50"/>
        <v>N/A</v>
      </c>
      <c r="N190" t="str">
        <f t="shared" si="51"/>
        <v>N/A</v>
      </c>
      <c r="P190">
        <f t="shared" si="27"/>
        <v>0</v>
      </c>
      <c r="Q190" t="str">
        <f>IFERROR(J144+MATCH(P190,J190:N190,0)-1,"")</f>
        <v/>
      </c>
      <c r="R190" t="str">
        <f t="shared" si="28"/>
        <v/>
      </c>
      <c r="S190" t="str">
        <f>IFERROR(J144+MATCH(R190,J190:N190,0)-1,"")</f>
        <v/>
      </c>
      <c r="T190" t="str">
        <f t="shared" si="29"/>
        <v/>
      </c>
      <c r="U190" t="str">
        <f t="shared" si="30"/>
        <v/>
      </c>
      <c r="V190" t="str">
        <f t="shared" si="31"/>
        <v/>
      </c>
      <c r="W190" t="str">
        <f t="shared" si="32"/>
        <v/>
      </c>
      <c r="X190" t="str">
        <f t="shared" si="33"/>
        <v/>
      </c>
      <c r="Y190" t="str">
        <f t="shared" si="34"/>
        <v/>
      </c>
      <c r="Z190" t="str">
        <f t="shared" si="35"/>
        <v/>
      </c>
      <c r="AA190">
        <f t="shared" si="36"/>
        <v>0</v>
      </c>
      <c r="AB190" t="str">
        <f>IFERROR(V144+MATCH(AA190,V190:Z190,0)-1,"")</f>
        <v/>
      </c>
      <c r="AC190" t="str">
        <f t="shared" si="37"/>
        <v/>
      </c>
      <c r="AE190" t="str">
        <f>IF(ISNUMBER(MATCH("N/A",J190:N190,0)),"",IFERROR((5 * SUMPRODUCT(J144:N144,J190:N190) - PRODUCT(SUM(J144:N144),SUM(J190:N190))) / ((5 * SUM((J144^2)+(K144^2)+(L144^2)+(M144^2)+(N144^2))) - SUM(J144:N144)^2),""))</f>
        <v/>
      </c>
      <c r="AF190" t="str">
        <f>IFERROR(CORREL(J144:N144,J190:N190),"")</f>
        <v/>
      </c>
      <c r="AZ190">
        <f t="shared" si="38"/>
        <v>0</v>
      </c>
      <c r="BA190" t="str">
        <f>IF(AZ190=1,IF(Q190="","",IF(Q190=N144,"Yes","No")),"")</f>
        <v/>
      </c>
      <c r="BB190" t="str">
        <f t="shared" si="39"/>
        <v/>
      </c>
      <c r="BC190" t="str">
        <f>IF(AZ190=1,IF(S190="","",IF(S190=N144,"Yes","No")),"")</f>
        <v/>
      </c>
      <c r="BD190" t="str">
        <f t="shared" si="40"/>
        <v/>
      </c>
      <c r="BE190" t="str">
        <f t="shared" si="41"/>
        <v/>
      </c>
      <c r="BF190" t="str">
        <f t="shared" si="42"/>
        <v>No</v>
      </c>
      <c r="BG190" t="str">
        <f t="shared" si="43"/>
        <v>No</v>
      </c>
      <c r="BH190" t="str">
        <f t="shared" si="44"/>
        <v/>
      </c>
    </row>
    <row r="191" spans="1:60" x14ac:dyDescent="0.3">
      <c r="A191" s="1">
        <v>33</v>
      </c>
      <c r="B191" t="s">
        <v>419</v>
      </c>
      <c r="C191" t="s">
        <v>264</v>
      </c>
      <c r="D191" t="s">
        <v>264</v>
      </c>
      <c r="E191" t="s">
        <v>264</v>
      </c>
      <c r="F191" t="s">
        <v>264</v>
      </c>
      <c r="G191" t="s">
        <v>264</v>
      </c>
      <c r="I191" t="str">
        <f t="shared" si="46"/>
        <v>N/A</v>
      </c>
      <c r="J191" t="str">
        <f t="shared" si="47"/>
        <v>N/A</v>
      </c>
      <c r="K191" t="str">
        <f t="shared" si="48"/>
        <v>N/A</v>
      </c>
      <c r="L191" t="str">
        <f t="shared" si="49"/>
        <v>N/A</v>
      </c>
      <c r="M191" t="str">
        <f t="shared" si="50"/>
        <v>N/A</v>
      </c>
      <c r="N191" t="str">
        <f t="shared" si="51"/>
        <v>N/A</v>
      </c>
      <c r="P191">
        <f t="shared" si="27"/>
        <v>0</v>
      </c>
      <c r="Q191" t="str">
        <f>IFERROR(J144+MATCH(P191,J191:N191,0)-1,"")</f>
        <v/>
      </c>
      <c r="R191" t="str">
        <f t="shared" si="28"/>
        <v/>
      </c>
      <c r="S191" t="str">
        <f>IFERROR(J144+MATCH(R191,J191:N191,0)-1,"")</f>
        <v/>
      </c>
      <c r="T191" t="str">
        <f t="shared" si="29"/>
        <v/>
      </c>
      <c r="U191" t="str">
        <f t="shared" si="30"/>
        <v/>
      </c>
      <c r="V191" t="str">
        <f t="shared" si="31"/>
        <v/>
      </c>
      <c r="W191" t="str">
        <f t="shared" si="32"/>
        <v/>
      </c>
      <c r="X191" t="str">
        <f t="shared" si="33"/>
        <v/>
      </c>
      <c r="Y191" t="str">
        <f t="shared" si="34"/>
        <v/>
      </c>
      <c r="Z191" t="str">
        <f t="shared" si="35"/>
        <v/>
      </c>
      <c r="AA191">
        <f t="shared" si="36"/>
        <v>0</v>
      </c>
      <c r="AB191" t="str">
        <f>IFERROR(V144+MATCH(AA191,V191:Z191,0)-1,"")</f>
        <v/>
      </c>
      <c r="AC191" t="str">
        <f t="shared" si="37"/>
        <v/>
      </c>
      <c r="AE191" t="str">
        <f>IF(ISNUMBER(MATCH("N/A",J191:N191,0)),"",IFERROR((5 * SUMPRODUCT(J144:N144,J191:N191) - PRODUCT(SUM(J144:N144),SUM(J191:N191))) / ((5 * SUM((J144^2)+(K144^2)+(L144^2)+(M144^2)+(N144^2))) - SUM(J144:N144)^2),""))</f>
        <v/>
      </c>
      <c r="AF191" t="str">
        <f>IFERROR(CORREL(J144:N144,J191:N191),"")</f>
        <v/>
      </c>
      <c r="AZ191">
        <f t="shared" si="38"/>
        <v>0</v>
      </c>
      <c r="BA191" t="str">
        <f>IF(AZ191=1,IF(Q191="","",IF(Q191=N144,"Yes","No")),"")</f>
        <v/>
      </c>
      <c r="BB191" t="str">
        <f t="shared" si="39"/>
        <v/>
      </c>
      <c r="BC191" t="str">
        <f>IF(AZ191=1,IF(S191="","",IF(S191=N144,"Yes","No")),"")</f>
        <v/>
      </c>
      <c r="BD191" t="str">
        <f t="shared" si="40"/>
        <v/>
      </c>
      <c r="BE191" t="str">
        <f t="shared" si="41"/>
        <v/>
      </c>
      <c r="BF191" t="str">
        <f t="shared" si="42"/>
        <v>No</v>
      </c>
      <c r="BG191" t="str">
        <f t="shared" si="43"/>
        <v>No</v>
      </c>
      <c r="BH191" t="str">
        <f t="shared" si="44"/>
        <v/>
      </c>
    </row>
    <row r="192" spans="1:60" x14ac:dyDescent="0.3">
      <c r="A192" s="1">
        <v>34</v>
      </c>
      <c r="B192" t="s">
        <v>420</v>
      </c>
      <c r="C192" t="s">
        <v>2709</v>
      </c>
      <c r="D192" t="s">
        <v>2710</v>
      </c>
      <c r="E192" t="s">
        <v>2711</v>
      </c>
      <c r="F192" t="s">
        <v>2712</v>
      </c>
      <c r="G192" t="s">
        <v>2713</v>
      </c>
      <c r="I192" t="str">
        <f t="shared" si="46"/>
        <v>N/A</v>
      </c>
      <c r="J192">
        <f t="shared" si="47"/>
        <v>30800000</v>
      </c>
      <c r="K192">
        <f t="shared" si="48"/>
        <v>47120000</v>
      </c>
      <c r="L192">
        <f t="shared" si="49"/>
        <v>50390000</v>
      </c>
      <c r="M192">
        <f t="shared" si="50"/>
        <v>9860000</v>
      </c>
      <c r="N192">
        <f t="shared" si="51"/>
        <v>10100000</v>
      </c>
      <c r="P192">
        <f t="shared" si="27"/>
        <v>50390000</v>
      </c>
      <c r="Q192">
        <f>IFERROR(J144+MATCH(P192,J192:N192,0)-1,"")</f>
        <v>2014</v>
      </c>
      <c r="R192">
        <f t="shared" si="28"/>
        <v>9860000</v>
      </c>
      <c r="S192">
        <f>IFERROR(J144+MATCH(R192,J192:N192,0)-1,"")</f>
        <v>2015</v>
      </c>
      <c r="T192">
        <f t="shared" si="29"/>
        <v>29654000</v>
      </c>
      <c r="U192">
        <f t="shared" si="30"/>
        <v>19432688.439842802</v>
      </c>
      <c r="V192">
        <f t="shared" si="31"/>
        <v>5.8972797487472632E-2</v>
      </c>
      <c r="W192">
        <f t="shared" si="32"/>
        <v>0.89879483500540747</v>
      </c>
      <c r="X192">
        <f t="shared" si="33"/>
        <v>1.0670680006110231</v>
      </c>
      <c r="Y192">
        <f t="shared" si="34"/>
        <v>-1.0185929785925247</v>
      </c>
      <c r="Z192">
        <f t="shared" si="35"/>
        <v>-1.0062426545113785</v>
      </c>
      <c r="AA192">
        <f t="shared" si="36"/>
        <v>1.0670680006110231</v>
      </c>
      <c r="AB192">
        <f>IFERROR(V144+MATCH(AA192,V192:Z192,0)-1,"")</f>
        <v>2014</v>
      </c>
      <c r="AC192" t="str">
        <f t="shared" si="37"/>
        <v>High</v>
      </c>
      <c r="AE192">
        <f>IF(ISNUMBER(MATCH("N/A",J192:N192,0)),"",IFERROR((5 * SUMPRODUCT(J144:N144,J192:N192) - PRODUCT(SUM(J144:N144),SUM(J192:N192))) / ((5 * SUM((J144^2)+(K144^2)+(L144^2)+(M144^2)+(N144^2))) - SUM(J144:N144)^2),""))</f>
        <v>-7866000</v>
      </c>
      <c r="AF192">
        <f>IFERROR(CORREL(J144:N144,J192:N192),"")</f>
        <v>-0.64001633515320466</v>
      </c>
      <c r="AZ192">
        <f t="shared" si="38"/>
        <v>1</v>
      </c>
      <c r="BA192" t="str">
        <f>IF(AZ192=1,IF(Q192="","",IF(Q192=N144,"Yes","No")),"")</f>
        <v>No</v>
      </c>
      <c r="BB192" t="str">
        <f t="shared" si="39"/>
        <v/>
      </c>
      <c r="BC192" t="str">
        <f>IF(AZ192=1,IF(S192="","",IF(S192=N144,"Yes","No")),"")</f>
        <v>No</v>
      </c>
      <c r="BD192" t="str">
        <f t="shared" si="40"/>
        <v/>
      </c>
      <c r="BE192" t="str">
        <f t="shared" si="41"/>
        <v>Decreasing</v>
      </c>
      <c r="BF192" t="str">
        <f t="shared" si="42"/>
        <v>No</v>
      </c>
      <c r="BG192" t="str">
        <f t="shared" si="43"/>
        <v>No</v>
      </c>
      <c r="BH192" t="str">
        <f t="shared" si="44"/>
        <v>No</v>
      </c>
    </row>
    <row r="193" spans="1:60" x14ac:dyDescent="0.3">
      <c r="A193" s="1">
        <v>35</v>
      </c>
      <c r="B193" t="s">
        <v>421</v>
      </c>
      <c r="C193" t="s">
        <v>264</v>
      </c>
      <c r="D193" t="s">
        <v>264</v>
      </c>
      <c r="E193" t="s">
        <v>264</v>
      </c>
      <c r="F193" t="s">
        <v>264</v>
      </c>
      <c r="G193" t="s">
        <v>264</v>
      </c>
      <c r="I193" t="str">
        <f t="shared" si="46"/>
        <v>N/A</v>
      </c>
      <c r="J193" t="str">
        <f t="shared" si="47"/>
        <v>N/A</v>
      </c>
      <c r="K193" t="str">
        <f t="shared" si="48"/>
        <v>N/A</v>
      </c>
      <c r="L193" t="str">
        <f t="shared" si="49"/>
        <v>N/A</v>
      </c>
      <c r="M193" t="str">
        <f t="shared" si="50"/>
        <v>N/A</v>
      </c>
      <c r="N193" t="str">
        <f t="shared" si="51"/>
        <v>N/A</v>
      </c>
      <c r="P193">
        <f t="shared" si="27"/>
        <v>0</v>
      </c>
      <c r="Q193" t="str">
        <f>IFERROR(J144+MATCH(P193,J193:N193,0)-1,"")</f>
        <v/>
      </c>
      <c r="R193" t="str">
        <f t="shared" si="28"/>
        <v/>
      </c>
      <c r="S193" t="str">
        <f>IFERROR(J144+MATCH(R193,J193:N193,0)-1,"")</f>
        <v/>
      </c>
      <c r="T193" t="str">
        <f t="shared" si="29"/>
        <v/>
      </c>
      <c r="U193" t="str">
        <f t="shared" si="30"/>
        <v/>
      </c>
      <c r="V193" t="str">
        <f t="shared" si="31"/>
        <v/>
      </c>
      <c r="W193" t="str">
        <f t="shared" si="32"/>
        <v/>
      </c>
      <c r="X193" t="str">
        <f t="shared" si="33"/>
        <v/>
      </c>
      <c r="Y193" t="str">
        <f t="shared" si="34"/>
        <v/>
      </c>
      <c r="Z193" t="str">
        <f t="shared" si="35"/>
        <v/>
      </c>
      <c r="AA193">
        <f t="shared" si="36"/>
        <v>0</v>
      </c>
      <c r="AB193" t="str">
        <f>IFERROR(V144+MATCH(AA193,V193:Z193,0)-1,"")</f>
        <v/>
      </c>
      <c r="AC193" t="str">
        <f t="shared" si="37"/>
        <v/>
      </c>
      <c r="AE193" t="str">
        <f>IF(ISNUMBER(MATCH("N/A",J193:N193,0)),"",IFERROR((5 * SUMPRODUCT(J144:N144,J193:N193) - PRODUCT(SUM(J144:N144),SUM(J193:N193))) / ((5 * SUM((J144^2)+(K144^2)+(L144^2)+(M144^2)+(N144^2))) - SUM(J144:N144)^2),""))</f>
        <v/>
      </c>
      <c r="AF193" t="str">
        <f>IFERROR(CORREL(J144:N144,J193:N193),"")</f>
        <v/>
      </c>
      <c r="AZ193">
        <f t="shared" si="38"/>
        <v>0</v>
      </c>
      <c r="BA193" t="str">
        <f>IF(AZ193=1,IF(Q193="","",IF(Q193=N144,"Yes","No")),"")</f>
        <v/>
      </c>
      <c r="BB193" t="str">
        <f t="shared" si="39"/>
        <v/>
      </c>
      <c r="BC193" t="str">
        <f>IF(AZ193=1,IF(S193="","",IF(S193=N144,"Yes","No")),"")</f>
        <v/>
      </c>
      <c r="BD193" t="str">
        <f t="shared" si="40"/>
        <v/>
      </c>
      <c r="BE193" t="str">
        <f t="shared" si="41"/>
        <v/>
      </c>
      <c r="BF193" t="str">
        <f t="shared" si="42"/>
        <v>No</v>
      </c>
      <c r="BG193" t="str">
        <f t="shared" si="43"/>
        <v>No</v>
      </c>
      <c r="BH193" t="str">
        <f t="shared" si="44"/>
        <v/>
      </c>
    </row>
    <row r="194" spans="1:60" x14ac:dyDescent="0.3">
      <c r="A194" s="1">
        <v>36</v>
      </c>
      <c r="B194" t="s">
        <v>422</v>
      </c>
      <c r="C194" t="s">
        <v>2709</v>
      </c>
      <c r="D194" t="s">
        <v>2710</v>
      </c>
      <c r="E194" t="s">
        <v>2711</v>
      </c>
      <c r="F194" t="s">
        <v>2712</v>
      </c>
      <c r="G194" t="s">
        <v>2713</v>
      </c>
      <c r="I194" t="str">
        <f t="shared" si="46"/>
        <v>N/A</v>
      </c>
      <c r="J194">
        <f t="shared" si="47"/>
        <v>30800000</v>
      </c>
      <c r="K194">
        <f t="shared" si="48"/>
        <v>47120000</v>
      </c>
      <c r="L194">
        <f t="shared" si="49"/>
        <v>50390000</v>
      </c>
      <c r="M194">
        <f t="shared" si="50"/>
        <v>9860000</v>
      </c>
      <c r="N194">
        <f t="shared" si="51"/>
        <v>10100000</v>
      </c>
      <c r="P194">
        <f t="shared" si="27"/>
        <v>50390000</v>
      </c>
      <c r="Q194">
        <f>IFERROR(J144+MATCH(P194,J194:N194,0)-1,"")</f>
        <v>2014</v>
      </c>
      <c r="R194">
        <f t="shared" si="28"/>
        <v>9860000</v>
      </c>
      <c r="S194">
        <f>IFERROR(J144+MATCH(R194,J194:N194,0)-1,"")</f>
        <v>2015</v>
      </c>
      <c r="T194">
        <f t="shared" si="29"/>
        <v>29654000</v>
      </c>
      <c r="U194">
        <f t="shared" si="30"/>
        <v>19432688.439842802</v>
      </c>
      <c r="V194">
        <f t="shared" si="31"/>
        <v>5.8972797487472632E-2</v>
      </c>
      <c r="W194">
        <f t="shared" si="32"/>
        <v>0.89879483500540747</v>
      </c>
      <c r="X194">
        <f t="shared" si="33"/>
        <v>1.0670680006110231</v>
      </c>
      <c r="Y194">
        <f t="shared" si="34"/>
        <v>-1.0185929785925247</v>
      </c>
      <c r="Z194">
        <f t="shared" si="35"/>
        <v>-1.0062426545113785</v>
      </c>
      <c r="AA194">
        <f t="shared" si="36"/>
        <v>1.0670680006110231</v>
      </c>
      <c r="AB194">
        <f>IFERROR(V144+MATCH(AA194,V194:Z194,0)-1,"")</f>
        <v>2014</v>
      </c>
      <c r="AC194" t="str">
        <f t="shared" si="37"/>
        <v>High</v>
      </c>
      <c r="AE194">
        <f>IF(ISNUMBER(MATCH("N/A",J194:N194,0)),"",IFERROR((5 * SUMPRODUCT(J144:N144,J194:N194) - PRODUCT(SUM(J144:N144),SUM(J194:N194))) / ((5 * SUM((J144^2)+(K144^2)+(L144^2)+(M144^2)+(N144^2))) - SUM(J144:N144)^2),""))</f>
        <v>-7866000</v>
      </c>
      <c r="AF194">
        <f>IFERROR(CORREL(J144:N144,J194:N194),"")</f>
        <v>-0.64001633515320466</v>
      </c>
      <c r="AZ194">
        <f t="shared" si="38"/>
        <v>1</v>
      </c>
      <c r="BA194" t="str">
        <f>IF(AZ194=1,IF(Q194="","",IF(Q194=N144,"Yes","No")),"")</f>
        <v>No</v>
      </c>
      <c r="BB194" t="str">
        <f t="shared" si="39"/>
        <v/>
      </c>
      <c r="BC194" t="str">
        <f>IF(AZ194=1,IF(S194="","",IF(S194=N144,"Yes","No")),"")</f>
        <v>No</v>
      </c>
      <c r="BD194" t="str">
        <f t="shared" si="40"/>
        <v/>
      </c>
      <c r="BE194" t="str">
        <f t="shared" si="41"/>
        <v>Decreasing</v>
      </c>
      <c r="BF194" t="str">
        <f t="shared" si="42"/>
        <v>No</v>
      </c>
      <c r="BG194" t="str">
        <f t="shared" si="43"/>
        <v>No</v>
      </c>
      <c r="BH194" t="str">
        <f t="shared" si="44"/>
        <v>No</v>
      </c>
    </row>
    <row r="195" spans="1:60" x14ac:dyDescent="0.3">
      <c r="A195" s="1">
        <v>37</v>
      </c>
      <c r="B195" t="s">
        <v>423</v>
      </c>
      <c r="C195" t="s">
        <v>2719</v>
      </c>
      <c r="D195" t="s">
        <v>2720</v>
      </c>
      <c r="E195" t="s">
        <v>2721</v>
      </c>
      <c r="F195" t="s">
        <v>81</v>
      </c>
      <c r="G195" t="s">
        <v>2474</v>
      </c>
      <c r="I195" t="str">
        <f t="shared" si="46"/>
        <v>N/A</v>
      </c>
      <c r="J195">
        <f t="shared" si="47"/>
        <v>1.77</v>
      </c>
      <c r="K195">
        <f t="shared" si="48"/>
        <v>2.68</v>
      </c>
      <c r="L195">
        <f t="shared" si="49"/>
        <v>2.85</v>
      </c>
      <c r="M195">
        <f t="shared" si="50"/>
        <v>0.59</v>
      </c>
      <c r="N195">
        <f t="shared" si="51"/>
        <v>0.62</v>
      </c>
      <c r="P195">
        <f t="shared" si="27"/>
        <v>2.85</v>
      </c>
      <c r="Q195">
        <f>IFERROR(J144+MATCH(P195,J195:N195,0)-1,"")</f>
        <v>2014</v>
      </c>
      <c r="R195">
        <f t="shared" si="28"/>
        <v>0.59</v>
      </c>
      <c r="S195">
        <f>IFERROR(J144+MATCH(R195,J195:N195,0)-1,"")</f>
        <v>2015</v>
      </c>
      <c r="T195">
        <f t="shared" si="29"/>
        <v>1.702</v>
      </c>
      <c r="U195">
        <f t="shared" si="30"/>
        <v>1.0823908720975066</v>
      </c>
      <c r="V195">
        <f t="shared" si="31"/>
        <v>6.2823885301459118E-2</v>
      </c>
      <c r="W195">
        <f t="shared" si="32"/>
        <v>0.9035552915415731</v>
      </c>
      <c r="X195">
        <f t="shared" si="33"/>
        <v>1.0606150047952208</v>
      </c>
      <c r="Y195">
        <f t="shared" si="34"/>
        <v>-1.0273553008120953</v>
      </c>
      <c r="Z195">
        <f t="shared" si="35"/>
        <v>-0.99963888082615726</v>
      </c>
      <c r="AA195">
        <f t="shared" si="36"/>
        <v>1.0606150047952208</v>
      </c>
      <c r="AB195">
        <f>IFERROR(V144+MATCH(AA195,V195:Z195,0)-1,"")</f>
        <v>2014</v>
      </c>
      <c r="AC195" t="str">
        <f t="shared" si="37"/>
        <v>High</v>
      </c>
      <c r="AE195">
        <f>IF(ISNUMBER(MATCH("N/A",J195:N195,0)),"",IFERROR((5 * SUMPRODUCT(J144:N144,J195:N195) - PRODUCT(SUM(J144:N144),SUM(J195:N195))) / ((5 * SUM((J144^2)+(K144^2)+(L144^2)+(M144^2)+(N144^2))) - SUM(J144:N144)^2),""))</f>
        <v>-0.43899999999994177</v>
      </c>
      <c r="AF195">
        <f>IFERROR(CORREL(J144:N144,J195:N195),"")</f>
        <v>-0.64128399850773132</v>
      </c>
      <c r="AZ195">
        <f t="shared" si="38"/>
        <v>1</v>
      </c>
      <c r="BA195" t="str">
        <f>IF(AZ195=1,IF(Q195="","",IF(Q195=N144,"Yes","No")),"")</f>
        <v>No</v>
      </c>
      <c r="BB195" t="str">
        <f t="shared" si="39"/>
        <v/>
      </c>
      <c r="BC195" t="str">
        <f>IF(AZ195=1,IF(S195="","",IF(S195=N144,"Yes","No")),"")</f>
        <v>No</v>
      </c>
      <c r="BD195" t="str">
        <f t="shared" si="40"/>
        <v/>
      </c>
      <c r="BE195" t="str">
        <f t="shared" si="41"/>
        <v>Decreasing</v>
      </c>
      <c r="BF195" t="str">
        <f t="shared" si="42"/>
        <v>No</v>
      </c>
      <c r="BG195" t="str">
        <f t="shared" si="43"/>
        <v>No</v>
      </c>
      <c r="BH195" t="str">
        <f t="shared" si="44"/>
        <v>No</v>
      </c>
    </row>
    <row r="196" spans="1:60" x14ac:dyDescent="0.3">
      <c r="A196" s="1">
        <v>38</v>
      </c>
      <c r="B196" t="s">
        <v>429</v>
      </c>
      <c r="C196" t="s">
        <v>264</v>
      </c>
      <c r="D196" t="s">
        <v>2722</v>
      </c>
      <c r="E196" t="s">
        <v>2723</v>
      </c>
      <c r="F196" t="s">
        <v>2724</v>
      </c>
      <c r="G196" t="s">
        <v>2725</v>
      </c>
      <c r="I196" t="str">
        <f t="shared" si="46"/>
        <v>N/A</v>
      </c>
      <c r="J196" t="str">
        <f t="shared" si="47"/>
        <v>N/A</v>
      </c>
      <c r="K196">
        <f t="shared" si="48"/>
        <v>0.5141</v>
      </c>
      <c r="L196">
        <f t="shared" si="49"/>
        <v>6.3399999999999998E-2</v>
      </c>
      <c r="M196">
        <f t="shared" si="50"/>
        <v>-0.79300000000000004</v>
      </c>
      <c r="N196">
        <f t="shared" si="51"/>
        <v>5.0800000000000005E-2</v>
      </c>
      <c r="P196">
        <f t="shared" si="27"/>
        <v>0.5141</v>
      </c>
      <c r="Q196">
        <f>IFERROR(J144+MATCH(P196,J196:N196,0)-1,"")</f>
        <v>2013</v>
      </c>
      <c r="R196">
        <f t="shared" si="28"/>
        <v>-0.79300000000000004</v>
      </c>
      <c r="S196">
        <f>IFERROR(J144+MATCH(R196,J196:N196,0)-1,"")</f>
        <v>2015</v>
      </c>
      <c r="T196">
        <f t="shared" si="29"/>
        <v>-4.1175000000000003E-2</v>
      </c>
      <c r="U196">
        <f t="shared" si="30"/>
        <v>0.54557812990747101</v>
      </c>
      <c r="V196" t="str">
        <f t="shared" si="31"/>
        <v/>
      </c>
      <c r="W196">
        <f t="shared" si="32"/>
        <v>1.017773568185685</v>
      </c>
      <c r="X196">
        <f t="shared" si="33"/>
        <v>0.19167740469680433</v>
      </c>
      <c r="Y196">
        <f t="shared" si="34"/>
        <v>-1.3780336101953137</v>
      </c>
      <c r="Z196">
        <f t="shared" si="35"/>
        <v>0.16858263731282408</v>
      </c>
      <c r="AA196">
        <f t="shared" si="36"/>
        <v>-1.3780336101953137</v>
      </c>
      <c r="AB196">
        <f>IFERROR(V144+MATCH(AA196,V196:Z196,0)-1,"")</f>
        <v>2015</v>
      </c>
      <c r="AC196" t="str">
        <f t="shared" si="37"/>
        <v>Low</v>
      </c>
      <c r="AE196" t="str">
        <f>IF(ISNUMBER(MATCH("N/A",J196:N196,0)),"",IFERROR((5 * SUMPRODUCT(J144:N144,J196:N196) - PRODUCT(SUM(J144:N144),SUM(J196:N196))) / ((5 * SUM((J144^2)+(K144^2)+(L144^2)+(M144^2)+(N144^2))) - SUM(J144:N144)^2),""))</f>
        <v/>
      </c>
      <c r="AF196">
        <f>IFERROR(CORREL(J144:N144,J196:N196),"")</f>
        <v>-0.5315390539366136</v>
      </c>
      <c r="AZ196">
        <f t="shared" si="38"/>
        <v>1</v>
      </c>
      <c r="BA196" t="str">
        <f>IF(AZ196=1,IF(Q196="","",IF(Q196=N144,"Yes","No")),"")</f>
        <v>No</v>
      </c>
      <c r="BB196" t="str">
        <f t="shared" si="39"/>
        <v/>
      </c>
      <c r="BC196" t="str">
        <f>IF(AZ196=1,IF(S196="","",IF(S196=N144,"Yes","No")),"")</f>
        <v>No</v>
      </c>
      <c r="BD196" t="str">
        <f t="shared" si="40"/>
        <v/>
      </c>
      <c r="BE196" t="str">
        <f t="shared" si="41"/>
        <v/>
      </c>
      <c r="BF196" t="str">
        <f t="shared" si="42"/>
        <v>No</v>
      </c>
      <c r="BG196" t="str">
        <f t="shared" si="43"/>
        <v>No</v>
      </c>
      <c r="BH196" t="str">
        <f t="shared" si="44"/>
        <v>No</v>
      </c>
    </row>
    <row r="197" spans="1:60" x14ac:dyDescent="0.3">
      <c r="A197" s="1">
        <v>39</v>
      </c>
      <c r="B197" t="s">
        <v>434</v>
      </c>
      <c r="C197" t="s">
        <v>2726</v>
      </c>
      <c r="D197" t="s">
        <v>2727</v>
      </c>
      <c r="E197" t="s">
        <v>2728</v>
      </c>
      <c r="F197" t="s">
        <v>2729</v>
      </c>
      <c r="G197" t="s">
        <v>2730</v>
      </c>
      <c r="I197" t="str">
        <f t="shared" si="46"/>
        <v>N/A</v>
      </c>
      <c r="J197">
        <f t="shared" si="47"/>
        <v>17410000</v>
      </c>
      <c r="K197">
        <f t="shared" si="48"/>
        <v>17560000</v>
      </c>
      <c r="L197">
        <f t="shared" si="49"/>
        <v>17660000</v>
      </c>
      <c r="M197">
        <f t="shared" si="50"/>
        <v>16850000</v>
      </c>
      <c r="N197">
        <f t="shared" si="51"/>
        <v>16420000.000000002</v>
      </c>
      <c r="P197">
        <f t="shared" si="27"/>
        <v>17660000</v>
      </c>
      <c r="Q197">
        <f>IFERROR(J144+MATCH(P197,J197:N197,0)-1,"")</f>
        <v>2014</v>
      </c>
      <c r="R197">
        <f t="shared" si="28"/>
        <v>16420000.000000002</v>
      </c>
      <c r="S197">
        <f>IFERROR(J144+MATCH(R197,J197:N197,0)-1,"")</f>
        <v>2016</v>
      </c>
      <c r="T197">
        <f t="shared" si="29"/>
        <v>17180000</v>
      </c>
      <c r="U197">
        <f t="shared" si="30"/>
        <v>527778.36257277476</v>
      </c>
      <c r="V197">
        <f t="shared" si="31"/>
        <v>0.4357889908157907</v>
      </c>
      <c r="W197">
        <f t="shared" si="32"/>
        <v>0.71999920221739333</v>
      </c>
      <c r="X197">
        <f t="shared" si="33"/>
        <v>0.90947267648512842</v>
      </c>
      <c r="Y197">
        <f t="shared" si="34"/>
        <v>-0.62526246508352579</v>
      </c>
      <c r="Z197">
        <f t="shared" si="35"/>
        <v>-1.4399984044347831</v>
      </c>
      <c r="AA197">
        <f t="shared" si="36"/>
        <v>-1.4399984044347831</v>
      </c>
      <c r="AB197">
        <f>IFERROR(V144+MATCH(AA197,V197:Z197,0)-1,"")</f>
        <v>2016</v>
      </c>
      <c r="AC197" t="str">
        <f t="shared" si="37"/>
        <v>Low</v>
      </c>
      <c r="AE197">
        <f>IF(ISNUMBER(MATCH("N/A",J197:N197,0)),"",IFERROR((5 * SUMPRODUCT(J144:N144,J197:N197) - PRODUCT(SUM(J144:N144),SUM(J197:N197))) / ((5 * SUM((J144^2)+(K144^2)+(L144^2)+(M144^2)+(N144^2))) - SUM(J144:N144)^2),""))</f>
        <v>-269000</v>
      </c>
      <c r="AF197">
        <f>IFERROR(CORREL(J144:N144,J197:N197),"")</f>
        <v>-0.80588060340196055</v>
      </c>
      <c r="AZ197">
        <f t="shared" si="38"/>
        <v>1</v>
      </c>
      <c r="BA197" t="str">
        <f>IF(AZ197=1,IF(Q197="","",IF(Q197=N144,"Yes","No")),"")</f>
        <v>No</v>
      </c>
      <c r="BB197" t="str">
        <f t="shared" si="39"/>
        <v/>
      </c>
      <c r="BC197" t="str">
        <f>IF(AZ197=1,IF(S197="","",IF(S197=N144,"Yes","No")),"")</f>
        <v>Yes</v>
      </c>
      <c r="BD197">
        <f t="shared" si="40"/>
        <v>16420000.000000002</v>
      </c>
      <c r="BE197" t="str">
        <f t="shared" si="41"/>
        <v>Decreasing</v>
      </c>
      <c r="BF197" t="str">
        <f t="shared" si="42"/>
        <v>Yes</v>
      </c>
      <c r="BG197" t="str">
        <f t="shared" si="43"/>
        <v>No</v>
      </c>
      <c r="BH197" t="str">
        <f t="shared" si="44"/>
        <v>Yes</v>
      </c>
    </row>
    <row r="198" spans="1:60" x14ac:dyDescent="0.3">
      <c r="A198" s="1">
        <v>40</v>
      </c>
      <c r="B198" t="s">
        <v>440</v>
      </c>
      <c r="C198" t="s">
        <v>1942</v>
      </c>
      <c r="D198" t="s">
        <v>2731</v>
      </c>
      <c r="E198" t="s">
        <v>974</v>
      </c>
      <c r="F198" t="s">
        <v>2732</v>
      </c>
      <c r="G198" t="s">
        <v>1717</v>
      </c>
      <c r="I198" t="str">
        <f t="shared" si="46"/>
        <v>N/A</v>
      </c>
      <c r="J198">
        <f t="shared" si="47"/>
        <v>1.76</v>
      </c>
      <c r="K198">
        <f t="shared" si="48"/>
        <v>2.67</v>
      </c>
      <c r="L198">
        <f t="shared" si="49"/>
        <v>2.84</v>
      </c>
      <c r="M198">
        <f t="shared" si="50"/>
        <v>0.57999999999999996</v>
      </c>
      <c r="N198">
        <f t="shared" si="51"/>
        <v>0.61</v>
      </c>
      <c r="P198">
        <f t="shared" si="27"/>
        <v>2.84</v>
      </c>
      <c r="Q198">
        <f>IFERROR(J144+MATCH(P198,J198:N198,0)-1,"")</f>
        <v>2014</v>
      </c>
      <c r="R198">
        <f t="shared" si="28"/>
        <v>0.57999999999999996</v>
      </c>
      <c r="S198">
        <f>IFERROR(J144+MATCH(R198,J198:N198,0)-1,"")</f>
        <v>2015</v>
      </c>
      <c r="T198">
        <f t="shared" si="29"/>
        <v>1.6919999999999997</v>
      </c>
      <c r="U198">
        <f t="shared" si="30"/>
        <v>1.0823908720975062</v>
      </c>
      <c r="V198">
        <f t="shared" si="31"/>
        <v>6.2823885301459353E-2</v>
      </c>
      <c r="W198">
        <f t="shared" si="32"/>
        <v>0.90355529154157355</v>
      </c>
      <c r="X198">
        <f t="shared" si="33"/>
        <v>1.0606150047952212</v>
      </c>
      <c r="Y198">
        <f t="shared" si="34"/>
        <v>-1.0273553008120953</v>
      </c>
      <c r="Z198">
        <f t="shared" si="35"/>
        <v>-0.99963888082615771</v>
      </c>
      <c r="AA198">
        <f t="shared" si="36"/>
        <v>1.0606150047952212</v>
      </c>
      <c r="AB198">
        <f>IFERROR(V144+MATCH(AA198,V198:Z198,0)-1,"")</f>
        <v>2014</v>
      </c>
      <c r="AC198" t="str">
        <f t="shared" si="37"/>
        <v>High</v>
      </c>
      <c r="AE198">
        <f>IF(ISNUMBER(MATCH("N/A",J198:N198,0)),"",IFERROR((5 * SUMPRODUCT(J144:N144,J198:N198) - PRODUCT(SUM(J144:N144),SUM(J198:N198))) / ((5 * SUM((J144^2)+(K144^2)+(L144^2)+(M144^2)+(N144^2))) - SUM(J144:N144)^2),""))</f>
        <v>-0.43899999999994177</v>
      </c>
      <c r="AF198">
        <f>IFERROR(CORREL(J144:N144,J198:N198),"")</f>
        <v>-0.64128399850773143</v>
      </c>
      <c r="AZ198">
        <f t="shared" si="38"/>
        <v>1</v>
      </c>
      <c r="BA198" t="str">
        <f>IF(AZ198=1,IF(Q198="","",IF(Q198=N144,"Yes","No")),"")</f>
        <v>No</v>
      </c>
      <c r="BB198" t="str">
        <f t="shared" si="39"/>
        <v/>
      </c>
      <c r="BC198" t="str">
        <f>IF(AZ198=1,IF(S198="","",IF(S198=N144,"Yes","No")),"")</f>
        <v>No</v>
      </c>
      <c r="BD198" t="str">
        <f t="shared" si="40"/>
        <v/>
      </c>
      <c r="BE198" t="str">
        <f t="shared" si="41"/>
        <v>Decreasing</v>
      </c>
      <c r="BF198" t="str">
        <f t="shared" si="42"/>
        <v>No</v>
      </c>
      <c r="BG198" t="str">
        <f t="shared" si="43"/>
        <v>No</v>
      </c>
      <c r="BH198" t="str">
        <f t="shared" si="44"/>
        <v>No</v>
      </c>
    </row>
    <row r="199" spans="1:60" x14ac:dyDescent="0.3">
      <c r="A199" s="1">
        <v>41</v>
      </c>
      <c r="B199" t="s">
        <v>444</v>
      </c>
      <c r="C199" t="s">
        <v>264</v>
      </c>
      <c r="D199" t="s">
        <v>2733</v>
      </c>
      <c r="E199" t="s">
        <v>2734</v>
      </c>
      <c r="F199" t="s">
        <v>2735</v>
      </c>
      <c r="G199" t="s">
        <v>2736</v>
      </c>
      <c r="I199" t="str">
        <f t="shared" si="46"/>
        <v>N/A</v>
      </c>
      <c r="J199" t="str">
        <f t="shared" si="47"/>
        <v>N/A</v>
      </c>
      <c r="K199">
        <f t="shared" si="48"/>
        <v>0.51700000000000002</v>
      </c>
      <c r="L199">
        <f t="shared" si="49"/>
        <v>6.3700000000000007E-2</v>
      </c>
      <c r="M199">
        <f t="shared" si="50"/>
        <v>-0.79579999999999995</v>
      </c>
      <c r="N199">
        <f t="shared" si="51"/>
        <v>5.1700000000000003E-2</v>
      </c>
      <c r="P199">
        <f t="shared" si="27"/>
        <v>0.51700000000000002</v>
      </c>
      <c r="Q199">
        <f>IFERROR(J144+MATCH(P199,J199:N199,0)-1,"")</f>
        <v>2013</v>
      </c>
      <c r="R199">
        <f t="shared" si="28"/>
        <v>-0.79579999999999995</v>
      </c>
      <c r="S199">
        <f>IFERROR(J144+MATCH(R199,J199:N199,0)-1,"")</f>
        <v>2015</v>
      </c>
      <c r="T199">
        <f t="shared" si="29"/>
        <v>-4.084999999999999E-2</v>
      </c>
      <c r="U199">
        <f t="shared" si="30"/>
        <v>0.54791797743822934</v>
      </c>
      <c r="V199" t="str">
        <f t="shared" si="31"/>
        <v/>
      </c>
      <c r="W199">
        <f t="shared" si="32"/>
        <v>1.0181268419193095</v>
      </c>
      <c r="X199">
        <f t="shared" si="33"/>
        <v>0.19081323173373457</v>
      </c>
      <c r="Y199">
        <f t="shared" si="34"/>
        <v>-1.3778522170959628</v>
      </c>
      <c r="Z199">
        <f t="shared" si="35"/>
        <v>0.16891214344291852</v>
      </c>
      <c r="AA199">
        <f t="shared" si="36"/>
        <v>-1.3778522170959628</v>
      </c>
      <c r="AB199">
        <f>IFERROR(V144+MATCH(AA199,V199:Z199,0)-1,"")</f>
        <v>2015</v>
      </c>
      <c r="AC199" t="str">
        <f t="shared" si="37"/>
        <v>Low</v>
      </c>
      <c r="AE199" t="str">
        <f>IF(ISNUMBER(MATCH("N/A",J199:N199,0)),"",IFERROR((5 * SUMPRODUCT(J144:N144,J199:N199) - PRODUCT(SUM(J144:N144),SUM(J199:N199))) / ((5 * SUM((J144^2)+(K144^2)+(L144^2)+(M144^2)+(N144^2))) - SUM(J144:N144)^2),""))</f>
        <v/>
      </c>
      <c r="AF199">
        <f>IFERROR(CORREL(J144:N144,J199:N199),"")</f>
        <v>-0.53141327709164154</v>
      </c>
      <c r="AZ199">
        <f t="shared" si="38"/>
        <v>1</v>
      </c>
      <c r="BA199" t="str">
        <f>IF(AZ199=1,IF(Q199="","",IF(Q199=N144,"Yes","No")),"")</f>
        <v>No</v>
      </c>
      <c r="BB199" t="str">
        <f t="shared" si="39"/>
        <v/>
      </c>
      <c r="BC199" t="str">
        <f>IF(AZ199=1,IF(S199="","",IF(S199=N144,"Yes","No")),"")</f>
        <v>No</v>
      </c>
      <c r="BD199" t="str">
        <f t="shared" si="40"/>
        <v/>
      </c>
      <c r="BE199" t="str">
        <f t="shared" si="41"/>
        <v/>
      </c>
      <c r="BF199" t="str">
        <f t="shared" si="42"/>
        <v>No</v>
      </c>
      <c r="BG199" t="str">
        <f t="shared" si="43"/>
        <v>No</v>
      </c>
      <c r="BH199" t="str">
        <f t="shared" si="44"/>
        <v>No</v>
      </c>
    </row>
    <row r="200" spans="1:60" x14ac:dyDescent="0.3">
      <c r="A200" s="1">
        <v>42</v>
      </c>
      <c r="B200" t="s">
        <v>449</v>
      </c>
      <c r="C200" t="s">
        <v>2737</v>
      </c>
      <c r="D200" t="s">
        <v>2738</v>
      </c>
      <c r="E200" t="s">
        <v>2739</v>
      </c>
      <c r="F200" t="s">
        <v>2740</v>
      </c>
      <c r="G200" t="s">
        <v>2741</v>
      </c>
      <c r="I200" t="str">
        <f t="shared" si="46"/>
        <v>N/A</v>
      </c>
      <c r="J200">
        <f t="shared" si="47"/>
        <v>17450000</v>
      </c>
      <c r="K200">
        <f t="shared" si="48"/>
        <v>17630000</v>
      </c>
      <c r="L200">
        <f t="shared" si="49"/>
        <v>17770000</v>
      </c>
      <c r="M200">
        <f t="shared" si="50"/>
        <v>16910000</v>
      </c>
      <c r="N200">
        <f t="shared" si="51"/>
        <v>16540000</v>
      </c>
      <c r="P200">
        <f t="shared" si="27"/>
        <v>17770000</v>
      </c>
      <c r="Q200">
        <f>IFERROR(J144+MATCH(P200,J200:N200,0)-1,"")</f>
        <v>2014</v>
      </c>
      <c r="R200">
        <f t="shared" si="28"/>
        <v>16540000</v>
      </c>
      <c r="S200">
        <f>IFERROR(J144+MATCH(R200,J200:N200,0)-1,"")</f>
        <v>2016</v>
      </c>
      <c r="T200">
        <f t="shared" si="29"/>
        <v>17260000</v>
      </c>
      <c r="U200">
        <f t="shared" si="30"/>
        <v>518169.85632126458</v>
      </c>
      <c r="V200">
        <f t="shared" si="31"/>
        <v>0.36667513110257088</v>
      </c>
      <c r="W200">
        <f t="shared" si="32"/>
        <v>0.71405157109448014</v>
      </c>
      <c r="X200">
        <f t="shared" si="33"/>
        <v>0.9842332466437429</v>
      </c>
      <c r="Y200">
        <f t="shared" si="34"/>
        <v>-0.67545418887315689</v>
      </c>
      <c r="Z200">
        <f t="shared" si="35"/>
        <v>-1.389505759967637</v>
      </c>
      <c r="AA200">
        <f t="shared" si="36"/>
        <v>-1.389505759967637</v>
      </c>
      <c r="AB200">
        <f>IFERROR(V144+MATCH(AA200,V200:Z200,0)-1,"")</f>
        <v>2016</v>
      </c>
      <c r="AC200" t="str">
        <f t="shared" si="37"/>
        <v>Low</v>
      </c>
      <c r="AE200">
        <f>IF(ISNUMBER(MATCH("N/A",J200:N200,0)),"",IFERROR((5 * SUMPRODUCT(J144:N144,J200:N200) - PRODUCT(SUM(J144:N144),SUM(J200:N200))) / ((5 * SUM((J144^2)+(K144^2)+(L144^2)+(M144^2)+(N144^2))) - SUM(J144:N144)^2),""))</f>
        <v>-254000</v>
      </c>
      <c r="AF200">
        <f>IFERROR(CORREL(J144:N144,J200:N200),"")</f>
        <v>-0.77505331107563891</v>
      </c>
      <c r="AZ200">
        <f t="shared" si="38"/>
        <v>1</v>
      </c>
      <c r="BA200" t="str">
        <f>IF(AZ200=1,IF(Q200="","",IF(Q200=N144,"Yes","No")),"")</f>
        <v>No</v>
      </c>
      <c r="BB200" t="str">
        <f t="shared" si="39"/>
        <v/>
      </c>
      <c r="BC200" t="str">
        <f>IF(AZ200=1,IF(S200="","",IF(S200=N144,"Yes","No")),"")</f>
        <v>Yes</v>
      </c>
      <c r="BD200">
        <f t="shared" si="40"/>
        <v>16540000</v>
      </c>
      <c r="BE200" t="str">
        <f t="shared" si="41"/>
        <v>Decreasing</v>
      </c>
      <c r="BF200" t="str">
        <f t="shared" si="42"/>
        <v>Yes</v>
      </c>
      <c r="BG200" t="str">
        <f t="shared" si="43"/>
        <v>No</v>
      </c>
      <c r="BH200" t="str">
        <f t="shared" si="44"/>
        <v>No</v>
      </c>
    </row>
    <row r="201" spans="1:60" x14ac:dyDescent="0.3">
      <c r="A201" s="1">
        <v>43</v>
      </c>
      <c r="B201" t="s">
        <v>156</v>
      </c>
      <c r="C201" t="s">
        <v>2742</v>
      </c>
      <c r="D201" t="s">
        <v>2743</v>
      </c>
      <c r="E201" t="s">
        <v>2744</v>
      </c>
      <c r="F201" t="s">
        <v>2745</v>
      </c>
      <c r="G201" t="s">
        <v>2746</v>
      </c>
      <c r="I201" t="str">
        <f t="shared" si="46"/>
        <v>N/A</v>
      </c>
      <c r="J201">
        <f t="shared" si="47"/>
        <v>81490000</v>
      </c>
      <c r="K201">
        <f t="shared" si="48"/>
        <v>104370000</v>
      </c>
      <c r="L201">
        <f t="shared" si="49"/>
        <v>105770000</v>
      </c>
      <c r="M201">
        <f t="shared" si="50"/>
        <v>76360000</v>
      </c>
      <c r="N201">
        <f t="shared" si="51"/>
        <v>57720000</v>
      </c>
      <c r="P201">
        <f t="shared" si="27"/>
        <v>105770000</v>
      </c>
      <c r="Q201">
        <f>IFERROR(J144+MATCH(P201,J201:N201,0)-1,"")</f>
        <v>2014</v>
      </c>
      <c r="R201">
        <f t="shared" si="28"/>
        <v>57720000</v>
      </c>
      <c r="S201">
        <f>IFERROR(J144+MATCH(R201,J201:N201,0)-1,"")</f>
        <v>2016</v>
      </c>
      <c r="T201">
        <f t="shared" si="29"/>
        <v>85142000</v>
      </c>
      <c r="U201">
        <f t="shared" si="30"/>
        <v>20233987.990507457</v>
      </c>
      <c r="V201">
        <f t="shared" si="31"/>
        <v>-0.1804883941669479</v>
      </c>
      <c r="W201">
        <f t="shared" si="32"/>
        <v>0.95028226808381</v>
      </c>
      <c r="X201">
        <f t="shared" si="33"/>
        <v>1.0194727806341186</v>
      </c>
      <c r="Y201">
        <f t="shared" si="34"/>
        <v>-0.43402220086915017</v>
      </c>
      <c r="Z201">
        <f t="shared" si="35"/>
        <v>-1.3552444536818307</v>
      </c>
      <c r="AA201">
        <f t="shared" si="36"/>
        <v>-1.3552444536818307</v>
      </c>
      <c r="AB201">
        <f>IFERROR(V144+MATCH(AA201,V201:Z201,0)-1,"")</f>
        <v>2016</v>
      </c>
      <c r="AC201" t="str">
        <f t="shared" si="37"/>
        <v>Low</v>
      </c>
      <c r="AE201">
        <f>IF(ISNUMBER(MATCH("N/A",J201:N201,0)),"",IFERROR((5 * SUMPRODUCT(J144:N144,J201:N201) - PRODUCT(SUM(J144:N144),SUM(J201:N201))) / ((5 * SUM((J144^2)+(K144^2)+(L144^2)+(M144^2)+(N144^2))) - SUM(J144:N144)^2),""))</f>
        <v>-7555000</v>
      </c>
      <c r="AF201">
        <f>IFERROR(CORREL(J144:N144,J201:N201),"")</f>
        <v>-0.59036823916719472</v>
      </c>
      <c r="AZ201">
        <f t="shared" si="38"/>
        <v>1</v>
      </c>
      <c r="BA201" t="str">
        <f>IF(AZ201=1,IF(Q201="","",IF(Q201=N144,"Yes","No")),"")</f>
        <v>No</v>
      </c>
      <c r="BB201" t="str">
        <f t="shared" si="39"/>
        <v/>
      </c>
      <c r="BC201" t="str">
        <f>IF(AZ201=1,IF(S201="","",IF(S201=N144,"Yes","No")),"")</f>
        <v>Yes</v>
      </c>
      <c r="BD201">
        <f t="shared" si="40"/>
        <v>57720000</v>
      </c>
      <c r="BE201" t="str">
        <f t="shared" si="41"/>
        <v>Decreasing</v>
      </c>
      <c r="BF201" t="str">
        <f t="shared" si="42"/>
        <v>Yes</v>
      </c>
      <c r="BG201" t="str">
        <f t="shared" si="43"/>
        <v>No</v>
      </c>
      <c r="BH201" t="str">
        <f t="shared" si="44"/>
        <v>No</v>
      </c>
    </row>
    <row r="202" spans="1:60" x14ac:dyDescent="0.3">
      <c r="A202" s="1">
        <v>44</v>
      </c>
      <c r="B202" t="s">
        <v>460</v>
      </c>
      <c r="C202" t="s">
        <v>264</v>
      </c>
      <c r="D202" t="s">
        <v>2747</v>
      </c>
      <c r="E202" t="s">
        <v>1146</v>
      </c>
      <c r="F202" t="s">
        <v>2748</v>
      </c>
      <c r="G202" t="s">
        <v>2749</v>
      </c>
      <c r="I202" t="str">
        <f t="shared" si="46"/>
        <v>N/A</v>
      </c>
      <c r="J202" t="str">
        <f t="shared" si="47"/>
        <v>N/A</v>
      </c>
      <c r="K202">
        <f t="shared" si="48"/>
        <v>0.28070000000000001</v>
      </c>
      <c r="L202">
        <f t="shared" si="49"/>
        <v>1.3500000000000002E-2</v>
      </c>
      <c r="M202">
        <f t="shared" si="50"/>
        <v>-0.27810000000000001</v>
      </c>
      <c r="N202">
        <f t="shared" si="51"/>
        <v>-0.24410000000000001</v>
      </c>
      <c r="P202">
        <f t="shared" si="27"/>
        <v>0.28070000000000001</v>
      </c>
      <c r="Q202">
        <f>IFERROR(J144+MATCH(P202,J202:N202,0)-1,"")</f>
        <v>2013</v>
      </c>
      <c r="R202">
        <f t="shared" si="28"/>
        <v>-0.27810000000000001</v>
      </c>
      <c r="S202">
        <f>IFERROR(J144+MATCH(R202,J202:N202,0)-1,"")</f>
        <v>2015</v>
      </c>
      <c r="T202">
        <f t="shared" si="29"/>
        <v>-5.7000000000000002E-2</v>
      </c>
      <c r="U202">
        <f t="shared" si="30"/>
        <v>0.26006611979776734</v>
      </c>
      <c r="V202" t="str">
        <f t="shared" si="31"/>
        <v/>
      </c>
      <c r="W202">
        <f t="shared" si="32"/>
        <v>1.2985159322660036</v>
      </c>
      <c r="X202">
        <f t="shared" si="33"/>
        <v>0.27108490738748375</v>
      </c>
      <c r="Y202">
        <f t="shared" si="34"/>
        <v>-0.85016841167904467</v>
      </c>
      <c r="Z202">
        <f t="shared" si="35"/>
        <v>-0.71943242797444262</v>
      </c>
      <c r="AA202">
        <f t="shared" si="36"/>
        <v>1.2985159322660036</v>
      </c>
      <c r="AB202">
        <f>IFERROR(V144+MATCH(AA202,V202:Z202,0)-1,"")</f>
        <v>2013</v>
      </c>
      <c r="AC202" t="str">
        <f t="shared" si="37"/>
        <v>High</v>
      </c>
      <c r="AE202" t="str">
        <f>IF(ISNUMBER(MATCH("N/A",J202:N202,0)),"",IFERROR((5 * SUMPRODUCT(J144:N144,J202:N202) - PRODUCT(SUM(J144:N144),SUM(J202:N202))) / ((5 * SUM((J144^2)+(K144^2)+(L144^2)+(M144^2)+(N144^2))) - SUM(J144:N144)^2),""))</f>
        <v/>
      </c>
      <c r="AF202">
        <f>IFERROR(CORREL(J144:N144,J202:N202),"")</f>
        <v>-0.92630122032592965</v>
      </c>
      <c r="AZ202">
        <f t="shared" si="38"/>
        <v>1</v>
      </c>
      <c r="BA202" t="str">
        <f>IF(AZ202=1,IF(Q202="","",IF(Q202=N144,"Yes","No")),"")</f>
        <v>No</v>
      </c>
      <c r="BB202" t="str">
        <f t="shared" si="39"/>
        <v/>
      </c>
      <c r="BC202" t="str">
        <f>IF(AZ202=1,IF(S202="","",IF(S202=N144,"Yes","No")),"")</f>
        <v>No</v>
      </c>
      <c r="BD202" t="str">
        <f t="shared" si="40"/>
        <v/>
      </c>
      <c r="BE202" t="str">
        <f t="shared" si="41"/>
        <v/>
      </c>
      <c r="BF202" t="str">
        <f t="shared" si="42"/>
        <v>No</v>
      </c>
      <c r="BG202" t="str">
        <f t="shared" si="43"/>
        <v>No</v>
      </c>
      <c r="BH202" t="str">
        <f t="shared" si="44"/>
        <v>Yes</v>
      </c>
    </row>
    <row r="203" spans="1:60" x14ac:dyDescent="0.3">
      <c r="A203" s="1">
        <v>45</v>
      </c>
      <c r="B203" t="s">
        <v>464</v>
      </c>
      <c r="C203" t="s">
        <v>264</v>
      </c>
      <c r="D203" t="s">
        <v>264</v>
      </c>
      <c r="E203" t="s">
        <v>264</v>
      </c>
      <c r="F203" t="s">
        <v>264</v>
      </c>
      <c r="G203" t="s">
        <v>2750</v>
      </c>
      <c r="I203" t="str">
        <f t="shared" si="46"/>
        <v>N/A</v>
      </c>
      <c r="J203" t="str">
        <f t="shared" si="47"/>
        <v>N/A</v>
      </c>
      <c r="K203" t="str">
        <f t="shared" si="48"/>
        <v>N/A</v>
      </c>
      <c r="L203" t="str">
        <f t="shared" si="49"/>
        <v>N/A</v>
      </c>
      <c r="M203" t="str">
        <f t="shared" si="50"/>
        <v>N/A</v>
      </c>
      <c r="N203">
        <f t="shared" si="51"/>
        <v>9.7799999999999998E-2</v>
      </c>
      <c r="P203">
        <f t="shared" si="27"/>
        <v>9.7799999999999998E-2</v>
      </c>
      <c r="Q203">
        <f>IFERROR(J144+MATCH(P203,J203:N203,0)-1,"")</f>
        <v>2016</v>
      </c>
      <c r="R203">
        <f t="shared" si="28"/>
        <v>9.7799999999999998E-2</v>
      </c>
      <c r="S203">
        <f>IFERROR(J144+MATCH(R203,J203:N203,0)-1,"")</f>
        <v>2016</v>
      </c>
      <c r="T203">
        <f t="shared" si="29"/>
        <v>9.7799999999999998E-2</v>
      </c>
      <c r="U203" t="str">
        <f t="shared" si="30"/>
        <v/>
      </c>
      <c r="V203" t="str">
        <f t="shared" si="31"/>
        <v/>
      </c>
      <c r="W203" t="str">
        <f t="shared" si="32"/>
        <v/>
      </c>
      <c r="X203" t="str">
        <f t="shared" si="33"/>
        <v/>
      </c>
      <c r="Y203" t="str">
        <f t="shared" si="34"/>
        <v/>
      </c>
      <c r="Z203" t="str">
        <f t="shared" si="35"/>
        <v/>
      </c>
      <c r="AA203">
        <f t="shared" si="36"/>
        <v>0</v>
      </c>
      <c r="AB203" t="str">
        <f>IFERROR(V144+MATCH(AA203,V203:Z203,0)-1,"")</f>
        <v/>
      </c>
      <c r="AC203" t="str">
        <f t="shared" si="37"/>
        <v/>
      </c>
      <c r="AE203" t="str">
        <f>IF(ISNUMBER(MATCH("N/A",J203:N203,0)),"",IFERROR((5 * SUMPRODUCT(J144:N144,J203:N203) - PRODUCT(SUM(J144:N144),SUM(J203:N203))) / ((5 * SUM((J144^2)+(K144^2)+(L144^2)+(M144^2)+(N144^2))) - SUM(J144:N144)^2),""))</f>
        <v/>
      </c>
      <c r="AF203" t="str">
        <f>IFERROR(CORREL(J144:N144,J203:N203),"")</f>
        <v/>
      </c>
      <c r="AZ203">
        <f t="shared" si="38"/>
        <v>0</v>
      </c>
      <c r="BA203" t="str">
        <f>IF(AZ203=1,IF(Q203="","",IF(Q203=N144,"Yes","No")),"")</f>
        <v/>
      </c>
      <c r="BB203" t="str">
        <f t="shared" si="39"/>
        <v/>
      </c>
      <c r="BC203" t="str">
        <f>IF(AZ203=1,IF(S203="","",IF(S203=N144,"Yes","No")),"")</f>
        <v/>
      </c>
      <c r="BD203" t="str">
        <f t="shared" si="40"/>
        <v/>
      </c>
      <c r="BE203" t="str">
        <f t="shared" si="41"/>
        <v/>
      </c>
      <c r="BF203" t="str">
        <f t="shared" si="42"/>
        <v>No</v>
      </c>
      <c r="BG203" t="str">
        <f t="shared" si="43"/>
        <v>No</v>
      </c>
      <c r="BH203" t="str">
        <f t="shared" si="44"/>
        <v/>
      </c>
    </row>
    <row r="204" spans="1:60" x14ac:dyDescent="0.3">
      <c r="I204" t="str">
        <f t="shared" si="46"/>
        <v>N/A</v>
      </c>
      <c r="J204" t="str">
        <f t="shared" si="47"/>
        <v>N/A</v>
      </c>
      <c r="K204" t="str">
        <f t="shared" si="48"/>
        <v>N/A</v>
      </c>
      <c r="L204" t="str">
        <f t="shared" si="49"/>
        <v>N/A</v>
      </c>
      <c r="M204" t="str">
        <f t="shared" si="50"/>
        <v>N/A</v>
      </c>
      <c r="N204" t="str">
        <f t="shared" si="51"/>
        <v>N/A</v>
      </c>
      <c r="P204">
        <f t="shared" si="27"/>
        <v>0</v>
      </c>
      <c r="Q204" t="str">
        <f>IFERROR(J144+MATCH(P204,J204:N204,0)-1,"")</f>
        <v/>
      </c>
      <c r="R204" t="str">
        <f t="shared" si="28"/>
        <v/>
      </c>
      <c r="S204" t="str">
        <f>IFERROR(J144+MATCH(R204,J204:N204,0)-1,"")</f>
        <v/>
      </c>
      <c r="T204" t="str">
        <f t="shared" si="29"/>
        <v/>
      </c>
      <c r="U204" t="str">
        <f t="shared" si="30"/>
        <v/>
      </c>
      <c r="V204" t="str">
        <f t="shared" si="31"/>
        <v/>
      </c>
      <c r="W204" t="str">
        <f t="shared" si="32"/>
        <v/>
      </c>
      <c r="X204" t="str">
        <f t="shared" si="33"/>
        <v/>
      </c>
      <c r="Y204" t="str">
        <f t="shared" si="34"/>
        <v/>
      </c>
      <c r="Z204" t="str">
        <f t="shared" si="35"/>
        <v/>
      </c>
      <c r="AA204">
        <f t="shared" si="36"/>
        <v>0</v>
      </c>
      <c r="AB204" t="str">
        <f>IFERROR(V144+MATCH(AA204,V204:Z204,0)-1,"")</f>
        <v/>
      </c>
      <c r="AC204" t="str">
        <f t="shared" si="37"/>
        <v/>
      </c>
      <c r="AE204" t="str">
        <f>IF(ISNUMBER(MATCH("N/A",J204:N204,0)),"",IFERROR((5 * SUMPRODUCT(J144:N144,J204:N204) - PRODUCT(SUM(J144:N144),SUM(J204:N204))) / ((5 * SUM((J144^2)+(K144^2)+(L144^2)+(M144^2)+(N144^2))) - SUM(J144:N144)^2),""))</f>
        <v/>
      </c>
      <c r="AF204" t="str">
        <f>IFERROR(CORREL(J144:N144,J204:N204),"")</f>
        <v/>
      </c>
      <c r="AZ204">
        <f t="shared" si="38"/>
        <v>0</v>
      </c>
      <c r="BA204" t="str">
        <f>IF(AZ204=1,IF(Q204="","",IF(Q204=N144,"Yes","No")),"")</f>
        <v/>
      </c>
      <c r="BB204" t="str">
        <f t="shared" si="39"/>
        <v/>
      </c>
      <c r="BC204" t="str">
        <f>IF(AZ204=1,IF(S204="","",IF(S204=N144,"Yes","No")),"")</f>
        <v/>
      </c>
      <c r="BD204" t="str">
        <f t="shared" si="40"/>
        <v/>
      </c>
      <c r="BE204" t="str">
        <f t="shared" si="41"/>
        <v/>
      </c>
      <c r="BF204" t="str">
        <f t="shared" si="42"/>
        <v>No</v>
      </c>
      <c r="BG204" t="str">
        <f t="shared" si="43"/>
        <v>No</v>
      </c>
      <c r="BH204" t="str">
        <f t="shared" si="44"/>
        <v/>
      </c>
    </row>
    <row r="205" spans="1:60" x14ac:dyDescent="0.3">
      <c r="B205" s="1" t="s">
        <v>251</v>
      </c>
      <c r="C205" s="1" t="s">
        <v>252</v>
      </c>
      <c r="D205" s="1" t="s">
        <v>253</v>
      </c>
      <c r="E205" s="1" t="s">
        <v>254</v>
      </c>
      <c r="F205" s="1" t="s">
        <v>255</v>
      </c>
      <c r="G205" s="1" t="s">
        <v>256</v>
      </c>
      <c r="H205" s="1" t="s">
        <v>257</v>
      </c>
      <c r="P205">
        <f t="shared" si="27"/>
        <v>0</v>
      </c>
      <c r="Q205" t="str">
        <f>IFERROR(J144+MATCH(P205,J205:N205,0)-1,"")</f>
        <v/>
      </c>
      <c r="R205" t="str">
        <f t="shared" si="28"/>
        <v/>
      </c>
      <c r="S205" t="str">
        <f>IFERROR(J144+MATCH(R205,J205:N205,0)-1,"")</f>
        <v/>
      </c>
      <c r="T205" t="str">
        <f t="shared" si="29"/>
        <v/>
      </c>
      <c r="U205" t="str">
        <f t="shared" si="30"/>
        <v/>
      </c>
      <c r="V205" t="str">
        <f t="shared" si="31"/>
        <v/>
      </c>
      <c r="W205" t="str">
        <f t="shared" si="32"/>
        <v/>
      </c>
      <c r="X205" t="str">
        <f t="shared" si="33"/>
        <v/>
      </c>
      <c r="Y205" t="str">
        <f t="shared" si="34"/>
        <v/>
      </c>
      <c r="Z205" t="str">
        <f t="shared" si="35"/>
        <v/>
      </c>
      <c r="AA205">
        <f t="shared" si="36"/>
        <v>0</v>
      </c>
      <c r="AB205" t="str">
        <f>IFERROR(V144+MATCH(AA205,V205:Z205,0)-1,"")</f>
        <v/>
      </c>
      <c r="AC205" t="str">
        <f t="shared" si="37"/>
        <v/>
      </c>
      <c r="AE205">
        <f>IF(ISNUMBER(MATCH("N/A",J205:N205,0)),"",IFERROR((5 * SUMPRODUCT(J144:N144,J205:N205) - PRODUCT(SUM(J144:N144),SUM(J205:N205))) / ((5 * SUM((J144^2)+(K144^2)+(L144^2)+(M144^2)+(N144^2))) - SUM(J144:N144)^2),""))</f>
        <v>0</v>
      </c>
      <c r="AF205" t="str">
        <f>IFERROR(CORREL(J144:N144,J205:N205),"")</f>
        <v/>
      </c>
      <c r="AZ205">
        <f t="shared" si="38"/>
        <v>0</v>
      </c>
      <c r="BA205" t="str">
        <f>IF(AZ205=1,IF(Q205="","",IF(Q205=N144,"Yes","No")),"")</f>
        <v/>
      </c>
      <c r="BB205" t="str">
        <f t="shared" si="39"/>
        <v/>
      </c>
      <c r="BC205" t="str">
        <f>IF(AZ205=1,IF(S205="","",IF(S205=N144,"Yes","No")),"")</f>
        <v/>
      </c>
      <c r="BD205" t="str">
        <f t="shared" si="40"/>
        <v/>
      </c>
      <c r="BE205" t="str">
        <f t="shared" si="41"/>
        <v/>
      </c>
      <c r="BF205" t="str">
        <f t="shared" si="42"/>
        <v>No</v>
      </c>
      <c r="BG205" t="str">
        <f t="shared" si="43"/>
        <v>No</v>
      </c>
      <c r="BH205" t="str">
        <f t="shared" si="44"/>
        <v/>
      </c>
    </row>
    <row r="206" spans="1:60" x14ac:dyDescent="0.3">
      <c r="A206" s="1">
        <v>0</v>
      </c>
      <c r="B206" t="s">
        <v>466</v>
      </c>
      <c r="C206" t="s">
        <v>2751</v>
      </c>
      <c r="D206" t="s">
        <v>2752</v>
      </c>
      <c r="E206" t="s">
        <v>2753</v>
      </c>
      <c r="F206" t="s">
        <v>2754</v>
      </c>
      <c r="G206" t="s">
        <v>2755</v>
      </c>
      <c r="I206" t="str">
        <f t="shared" ref="I206:I226" si="52">IF(AND(K206&gt; J206, L206&gt; K206, M206&gt; L206, N206&gt; M206), "pos_trend", IF(AND(K206&lt; J206, L206&lt; K206, M206&lt; L206, N206&lt; M206), "neg_trend", "N/A"))</f>
        <v>N/A</v>
      </c>
      <c r="J206">
        <f t="shared" ref="J206:J226" si="53">IFERROR(IF(TRIM(C206)="-", "N/A", IF(RIGHT(C206,1)=")",IF(RIGHT(C206,2)="T)",-1000000000000*VALUE(MID(C206,2,LEN(C206)-3)),IF(RIGHT(C206,2)="M)",-1000000*VALUE(MID(C206,2,LEN(C206)-3)),IF(RIGHT(C206,2)="B)",-1000000000*VALUE(MID(C206,2,LEN(C206)-3)),IF(RIGHT(C206,2)="k)",-1000*VALUE(MID(C206,2,LEN(C206)-3)),VALUE(SUBSTITUTE(C206,",","")))))),IF(RIGHT(C206,1)="T",1000000000000*VALUE(LEFT(C206,LEN(C206)-1)),IF(RIGHT(C206,1)="M",1000000*VALUE(LEFT(C206,LEN(C206)-1)),IF(RIGHT(C206,1)="B",1000000000*VALUE(LEFT(C206,LEN(C206)-1)),IF(RIGHT(C206,1)="%",0.01*VALUE(LEFT(C206,LEN(C206)-1)),IF(RIGHT(C206,1)="k",1000*VALUE(LEFT(C206,LEN(C206)-1)),VALUE(SUBSTITUTE(C206,",",""))))))))),"N/A")</f>
        <v>61840000</v>
      </c>
      <c r="K206">
        <f t="shared" ref="K206:K226" si="54">IFERROR(IF(TRIM(D206)="-", "N/A", IF(RIGHT(D206,1)=")",IF(RIGHT(D206,2)="T)",-1000000000000*VALUE(MID(D206,2,LEN(D206)-3)),IF(RIGHT(D206,2)="M)",-1000000*VALUE(MID(D206,2,LEN(D206)-3)),IF(RIGHT(D206,2)="B)",-1000000000*VALUE(MID(D206,2,LEN(D206)-3)),IF(RIGHT(D206,2)="k)",-1000*VALUE(MID(D206,2,LEN(D206)-3)),VALUE(SUBSTITUTE(D206,",","")))))),IF(RIGHT(D206,1)="T",1000000000000*VALUE(LEFT(D206,LEN(D206)-1)),IF(RIGHT(D206,1)="M",1000000*VALUE(LEFT(D206,LEN(D206)-1)),IF(RIGHT(D206,1)="B",1000000000*VALUE(LEFT(D206,LEN(D206)-1)),IF(RIGHT(D206,1)="%",0.01*VALUE(LEFT(D206,LEN(D206)-1)),IF(RIGHT(D206,1)="k",1000*VALUE(LEFT(D206,LEN(D206)-1)),VALUE(SUBSTITUTE(D206,",",""))))))))),"N/A")</f>
        <v>102280000</v>
      </c>
      <c r="L206">
        <f t="shared" ref="L206:L226" si="55">IFERROR(IF(TRIM(E206)="-", "N/A", IF(RIGHT(E206,1)=")",IF(RIGHT(E206,2)="T)",-1000000000000*VALUE(MID(E206,2,LEN(E206)-3)),IF(RIGHT(E206,2)="M)",-1000000*VALUE(MID(E206,2,LEN(E206)-3)),IF(RIGHT(E206,2)="B)",-1000000000*VALUE(MID(E206,2,LEN(E206)-3)),IF(RIGHT(E206,2)="k)",-1000*VALUE(MID(E206,2,LEN(E206)-3)),VALUE(SUBSTITUTE(E206,",","")))))),IF(RIGHT(E206,1)="T",1000000000000*VALUE(LEFT(E206,LEN(E206)-1)),IF(RIGHT(E206,1)="M",1000000*VALUE(LEFT(E206,LEN(E206)-1)),IF(RIGHT(E206,1)="B",1000000000*VALUE(LEFT(E206,LEN(E206)-1)),IF(RIGHT(E206,1)="%",0.01*VALUE(LEFT(E206,LEN(E206)-1)),IF(RIGHT(E206,1)="k",1000*VALUE(LEFT(E206,LEN(E206)-1)),VALUE(SUBSTITUTE(E206,",",""))))))))),"N/A")</f>
        <v>121370000</v>
      </c>
      <c r="M206">
        <f t="shared" ref="M206:M226" si="56">IFERROR(IF(TRIM(F206)="-", "N/A", IF(RIGHT(F206,1)=")",IF(RIGHT(F206,2)="T)",-1000000000000*VALUE(MID(F206,2,LEN(F206)-3)),IF(RIGHT(F206,2)="M)",-1000000*VALUE(MID(F206,2,LEN(F206)-3)),IF(RIGHT(F206,2)="B)",-1000000000*VALUE(MID(F206,2,LEN(F206)-3)),IF(RIGHT(F206,2)="k)",-1000*VALUE(MID(F206,2,LEN(F206)-3)),VALUE(SUBSTITUTE(F206,",","")))))),IF(RIGHT(F206,1)="T",1000000000000*VALUE(LEFT(F206,LEN(F206)-1)),IF(RIGHT(F206,1)="M",1000000*VALUE(LEFT(F206,LEN(F206)-1)),IF(RIGHT(F206,1)="B",1000000000*VALUE(LEFT(F206,LEN(F206)-1)),IF(RIGHT(F206,1)="%",0.01*VALUE(LEFT(F206,LEN(F206)-1)),IF(RIGHT(F206,1)="k",1000*VALUE(LEFT(F206,LEN(F206)-1)),VALUE(SUBSTITUTE(F206,",",""))))))))),"N/A")</f>
        <v>54540000</v>
      </c>
      <c r="N206">
        <f t="shared" ref="N206:N226" si="57">IFERROR(IF(TRIM(G206)="-", "N/A", IF(RIGHT(G206,1)=")",IF(RIGHT(G206,2)="T)",-1000000000000*VALUE(MID(G206,2,LEN(G206)-3)),IF(RIGHT(G206,2)="M)",-1000000*VALUE(MID(G206,2,LEN(G206)-3)),IF(RIGHT(G206,2)="B)",-1000000000*VALUE(MID(G206,2,LEN(G206)-3)),IF(RIGHT(G206,2)="k)",-1000*VALUE(MID(G206,2,LEN(G206)-3)),VALUE(SUBSTITUTE(G206,",","")))))),IF(RIGHT(G206,1)="T",1000000000000*VALUE(LEFT(G206,LEN(G206)-1)),IF(RIGHT(G206,1)="M",1000000*VALUE(LEFT(G206,LEN(G206)-1)),IF(RIGHT(G206,1)="B",1000000000*VALUE(LEFT(G206,LEN(G206)-1)),IF(RIGHT(G206,1)="%",0.01*VALUE(LEFT(G206,LEN(G206)-1)),IF(RIGHT(G206,1)="k",1000*VALUE(LEFT(G206,LEN(G206)-1)),VALUE(SUBSTITUTE(G206,",",""))))))))),"N/A")</f>
        <v>58280000</v>
      </c>
      <c r="P206">
        <f t="shared" si="27"/>
        <v>121370000</v>
      </c>
      <c r="Q206">
        <f>IFERROR(J144+MATCH(P206,J206:N206,0)-1,"")</f>
        <v>2014</v>
      </c>
      <c r="R206">
        <f t="shared" si="28"/>
        <v>54540000</v>
      </c>
      <c r="S206">
        <f>IFERROR(J144+MATCH(R206,J206:N206,0)-1,"")</f>
        <v>2015</v>
      </c>
      <c r="T206">
        <f t="shared" si="29"/>
        <v>79662000</v>
      </c>
      <c r="U206">
        <f t="shared" si="30"/>
        <v>30236813.985603709</v>
      </c>
      <c r="V206">
        <f t="shared" si="31"/>
        <v>-0.5894139511023011</v>
      </c>
      <c r="W206">
        <f t="shared" si="32"/>
        <v>0.74802854595622525</v>
      </c>
      <c r="X206">
        <f t="shared" si="33"/>
        <v>1.3793781322284131</v>
      </c>
      <c r="Y206">
        <f t="shared" si="34"/>
        <v>-0.830841503736506</v>
      </c>
      <c r="Z206">
        <f t="shared" si="35"/>
        <v>-0.70715122334583114</v>
      </c>
      <c r="AA206">
        <f t="shared" si="36"/>
        <v>1.3793781322284131</v>
      </c>
      <c r="AB206">
        <f>IFERROR(V144+MATCH(AA206,V206:Z206,0)-1,"")</f>
        <v>2014</v>
      </c>
      <c r="AC206" t="str">
        <f t="shared" si="37"/>
        <v>High</v>
      </c>
      <c r="AE206">
        <f>IF(ISNUMBER(MATCH("N/A",J206:N206,0)),"",IFERROR((5 * SUMPRODUCT(J144:N144,J206:N206) - PRODUCT(SUM(J144:N144),SUM(J206:N206))) / ((5 * SUM((J144^2)+(K144^2)+(L144^2)+(M144^2)+(N144^2))) - SUM(J144:N144)^2),""))</f>
        <v>-5486000</v>
      </c>
      <c r="AF206">
        <f>IFERROR(CORREL(J144:N144,J206:N206),"")</f>
        <v>-0.28687306890110092</v>
      </c>
      <c r="AZ206">
        <f t="shared" si="38"/>
        <v>1</v>
      </c>
      <c r="BA206" t="str">
        <f>IF(AZ206=1,IF(Q206="","",IF(Q206=N144,"Yes","No")),"")</f>
        <v>No</v>
      </c>
      <c r="BB206" t="str">
        <f t="shared" si="39"/>
        <v/>
      </c>
      <c r="BC206" t="str">
        <f>IF(AZ206=1,IF(S206="","",IF(S206=N144,"Yes","No")),"")</f>
        <v>No</v>
      </c>
      <c r="BD206" t="str">
        <f t="shared" si="40"/>
        <v/>
      </c>
      <c r="BE206" t="str">
        <f t="shared" si="41"/>
        <v>Decreasing</v>
      </c>
      <c r="BF206" t="str">
        <f t="shared" si="42"/>
        <v>No</v>
      </c>
      <c r="BG206" t="str">
        <f t="shared" si="43"/>
        <v>No</v>
      </c>
      <c r="BH206" t="str">
        <f t="shared" si="44"/>
        <v>No</v>
      </c>
    </row>
    <row r="207" spans="1:60" x14ac:dyDescent="0.3">
      <c r="A207" s="1">
        <v>1</v>
      </c>
      <c r="B207" t="s">
        <v>472</v>
      </c>
      <c r="C207" t="s">
        <v>2756</v>
      </c>
      <c r="D207" t="s">
        <v>2757</v>
      </c>
      <c r="E207" t="s">
        <v>2758</v>
      </c>
      <c r="F207" t="s">
        <v>2754</v>
      </c>
      <c r="G207" t="s">
        <v>2755</v>
      </c>
      <c r="I207" t="str">
        <f t="shared" si="52"/>
        <v>N/A</v>
      </c>
      <c r="J207">
        <f t="shared" si="53"/>
        <v>61740000</v>
      </c>
      <c r="K207">
        <f t="shared" si="54"/>
        <v>102180000</v>
      </c>
      <c r="L207">
        <f t="shared" si="55"/>
        <v>121290000</v>
      </c>
      <c r="M207">
        <f t="shared" si="56"/>
        <v>54540000</v>
      </c>
      <c r="N207">
        <f t="shared" si="57"/>
        <v>58280000</v>
      </c>
      <c r="P207">
        <f t="shared" si="27"/>
        <v>121290000</v>
      </c>
      <c r="Q207">
        <f>IFERROR(J144+MATCH(P207,J207:N207,0)-1,"")</f>
        <v>2014</v>
      </c>
      <c r="R207">
        <f t="shared" si="28"/>
        <v>54540000</v>
      </c>
      <c r="S207">
        <f>IFERROR(J144+MATCH(R207,J207:N207,0)-1,"")</f>
        <v>2015</v>
      </c>
      <c r="T207">
        <f t="shared" si="29"/>
        <v>79606000</v>
      </c>
      <c r="U207">
        <f t="shared" si="30"/>
        <v>30205288.940846104</v>
      </c>
      <c r="V207">
        <f t="shared" si="31"/>
        <v>-0.59148581677164846</v>
      </c>
      <c r="W207">
        <f t="shared" si="32"/>
        <v>0.74735255948747303</v>
      </c>
      <c r="X207">
        <f t="shared" si="33"/>
        <v>1.3800232165179334</v>
      </c>
      <c r="Y207">
        <f t="shared" si="34"/>
        <v>-0.82985466714419243</v>
      </c>
      <c r="Z207">
        <f t="shared" si="35"/>
        <v>-0.70603529208956539</v>
      </c>
      <c r="AA207">
        <f t="shared" si="36"/>
        <v>1.3800232165179334</v>
      </c>
      <c r="AB207">
        <f>IFERROR(V144+MATCH(AA207,V207:Z207,0)-1,"")</f>
        <v>2014</v>
      </c>
      <c r="AC207" t="str">
        <f t="shared" si="37"/>
        <v>High</v>
      </c>
      <c r="AE207">
        <f>IF(ISNUMBER(MATCH("N/A",J207:N207,0)),"",IFERROR((5 * SUMPRODUCT(J144:N144,J207:N207) - PRODUCT(SUM(J144:N144),SUM(J207:N207))) / ((5 * SUM((J144^2)+(K144^2)+(L144^2)+(M144^2)+(N144^2))) - SUM(J144:N144)^2),""))</f>
        <v>-5456000</v>
      </c>
      <c r="AF207">
        <f>IFERROR(CORREL(J144:N144,J207:N207),"")</f>
        <v>-0.28560208358985784</v>
      </c>
      <c r="AZ207">
        <f t="shared" si="38"/>
        <v>1</v>
      </c>
      <c r="BA207" t="str">
        <f>IF(AZ207=1,IF(Q207="","",IF(Q207=N144,"Yes","No")),"")</f>
        <v>No</v>
      </c>
      <c r="BB207" t="str">
        <f t="shared" si="39"/>
        <v/>
      </c>
      <c r="BC207" t="str">
        <f>IF(AZ207=1,IF(S207="","",IF(S207=N144,"Yes","No")),"")</f>
        <v>No</v>
      </c>
      <c r="BD207" t="str">
        <f t="shared" si="40"/>
        <v/>
      </c>
      <c r="BE207" t="str">
        <f t="shared" si="41"/>
        <v>Decreasing</v>
      </c>
      <c r="BF207" t="str">
        <f t="shared" si="42"/>
        <v>No</v>
      </c>
      <c r="BG207" t="str">
        <f t="shared" si="43"/>
        <v>No</v>
      </c>
      <c r="BH207" t="str">
        <f t="shared" si="44"/>
        <v>No</v>
      </c>
    </row>
    <row r="208" spans="1:60" x14ac:dyDescent="0.3">
      <c r="A208" s="1">
        <v>2</v>
      </c>
      <c r="B208" t="s">
        <v>478</v>
      </c>
      <c r="C208" t="s">
        <v>2759</v>
      </c>
      <c r="D208" t="s">
        <v>2760</v>
      </c>
      <c r="E208" t="s">
        <v>2761</v>
      </c>
      <c r="F208" t="s">
        <v>264</v>
      </c>
      <c r="G208" t="s">
        <v>264</v>
      </c>
      <c r="I208" t="str">
        <f t="shared" si="52"/>
        <v>N/A</v>
      </c>
      <c r="J208">
        <f t="shared" si="53"/>
        <v>101000</v>
      </c>
      <c r="K208">
        <f t="shared" si="54"/>
        <v>95000</v>
      </c>
      <c r="L208">
        <f t="shared" si="55"/>
        <v>86000</v>
      </c>
      <c r="M208" t="str">
        <f t="shared" si="56"/>
        <v>N/A</v>
      </c>
      <c r="N208" t="str">
        <f t="shared" si="57"/>
        <v>N/A</v>
      </c>
      <c r="P208">
        <f t="shared" si="27"/>
        <v>101000</v>
      </c>
      <c r="Q208">
        <f>IFERROR(J144+MATCH(P208,J208:N208,0)-1,"")</f>
        <v>2012</v>
      </c>
      <c r="R208">
        <f t="shared" si="28"/>
        <v>86000</v>
      </c>
      <c r="S208">
        <f>IFERROR(J144+MATCH(R208,J208:N208,0)-1,"")</f>
        <v>2014</v>
      </c>
      <c r="T208">
        <f t="shared" si="29"/>
        <v>94000</v>
      </c>
      <c r="U208">
        <f t="shared" si="30"/>
        <v>7549.83443527075</v>
      </c>
      <c r="V208">
        <f t="shared" si="31"/>
        <v>0.92717264994553061</v>
      </c>
      <c r="W208">
        <f t="shared" si="32"/>
        <v>0.13245323570650439</v>
      </c>
      <c r="X208">
        <f t="shared" si="33"/>
        <v>-1.0596258856520351</v>
      </c>
      <c r="Y208" t="str">
        <f t="shared" si="34"/>
        <v/>
      </c>
      <c r="Z208" t="str">
        <f t="shared" si="35"/>
        <v/>
      </c>
      <c r="AA208">
        <f t="shared" si="36"/>
        <v>-1.0596258856520351</v>
      </c>
      <c r="AB208">
        <f>IFERROR(V144+MATCH(AA208,V208:Z208,0)-1,"")</f>
        <v>2014</v>
      </c>
      <c r="AC208" t="str">
        <f t="shared" si="37"/>
        <v>Low</v>
      </c>
      <c r="AE208" t="str">
        <f>IF(ISNUMBER(MATCH("N/A",J208:N208,0)),"",IFERROR((5 * SUMPRODUCT(J144:N144,J208:N208) - PRODUCT(SUM(J144:N144),SUM(J208:N208))) / ((5 * SUM((J144^2)+(K144^2)+(L144^2)+(M144^2)+(N144^2))) - SUM(J144:N144)^2),""))</f>
        <v/>
      </c>
      <c r="AF208">
        <f>IFERROR(CORREL(J144:N144,J208:N208),"")</f>
        <v>-0.99339926779878296</v>
      </c>
      <c r="AZ208">
        <f t="shared" si="38"/>
        <v>1</v>
      </c>
      <c r="BA208" t="str">
        <f>IF(AZ208=1,IF(Q208="","",IF(Q208=N144,"Yes","No")),"")</f>
        <v>No</v>
      </c>
      <c r="BB208" t="str">
        <f t="shared" si="39"/>
        <v/>
      </c>
      <c r="BC208" t="str">
        <f>IF(AZ208=1,IF(S208="","",IF(S208=N144,"Yes","No")),"")</f>
        <v>No</v>
      </c>
      <c r="BD208" t="str">
        <f t="shared" si="40"/>
        <v/>
      </c>
      <c r="BE208" t="str">
        <f t="shared" si="41"/>
        <v/>
      </c>
      <c r="BF208" t="str">
        <f t="shared" si="42"/>
        <v>No</v>
      </c>
      <c r="BG208" t="str">
        <f t="shared" si="43"/>
        <v>No</v>
      </c>
      <c r="BH208" t="str">
        <f t="shared" si="44"/>
        <v>Yes</v>
      </c>
    </row>
    <row r="209" spans="1:60" x14ac:dyDescent="0.3">
      <c r="A209" s="1">
        <v>3</v>
      </c>
      <c r="B209" t="s">
        <v>484</v>
      </c>
      <c r="C209" t="s">
        <v>264</v>
      </c>
      <c r="D209" t="s">
        <v>2762</v>
      </c>
      <c r="E209" t="s">
        <v>2763</v>
      </c>
      <c r="F209" t="s">
        <v>2764</v>
      </c>
      <c r="G209" t="s">
        <v>2765</v>
      </c>
      <c r="I209" t="str">
        <f t="shared" si="52"/>
        <v>N/A</v>
      </c>
      <c r="J209" t="str">
        <f t="shared" si="53"/>
        <v>N/A</v>
      </c>
      <c r="K209">
        <f t="shared" si="54"/>
        <v>0.65390000000000004</v>
      </c>
      <c r="L209">
        <f t="shared" si="55"/>
        <v>0.18670000000000003</v>
      </c>
      <c r="M209">
        <f t="shared" si="56"/>
        <v>-0.55060000000000009</v>
      </c>
      <c r="N209">
        <f t="shared" si="57"/>
        <v>6.8499999999999991E-2</v>
      </c>
      <c r="P209">
        <f t="shared" ref="P209:P272" si="58">MAX(J209:N209)</f>
        <v>0.65390000000000004</v>
      </c>
      <c r="Q209">
        <f>IFERROR(J144+MATCH(P209,J209:N209,0)-1,"")</f>
        <v>2013</v>
      </c>
      <c r="R209">
        <f t="shared" ref="R209:R272" si="59">IF(Q209="","",MIN(J209:N209))</f>
        <v>-0.55060000000000009</v>
      </c>
      <c r="S209">
        <f>IFERROR(J144+MATCH(R209,J209:N209,0)-1,"")</f>
        <v>2015</v>
      </c>
      <c r="T209">
        <f t="shared" ref="T209:T272" si="60">IFERROR(AVERAGE(J209:N209),"")</f>
        <v>8.9624999999999982E-2</v>
      </c>
      <c r="U209">
        <f t="shared" ref="U209:U272" si="61">IFERROR(STDEV(J209:N209),"")</f>
        <v>0.49603902652244347</v>
      </c>
      <c r="V209" t="str">
        <f t="shared" ref="V209:V272" si="62">IFERROR(IF(C209="-","",IF(ISBLANK(B209),"",IF(OR(ISNUMBER(FIND("Growth",B209)),ISNUMBER(FIND("Margin",B209))),"",(J209-T209)/U209))),"")</f>
        <v/>
      </c>
      <c r="W209">
        <f t="shared" ref="W209:W272" si="63">IFERROR(IF(OR(D209="-",ISBLANK(D209)),"",(K209-T209)/U209),"")</f>
        <v>1.1375617034730821</v>
      </c>
      <c r="X209">
        <f t="shared" ref="X209:X272" si="64">IFERROR(IF(OR(E209="-",ISBLANK(E209)),"",(L209-T209)/U209),"")</f>
        <v>0.1957003276144601</v>
      </c>
      <c r="Y209">
        <f t="shared" ref="Y209:Y272" si="65">IFERROR(IF(OR(F209="-",ISBLANK(F209)),"",(M209-T209)/U209),"")</f>
        <v>-1.2906746561624276</v>
      </c>
      <c r="Z209">
        <f t="shared" ref="Z209:Z272" si="66">IFERROR(IF(OR(G209="-",ISBLANK(G209)),"",(N209-T209)/U209),"")</f>
        <v>-4.2587374925114246E-2</v>
      </c>
      <c r="AA209">
        <f t="shared" ref="AA209:AA272" si="67">IF(MAX(MAX(V209:Z209),ABS(MIN(V209:Z209)))=ABS(MIN(V209:Z209)),MIN(V209:Z209),MAX(V209:Z209))</f>
        <v>-1.2906746561624276</v>
      </c>
      <c r="AB209">
        <f>IFERROR(V144+MATCH(AA209,V209:Z209,0)-1,"")</f>
        <v>2015</v>
      </c>
      <c r="AC209" t="str">
        <f t="shared" ref="AC209:AC272" si="68">IF(AB209&lt;&gt;"",IF(S209=AB209,"Low",IF(AB209=Q209,"High","")),"")</f>
        <v>Low</v>
      </c>
      <c r="AE209" t="str">
        <f>IF(ISNUMBER(MATCH("N/A",J209:N209,0)),"",IFERROR((5 * SUMPRODUCT(J144:N144,J209:N209) - PRODUCT(SUM(J144:N144),SUM(J209:N209))) / ((5 * SUM((J144^2)+(K144^2)+(L144^2)+(M144^2)+(N144^2))) - SUM(J144:N144)^2),""))</f>
        <v/>
      </c>
      <c r="AF209">
        <f>IFERROR(CORREL(J144:N144,J209:N209),"")</f>
        <v>-0.64895995794739803</v>
      </c>
      <c r="AZ209">
        <f t="shared" ref="AZ209:AZ272" si="69">IF(Q209=S209,0,1)</f>
        <v>1</v>
      </c>
      <c r="BA209" t="str">
        <f>IF(AZ209=1,IF(Q209="","",IF(Q209=N144,"Yes","No")),"")</f>
        <v>No</v>
      </c>
      <c r="BB209" t="str">
        <f t="shared" ref="BB209:BB272" si="70">IF(BA209="Yes",P209,"")</f>
        <v/>
      </c>
      <c r="BC209" t="str">
        <f>IF(AZ209=1,IF(S209="","",IF(S209=N144,"Yes","No")),"")</f>
        <v>No</v>
      </c>
      <c r="BD209" t="str">
        <f t="shared" ref="BD209:BD272" si="71">IF(BC209="Yes",R209,"")</f>
        <v/>
      </c>
      <c r="BE209" t="str">
        <f t="shared" ref="BE209:BE272" si="72">IFERROR(IF(SIGN(AE209)=1,"Increasing",IF(SIGN(AE209)=-1,"Decreasing","")),"")</f>
        <v/>
      </c>
      <c r="BF209" t="str">
        <f t="shared" ref="BF209:BF272" si="73">IF(OR(AND(BE209="Increasing",BA209="Yes"),AND(BE209="Decreasing",BC209="Yes")),"Yes","No")</f>
        <v>No</v>
      </c>
      <c r="BG209" t="str">
        <f t="shared" ref="BG209:BG272" si="74">IF(I209="pos_trend","Yes","No")</f>
        <v>No</v>
      </c>
      <c r="BH209" t="str">
        <f t="shared" ref="BH209:BH272" si="75">IF(AF209&lt;&gt;"",IF(ABS(AF209)&gt;0.8,"Yes","No"),"")</f>
        <v>No</v>
      </c>
    </row>
    <row r="210" spans="1:60" x14ac:dyDescent="0.3">
      <c r="A210" s="1">
        <v>4</v>
      </c>
      <c r="B210" t="s">
        <v>489</v>
      </c>
      <c r="C210" t="s">
        <v>2766</v>
      </c>
      <c r="D210" t="s">
        <v>1269</v>
      </c>
      <c r="E210" t="s">
        <v>2767</v>
      </c>
      <c r="F210" t="s">
        <v>2768</v>
      </c>
      <c r="G210" t="s">
        <v>2769</v>
      </c>
      <c r="I210" t="str">
        <f t="shared" si="52"/>
        <v>N/A</v>
      </c>
      <c r="J210">
        <f t="shared" si="53"/>
        <v>8.7100000000000011E-2</v>
      </c>
      <c r="K210">
        <f t="shared" si="54"/>
        <v>0.14070000000000002</v>
      </c>
      <c r="L210">
        <f t="shared" si="55"/>
        <v>0.16750000000000001</v>
      </c>
      <c r="M210">
        <f t="shared" si="56"/>
        <v>8.1400000000000014E-2</v>
      </c>
      <c r="N210">
        <f t="shared" si="57"/>
        <v>7.0999999999999994E-2</v>
      </c>
      <c r="P210">
        <f t="shared" si="58"/>
        <v>0.16750000000000001</v>
      </c>
      <c r="Q210">
        <f>IFERROR(J144+MATCH(P210,J210:N210,0)-1,"")</f>
        <v>2014</v>
      </c>
      <c r="R210">
        <f t="shared" si="59"/>
        <v>7.0999999999999994E-2</v>
      </c>
      <c r="S210">
        <f>IFERROR(J144+MATCH(R210,J210:N210,0)-1,"")</f>
        <v>2016</v>
      </c>
      <c r="T210">
        <f t="shared" si="60"/>
        <v>0.10954000000000001</v>
      </c>
      <c r="U210">
        <f t="shared" si="61"/>
        <v>4.2163526892327212E-2</v>
      </c>
      <c r="V210">
        <f t="shared" si="62"/>
        <v>-0.53221354222347006</v>
      </c>
      <c r="W210">
        <f t="shared" si="63"/>
        <v>0.73902736077020181</v>
      </c>
      <c r="X210">
        <f t="shared" si="64"/>
        <v>1.3746478122670374</v>
      </c>
      <c r="Y210">
        <f t="shared" si="65"/>
        <v>-0.66740147407167749</v>
      </c>
      <c r="Z210">
        <f t="shared" si="66"/>
        <v>-0.91406015674209196</v>
      </c>
      <c r="AA210">
        <f t="shared" si="67"/>
        <v>1.3746478122670374</v>
      </c>
      <c r="AB210">
        <f>IFERROR(V144+MATCH(AA210,V210:Z210,0)-1,"")</f>
        <v>2014</v>
      </c>
      <c r="AC210" t="str">
        <f t="shared" si="68"/>
        <v>High</v>
      </c>
      <c r="AE210">
        <f>IF(ISNUMBER(MATCH("N/A",J210:N210,0)),"",IFERROR((5 * SUMPRODUCT(J144:N144,J210:N210) - PRODUCT(SUM(J144:N144),SUM(J210:N210))) / ((5 * SUM((J144^2)+(K144^2)+(L144^2)+(M144^2)+(N144^2))) - SUM(J144:N144)^2),""))</f>
        <v>-9.150000000008731E-3</v>
      </c>
      <c r="AF210">
        <f>IFERROR(CORREL(J144:N144,J210:N210),"")</f>
        <v>-0.34312642612217231</v>
      </c>
      <c r="AZ210">
        <f t="shared" si="69"/>
        <v>1</v>
      </c>
      <c r="BA210" t="str">
        <f>IF(AZ210=1,IF(Q210="","",IF(Q210=N144,"Yes","No")),"")</f>
        <v>No</v>
      </c>
      <c r="BB210" t="str">
        <f t="shared" si="70"/>
        <v/>
      </c>
      <c r="BC210" t="str">
        <f>IF(AZ210=1,IF(S210="","",IF(S210=N144,"Yes","No")),"")</f>
        <v>Yes</v>
      </c>
      <c r="BD210">
        <f t="shared" si="71"/>
        <v>7.0999999999999994E-2</v>
      </c>
      <c r="BE210" t="str">
        <f t="shared" si="72"/>
        <v>Decreasing</v>
      </c>
      <c r="BF210" t="str">
        <f t="shared" si="73"/>
        <v>Yes</v>
      </c>
      <c r="BG210" t="str">
        <f t="shared" si="74"/>
        <v>No</v>
      </c>
      <c r="BH210" t="str">
        <f t="shared" si="75"/>
        <v>No</v>
      </c>
    </row>
    <row r="211" spans="1:60" x14ac:dyDescent="0.3">
      <c r="A211" s="1">
        <v>5</v>
      </c>
      <c r="B211" t="s">
        <v>495</v>
      </c>
      <c r="C211" t="s">
        <v>2770</v>
      </c>
      <c r="D211" t="s">
        <v>2771</v>
      </c>
      <c r="E211" t="s">
        <v>2772</v>
      </c>
      <c r="F211" t="s">
        <v>2773</v>
      </c>
      <c r="G211" t="s">
        <v>2774</v>
      </c>
      <c r="I211" t="str">
        <f t="shared" si="52"/>
        <v>N/A</v>
      </c>
      <c r="J211">
        <f t="shared" si="53"/>
        <v>150830000</v>
      </c>
      <c r="K211">
        <f t="shared" si="54"/>
        <v>144740000</v>
      </c>
      <c r="L211">
        <f t="shared" si="55"/>
        <v>156740000</v>
      </c>
      <c r="M211">
        <f t="shared" si="56"/>
        <v>125630000</v>
      </c>
      <c r="N211">
        <f t="shared" si="57"/>
        <v>133050000.00000001</v>
      </c>
      <c r="P211">
        <f t="shared" si="58"/>
        <v>156740000</v>
      </c>
      <c r="Q211">
        <f>IFERROR(J144+MATCH(P211,J211:N211,0)-1,"")</f>
        <v>2014</v>
      </c>
      <c r="R211">
        <f t="shared" si="59"/>
        <v>125630000</v>
      </c>
      <c r="S211">
        <f>IFERROR(J144+MATCH(R211,J211:N211,0)-1,"")</f>
        <v>2015</v>
      </c>
      <c r="T211">
        <f t="shared" si="60"/>
        <v>142198000</v>
      </c>
      <c r="U211">
        <f t="shared" si="61"/>
        <v>12753700.247379187</v>
      </c>
      <c r="V211">
        <f t="shared" si="62"/>
        <v>0.67682318327763946</v>
      </c>
      <c r="W211">
        <f t="shared" si="63"/>
        <v>0.19931470480673769</v>
      </c>
      <c r="X211">
        <f t="shared" si="64"/>
        <v>1.1402181106607314</v>
      </c>
      <c r="Y211">
        <f t="shared" si="65"/>
        <v>-1.2990739690157473</v>
      </c>
      <c r="Z211">
        <f t="shared" si="66"/>
        <v>-0.71728202972936006</v>
      </c>
      <c r="AA211">
        <f t="shared" si="67"/>
        <v>-1.2990739690157473</v>
      </c>
      <c r="AB211">
        <f>IFERROR(V144+MATCH(AA211,V211:Z211,0)-1,"")</f>
        <v>2015</v>
      </c>
      <c r="AC211" t="str">
        <f t="shared" si="68"/>
        <v>Low</v>
      </c>
      <c r="AE211">
        <f>IF(ISNUMBER(MATCH("N/A",J211:N211,0)),"",IFERROR((5 * SUMPRODUCT(J144:N144,J211:N211) - PRODUCT(SUM(J144:N144),SUM(J211:N211))) / ((5 * SUM((J144^2)+(K144^2)+(L144^2)+(M144^2)+(N144^2))) - SUM(J144:N144)^2),""))</f>
        <v>-5467000</v>
      </c>
      <c r="AF211">
        <f>IFERROR(CORREL(J144:N144,J211:N211),"")</f>
        <v>-0.67777082857553994</v>
      </c>
      <c r="AZ211">
        <f t="shared" si="69"/>
        <v>1</v>
      </c>
      <c r="BA211" t="str">
        <f>IF(AZ211=1,IF(Q211="","",IF(Q211=N144,"Yes","No")),"")</f>
        <v>No</v>
      </c>
      <c r="BB211" t="str">
        <f t="shared" si="70"/>
        <v/>
      </c>
      <c r="BC211" t="str">
        <f>IF(AZ211=1,IF(S211="","",IF(S211=N144,"Yes","No")),"")</f>
        <v>No</v>
      </c>
      <c r="BD211" t="str">
        <f t="shared" si="71"/>
        <v/>
      </c>
      <c r="BE211" t="str">
        <f t="shared" si="72"/>
        <v>Decreasing</v>
      </c>
      <c r="BF211" t="str">
        <f t="shared" si="73"/>
        <v>No</v>
      </c>
      <c r="BG211" t="str">
        <f t="shared" si="74"/>
        <v>No</v>
      </c>
      <c r="BH211" t="str">
        <f t="shared" si="75"/>
        <v>No</v>
      </c>
    </row>
    <row r="212" spans="1:60" x14ac:dyDescent="0.3">
      <c r="A212" s="1">
        <v>6</v>
      </c>
      <c r="B212" t="s">
        <v>501</v>
      </c>
      <c r="C212" t="s">
        <v>2770</v>
      </c>
      <c r="D212" t="s">
        <v>2771</v>
      </c>
      <c r="E212" t="s">
        <v>2772</v>
      </c>
      <c r="F212" t="s">
        <v>2773</v>
      </c>
      <c r="G212" t="s">
        <v>2774</v>
      </c>
      <c r="I212" t="str">
        <f t="shared" si="52"/>
        <v>N/A</v>
      </c>
      <c r="J212">
        <f t="shared" si="53"/>
        <v>150830000</v>
      </c>
      <c r="K212">
        <f t="shared" si="54"/>
        <v>144740000</v>
      </c>
      <c r="L212">
        <f t="shared" si="55"/>
        <v>156740000</v>
      </c>
      <c r="M212">
        <f t="shared" si="56"/>
        <v>125630000</v>
      </c>
      <c r="N212">
        <f t="shared" si="57"/>
        <v>133050000.00000001</v>
      </c>
      <c r="P212">
        <f t="shared" si="58"/>
        <v>156740000</v>
      </c>
      <c r="Q212">
        <f>IFERROR(J144+MATCH(P212,J212:N212,0)-1,"")</f>
        <v>2014</v>
      </c>
      <c r="R212">
        <f t="shared" si="59"/>
        <v>125630000</v>
      </c>
      <c r="S212">
        <f>IFERROR(J144+MATCH(R212,J212:N212,0)-1,"")</f>
        <v>2015</v>
      </c>
      <c r="T212">
        <f t="shared" si="60"/>
        <v>142198000</v>
      </c>
      <c r="U212">
        <f t="shared" si="61"/>
        <v>12753700.247379187</v>
      </c>
      <c r="V212">
        <f t="shared" si="62"/>
        <v>0.67682318327763946</v>
      </c>
      <c r="W212">
        <f t="shared" si="63"/>
        <v>0.19931470480673769</v>
      </c>
      <c r="X212">
        <f t="shared" si="64"/>
        <v>1.1402181106607314</v>
      </c>
      <c r="Y212">
        <f t="shared" si="65"/>
        <v>-1.2990739690157473</v>
      </c>
      <c r="Z212">
        <f t="shared" si="66"/>
        <v>-0.71728202972936006</v>
      </c>
      <c r="AA212">
        <f t="shared" si="67"/>
        <v>-1.2990739690157473</v>
      </c>
      <c r="AB212">
        <f>IFERROR(V144+MATCH(AA212,V212:Z212,0)-1,"")</f>
        <v>2015</v>
      </c>
      <c r="AC212" t="str">
        <f t="shared" si="68"/>
        <v>Low</v>
      </c>
      <c r="AE212">
        <f>IF(ISNUMBER(MATCH("N/A",J212:N212,0)),"",IFERROR((5 * SUMPRODUCT(J144:N144,J212:N212) - PRODUCT(SUM(J144:N144),SUM(J212:N212))) / ((5 * SUM((J144^2)+(K144^2)+(L144^2)+(M144^2)+(N144^2))) - SUM(J144:N144)^2),""))</f>
        <v>-5467000</v>
      </c>
      <c r="AF212">
        <f>IFERROR(CORREL(J144:N144,J212:N212),"")</f>
        <v>-0.67777082857553994</v>
      </c>
      <c r="AZ212">
        <f t="shared" si="69"/>
        <v>1</v>
      </c>
      <c r="BA212" t="str">
        <f>IF(AZ212=1,IF(Q212="","",IF(Q212=N144,"Yes","No")),"")</f>
        <v>No</v>
      </c>
      <c r="BB212" t="str">
        <f t="shared" si="70"/>
        <v/>
      </c>
      <c r="BC212" t="str">
        <f>IF(AZ212=1,IF(S212="","",IF(S212=N144,"Yes","No")),"")</f>
        <v>No</v>
      </c>
      <c r="BD212" t="str">
        <f t="shared" si="71"/>
        <v/>
      </c>
      <c r="BE212" t="str">
        <f t="shared" si="72"/>
        <v>Decreasing</v>
      </c>
      <c r="BF212" t="str">
        <f t="shared" si="73"/>
        <v>No</v>
      </c>
      <c r="BG212" t="str">
        <f t="shared" si="74"/>
        <v>No</v>
      </c>
      <c r="BH212" t="str">
        <f t="shared" si="75"/>
        <v>No</v>
      </c>
    </row>
    <row r="213" spans="1:60" x14ac:dyDescent="0.3">
      <c r="A213" s="1">
        <v>7</v>
      </c>
      <c r="B213" t="s">
        <v>504</v>
      </c>
      <c r="C213" t="s">
        <v>2775</v>
      </c>
      <c r="D213" t="s">
        <v>2776</v>
      </c>
      <c r="E213" t="s">
        <v>2777</v>
      </c>
      <c r="F213" t="s">
        <v>2778</v>
      </c>
      <c r="G213" t="s">
        <v>2779</v>
      </c>
      <c r="I213" t="str">
        <f t="shared" si="52"/>
        <v>N/A</v>
      </c>
      <c r="J213">
        <f t="shared" si="53"/>
        <v>152530000</v>
      </c>
      <c r="K213">
        <f t="shared" si="54"/>
        <v>147190000</v>
      </c>
      <c r="L213">
        <f t="shared" si="55"/>
        <v>166270000</v>
      </c>
      <c r="M213">
        <f t="shared" si="56"/>
        <v>133919999.99999999</v>
      </c>
      <c r="N213">
        <f t="shared" si="57"/>
        <v>138100000</v>
      </c>
      <c r="P213">
        <f t="shared" si="58"/>
        <v>166270000</v>
      </c>
      <c r="Q213">
        <f>IFERROR(J144+MATCH(P213,J213:N213,0)-1,"")</f>
        <v>2014</v>
      </c>
      <c r="R213">
        <f t="shared" si="59"/>
        <v>133919999.99999999</v>
      </c>
      <c r="S213">
        <f>IFERROR(J144+MATCH(R213,J213:N213,0)-1,"")</f>
        <v>2015</v>
      </c>
      <c r="T213">
        <f t="shared" si="60"/>
        <v>147602000</v>
      </c>
      <c r="U213">
        <f t="shared" si="61"/>
        <v>12751806.538683062</v>
      </c>
      <c r="V213">
        <f t="shared" si="62"/>
        <v>0.38645504737314945</v>
      </c>
      <c r="W213">
        <f t="shared" si="63"/>
        <v>-3.2309147629411034E-2</v>
      </c>
      <c r="X213">
        <f t="shared" si="64"/>
        <v>1.4639494367617603</v>
      </c>
      <c r="Y213">
        <f t="shared" si="65"/>
        <v>-1.0729460142368987</v>
      </c>
      <c r="Z213">
        <f t="shared" si="66"/>
        <v>-0.74514932226860109</v>
      </c>
      <c r="AA213">
        <f t="shared" si="67"/>
        <v>1.4639494367617603</v>
      </c>
      <c r="AB213">
        <f>IFERROR(V144+MATCH(AA213,V213:Z213,0)-1,"")</f>
        <v>2014</v>
      </c>
      <c r="AC213" t="str">
        <f t="shared" si="68"/>
        <v>High</v>
      </c>
      <c r="AE213">
        <f>IF(ISNUMBER(MATCH("N/A",J213:N213,0)),"",IFERROR((5 * SUMPRODUCT(J144:N144,J213:N213) - PRODUCT(SUM(J144:N144),SUM(J213:N213))) / ((5 * SUM((J144^2)+(K144^2)+(L144^2)+(M144^2)+(N144^2))) - SUM(J144:N144)^2),""))</f>
        <v>-4213000</v>
      </c>
      <c r="AF213">
        <f>IFERROR(CORREL(J144:N144,J213:N213),"")</f>
        <v>-0.52238385760772688</v>
      </c>
      <c r="AZ213">
        <f t="shared" si="69"/>
        <v>1</v>
      </c>
      <c r="BA213" t="str">
        <f>IF(AZ213=1,IF(Q213="","",IF(Q213=N144,"Yes","No")),"")</f>
        <v>No</v>
      </c>
      <c r="BB213" t="str">
        <f t="shared" si="70"/>
        <v/>
      </c>
      <c r="BC213" t="str">
        <f>IF(AZ213=1,IF(S213="","",IF(S213=N144,"Yes","No")),"")</f>
        <v>No</v>
      </c>
      <c r="BD213" t="str">
        <f t="shared" si="71"/>
        <v/>
      </c>
      <c r="BE213" t="str">
        <f t="shared" si="72"/>
        <v>Decreasing</v>
      </c>
      <c r="BF213" t="str">
        <f t="shared" si="73"/>
        <v>No</v>
      </c>
      <c r="BG213" t="str">
        <f t="shared" si="74"/>
        <v>No</v>
      </c>
      <c r="BH213" t="str">
        <f t="shared" si="75"/>
        <v>No</v>
      </c>
    </row>
    <row r="214" spans="1:60" x14ac:dyDescent="0.3">
      <c r="A214" s="1">
        <v>8</v>
      </c>
      <c r="B214" t="s">
        <v>510</v>
      </c>
      <c r="C214" t="s">
        <v>2780</v>
      </c>
      <c r="D214" t="s">
        <v>2781</v>
      </c>
      <c r="E214" t="s">
        <v>2782</v>
      </c>
      <c r="F214" t="s">
        <v>2783</v>
      </c>
      <c r="G214" t="s">
        <v>2784</v>
      </c>
      <c r="I214" t="str">
        <f t="shared" si="52"/>
        <v>N/A</v>
      </c>
      <c r="J214">
        <f t="shared" si="53"/>
        <v>-1710000</v>
      </c>
      <c r="K214">
        <f t="shared" si="54"/>
        <v>-2450000</v>
      </c>
      <c r="L214">
        <f t="shared" si="55"/>
        <v>-9540000</v>
      </c>
      <c r="M214">
        <f t="shared" si="56"/>
        <v>-8289999.9999999991</v>
      </c>
      <c r="N214">
        <f t="shared" si="57"/>
        <v>-5060000</v>
      </c>
      <c r="P214">
        <f t="shared" si="58"/>
        <v>-1710000</v>
      </c>
      <c r="Q214">
        <f>IFERROR(J144+MATCH(P214,J214:N214,0)-1,"")</f>
        <v>2012</v>
      </c>
      <c r="R214">
        <f t="shared" si="59"/>
        <v>-9540000</v>
      </c>
      <c r="S214">
        <f>IFERROR(J144+MATCH(R214,J214:N214,0)-1,"")</f>
        <v>2014</v>
      </c>
      <c r="T214">
        <f t="shared" si="60"/>
        <v>-5410000</v>
      </c>
      <c r="U214">
        <f t="shared" si="61"/>
        <v>3461408.6727804909</v>
      </c>
      <c r="V214">
        <f t="shared" si="62"/>
        <v>1.0689289678782288</v>
      </c>
      <c r="W214">
        <f t="shared" si="63"/>
        <v>0.85514317430258302</v>
      </c>
      <c r="X214">
        <f t="shared" si="64"/>
        <v>-1.1931558479289419</v>
      </c>
      <c r="Y214">
        <f t="shared" si="65"/>
        <v>-0.83203119661872915</v>
      </c>
      <c r="Z214">
        <f t="shared" si="66"/>
        <v>0.10111490236685948</v>
      </c>
      <c r="AA214">
        <f t="shared" si="67"/>
        <v>-1.1931558479289419</v>
      </c>
      <c r="AB214">
        <f>IFERROR(V144+MATCH(AA214,V214:Z214,0)-1,"")</f>
        <v>2014</v>
      </c>
      <c r="AC214" t="str">
        <f t="shared" si="68"/>
        <v>Low</v>
      </c>
      <c r="AE214">
        <f>IF(ISNUMBER(MATCH("N/A",J214:N214,0)),"",IFERROR((5 * SUMPRODUCT(J144:N144,J214:N214) - PRODUCT(SUM(J144:N144),SUM(J214:N214))) / ((5 * SUM((J144^2)+(K144^2)+(L144^2)+(M144^2)+(N144^2))) - SUM(J144:N144)^2),""))</f>
        <v>-1254000</v>
      </c>
      <c r="AF214">
        <f>IFERROR(CORREL(J144:N144,J214:N214),"")</f>
        <v>-0.57281537095498924</v>
      </c>
      <c r="AZ214">
        <f t="shared" si="69"/>
        <v>1</v>
      </c>
      <c r="BA214" t="str">
        <f>IF(AZ214=1,IF(Q214="","",IF(Q214=N144,"Yes","No")),"")</f>
        <v>No</v>
      </c>
      <c r="BB214" t="str">
        <f t="shared" si="70"/>
        <v/>
      </c>
      <c r="BC214" t="str">
        <f>IF(AZ214=1,IF(S214="","",IF(S214=N144,"Yes","No")),"")</f>
        <v>No</v>
      </c>
      <c r="BD214" t="str">
        <f t="shared" si="71"/>
        <v/>
      </c>
      <c r="BE214" t="str">
        <f t="shared" si="72"/>
        <v>Decreasing</v>
      </c>
      <c r="BF214" t="str">
        <f t="shared" si="73"/>
        <v>No</v>
      </c>
      <c r="BG214" t="str">
        <f t="shared" si="74"/>
        <v>No</v>
      </c>
      <c r="BH214" t="str">
        <f t="shared" si="75"/>
        <v>No</v>
      </c>
    </row>
    <row r="215" spans="1:60" x14ac:dyDescent="0.3">
      <c r="A215" s="1">
        <v>9</v>
      </c>
      <c r="B215" t="s">
        <v>516</v>
      </c>
      <c r="C215" t="s">
        <v>264</v>
      </c>
      <c r="D215" t="s">
        <v>264</v>
      </c>
      <c r="E215" t="s">
        <v>264</v>
      </c>
      <c r="F215" t="s">
        <v>264</v>
      </c>
      <c r="G215" t="s">
        <v>264</v>
      </c>
      <c r="I215" t="str">
        <f t="shared" si="52"/>
        <v>N/A</v>
      </c>
      <c r="J215" t="str">
        <f t="shared" si="53"/>
        <v>N/A</v>
      </c>
      <c r="K215" t="str">
        <f t="shared" si="54"/>
        <v>N/A</v>
      </c>
      <c r="L215" t="str">
        <f t="shared" si="55"/>
        <v>N/A</v>
      </c>
      <c r="M215" t="str">
        <f t="shared" si="56"/>
        <v>N/A</v>
      </c>
      <c r="N215" t="str">
        <f t="shared" si="57"/>
        <v>N/A</v>
      </c>
      <c r="P215">
        <f t="shared" si="58"/>
        <v>0</v>
      </c>
      <c r="Q215" t="str">
        <f>IFERROR(J144+MATCH(P215,J215:N215,0)-1,"")</f>
        <v/>
      </c>
      <c r="R215" t="str">
        <f t="shared" si="59"/>
        <v/>
      </c>
      <c r="S215" t="str">
        <f>IFERROR(J144+MATCH(R215,J215:N215,0)-1,"")</f>
        <v/>
      </c>
      <c r="T215" t="str">
        <f t="shared" si="60"/>
        <v/>
      </c>
      <c r="U215" t="str">
        <f t="shared" si="61"/>
        <v/>
      </c>
      <c r="V215" t="str">
        <f t="shared" si="62"/>
        <v/>
      </c>
      <c r="W215" t="str">
        <f t="shared" si="63"/>
        <v/>
      </c>
      <c r="X215" t="str">
        <f t="shared" si="64"/>
        <v/>
      </c>
      <c r="Y215" t="str">
        <f t="shared" si="65"/>
        <v/>
      </c>
      <c r="Z215" t="str">
        <f t="shared" si="66"/>
        <v/>
      </c>
      <c r="AA215">
        <f t="shared" si="67"/>
        <v>0</v>
      </c>
      <c r="AB215" t="str">
        <f>IFERROR(V144+MATCH(AA215,V215:Z215,0)-1,"")</f>
        <v/>
      </c>
      <c r="AC215" t="str">
        <f t="shared" si="68"/>
        <v/>
      </c>
      <c r="AE215" t="str">
        <f>IF(ISNUMBER(MATCH("N/A",J215:N215,0)),"",IFERROR((5 * SUMPRODUCT(J144:N144,J215:N215) - PRODUCT(SUM(J144:N144),SUM(J215:N215))) / ((5 * SUM((J144^2)+(K144^2)+(L144^2)+(M144^2)+(N144^2))) - SUM(J144:N144)^2),""))</f>
        <v/>
      </c>
      <c r="AF215" t="str">
        <f>IFERROR(CORREL(J144:N144,J215:N215),"")</f>
        <v/>
      </c>
      <c r="AZ215">
        <f t="shared" si="69"/>
        <v>0</v>
      </c>
      <c r="BA215" t="str">
        <f>IF(AZ215=1,IF(Q215="","",IF(Q215=N144,"Yes","No")),"")</f>
        <v/>
      </c>
      <c r="BB215" t="str">
        <f t="shared" si="70"/>
        <v/>
      </c>
      <c r="BC215" t="str">
        <f>IF(AZ215=1,IF(S215="","",IF(S215=N144,"Yes","No")),"")</f>
        <v/>
      </c>
      <c r="BD215" t="str">
        <f t="shared" si="71"/>
        <v/>
      </c>
      <c r="BE215" t="str">
        <f t="shared" si="72"/>
        <v/>
      </c>
      <c r="BF215" t="str">
        <f t="shared" si="73"/>
        <v>No</v>
      </c>
      <c r="BG215" t="str">
        <f t="shared" si="74"/>
        <v>No</v>
      </c>
      <c r="BH215" t="str">
        <f t="shared" si="75"/>
        <v/>
      </c>
    </row>
    <row r="216" spans="1:60" x14ac:dyDescent="0.3">
      <c r="A216" s="1">
        <v>10</v>
      </c>
      <c r="B216" t="s">
        <v>519</v>
      </c>
      <c r="C216" t="s">
        <v>264</v>
      </c>
      <c r="D216" t="s">
        <v>2785</v>
      </c>
      <c r="E216" t="s">
        <v>2786</v>
      </c>
      <c r="F216" t="s">
        <v>2787</v>
      </c>
      <c r="G216" t="s">
        <v>2788</v>
      </c>
      <c r="I216" t="str">
        <f t="shared" si="52"/>
        <v>N/A</v>
      </c>
      <c r="J216" t="str">
        <f t="shared" si="53"/>
        <v>N/A</v>
      </c>
      <c r="K216">
        <f t="shared" si="54"/>
        <v>-4.0300000000000002E-2</v>
      </c>
      <c r="L216">
        <f t="shared" si="55"/>
        <v>8.2899999999999988E-2</v>
      </c>
      <c r="M216">
        <f t="shared" si="56"/>
        <v>-0.19850000000000001</v>
      </c>
      <c r="N216">
        <f t="shared" si="57"/>
        <v>5.9000000000000004E-2</v>
      </c>
      <c r="P216">
        <f t="shared" si="58"/>
        <v>8.2899999999999988E-2</v>
      </c>
      <c r="Q216">
        <f>IFERROR(J144+MATCH(P216,J216:N216,0)-1,"")</f>
        <v>2014</v>
      </c>
      <c r="R216">
        <f t="shared" si="59"/>
        <v>-0.19850000000000001</v>
      </c>
      <c r="S216">
        <f>IFERROR(J144+MATCH(R216,J216:N216,0)-1,"")</f>
        <v>2015</v>
      </c>
      <c r="T216">
        <f t="shared" si="60"/>
        <v>-2.422500000000001E-2</v>
      </c>
      <c r="U216">
        <f t="shared" si="61"/>
        <v>0.12784410754248055</v>
      </c>
      <c r="V216" t="str">
        <f t="shared" si="62"/>
        <v/>
      </c>
      <c r="W216">
        <f t="shared" si="63"/>
        <v>-0.12573907635640169</v>
      </c>
      <c r="X216">
        <f t="shared" si="64"/>
        <v>0.83793459127088887</v>
      </c>
      <c r="Y216">
        <f t="shared" si="65"/>
        <v>-1.3631836722869002</v>
      </c>
      <c r="Z216">
        <f t="shared" si="66"/>
        <v>0.650988157372413</v>
      </c>
      <c r="AA216">
        <f t="shared" si="67"/>
        <v>-1.3631836722869002</v>
      </c>
      <c r="AB216">
        <f>IFERROR(V144+MATCH(AA216,V216:Z216,0)-1,"")</f>
        <v>2015</v>
      </c>
      <c r="AC216" t="str">
        <f t="shared" si="68"/>
        <v>Low</v>
      </c>
      <c r="AE216" t="str">
        <f>IF(ISNUMBER(MATCH("N/A",J216:N216,0)),"",IFERROR((5 * SUMPRODUCT(J144:N144,J216:N216) - PRODUCT(SUM(J144:N144),SUM(J216:N216))) / ((5 * SUM((J144^2)+(K144^2)+(L144^2)+(M144^2)+(N144^2))) - SUM(J144:N144)^2),""))</f>
        <v/>
      </c>
      <c r="AF216">
        <f>IFERROR(CORREL(J144:N144,J216:N216),"")</f>
        <v>1.6662018151335389E-2</v>
      </c>
      <c r="AZ216">
        <f t="shared" si="69"/>
        <v>1</v>
      </c>
      <c r="BA216" t="str">
        <f>IF(AZ216=1,IF(Q216="","",IF(Q216=N144,"Yes","No")),"")</f>
        <v>No</v>
      </c>
      <c r="BB216" t="str">
        <f t="shared" si="70"/>
        <v/>
      </c>
      <c r="BC216" t="str">
        <f>IF(AZ216=1,IF(S216="","",IF(S216=N144,"Yes","No")),"")</f>
        <v>No</v>
      </c>
      <c r="BD216" t="str">
        <f t="shared" si="71"/>
        <v/>
      </c>
      <c r="BE216" t="str">
        <f t="shared" si="72"/>
        <v/>
      </c>
      <c r="BF216" t="str">
        <f t="shared" si="73"/>
        <v>No</v>
      </c>
      <c r="BG216" t="str">
        <f t="shared" si="74"/>
        <v>No</v>
      </c>
      <c r="BH216" t="str">
        <f t="shared" si="75"/>
        <v>No</v>
      </c>
    </row>
    <row r="217" spans="1:60" x14ac:dyDescent="0.3">
      <c r="A217" s="1">
        <v>11</v>
      </c>
      <c r="B217" t="s">
        <v>524</v>
      </c>
      <c r="C217" t="s">
        <v>2789</v>
      </c>
      <c r="D217" t="s">
        <v>2790</v>
      </c>
      <c r="E217" t="s">
        <v>2791</v>
      </c>
      <c r="F217" t="s">
        <v>2792</v>
      </c>
      <c r="G217" t="s">
        <v>2793</v>
      </c>
      <c r="I217" t="str">
        <f t="shared" si="52"/>
        <v>N/A</v>
      </c>
      <c r="J217">
        <f t="shared" si="53"/>
        <v>5.61</v>
      </c>
      <c r="K217">
        <f t="shared" si="54"/>
        <v>5.93</v>
      </c>
      <c r="L217">
        <f t="shared" si="55"/>
        <v>5.37</v>
      </c>
      <c r="M217">
        <f t="shared" si="56"/>
        <v>5.22</v>
      </c>
      <c r="N217">
        <f t="shared" si="57"/>
        <v>4.4400000000000004</v>
      </c>
      <c r="P217">
        <f t="shared" si="58"/>
        <v>5.93</v>
      </c>
      <c r="Q217">
        <f>IFERROR(J144+MATCH(P217,J217:N217,0)-1,"")</f>
        <v>2013</v>
      </c>
      <c r="R217">
        <f t="shared" si="59"/>
        <v>4.4400000000000004</v>
      </c>
      <c r="S217">
        <f>IFERROR(J144+MATCH(R217,J217:N217,0)-1,"")</f>
        <v>2016</v>
      </c>
      <c r="T217">
        <f t="shared" si="60"/>
        <v>5.3140000000000001</v>
      </c>
      <c r="U217">
        <f t="shared" si="61"/>
        <v>0.55743161015500353</v>
      </c>
      <c r="V217">
        <f t="shared" si="62"/>
        <v>0.53100684390268493</v>
      </c>
      <c r="W217">
        <f t="shared" si="63"/>
        <v>1.1050682967704508</v>
      </c>
      <c r="X217">
        <f t="shared" si="64"/>
        <v>0.10046075425185931</v>
      </c>
      <c r="Y217">
        <f t="shared" si="65"/>
        <v>-0.1686305517799071</v>
      </c>
      <c r="Z217">
        <f t="shared" si="66"/>
        <v>-1.5679053431450878</v>
      </c>
      <c r="AA217">
        <f t="shared" si="67"/>
        <v>-1.5679053431450878</v>
      </c>
      <c r="AB217">
        <f>IFERROR(V144+MATCH(AA217,V217:Z217,0)-1,"")</f>
        <v>2016</v>
      </c>
      <c r="AC217" t="str">
        <f t="shared" si="68"/>
        <v>Low</v>
      </c>
      <c r="AE217">
        <f>IF(ISNUMBER(MATCH("N/A",J217:N217,0)),"",IFERROR((5 * SUMPRODUCT(J144:N144,J217:N217) - PRODUCT(SUM(J144:N144),SUM(J217:N217))) / ((5 * SUM((J144^2)+(K144^2)+(L144^2)+(M144^2)+(N144^2))) - SUM(J144:N144)^2),""))</f>
        <v>-0.30499999999999999</v>
      </c>
      <c r="AF217">
        <f>IFERROR(CORREL(J144:N144,J217:N217),"")</f>
        <v>-0.86512378270328194</v>
      </c>
      <c r="AZ217">
        <f t="shared" si="69"/>
        <v>1</v>
      </c>
      <c r="BA217" t="str">
        <f>IF(AZ217=1,IF(Q217="","",IF(Q217=N144,"Yes","No")),"")</f>
        <v>No</v>
      </c>
      <c r="BB217" t="str">
        <f t="shared" si="70"/>
        <v/>
      </c>
      <c r="BC217" t="str">
        <f>IF(AZ217=1,IF(S217="","",IF(S217=N144,"Yes","No")),"")</f>
        <v>Yes</v>
      </c>
      <c r="BD217">
        <f t="shared" si="71"/>
        <v>4.4400000000000004</v>
      </c>
      <c r="BE217" t="str">
        <f t="shared" si="72"/>
        <v>Decreasing</v>
      </c>
      <c r="BF217" t="str">
        <f t="shared" si="73"/>
        <v>Yes</v>
      </c>
      <c r="BG217" t="str">
        <f t="shared" si="74"/>
        <v>No</v>
      </c>
      <c r="BH217" t="str">
        <f t="shared" si="75"/>
        <v>Yes</v>
      </c>
    </row>
    <row r="218" spans="1:60" x14ac:dyDescent="0.3">
      <c r="A218" s="1">
        <v>12</v>
      </c>
      <c r="B218" t="s">
        <v>530</v>
      </c>
      <c r="C218" t="s">
        <v>2794</v>
      </c>
      <c r="D218" t="s">
        <v>2795</v>
      </c>
      <c r="E218" t="s">
        <v>2796</v>
      </c>
      <c r="F218" t="s">
        <v>2797</v>
      </c>
      <c r="G218" t="s">
        <v>2798</v>
      </c>
      <c r="I218" t="str">
        <f t="shared" si="52"/>
        <v>N/A</v>
      </c>
      <c r="J218">
        <f t="shared" si="53"/>
        <v>198010000</v>
      </c>
      <c r="K218">
        <f t="shared" si="54"/>
        <v>199400000</v>
      </c>
      <c r="L218">
        <f t="shared" si="55"/>
        <v>183430000</v>
      </c>
      <c r="M218">
        <f t="shared" si="56"/>
        <v>177840000</v>
      </c>
      <c r="N218">
        <f t="shared" si="57"/>
        <v>149580000</v>
      </c>
      <c r="P218">
        <f t="shared" si="58"/>
        <v>199400000</v>
      </c>
      <c r="Q218">
        <f>IFERROR(J144+MATCH(P218,J218:N218,0)-1,"")</f>
        <v>2013</v>
      </c>
      <c r="R218">
        <f t="shared" si="59"/>
        <v>149580000</v>
      </c>
      <c r="S218">
        <f>IFERROR(J144+MATCH(R218,J218:N218,0)-1,"")</f>
        <v>2016</v>
      </c>
      <c r="T218">
        <f t="shared" si="60"/>
        <v>181652000</v>
      </c>
      <c r="U218">
        <f t="shared" si="61"/>
        <v>20179701.930405214</v>
      </c>
      <c r="V218">
        <f t="shared" si="62"/>
        <v>0.81061653221711027</v>
      </c>
      <c r="W218">
        <f t="shared" si="63"/>
        <v>0.8794976289148595</v>
      </c>
      <c r="X218">
        <f t="shared" si="64"/>
        <v>8.8108338078128248E-2</v>
      </c>
      <c r="Y218">
        <f t="shared" si="65"/>
        <v>-0.18890269108764055</v>
      </c>
      <c r="Z218">
        <f t="shared" si="66"/>
        <v>-1.5893198081224575</v>
      </c>
      <c r="AA218">
        <f t="shared" si="67"/>
        <v>-1.5893198081224575</v>
      </c>
      <c r="AB218">
        <f>IFERROR(V144+MATCH(AA218,V218:Z218,0)-1,"")</f>
        <v>2016</v>
      </c>
      <c r="AC218" t="str">
        <f t="shared" si="68"/>
        <v>Low</v>
      </c>
      <c r="AE218">
        <f>IF(ISNUMBER(MATCH("N/A",J218:N218,0)),"",IFERROR((5 * SUMPRODUCT(J144:N144,J218:N218) - PRODUCT(SUM(J144:N144),SUM(J218:N218))) / ((5 * SUM((J144^2)+(K144^2)+(L144^2)+(M144^2)+(N144^2))) - SUM(J144:N144)^2),""))</f>
        <v>-11842000</v>
      </c>
      <c r="AF218">
        <f>IFERROR(CORREL(J144:N144,J218:N218),"")</f>
        <v>-0.92785543069123977</v>
      </c>
      <c r="AZ218">
        <f t="shared" si="69"/>
        <v>1</v>
      </c>
      <c r="BA218" t="str">
        <f>IF(AZ218=1,IF(Q218="","",IF(Q218=N144,"Yes","No")),"")</f>
        <v>No</v>
      </c>
      <c r="BB218" t="str">
        <f t="shared" si="70"/>
        <v/>
      </c>
      <c r="BC218" t="str">
        <f>IF(AZ218=1,IF(S218="","",IF(S218=N144,"Yes","No")),"")</f>
        <v>Yes</v>
      </c>
      <c r="BD218">
        <f t="shared" si="71"/>
        <v>149580000</v>
      </c>
      <c r="BE218" t="str">
        <f t="shared" si="72"/>
        <v>Decreasing</v>
      </c>
      <c r="BF218" t="str">
        <f t="shared" si="73"/>
        <v>Yes</v>
      </c>
      <c r="BG218" t="str">
        <f t="shared" si="74"/>
        <v>No</v>
      </c>
      <c r="BH218" t="str">
        <f t="shared" si="75"/>
        <v>Yes</v>
      </c>
    </row>
    <row r="219" spans="1:60" x14ac:dyDescent="0.3">
      <c r="A219" s="1">
        <v>13</v>
      </c>
      <c r="B219" t="s">
        <v>535</v>
      </c>
      <c r="C219" t="s">
        <v>2799</v>
      </c>
      <c r="D219" t="s">
        <v>1383</v>
      </c>
      <c r="E219" t="s">
        <v>2800</v>
      </c>
      <c r="F219" t="s">
        <v>2801</v>
      </c>
      <c r="G219" t="s">
        <v>2802</v>
      </c>
      <c r="I219" t="str">
        <f t="shared" si="52"/>
        <v>neg_trend</v>
      </c>
      <c r="J219">
        <f t="shared" si="53"/>
        <v>48340000</v>
      </c>
      <c r="K219">
        <f t="shared" si="54"/>
        <v>44910000</v>
      </c>
      <c r="L219">
        <f t="shared" si="55"/>
        <v>43800000</v>
      </c>
      <c r="M219">
        <f t="shared" si="56"/>
        <v>43080000</v>
      </c>
      <c r="N219">
        <f t="shared" si="57"/>
        <v>26510000</v>
      </c>
      <c r="P219">
        <f t="shared" si="58"/>
        <v>48340000</v>
      </c>
      <c r="Q219">
        <f>IFERROR(J144+MATCH(P219,J219:N219,0)-1,"")</f>
        <v>2012</v>
      </c>
      <c r="R219">
        <f t="shared" si="59"/>
        <v>26510000</v>
      </c>
      <c r="S219">
        <f>IFERROR(J144+MATCH(R219,J219:N219,0)-1,"")</f>
        <v>2016</v>
      </c>
      <c r="T219">
        <f t="shared" si="60"/>
        <v>41328000</v>
      </c>
      <c r="U219">
        <f t="shared" si="61"/>
        <v>8525729.8807785362</v>
      </c>
      <c r="V219">
        <f t="shared" si="62"/>
        <v>0.82245157869811514</v>
      </c>
      <c r="W219">
        <f t="shared" si="63"/>
        <v>0.42013998215867776</v>
      </c>
      <c r="X219">
        <f t="shared" si="64"/>
        <v>0.28994585033396186</v>
      </c>
      <c r="Y219">
        <f t="shared" si="65"/>
        <v>0.2054956026638759</v>
      </c>
      <c r="Z219">
        <f t="shared" si="66"/>
        <v>-1.7380330138546307</v>
      </c>
      <c r="AA219">
        <f t="shared" si="67"/>
        <v>-1.7380330138546307</v>
      </c>
      <c r="AB219">
        <f>IFERROR(V144+MATCH(AA219,V219:Z219,0)-1,"")</f>
        <v>2016</v>
      </c>
      <c r="AC219" t="str">
        <f t="shared" si="68"/>
        <v>Low</v>
      </c>
      <c r="AE219">
        <f>IF(ISNUMBER(MATCH("N/A",J219:N219,0)),"",IFERROR((5 * SUMPRODUCT(J144:N144,J219:N219) - PRODUCT(SUM(J144:N144),SUM(J219:N219))) / ((5 * SUM((J144^2)+(K144^2)+(L144^2)+(M144^2)+(N144^2))) - SUM(J144:N144)^2),""))</f>
        <v>-4549000</v>
      </c>
      <c r="AF219">
        <f>IFERROR(CORREL(J144:N144,J219:N219),"")</f>
        <v>-0.84363457893134397</v>
      </c>
      <c r="AZ219">
        <f t="shared" si="69"/>
        <v>1</v>
      </c>
      <c r="BA219" t="str">
        <f>IF(AZ219=1,IF(Q219="","",IF(Q219=N144,"Yes","No")),"")</f>
        <v>No</v>
      </c>
      <c r="BB219" t="str">
        <f t="shared" si="70"/>
        <v/>
      </c>
      <c r="BC219" t="str">
        <f>IF(AZ219=1,IF(S219="","",IF(S219=N144,"Yes","No")),"")</f>
        <v>Yes</v>
      </c>
      <c r="BD219">
        <f t="shared" si="71"/>
        <v>26510000</v>
      </c>
      <c r="BE219" t="str">
        <f t="shared" si="72"/>
        <v>Decreasing</v>
      </c>
      <c r="BF219" t="str">
        <f t="shared" si="73"/>
        <v>Yes</v>
      </c>
      <c r="BG219" t="str">
        <f t="shared" si="74"/>
        <v>No</v>
      </c>
      <c r="BH219" t="str">
        <f t="shared" si="75"/>
        <v>Yes</v>
      </c>
    </row>
    <row r="220" spans="1:60" x14ac:dyDescent="0.3">
      <c r="A220" s="1">
        <v>14</v>
      </c>
      <c r="B220" t="s">
        <v>536</v>
      </c>
      <c r="C220" t="s">
        <v>2803</v>
      </c>
      <c r="D220" t="s">
        <v>2804</v>
      </c>
      <c r="E220" t="s">
        <v>2805</v>
      </c>
      <c r="F220" t="s">
        <v>2806</v>
      </c>
      <c r="G220" t="s">
        <v>2807</v>
      </c>
      <c r="I220" t="str">
        <f t="shared" si="52"/>
        <v>N/A</v>
      </c>
      <c r="J220">
        <f t="shared" si="53"/>
        <v>86560000</v>
      </c>
      <c r="K220">
        <f t="shared" si="54"/>
        <v>95240000</v>
      </c>
      <c r="L220">
        <f t="shared" si="55"/>
        <v>82130000</v>
      </c>
      <c r="M220">
        <f t="shared" si="56"/>
        <v>83320000</v>
      </c>
      <c r="N220">
        <f t="shared" si="57"/>
        <v>68720000</v>
      </c>
      <c r="P220">
        <f t="shared" si="58"/>
        <v>95240000</v>
      </c>
      <c r="Q220">
        <f>IFERROR(J144+MATCH(P220,J220:N220,0)-1,"")</f>
        <v>2013</v>
      </c>
      <c r="R220">
        <f t="shared" si="59"/>
        <v>68720000</v>
      </c>
      <c r="S220">
        <f>IFERROR(J144+MATCH(R220,J220:N220,0)-1,"")</f>
        <v>2016</v>
      </c>
      <c r="T220">
        <f t="shared" si="60"/>
        <v>83194000</v>
      </c>
      <c r="U220">
        <f t="shared" si="61"/>
        <v>9579675.3598438818</v>
      </c>
      <c r="V220">
        <f t="shared" si="62"/>
        <v>0.35136890067377557</v>
      </c>
      <c r="W220">
        <f t="shared" si="63"/>
        <v>1.2574538851801249</v>
      </c>
      <c r="X220">
        <f t="shared" si="64"/>
        <v>-0.11106848197174604</v>
      </c>
      <c r="Y220">
        <f t="shared" si="65"/>
        <v>1.3152846549285715E-2</v>
      </c>
      <c r="Z220">
        <f t="shared" si="66"/>
        <v>-1.5109071504314402</v>
      </c>
      <c r="AA220">
        <f t="shared" si="67"/>
        <v>-1.5109071504314402</v>
      </c>
      <c r="AB220">
        <f>IFERROR(V144+MATCH(AA220,V220:Z220,0)-1,"")</f>
        <v>2016</v>
      </c>
      <c r="AC220" t="str">
        <f t="shared" si="68"/>
        <v>Low</v>
      </c>
      <c r="AE220">
        <f>IF(ISNUMBER(MATCH("N/A",J220:N220,0)),"",IFERROR((5 * SUMPRODUCT(J144:N144,J220:N220) - PRODUCT(SUM(J144:N144),SUM(J220:N220))) / ((5 * SUM((J144^2)+(K144^2)+(L144^2)+(M144^2)+(N144^2))) - SUM(J144:N144)^2),""))</f>
        <v>-4760000</v>
      </c>
      <c r="AF220">
        <f>IFERROR(CORREL(J144:N144,J220:N220),"")</f>
        <v>-0.78564466419699175</v>
      </c>
      <c r="AZ220">
        <f t="shared" si="69"/>
        <v>1</v>
      </c>
      <c r="BA220" t="str">
        <f>IF(AZ220=1,IF(Q220="","",IF(Q220=N144,"Yes","No")),"")</f>
        <v>No</v>
      </c>
      <c r="BB220" t="str">
        <f t="shared" si="70"/>
        <v/>
      </c>
      <c r="BC220" t="str">
        <f>IF(AZ220=1,IF(S220="","",IF(S220=N144,"Yes","No")),"")</f>
        <v>Yes</v>
      </c>
      <c r="BD220">
        <f t="shared" si="71"/>
        <v>68720000</v>
      </c>
      <c r="BE220" t="str">
        <f t="shared" si="72"/>
        <v>Decreasing</v>
      </c>
      <c r="BF220" t="str">
        <f t="shared" si="73"/>
        <v>Yes</v>
      </c>
      <c r="BG220" t="str">
        <f t="shared" si="74"/>
        <v>No</v>
      </c>
      <c r="BH220" t="str">
        <f t="shared" si="75"/>
        <v>No</v>
      </c>
    </row>
    <row r="221" spans="1:60" x14ac:dyDescent="0.3">
      <c r="A221" s="1">
        <v>15</v>
      </c>
      <c r="B221" t="s">
        <v>537</v>
      </c>
      <c r="C221" t="s">
        <v>2808</v>
      </c>
      <c r="D221" t="s">
        <v>2809</v>
      </c>
      <c r="E221" t="s">
        <v>2810</v>
      </c>
      <c r="F221" t="s">
        <v>2811</v>
      </c>
      <c r="G221" t="s">
        <v>2812</v>
      </c>
      <c r="I221" t="str">
        <f t="shared" si="52"/>
        <v>N/A</v>
      </c>
      <c r="J221">
        <f t="shared" si="53"/>
        <v>63100000</v>
      </c>
      <c r="K221">
        <f t="shared" si="54"/>
        <v>59260000</v>
      </c>
      <c r="L221">
        <f t="shared" si="55"/>
        <v>57510000</v>
      </c>
      <c r="M221">
        <f t="shared" si="56"/>
        <v>51440000</v>
      </c>
      <c r="N221">
        <f t="shared" si="57"/>
        <v>54360000</v>
      </c>
      <c r="P221">
        <f t="shared" si="58"/>
        <v>63100000</v>
      </c>
      <c r="Q221">
        <f>IFERROR(J144+MATCH(P221,J221:N221,0)-1,"")</f>
        <v>2012</v>
      </c>
      <c r="R221">
        <f t="shared" si="59"/>
        <v>51440000</v>
      </c>
      <c r="S221">
        <f>IFERROR(J144+MATCH(R221,J221:N221,0)-1,"")</f>
        <v>2015</v>
      </c>
      <c r="T221">
        <f t="shared" si="60"/>
        <v>57134000</v>
      </c>
      <c r="U221">
        <f t="shared" si="61"/>
        <v>4482497.0719455024</v>
      </c>
      <c r="V221">
        <f t="shared" si="62"/>
        <v>1.3309545782727359</v>
      </c>
      <c r="W221">
        <f t="shared" si="63"/>
        <v>0.47428921109752542</v>
      </c>
      <c r="X221">
        <f t="shared" si="64"/>
        <v>8.3881817202572706E-2</v>
      </c>
      <c r="Y221">
        <f t="shared" si="65"/>
        <v>-1.2702741147644918</v>
      </c>
      <c r="Z221">
        <f t="shared" si="66"/>
        <v>-0.6188514918083422</v>
      </c>
      <c r="AA221">
        <f t="shared" si="67"/>
        <v>1.3309545782727359</v>
      </c>
      <c r="AB221">
        <f>IFERROR(V144+MATCH(AA221,V221:Z221,0)-1,"")</f>
        <v>2012</v>
      </c>
      <c r="AC221" t="str">
        <f t="shared" si="68"/>
        <v>High</v>
      </c>
      <c r="AE221">
        <f>IF(ISNUMBER(MATCH("N/A",J221:N221,0)),"",IFERROR((5 * SUMPRODUCT(J144:N144,J221:N221) - PRODUCT(SUM(J144:N144),SUM(J221:N221))) / ((5 * SUM((J144^2)+(K144^2)+(L144^2)+(M144^2)+(N144^2))) - SUM(J144:N144)^2),""))</f>
        <v>-2530000</v>
      </c>
      <c r="AF221">
        <f>IFERROR(CORREL(J144:N144,J221:N221),"")</f>
        <v>-0.8924224993139348</v>
      </c>
      <c r="AZ221">
        <f t="shared" si="69"/>
        <v>1</v>
      </c>
      <c r="BA221" t="str">
        <f>IF(AZ221=1,IF(Q221="","",IF(Q221=N144,"Yes","No")),"")</f>
        <v>No</v>
      </c>
      <c r="BB221" t="str">
        <f t="shared" si="70"/>
        <v/>
      </c>
      <c r="BC221" t="str">
        <f>IF(AZ221=1,IF(S221="","",IF(S221=N144,"Yes","No")),"")</f>
        <v>No</v>
      </c>
      <c r="BD221" t="str">
        <f t="shared" si="71"/>
        <v/>
      </c>
      <c r="BE221" t="str">
        <f t="shared" si="72"/>
        <v>Decreasing</v>
      </c>
      <c r="BF221" t="str">
        <f t="shared" si="73"/>
        <v>No</v>
      </c>
      <c r="BG221" t="str">
        <f t="shared" si="74"/>
        <v>No</v>
      </c>
      <c r="BH221" t="str">
        <f t="shared" si="75"/>
        <v>Yes</v>
      </c>
    </row>
    <row r="222" spans="1:60" x14ac:dyDescent="0.3">
      <c r="A222" s="1">
        <v>16</v>
      </c>
      <c r="B222" t="s">
        <v>538</v>
      </c>
      <c r="C222" t="s">
        <v>264</v>
      </c>
      <c r="D222" t="s">
        <v>264</v>
      </c>
      <c r="E222" t="s">
        <v>264</v>
      </c>
      <c r="F222" t="s">
        <v>264</v>
      </c>
      <c r="G222" t="s">
        <v>264</v>
      </c>
      <c r="I222" t="str">
        <f t="shared" si="52"/>
        <v>N/A</v>
      </c>
      <c r="J222" t="str">
        <f t="shared" si="53"/>
        <v>N/A</v>
      </c>
      <c r="K222" t="str">
        <f t="shared" si="54"/>
        <v>N/A</v>
      </c>
      <c r="L222" t="str">
        <f t="shared" si="55"/>
        <v>N/A</v>
      </c>
      <c r="M222" t="str">
        <f t="shared" si="56"/>
        <v>N/A</v>
      </c>
      <c r="N222" t="str">
        <f t="shared" si="57"/>
        <v>N/A</v>
      </c>
      <c r="P222">
        <f t="shared" si="58"/>
        <v>0</v>
      </c>
      <c r="Q222" t="str">
        <f>IFERROR(J144+MATCH(P222,J222:N222,0)-1,"")</f>
        <v/>
      </c>
      <c r="R222" t="str">
        <f t="shared" si="59"/>
        <v/>
      </c>
      <c r="S222" t="str">
        <f>IFERROR(J144+MATCH(R222,J222:N222,0)-1,"")</f>
        <v/>
      </c>
      <c r="T222" t="str">
        <f t="shared" si="60"/>
        <v/>
      </c>
      <c r="U222" t="str">
        <f t="shared" si="61"/>
        <v/>
      </c>
      <c r="V222" t="str">
        <f t="shared" si="62"/>
        <v/>
      </c>
      <c r="W222" t="str">
        <f t="shared" si="63"/>
        <v/>
      </c>
      <c r="X222" t="str">
        <f t="shared" si="64"/>
        <v/>
      </c>
      <c r="Y222" t="str">
        <f t="shared" si="65"/>
        <v/>
      </c>
      <c r="Z222" t="str">
        <f t="shared" si="66"/>
        <v/>
      </c>
      <c r="AA222">
        <f t="shared" si="67"/>
        <v>0</v>
      </c>
      <c r="AB222" t="str">
        <f>IFERROR(V144+MATCH(AA222,V222:Z222,0)-1,"")</f>
        <v/>
      </c>
      <c r="AC222" t="str">
        <f t="shared" si="68"/>
        <v/>
      </c>
      <c r="AE222" t="str">
        <f>IF(ISNUMBER(MATCH("N/A",J222:N222,0)),"",IFERROR((5 * SUMPRODUCT(J144:N144,J222:N222) - PRODUCT(SUM(J144:N144),SUM(J222:N222))) / ((5 * SUM((J144^2)+(K144^2)+(L144^2)+(M144^2)+(N144^2))) - SUM(J144:N144)^2),""))</f>
        <v/>
      </c>
      <c r="AF222" t="str">
        <f>IFERROR(CORREL(J144:N144,J222:N222),"")</f>
        <v/>
      </c>
      <c r="AZ222">
        <f t="shared" si="69"/>
        <v>0</v>
      </c>
      <c r="BA222" t="str">
        <f>IF(AZ222=1,IF(Q222="","",IF(Q222=N144,"Yes","No")),"")</f>
        <v/>
      </c>
      <c r="BB222" t="str">
        <f t="shared" si="70"/>
        <v/>
      </c>
      <c r="BC222" t="str">
        <f>IF(AZ222=1,IF(S222="","",IF(S222=N144,"Yes","No")),"")</f>
        <v/>
      </c>
      <c r="BD222" t="str">
        <f t="shared" si="71"/>
        <v/>
      </c>
      <c r="BE222" t="str">
        <f t="shared" si="72"/>
        <v/>
      </c>
      <c r="BF222" t="str">
        <f t="shared" si="73"/>
        <v>No</v>
      </c>
      <c r="BG222" t="str">
        <f t="shared" si="74"/>
        <v>No</v>
      </c>
      <c r="BH222" t="str">
        <f t="shared" si="75"/>
        <v/>
      </c>
    </row>
    <row r="223" spans="1:60" x14ac:dyDescent="0.3">
      <c r="A223" s="1">
        <v>17</v>
      </c>
      <c r="B223" t="s">
        <v>539</v>
      </c>
      <c r="C223" t="s">
        <v>2813</v>
      </c>
      <c r="D223" t="s">
        <v>2814</v>
      </c>
      <c r="E223" t="s">
        <v>2815</v>
      </c>
      <c r="F223" t="s">
        <v>1498</v>
      </c>
      <c r="G223" t="s">
        <v>2816</v>
      </c>
      <c r="I223" t="str">
        <f t="shared" si="52"/>
        <v>N/A</v>
      </c>
      <c r="J223">
        <f t="shared" si="53"/>
        <v>32560000.000000004</v>
      </c>
      <c r="K223">
        <f t="shared" si="54"/>
        <v>37500000</v>
      </c>
      <c r="L223">
        <f t="shared" si="55"/>
        <v>44490000</v>
      </c>
      <c r="M223">
        <f t="shared" si="56"/>
        <v>16440000.000000002</v>
      </c>
      <c r="N223">
        <f t="shared" si="57"/>
        <v>29560000</v>
      </c>
      <c r="P223">
        <f t="shared" si="58"/>
        <v>44490000</v>
      </c>
      <c r="Q223">
        <f>IFERROR(J144+MATCH(P223,J223:N223,0)-1,"")</f>
        <v>2014</v>
      </c>
      <c r="R223">
        <f t="shared" si="59"/>
        <v>16440000.000000002</v>
      </c>
      <c r="S223">
        <f>IFERROR(J144+MATCH(R223,J223:N223,0)-1,"")</f>
        <v>2015</v>
      </c>
      <c r="T223">
        <f t="shared" si="60"/>
        <v>32110000</v>
      </c>
      <c r="U223">
        <f t="shared" si="61"/>
        <v>10423176.099443009</v>
      </c>
      <c r="V223">
        <f t="shared" si="62"/>
        <v>4.3173020939754697E-2</v>
      </c>
      <c r="W223">
        <f t="shared" si="63"/>
        <v>0.5171168508117242</v>
      </c>
      <c r="X223">
        <f t="shared" si="64"/>
        <v>1.1877377760759082</v>
      </c>
      <c r="Y223">
        <f t="shared" si="65"/>
        <v>-1.5033805291687787</v>
      </c>
      <c r="Z223">
        <f t="shared" si="66"/>
        <v>-0.24464711865860791</v>
      </c>
      <c r="AA223">
        <f t="shared" si="67"/>
        <v>-1.5033805291687787</v>
      </c>
      <c r="AB223">
        <f>IFERROR(V144+MATCH(AA223,V223:Z223,0)-1,"")</f>
        <v>2015</v>
      </c>
      <c r="AC223" t="str">
        <f t="shared" si="68"/>
        <v>Low</v>
      </c>
      <c r="AE223">
        <f>IF(ISNUMBER(MATCH("N/A",J223:N223,0)),"",IFERROR((5 * SUMPRODUCT(J144:N144,J223:N223) - PRODUCT(SUM(J144:N144),SUM(J223:N223))) / ((5 * SUM((J144^2)+(K144^2)+(L144^2)+(M144^2)+(N144^2))) - SUM(J144:N144)^2),""))</f>
        <v>-2706000</v>
      </c>
      <c r="AF223">
        <f>IFERROR(CORREL(J144:N144,J223:N223),"")</f>
        <v>-0.41048540611689893</v>
      </c>
      <c r="AZ223">
        <f t="shared" si="69"/>
        <v>1</v>
      </c>
      <c r="BA223" t="str">
        <f>IF(AZ223=1,IF(Q223="","",IF(Q223=N144,"Yes","No")),"")</f>
        <v>No</v>
      </c>
      <c r="BB223" t="str">
        <f t="shared" si="70"/>
        <v/>
      </c>
      <c r="BC223" t="str">
        <f>IF(AZ223=1,IF(S223="","",IF(S223=N144,"Yes","No")),"")</f>
        <v>No</v>
      </c>
      <c r="BD223" t="str">
        <f t="shared" si="71"/>
        <v/>
      </c>
      <c r="BE223" t="str">
        <f t="shared" si="72"/>
        <v>Decreasing</v>
      </c>
      <c r="BF223" t="str">
        <f t="shared" si="73"/>
        <v>No</v>
      </c>
      <c r="BG223" t="str">
        <f t="shared" si="74"/>
        <v>No</v>
      </c>
      <c r="BH223" t="str">
        <f t="shared" si="75"/>
        <v>No</v>
      </c>
    </row>
    <row r="224" spans="1:60" x14ac:dyDescent="0.3">
      <c r="A224" s="1">
        <v>18</v>
      </c>
      <c r="B224" t="s">
        <v>540</v>
      </c>
      <c r="C224" t="s">
        <v>2813</v>
      </c>
      <c r="D224" t="s">
        <v>2814</v>
      </c>
      <c r="E224" t="s">
        <v>2815</v>
      </c>
      <c r="F224" t="s">
        <v>1498</v>
      </c>
      <c r="G224" t="s">
        <v>2816</v>
      </c>
      <c r="I224" t="str">
        <f t="shared" si="52"/>
        <v>N/A</v>
      </c>
      <c r="J224">
        <f t="shared" si="53"/>
        <v>32560000.000000004</v>
      </c>
      <c r="K224">
        <f t="shared" si="54"/>
        <v>37500000</v>
      </c>
      <c r="L224">
        <f t="shared" si="55"/>
        <v>44490000</v>
      </c>
      <c r="M224">
        <f t="shared" si="56"/>
        <v>16440000.000000002</v>
      </c>
      <c r="N224">
        <f t="shared" si="57"/>
        <v>29560000</v>
      </c>
      <c r="P224">
        <f t="shared" si="58"/>
        <v>44490000</v>
      </c>
      <c r="Q224">
        <f>IFERROR(J144+MATCH(P224,J224:N224,0)-1,"")</f>
        <v>2014</v>
      </c>
      <c r="R224">
        <f t="shared" si="59"/>
        <v>16440000.000000002</v>
      </c>
      <c r="S224">
        <f>IFERROR(J144+MATCH(R224,J224:N224,0)-1,"")</f>
        <v>2015</v>
      </c>
      <c r="T224">
        <f t="shared" si="60"/>
        <v>32110000</v>
      </c>
      <c r="U224">
        <f t="shared" si="61"/>
        <v>10423176.099443009</v>
      </c>
      <c r="V224">
        <f t="shared" si="62"/>
        <v>4.3173020939754697E-2</v>
      </c>
      <c r="W224">
        <f t="shared" si="63"/>
        <v>0.5171168508117242</v>
      </c>
      <c r="X224">
        <f t="shared" si="64"/>
        <v>1.1877377760759082</v>
      </c>
      <c r="Y224">
        <f t="shared" si="65"/>
        <v>-1.5033805291687787</v>
      </c>
      <c r="Z224">
        <f t="shared" si="66"/>
        <v>-0.24464711865860791</v>
      </c>
      <c r="AA224">
        <f t="shared" si="67"/>
        <v>-1.5033805291687787</v>
      </c>
      <c r="AB224">
        <f>IFERROR(V144+MATCH(AA224,V224:Z224,0)-1,"")</f>
        <v>2015</v>
      </c>
      <c r="AC224" t="str">
        <f t="shared" si="68"/>
        <v>Low</v>
      </c>
      <c r="AE224">
        <f>IF(ISNUMBER(MATCH("N/A",J224:N224,0)),"",IFERROR((5 * SUMPRODUCT(J144:N144,J224:N224) - PRODUCT(SUM(J144:N144),SUM(J224:N224))) / ((5 * SUM((J144^2)+(K144^2)+(L144^2)+(M144^2)+(N144^2))) - SUM(J144:N144)^2),""))</f>
        <v>-2706000</v>
      </c>
      <c r="AF224">
        <f>IFERROR(CORREL(J144:N144,J224:N224),"")</f>
        <v>-0.41048540611689893</v>
      </c>
      <c r="AZ224">
        <f t="shared" si="69"/>
        <v>1</v>
      </c>
      <c r="BA224" t="str">
        <f>IF(AZ224=1,IF(Q224="","",IF(Q224=N144,"Yes","No")),"")</f>
        <v>No</v>
      </c>
      <c r="BB224" t="str">
        <f t="shared" si="70"/>
        <v/>
      </c>
      <c r="BC224" t="str">
        <f>IF(AZ224=1,IF(S224="","",IF(S224=N144,"Yes","No")),"")</f>
        <v>No</v>
      </c>
      <c r="BD224" t="str">
        <f t="shared" si="71"/>
        <v/>
      </c>
      <c r="BE224" t="str">
        <f t="shared" si="72"/>
        <v>Decreasing</v>
      </c>
      <c r="BF224" t="str">
        <f t="shared" si="73"/>
        <v>No</v>
      </c>
      <c r="BG224" t="str">
        <f t="shared" si="74"/>
        <v>No</v>
      </c>
      <c r="BH224" t="str">
        <f t="shared" si="75"/>
        <v>No</v>
      </c>
    </row>
    <row r="225" spans="1:60" x14ac:dyDescent="0.3">
      <c r="A225" s="1">
        <v>19</v>
      </c>
      <c r="B225" t="s">
        <v>541</v>
      </c>
      <c r="C225" t="s">
        <v>2817</v>
      </c>
      <c r="D225" t="s">
        <v>2818</v>
      </c>
      <c r="E225" t="s">
        <v>2819</v>
      </c>
      <c r="F225" t="s">
        <v>2820</v>
      </c>
      <c r="G225" t="s">
        <v>2821</v>
      </c>
      <c r="I225" t="str">
        <f t="shared" si="52"/>
        <v>N/A</v>
      </c>
      <c r="J225">
        <f t="shared" si="53"/>
        <v>443230000</v>
      </c>
      <c r="K225">
        <f t="shared" si="54"/>
        <v>483920000</v>
      </c>
      <c r="L225">
        <f t="shared" si="55"/>
        <v>506030000</v>
      </c>
      <c r="M225">
        <f t="shared" si="56"/>
        <v>374450000</v>
      </c>
      <c r="N225">
        <f t="shared" si="57"/>
        <v>370470000</v>
      </c>
      <c r="P225">
        <f t="shared" si="58"/>
        <v>506030000</v>
      </c>
      <c r="Q225">
        <f>IFERROR(J144+MATCH(P225,J225:N225,0)-1,"")</f>
        <v>2014</v>
      </c>
      <c r="R225">
        <f t="shared" si="59"/>
        <v>370470000</v>
      </c>
      <c r="S225">
        <f>IFERROR(J144+MATCH(R225,J225:N225,0)-1,"")</f>
        <v>2016</v>
      </c>
      <c r="T225">
        <f t="shared" si="60"/>
        <v>435620000</v>
      </c>
      <c r="U225">
        <f t="shared" si="61"/>
        <v>61916600.358869836</v>
      </c>
      <c r="V225">
        <f t="shared" si="62"/>
        <v>0.12290726486745542</v>
      </c>
      <c r="W225">
        <f t="shared" si="63"/>
        <v>0.78008158910618874</v>
      </c>
      <c r="X225">
        <f t="shared" si="64"/>
        <v>1.1371748382808851</v>
      </c>
      <c r="Y225">
        <f t="shared" si="65"/>
        <v>-0.9879418386257881</v>
      </c>
      <c r="Z225">
        <f t="shared" si="66"/>
        <v>-1.0522218536287411</v>
      </c>
      <c r="AA225">
        <f t="shared" si="67"/>
        <v>1.1371748382808851</v>
      </c>
      <c r="AB225">
        <f>IFERROR(V144+MATCH(AA225,V225:Z225,0)-1,"")</f>
        <v>2014</v>
      </c>
      <c r="AC225" t="str">
        <f t="shared" si="68"/>
        <v>High</v>
      </c>
      <c r="AE225">
        <f>IF(ISNUMBER(MATCH("N/A",J225:N225,0)),"",IFERROR((5 * SUMPRODUCT(J144:N144,J225:N225) - PRODUCT(SUM(J144:N144),SUM(J225:N225))) / ((5 * SUM((J144^2)+(K144^2)+(L144^2)+(M144^2)+(N144^2))) - SUM(J144:N144)^2),""))</f>
        <v>-25499000</v>
      </c>
      <c r="AF225">
        <f>IFERROR(CORREL(J144:N144,J225:N225),"")</f>
        <v>-0.65115750533194594</v>
      </c>
      <c r="AZ225">
        <f t="shared" si="69"/>
        <v>1</v>
      </c>
      <c r="BA225" t="str">
        <f>IF(AZ225=1,IF(Q225="","",IF(Q225=N144,"Yes","No")),"")</f>
        <v>No</v>
      </c>
      <c r="BB225" t="str">
        <f t="shared" si="70"/>
        <v/>
      </c>
      <c r="BC225" t="str">
        <f>IF(AZ225=1,IF(S225="","",IF(S225=N144,"Yes","No")),"")</f>
        <v>Yes</v>
      </c>
      <c r="BD225">
        <f t="shared" si="71"/>
        <v>370470000</v>
      </c>
      <c r="BE225" t="str">
        <f t="shared" si="72"/>
        <v>Decreasing</v>
      </c>
      <c r="BF225" t="str">
        <f t="shared" si="73"/>
        <v>Yes</v>
      </c>
      <c r="BG225" t="str">
        <f t="shared" si="74"/>
        <v>No</v>
      </c>
      <c r="BH225" t="str">
        <f t="shared" si="75"/>
        <v>No</v>
      </c>
    </row>
    <row r="226" spans="1:60" x14ac:dyDescent="0.3">
      <c r="I226" t="str">
        <f t="shared" si="52"/>
        <v>N/A</v>
      </c>
      <c r="J226" t="str">
        <f t="shared" si="53"/>
        <v>N/A</v>
      </c>
      <c r="K226" t="str">
        <f t="shared" si="54"/>
        <v>N/A</v>
      </c>
      <c r="L226" t="str">
        <f t="shared" si="55"/>
        <v>N/A</v>
      </c>
      <c r="M226" t="str">
        <f t="shared" si="56"/>
        <v>N/A</v>
      </c>
      <c r="N226" t="str">
        <f t="shared" si="57"/>
        <v>N/A</v>
      </c>
      <c r="P226">
        <f t="shared" si="58"/>
        <v>0</v>
      </c>
      <c r="Q226" t="str">
        <f>IFERROR(J144+MATCH(P226,J226:N226,0)-1,"")</f>
        <v/>
      </c>
      <c r="R226" t="str">
        <f t="shared" si="59"/>
        <v/>
      </c>
      <c r="S226" t="str">
        <f>IFERROR(J144+MATCH(R226,J226:N226,0)-1,"")</f>
        <v/>
      </c>
      <c r="T226" t="str">
        <f t="shared" si="60"/>
        <v/>
      </c>
      <c r="U226" t="str">
        <f t="shared" si="61"/>
        <v/>
      </c>
      <c r="V226" t="str">
        <f t="shared" si="62"/>
        <v/>
      </c>
      <c r="W226" t="str">
        <f t="shared" si="63"/>
        <v/>
      </c>
      <c r="X226" t="str">
        <f t="shared" si="64"/>
        <v/>
      </c>
      <c r="Y226" t="str">
        <f t="shared" si="65"/>
        <v/>
      </c>
      <c r="Z226" t="str">
        <f t="shared" si="66"/>
        <v/>
      </c>
      <c r="AA226">
        <f t="shared" si="67"/>
        <v>0</v>
      </c>
      <c r="AB226" t="str">
        <f>IFERROR(V144+MATCH(AA226,V226:Z226,0)-1,"")</f>
        <v/>
      </c>
      <c r="AC226" t="str">
        <f t="shared" si="68"/>
        <v/>
      </c>
      <c r="AE226" t="str">
        <f>IF(ISNUMBER(MATCH("N/A",J226:N226,0)),"",IFERROR((5 * SUMPRODUCT(J144:N144,J226:N226) - PRODUCT(SUM(J144:N144),SUM(J226:N226))) / ((5 * SUM((J144^2)+(K144^2)+(L144^2)+(M144^2)+(N144^2))) - SUM(J144:N144)^2),""))</f>
        <v/>
      </c>
      <c r="AF226" t="str">
        <f>IFERROR(CORREL(J144:N144,J226:N226),"")</f>
        <v/>
      </c>
      <c r="AZ226">
        <f t="shared" si="69"/>
        <v>0</v>
      </c>
      <c r="BA226" t="str">
        <f>IF(AZ226=1,IF(Q226="","",IF(Q226=N144,"Yes","No")),"")</f>
        <v/>
      </c>
      <c r="BB226" t="str">
        <f t="shared" si="70"/>
        <v/>
      </c>
      <c r="BC226" t="str">
        <f>IF(AZ226=1,IF(S226="","",IF(S226=N144,"Yes","No")),"")</f>
        <v/>
      </c>
      <c r="BD226" t="str">
        <f t="shared" si="71"/>
        <v/>
      </c>
      <c r="BE226" t="str">
        <f t="shared" si="72"/>
        <v/>
      </c>
      <c r="BF226" t="str">
        <f t="shared" si="73"/>
        <v>No</v>
      </c>
      <c r="BG226" t="str">
        <f t="shared" si="74"/>
        <v>No</v>
      </c>
      <c r="BH226" t="str">
        <f t="shared" si="75"/>
        <v/>
      </c>
    </row>
    <row r="227" spans="1:60" x14ac:dyDescent="0.3">
      <c r="B227" s="1" t="s">
        <v>316</v>
      </c>
      <c r="C227" s="1" t="s">
        <v>252</v>
      </c>
      <c r="D227" s="1" t="s">
        <v>253</v>
      </c>
      <c r="E227" s="1" t="s">
        <v>254</v>
      </c>
      <c r="F227" s="1" t="s">
        <v>255</v>
      </c>
      <c r="G227" s="1" t="s">
        <v>256</v>
      </c>
      <c r="H227" s="1" t="s">
        <v>257</v>
      </c>
      <c r="P227">
        <f t="shared" si="58"/>
        <v>0</v>
      </c>
      <c r="Q227" t="str">
        <f>IFERROR(J144+MATCH(P227,J227:N227,0)-1,"")</f>
        <v/>
      </c>
      <c r="R227" t="str">
        <f t="shared" si="59"/>
        <v/>
      </c>
      <c r="S227" t="str">
        <f>IFERROR(J144+MATCH(R227,J227:N227,0)-1,"")</f>
        <v/>
      </c>
      <c r="T227" t="str">
        <f t="shared" si="60"/>
        <v/>
      </c>
      <c r="U227" t="str">
        <f t="shared" si="61"/>
        <v/>
      </c>
      <c r="V227" t="str">
        <f t="shared" si="62"/>
        <v/>
      </c>
      <c r="W227" t="str">
        <f t="shared" si="63"/>
        <v/>
      </c>
      <c r="X227" t="str">
        <f t="shared" si="64"/>
        <v/>
      </c>
      <c r="Y227" t="str">
        <f t="shared" si="65"/>
        <v/>
      </c>
      <c r="Z227" t="str">
        <f t="shared" si="66"/>
        <v/>
      </c>
      <c r="AA227">
        <f t="shared" si="67"/>
        <v>0</v>
      </c>
      <c r="AB227" t="str">
        <f>IFERROR(V144+MATCH(AA227,V227:Z227,0)-1,"")</f>
        <v/>
      </c>
      <c r="AC227" t="str">
        <f t="shared" si="68"/>
        <v/>
      </c>
      <c r="AE227">
        <f>IF(ISNUMBER(MATCH("N/A",J227:N227,0)),"",IFERROR((5 * SUMPRODUCT(J144:N144,J227:N227) - PRODUCT(SUM(J144:N144),SUM(J227:N227))) / ((5 * SUM((J144^2)+(K144^2)+(L144^2)+(M144^2)+(N144^2))) - SUM(J144:N144)^2),""))</f>
        <v>0</v>
      </c>
      <c r="AF227" t="str">
        <f>IFERROR(CORREL(J144:N144,J227:N227),"")</f>
        <v/>
      </c>
      <c r="AZ227">
        <f t="shared" si="69"/>
        <v>0</v>
      </c>
      <c r="BA227" t="str">
        <f>IF(AZ227=1,IF(Q227="","",IF(Q227=N144,"Yes","No")),"")</f>
        <v/>
      </c>
      <c r="BB227" t="str">
        <f t="shared" si="70"/>
        <v/>
      </c>
      <c r="BC227" t="str">
        <f>IF(AZ227=1,IF(S227="","",IF(S227=N144,"Yes","No")),"")</f>
        <v/>
      </c>
      <c r="BD227" t="str">
        <f t="shared" si="71"/>
        <v/>
      </c>
      <c r="BE227" t="str">
        <f t="shared" si="72"/>
        <v/>
      </c>
      <c r="BF227" t="str">
        <f t="shared" si="73"/>
        <v>No</v>
      </c>
      <c r="BG227" t="str">
        <f t="shared" si="74"/>
        <v>No</v>
      </c>
      <c r="BH227" t="str">
        <f t="shared" si="75"/>
        <v/>
      </c>
    </row>
    <row r="228" spans="1:60" x14ac:dyDescent="0.3">
      <c r="A228" s="1">
        <v>0</v>
      </c>
      <c r="B228" t="s">
        <v>546</v>
      </c>
      <c r="C228" t="s">
        <v>2822</v>
      </c>
      <c r="D228" t="s">
        <v>2823</v>
      </c>
      <c r="E228" t="s">
        <v>2824</v>
      </c>
      <c r="F228" t="s">
        <v>2825</v>
      </c>
      <c r="G228" t="s">
        <v>2826</v>
      </c>
      <c r="I228" t="str">
        <f t="shared" ref="I228:I245" si="76">IF(AND(K228&gt; J228, L228&gt; K228, M228&gt; L228, N228&gt; M228), "pos_trend", IF(AND(K228&lt; J228, L228&lt; K228, M228&lt; L228, N228&lt; M228), "neg_trend", "N/A"))</f>
        <v>N/A</v>
      </c>
      <c r="J228">
        <f t="shared" ref="J228:J245" si="77">IFERROR(IF(TRIM(C228)="-", "N/A", IF(RIGHT(C228,1)=")",IF(RIGHT(C228,2)="T)",-1000000000000*VALUE(MID(C228,2,LEN(C228)-3)),IF(RIGHT(C228,2)="M)",-1000000*VALUE(MID(C228,2,LEN(C228)-3)),IF(RIGHT(C228,2)="B)",-1000000000*VALUE(MID(C228,2,LEN(C228)-3)),IF(RIGHT(C228,2)="k)",-1000*VALUE(MID(C228,2,LEN(C228)-3)),VALUE(SUBSTITUTE(C228,",","")))))),IF(RIGHT(C228,1)="T",1000000000000*VALUE(LEFT(C228,LEN(C228)-1)),IF(RIGHT(C228,1)="M",1000000*VALUE(LEFT(C228,LEN(C228)-1)),IF(RIGHT(C228,1)="B",1000000000*VALUE(LEFT(C228,LEN(C228)-1)),IF(RIGHT(C228,1)="%",0.01*VALUE(LEFT(C228,LEN(C228)-1)),IF(RIGHT(C228,1)="k",1000*VALUE(LEFT(C228,LEN(C228)-1)),VALUE(SUBSTITUTE(C228,",",""))))))))),"N/A")</f>
        <v>105900000</v>
      </c>
      <c r="K228">
        <f t="shared" ref="K228:K245" si="78">IFERROR(IF(TRIM(D228)="-", "N/A", IF(RIGHT(D228,1)=")",IF(RIGHT(D228,2)="T)",-1000000000000*VALUE(MID(D228,2,LEN(D228)-3)),IF(RIGHT(D228,2)="M)",-1000000*VALUE(MID(D228,2,LEN(D228)-3)),IF(RIGHT(D228,2)="B)",-1000000000*VALUE(MID(D228,2,LEN(D228)-3)),IF(RIGHT(D228,2)="k)",-1000*VALUE(MID(D228,2,LEN(D228)-3)),VALUE(SUBSTITUTE(D228,",","")))))),IF(RIGHT(D228,1)="T",1000000000000*VALUE(LEFT(D228,LEN(D228)-1)),IF(RIGHT(D228,1)="M",1000000*VALUE(LEFT(D228,LEN(D228)-1)),IF(RIGHT(D228,1)="B",1000000000*VALUE(LEFT(D228,LEN(D228)-1)),IF(RIGHT(D228,1)="%",0.01*VALUE(LEFT(D228,LEN(D228)-1)),IF(RIGHT(D228,1)="k",1000*VALUE(LEFT(D228,LEN(D228)-1)),VALUE(SUBSTITUTE(D228,",",""))))))))),"N/A")</f>
        <v>107720000</v>
      </c>
      <c r="L228">
        <f t="shared" ref="L228:L245" si="79">IFERROR(IF(TRIM(E228)="-", "N/A", IF(RIGHT(E228,1)=")",IF(RIGHT(E228,2)="T)",-1000000000000*VALUE(MID(E228,2,LEN(E228)-3)),IF(RIGHT(E228,2)="M)",-1000000*VALUE(MID(E228,2,LEN(E228)-3)),IF(RIGHT(E228,2)="B)",-1000000000*VALUE(MID(E228,2,LEN(E228)-3)),IF(RIGHT(E228,2)="k)",-1000*VALUE(MID(E228,2,LEN(E228)-3)),VALUE(SUBSTITUTE(E228,",","")))))),IF(RIGHT(E228,1)="T",1000000000000*VALUE(LEFT(E228,LEN(E228)-1)),IF(RIGHT(E228,1)="M",1000000*VALUE(LEFT(E228,LEN(E228)-1)),IF(RIGHT(E228,1)="B",1000000000*VALUE(LEFT(E228,LEN(E228)-1)),IF(RIGHT(E228,1)="%",0.01*VALUE(LEFT(E228,LEN(E228)-1)),IF(RIGHT(E228,1)="k",1000*VALUE(LEFT(E228,LEN(E228)-1)),VALUE(SUBSTITUTE(E228,",",""))))))))),"N/A")</f>
        <v>96210000</v>
      </c>
      <c r="M228">
        <f t="shared" ref="M228:M245" si="80">IFERROR(IF(TRIM(F228)="-", "N/A", IF(RIGHT(F228,1)=")",IF(RIGHT(F228,2)="T)",-1000000000000*VALUE(MID(F228,2,LEN(F228)-3)),IF(RIGHT(F228,2)="M)",-1000000*VALUE(MID(F228,2,LEN(F228)-3)),IF(RIGHT(F228,2)="B)",-1000000000*VALUE(MID(F228,2,LEN(F228)-3)),IF(RIGHT(F228,2)="k)",-1000*VALUE(MID(F228,2,LEN(F228)-3)),VALUE(SUBSTITUTE(F228,",","")))))),IF(RIGHT(F228,1)="T",1000000000000*VALUE(LEFT(F228,LEN(F228)-1)),IF(RIGHT(F228,1)="M",1000000*VALUE(LEFT(F228,LEN(F228)-1)),IF(RIGHT(F228,1)="B",1000000000*VALUE(LEFT(F228,LEN(F228)-1)),IF(RIGHT(F228,1)="%",0.01*VALUE(LEFT(F228,LEN(F228)-1)),IF(RIGHT(F228,1)="k",1000*VALUE(LEFT(F228,LEN(F228)-1)),VALUE(SUBSTITUTE(F228,",",""))))))))),"N/A")</f>
        <v>87030000</v>
      </c>
      <c r="N228">
        <f t="shared" ref="N228:N245" si="81">IFERROR(IF(TRIM(G228)="-", "N/A", IF(RIGHT(G228,1)=")",IF(RIGHT(G228,2)="T)",-1000000000000*VALUE(MID(G228,2,LEN(G228)-3)),IF(RIGHT(G228,2)="M)",-1000000*VALUE(MID(G228,2,LEN(G228)-3)),IF(RIGHT(G228,2)="B)",-1000000000*VALUE(MID(G228,2,LEN(G228)-3)),IF(RIGHT(G228,2)="k)",-1000*VALUE(MID(G228,2,LEN(G228)-3)),VALUE(SUBSTITUTE(G228,",","")))))),IF(RIGHT(G228,1)="T",1000000000000*VALUE(LEFT(G228,LEN(G228)-1)),IF(RIGHT(G228,1)="M",1000000*VALUE(LEFT(G228,LEN(G228)-1)),IF(RIGHT(G228,1)="B",1000000000*VALUE(LEFT(G228,LEN(G228)-1)),IF(RIGHT(G228,1)="%",0.01*VALUE(LEFT(G228,LEN(G228)-1)),IF(RIGHT(G228,1)="k",1000*VALUE(LEFT(G228,LEN(G228)-1)),VALUE(SUBSTITUTE(G228,",",""))))))))),"N/A")</f>
        <v>99710000</v>
      </c>
      <c r="P228">
        <f t="shared" si="58"/>
        <v>107720000</v>
      </c>
      <c r="Q228">
        <f>IFERROR(J144+MATCH(P228,J228:N228,0)-1,"")</f>
        <v>2013</v>
      </c>
      <c r="R228">
        <f t="shared" si="59"/>
        <v>87030000</v>
      </c>
      <c r="S228">
        <f>IFERROR(J144+MATCH(R228,J228:N228,0)-1,"")</f>
        <v>2015</v>
      </c>
      <c r="T228">
        <f t="shared" si="60"/>
        <v>99314000</v>
      </c>
      <c r="U228">
        <f t="shared" si="61"/>
        <v>8287407.9180404777</v>
      </c>
      <c r="V228">
        <f t="shared" si="62"/>
        <v>0.79469962926082582</v>
      </c>
      <c r="W228">
        <f t="shared" si="63"/>
        <v>1.0143099124759341</v>
      </c>
      <c r="X228">
        <f t="shared" si="64"/>
        <v>-0.37454413137345938</v>
      </c>
      <c r="Y228">
        <f t="shared" si="65"/>
        <v>-1.4822487467112033</v>
      </c>
      <c r="Z228">
        <f t="shared" si="66"/>
        <v>4.7783336347902675E-2</v>
      </c>
      <c r="AA228">
        <f t="shared" si="67"/>
        <v>-1.4822487467112033</v>
      </c>
      <c r="AB228">
        <f>IFERROR(V144+MATCH(AA228,V228:Z228,0)-1,"")</f>
        <v>2015</v>
      </c>
      <c r="AC228" t="str">
        <f t="shared" si="68"/>
        <v>Low</v>
      </c>
      <c r="AE228">
        <f>IF(ISNUMBER(MATCH("N/A",J228:N228,0)),"",IFERROR((5 * SUMPRODUCT(J144:N144,J228:N228) - PRODUCT(SUM(J144:N144),SUM(J228:N228))) / ((5 * SUM((J144^2)+(K144^2)+(L144^2)+(M144^2)+(N144^2))) - SUM(J144:N144)^2),""))</f>
        <v>-3307000</v>
      </c>
      <c r="AF228">
        <f>IFERROR(CORREL(J144:N144,J228:N228),"")</f>
        <v>-0.63093625447180224</v>
      </c>
      <c r="AZ228">
        <f t="shared" si="69"/>
        <v>1</v>
      </c>
      <c r="BA228" t="str">
        <f>IF(AZ228=1,IF(Q228="","",IF(Q228=N144,"Yes","No")),"")</f>
        <v>No</v>
      </c>
      <c r="BB228" t="str">
        <f t="shared" si="70"/>
        <v/>
      </c>
      <c r="BC228" t="str">
        <f>IF(AZ228=1,IF(S228="","",IF(S228=N144,"Yes","No")),"")</f>
        <v>No</v>
      </c>
      <c r="BD228" t="str">
        <f t="shared" si="71"/>
        <v/>
      </c>
      <c r="BE228" t="str">
        <f t="shared" si="72"/>
        <v>Decreasing</v>
      </c>
      <c r="BF228" t="str">
        <f t="shared" si="73"/>
        <v>No</v>
      </c>
      <c r="BG228" t="str">
        <f t="shared" si="74"/>
        <v>No</v>
      </c>
      <c r="BH228" t="str">
        <f t="shared" si="75"/>
        <v>No</v>
      </c>
    </row>
    <row r="229" spans="1:60" x14ac:dyDescent="0.3">
      <c r="A229" s="1">
        <v>1</v>
      </c>
      <c r="B229" t="s">
        <v>552</v>
      </c>
      <c r="C229" t="s">
        <v>2827</v>
      </c>
      <c r="D229" t="s">
        <v>2828</v>
      </c>
      <c r="E229" t="s">
        <v>2829</v>
      </c>
      <c r="F229" t="s">
        <v>2830</v>
      </c>
      <c r="G229" t="s">
        <v>2831</v>
      </c>
      <c r="I229" t="str">
        <f t="shared" si="76"/>
        <v>N/A</v>
      </c>
      <c r="J229">
        <f t="shared" si="77"/>
        <v>261740000</v>
      </c>
      <c r="K229">
        <f t="shared" si="78"/>
        <v>274930000</v>
      </c>
      <c r="L229">
        <f t="shared" si="79"/>
        <v>266190000</v>
      </c>
      <c r="M229">
        <f t="shared" si="80"/>
        <v>253370000</v>
      </c>
      <c r="N229">
        <f t="shared" si="81"/>
        <v>258850000.00000003</v>
      </c>
      <c r="P229">
        <f t="shared" si="58"/>
        <v>274930000</v>
      </c>
      <c r="Q229">
        <f>IFERROR(J144+MATCH(P229,J229:N229,0)-1,"")</f>
        <v>2013</v>
      </c>
      <c r="R229">
        <f t="shared" si="59"/>
        <v>253370000</v>
      </c>
      <c r="S229">
        <f>IFERROR(J144+MATCH(R229,J229:N229,0)-1,"")</f>
        <v>2015</v>
      </c>
      <c r="T229">
        <f t="shared" si="60"/>
        <v>263016000</v>
      </c>
      <c r="U229">
        <f t="shared" si="61"/>
        <v>8124757.2271422325</v>
      </c>
      <c r="V229">
        <f t="shared" si="62"/>
        <v>-0.15705084648403886</v>
      </c>
      <c r="W229">
        <f t="shared" si="63"/>
        <v>1.4663822766542625</v>
      </c>
      <c r="X229">
        <f t="shared" si="64"/>
        <v>0.39065782659901205</v>
      </c>
      <c r="Y229">
        <f t="shared" si="65"/>
        <v>-1.1872354742829458</v>
      </c>
      <c r="Z229">
        <f t="shared" si="66"/>
        <v>-0.51275378248628622</v>
      </c>
      <c r="AA229">
        <f t="shared" si="67"/>
        <v>1.4663822766542625</v>
      </c>
      <c r="AB229">
        <f>IFERROR(V144+MATCH(AA229,V229:Z229,0)-1,"")</f>
        <v>2013</v>
      </c>
      <c r="AC229" t="str">
        <f t="shared" si="68"/>
        <v>High</v>
      </c>
      <c r="AE229">
        <f>IF(ISNUMBER(MATCH("N/A",J229:N229,0)),"",IFERROR((5 * SUMPRODUCT(J144:N144,J229:N229) - PRODUCT(SUM(J144:N144),SUM(J229:N229))) / ((5 * SUM((J144^2)+(K144^2)+(L144^2)+(M144^2)+(N144^2))) - SUM(J144:N144)^2),""))</f>
        <v>-2734000</v>
      </c>
      <c r="AF229">
        <f>IFERROR(CORREL(J144:N144,J229:N229),"")</f>
        <v>-0.53205695143837051</v>
      </c>
      <c r="AZ229">
        <f t="shared" si="69"/>
        <v>1</v>
      </c>
      <c r="BA229" t="str">
        <f>IF(AZ229=1,IF(Q229="","",IF(Q229=N144,"Yes","No")),"")</f>
        <v>No</v>
      </c>
      <c r="BB229" t="str">
        <f t="shared" si="70"/>
        <v/>
      </c>
      <c r="BC229" t="str">
        <f>IF(AZ229=1,IF(S229="","",IF(S229=N144,"Yes","No")),"")</f>
        <v>No</v>
      </c>
      <c r="BD229" t="str">
        <f t="shared" si="71"/>
        <v/>
      </c>
      <c r="BE229" t="str">
        <f t="shared" si="72"/>
        <v>Decreasing</v>
      </c>
      <c r="BF229" t="str">
        <f t="shared" si="73"/>
        <v>No</v>
      </c>
      <c r="BG229" t="str">
        <f t="shared" si="74"/>
        <v>No</v>
      </c>
      <c r="BH229" t="str">
        <f t="shared" si="75"/>
        <v>No</v>
      </c>
    </row>
    <row r="230" spans="1:60" x14ac:dyDescent="0.3">
      <c r="A230" s="1">
        <v>2</v>
      </c>
      <c r="B230" t="s">
        <v>558</v>
      </c>
      <c r="C230" t="s">
        <v>2832</v>
      </c>
      <c r="D230" t="s">
        <v>2833</v>
      </c>
      <c r="E230" t="s">
        <v>2834</v>
      </c>
      <c r="F230" t="s">
        <v>2835</v>
      </c>
      <c r="G230" t="s">
        <v>2836</v>
      </c>
      <c r="I230" t="str">
        <f t="shared" si="76"/>
        <v>N/A</v>
      </c>
      <c r="J230">
        <f t="shared" si="77"/>
        <v>69030000</v>
      </c>
      <c r="K230">
        <f t="shared" si="78"/>
        <v>74370000</v>
      </c>
      <c r="L230">
        <f t="shared" si="79"/>
        <v>68820000</v>
      </c>
      <c r="M230">
        <f t="shared" si="80"/>
        <v>66080000</v>
      </c>
      <c r="N230">
        <f t="shared" si="81"/>
        <v>70980000</v>
      </c>
      <c r="P230">
        <f t="shared" si="58"/>
        <v>74370000</v>
      </c>
      <c r="Q230">
        <f>IFERROR(J144+MATCH(P230,J230:N230,0)-1,"")</f>
        <v>2013</v>
      </c>
      <c r="R230">
        <f t="shared" si="59"/>
        <v>66080000</v>
      </c>
      <c r="S230">
        <f>IFERROR(J144+MATCH(R230,J230:N230,0)-1,"")</f>
        <v>2015</v>
      </c>
      <c r="T230">
        <f t="shared" si="60"/>
        <v>69856000</v>
      </c>
      <c r="U230">
        <f t="shared" si="61"/>
        <v>3068115.0565127116</v>
      </c>
      <c r="V230">
        <f t="shared" si="62"/>
        <v>-0.26922067288403784</v>
      </c>
      <c r="W230">
        <f t="shared" si="63"/>
        <v>1.471261643339645</v>
      </c>
      <c r="X230">
        <f t="shared" si="64"/>
        <v>-0.33766660666811527</v>
      </c>
      <c r="Y230">
        <f t="shared" si="65"/>
        <v>-1.2307230760413159</v>
      </c>
      <c r="Z230">
        <f t="shared" si="66"/>
        <v>0.36634871225382387</v>
      </c>
      <c r="AA230">
        <f t="shared" si="67"/>
        <v>1.471261643339645</v>
      </c>
      <c r="AB230">
        <f>IFERROR(V144+MATCH(AA230,V230:Z230,0)-1,"")</f>
        <v>2013</v>
      </c>
      <c r="AC230" t="str">
        <f t="shared" si="68"/>
        <v>High</v>
      </c>
      <c r="AE230">
        <f>IF(ISNUMBER(MATCH("N/A",J230:N230,0)),"",IFERROR((5 * SUMPRODUCT(J144:N144,J230:N230) - PRODUCT(SUM(J144:N144),SUM(J230:N230))) / ((5 * SUM((J144^2)+(K144^2)+(L144^2)+(M144^2)+(N144^2))) - SUM(J144:N144)^2),""))</f>
        <v>-439000</v>
      </c>
      <c r="AF230">
        <f>IFERROR(CORREL(J144:N144,J230:N230),"")</f>
        <v>-0.2262366089998957</v>
      </c>
      <c r="AZ230">
        <f t="shared" si="69"/>
        <v>1</v>
      </c>
      <c r="BA230" t="str">
        <f>IF(AZ230=1,IF(Q230="","",IF(Q230=N144,"Yes","No")),"")</f>
        <v>No</v>
      </c>
      <c r="BB230" t="str">
        <f t="shared" si="70"/>
        <v/>
      </c>
      <c r="BC230" t="str">
        <f>IF(AZ230=1,IF(S230="","",IF(S230=N144,"Yes","No")),"")</f>
        <v>No</v>
      </c>
      <c r="BD230" t="str">
        <f t="shared" si="71"/>
        <v/>
      </c>
      <c r="BE230" t="str">
        <f t="shared" si="72"/>
        <v>Decreasing</v>
      </c>
      <c r="BF230" t="str">
        <f t="shared" si="73"/>
        <v>No</v>
      </c>
      <c r="BG230" t="str">
        <f t="shared" si="74"/>
        <v>No</v>
      </c>
      <c r="BH230" t="str">
        <f t="shared" si="75"/>
        <v>No</v>
      </c>
    </row>
    <row r="231" spans="1:60" x14ac:dyDescent="0.3">
      <c r="A231" s="1">
        <v>3</v>
      </c>
      <c r="B231" t="s">
        <v>564</v>
      </c>
      <c r="C231" t="s">
        <v>2837</v>
      </c>
      <c r="D231" t="s">
        <v>2838</v>
      </c>
      <c r="E231" t="s">
        <v>1902</v>
      </c>
      <c r="F231" t="s">
        <v>2839</v>
      </c>
      <c r="G231" t="s">
        <v>2840</v>
      </c>
      <c r="I231" t="str">
        <f t="shared" si="76"/>
        <v>N/A</v>
      </c>
      <c r="J231">
        <f t="shared" si="77"/>
        <v>14410000</v>
      </c>
      <c r="K231">
        <f t="shared" si="78"/>
        <v>14400000</v>
      </c>
      <c r="L231">
        <f t="shared" si="79"/>
        <v>13420000</v>
      </c>
      <c r="M231">
        <f t="shared" si="80"/>
        <v>12440000</v>
      </c>
      <c r="N231">
        <f t="shared" si="81"/>
        <v>13080000</v>
      </c>
      <c r="P231">
        <f t="shared" si="58"/>
        <v>14410000</v>
      </c>
      <c r="Q231">
        <f>IFERROR(J144+MATCH(P231,J231:N231,0)-1,"")</f>
        <v>2012</v>
      </c>
      <c r="R231">
        <f t="shared" si="59"/>
        <v>12440000</v>
      </c>
      <c r="S231">
        <f>IFERROR(J144+MATCH(R231,J231:N231,0)-1,"")</f>
        <v>2015</v>
      </c>
      <c r="T231">
        <f t="shared" si="60"/>
        <v>13550000</v>
      </c>
      <c r="U231">
        <f t="shared" si="61"/>
        <v>856154.19172015972</v>
      </c>
      <c r="V231">
        <f t="shared" si="62"/>
        <v>1.0044919575434343</v>
      </c>
      <c r="W231">
        <f t="shared" si="63"/>
        <v>0.99281181850223155</v>
      </c>
      <c r="X231">
        <f t="shared" si="64"/>
        <v>-0.15184180753563542</v>
      </c>
      <c r="Y231">
        <f t="shared" si="65"/>
        <v>-1.2964954335735024</v>
      </c>
      <c r="Z231">
        <f t="shared" si="66"/>
        <v>-0.54896653493652803</v>
      </c>
      <c r="AA231">
        <f t="shared" si="67"/>
        <v>-1.2964954335735024</v>
      </c>
      <c r="AB231">
        <f>IFERROR(V144+MATCH(AA231,V231:Z231,0)-1,"")</f>
        <v>2015</v>
      </c>
      <c r="AC231" t="str">
        <f t="shared" si="68"/>
        <v>Low</v>
      </c>
      <c r="AE231">
        <f>IF(ISNUMBER(MATCH("N/A",J231:N231,0)),"",IFERROR((5 * SUMPRODUCT(J144:N144,J231:N231) - PRODUCT(SUM(J144:N144),SUM(J231:N231))) / ((5 * SUM((J144^2)+(K144^2)+(L144^2)+(M144^2)+(N144^2))) - SUM(J144:N144)^2),""))</f>
        <v>-462000</v>
      </c>
      <c r="AF231">
        <f>IFERROR(CORREL(J144:N144,J231:N231),"")</f>
        <v>-0.8532179677018511</v>
      </c>
      <c r="AZ231">
        <f t="shared" si="69"/>
        <v>1</v>
      </c>
      <c r="BA231" t="str">
        <f>IF(AZ231=1,IF(Q231="","",IF(Q231=N144,"Yes","No")),"")</f>
        <v>No</v>
      </c>
      <c r="BB231" t="str">
        <f t="shared" si="70"/>
        <v/>
      </c>
      <c r="BC231" t="str">
        <f>IF(AZ231=1,IF(S231="","",IF(S231=N144,"Yes","No")),"")</f>
        <v>No</v>
      </c>
      <c r="BD231" t="str">
        <f t="shared" si="71"/>
        <v/>
      </c>
      <c r="BE231" t="str">
        <f t="shared" si="72"/>
        <v>Decreasing</v>
      </c>
      <c r="BF231" t="str">
        <f t="shared" si="73"/>
        <v>No</v>
      </c>
      <c r="BG231" t="str">
        <f t="shared" si="74"/>
        <v>No</v>
      </c>
      <c r="BH231" t="str">
        <f t="shared" si="75"/>
        <v>Yes</v>
      </c>
    </row>
    <row r="232" spans="1:60" x14ac:dyDescent="0.3">
      <c r="A232" s="1">
        <v>4</v>
      </c>
      <c r="B232" t="s">
        <v>569</v>
      </c>
      <c r="C232" t="s">
        <v>2841</v>
      </c>
      <c r="D232" t="s">
        <v>2842</v>
      </c>
      <c r="E232" t="s">
        <v>2843</v>
      </c>
      <c r="F232" t="s">
        <v>2844</v>
      </c>
      <c r="G232" t="s">
        <v>2845</v>
      </c>
      <c r="I232" t="str">
        <f t="shared" si="76"/>
        <v>pos_trend</v>
      </c>
      <c r="J232">
        <f t="shared" si="77"/>
        <v>19510000</v>
      </c>
      <c r="K232">
        <f t="shared" si="78"/>
        <v>21120000</v>
      </c>
      <c r="L232">
        <f t="shared" si="79"/>
        <v>22860000</v>
      </c>
      <c r="M232">
        <f t="shared" si="80"/>
        <v>23500000</v>
      </c>
      <c r="N232">
        <f t="shared" si="81"/>
        <v>23980000</v>
      </c>
      <c r="P232">
        <f t="shared" si="58"/>
        <v>23980000</v>
      </c>
      <c r="Q232">
        <f>IFERROR(J144+MATCH(P232,J232:N232,0)-1,"")</f>
        <v>2016</v>
      </c>
      <c r="R232">
        <f t="shared" si="59"/>
        <v>19510000</v>
      </c>
      <c r="S232">
        <f>IFERROR(J144+MATCH(R232,J232:N232,0)-1,"")</f>
        <v>2012</v>
      </c>
      <c r="T232">
        <f t="shared" si="60"/>
        <v>22194000</v>
      </c>
      <c r="U232">
        <f t="shared" si="61"/>
        <v>1850426.9777540534</v>
      </c>
      <c r="V232">
        <f t="shared" si="62"/>
        <v>-1.4504760427010699</v>
      </c>
      <c r="W232">
        <f t="shared" si="63"/>
        <v>-0.58040658340571871</v>
      </c>
      <c r="X232">
        <f t="shared" si="64"/>
        <v>0.35991693160913285</v>
      </c>
      <c r="Y232">
        <f t="shared" si="65"/>
        <v>0.70578305207436554</v>
      </c>
      <c r="Z232">
        <f t="shared" si="66"/>
        <v>0.9651826424232901</v>
      </c>
      <c r="AA232">
        <f t="shared" si="67"/>
        <v>-1.4504760427010699</v>
      </c>
      <c r="AB232">
        <f>IFERROR(V144+MATCH(AA232,V232:Z232,0)-1,"")</f>
        <v>2012</v>
      </c>
      <c r="AC232" t="str">
        <f t="shared" si="68"/>
        <v>Low</v>
      </c>
      <c r="AE232">
        <f>IF(ISNUMBER(MATCH("N/A",J232:N232,0)),"",IFERROR((5 * SUMPRODUCT(J144:N144,J232:N232) - PRODUCT(SUM(J144:N144),SUM(J232:N232))) / ((5 * SUM((J144^2)+(K144^2)+(L144^2)+(M144^2)+(N144^2))) - SUM(J144:N144)^2),""))</f>
        <v>1132000</v>
      </c>
      <c r="AF232">
        <f>IFERROR(CORREL(J144:N144,J232:N232),"")</f>
        <v>0.96726278700698753</v>
      </c>
      <c r="AZ232">
        <f t="shared" si="69"/>
        <v>1</v>
      </c>
      <c r="BA232" t="str">
        <f>IF(AZ232=1,IF(Q232="","",IF(Q232=N144,"Yes","No")),"")</f>
        <v>Yes</v>
      </c>
      <c r="BB232">
        <f t="shared" si="70"/>
        <v>23980000</v>
      </c>
      <c r="BC232" t="str">
        <f>IF(AZ232=1,IF(S232="","",IF(S232=N144,"Yes","No")),"")</f>
        <v>No</v>
      </c>
      <c r="BD232" t="str">
        <f t="shared" si="71"/>
        <v/>
      </c>
      <c r="BE232" t="str">
        <f t="shared" si="72"/>
        <v>Increasing</v>
      </c>
      <c r="BF232" t="str">
        <f t="shared" si="73"/>
        <v>Yes</v>
      </c>
      <c r="BG232" t="str">
        <f t="shared" si="74"/>
        <v>Yes</v>
      </c>
      <c r="BH232" t="str">
        <f t="shared" si="75"/>
        <v>Yes</v>
      </c>
    </row>
    <row r="233" spans="1:60" x14ac:dyDescent="0.3">
      <c r="A233" s="1">
        <v>5</v>
      </c>
      <c r="B233" t="s">
        <v>570</v>
      </c>
      <c r="C233" t="s">
        <v>2846</v>
      </c>
      <c r="D233" t="s">
        <v>2847</v>
      </c>
      <c r="E233" t="s">
        <v>2848</v>
      </c>
      <c r="F233" t="s">
        <v>2849</v>
      </c>
      <c r="G233" t="s">
        <v>2850</v>
      </c>
      <c r="I233" t="str">
        <f t="shared" si="76"/>
        <v>N/A</v>
      </c>
      <c r="J233">
        <f t="shared" si="77"/>
        <v>10670000</v>
      </c>
      <c r="K233">
        <f t="shared" si="78"/>
        <v>11270000</v>
      </c>
      <c r="L233">
        <f t="shared" si="79"/>
        <v>10530000</v>
      </c>
      <c r="M233">
        <f t="shared" si="80"/>
        <v>10600000</v>
      </c>
      <c r="N233">
        <f t="shared" si="81"/>
        <v>9930000</v>
      </c>
      <c r="P233">
        <f t="shared" si="58"/>
        <v>11270000</v>
      </c>
      <c r="Q233">
        <f>IFERROR(J144+MATCH(P233,J233:N233,0)-1,"")</f>
        <v>2013</v>
      </c>
      <c r="R233">
        <f t="shared" si="59"/>
        <v>9930000</v>
      </c>
      <c r="S233">
        <f>IFERROR(J144+MATCH(R233,J233:N233,0)-1,"")</f>
        <v>2016</v>
      </c>
      <c r="T233">
        <f t="shared" si="60"/>
        <v>10600000</v>
      </c>
      <c r="U233">
        <f t="shared" si="61"/>
        <v>476340.21455258218</v>
      </c>
      <c r="V233">
        <f t="shared" si="62"/>
        <v>0.14695379029828448</v>
      </c>
      <c r="W233">
        <f t="shared" si="63"/>
        <v>1.4065577071407229</v>
      </c>
      <c r="X233">
        <f t="shared" si="64"/>
        <v>-0.14695379029828448</v>
      </c>
      <c r="Y233">
        <f t="shared" si="65"/>
        <v>0</v>
      </c>
      <c r="Z233">
        <f t="shared" si="66"/>
        <v>-1.4065577071407229</v>
      </c>
      <c r="AA233">
        <f t="shared" si="67"/>
        <v>-1.4065577071407229</v>
      </c>
      <c r="AB233">
        <f>IFERROR(V144+MATCH(AA233,V233:Z233,0)-1,"")</f>
        <v>2016</v>
      </c>
      <c r="AC233" t="str">
        <f t="shared" si="68"/>
        <v>Low</v>
      </c>
      <c r="AE233">
        <f>IF(ISNUMBER(MATCH("N/A",J233:N233,0)),"",IFERROR((5 * SUMPRODUCT(J144:N144,J233:N233) - PRODUCT(SUM(J144:N144),SUM(J233:N233))) / ((5 * SUM((J144^2)+(K144^2)+(L144^2)+(M144^2)+(N144^2))) - SUM(J144:N144)^2),""))</f>
        <v>-215000</v>
      </c>
      <c r="AF233">
        <f>IFERROR(CORREL(J144:N144,J233:N233),"")</f>
        <v>-0.71365977106804823</v>
      </c>
      <c r="AZ233">
        <f t="shared" si="69"/>
        <v>1</v>
      </c>
      <c r="BA233" t="str">
        <f>IF(AZ233=1,IF(Q233="","",IF(Q233=N144,"Yes","No")),"")</f>
        <v>No</v>
      </c>
      <c r="BB233" t="str">
        <f t="shared" si="70"/>
        <v/>
      </c>
      <c r="BC233" t="str">
        <f>IF(AZ233=1,IF(S233="","",IF(S233=N144,"Yes","No")),"")</f>
        <v>Yes</v>
      </c>
      <c r="BD233">
        <f t="shared" si="71"/>
        <v>9930000</v>
      </c>
      <c r="BE233" t="str">
        <f t="shared" si="72"/>
        <v>Decreasing</v>
      </c>
      <c r="BF233" t="str">
        <f t="shared" si="73"/>
        <v>Yes</v>
      </c>
      <c r="BG233" t="str">
        <f t="shared" si="74"/>
        <v>No</v>
      </c>
      <c r="BH233" t="str">
        <f t="shared" si="75"/>
        <v>No</v>
      </c>
    </row>
    <row r="234" spans="1:60" x14ac:dyDescent="0.3">
      <c r="A234" s="1">
        <v>6</v>
      </c>
      <c r="B234" t="s">
        <v>576</v>
      </c>
      <c r="C234" t="s">
        <v>2851</v>
      </c>
      <c r="D234" t="s">
        <v>2852</v>
      </c>
      <c r="E234" t="s">
        <v>2853</v>
      </c>
      <c r="F234" t="s">
        <v>2854</v>
      </c>
      <c r="G234" t="s">
        <v>2855</v>
      </c>
      <c r="I234" t="str">
        <f t="shared" si="76"/>
        <v>N/A</v>
      </c>
      <c r="J234">
        <f t="shared" si="77"/>
        <v>155840000</v>
      </c>
      <c r="K234">
        <f t="shared" si="78"/>
        <v>167210000</v>
      </c>
      <c r="L234">
        <f t="shared" si="79"/>
        <v>169980000</v>
      </c>
      <c r="M234">
        <f t="shared" si="80"/>
        <v>166340000</v>
      </c>
      <c r="N234">
        <f t="shared" si="81"/>
        <v>159140000</v>
      </c>
      <c r="P234">
        <f t="shared" si="58"/>
        <v>169980000</v>
      </c>
      <c r="Q234">
        <f>IFERROR(J144+MATCH(P234,J234:N234,0)-1,"")</f>
        <v>2014</v>
      </c>
      <c r="R234">
        <f t="shared" si="59"/>
        <v>155840000</v>
      </c>
      <c r="S234">
        <f>IFERROR(J144+MATCH(R234,J234:N234,0)-1,"")</f>
        <v>2012</v>
      </c>
      <c r="T234">
        <f t="shared" si="60"/>
        <v>163702000</v>
      </c>
      <c r="U234">
        <f t="shared" si="61"/>
        <v>5943510.7470248593</v>
      </c>
      <c r="V234">
        <f t="shared" si="62"/>
        <v>-1.3227872102251146</v>
      </c>
      <c r="W234">
        <f t="shared" si="63"/>
        <v>0.5902235478847242</v>
      </c>
      <c r="X234">
        <f t="shared" si="64"/>
        <v>1.0562780597549313</v>
      </c>
      <c r="Y234">
        <f t="shared" si="65"/>
        <v>0.44384541599769167</v>
      </c>
      <c r="Z234">
        <f t="shared" si="66"/>
        <v>-0.76755981341223256</v>
      </c>
      <c r="AA234">
        <f t="shared" si="67"/>
        <v>-1.3227872102251146</v>
      </c>
      <c r="AB234">
        <f>IFERROR(V144+MATCH(AA234,V234:Z234,0)-1,"")</f>
        <v>2012</v>
      </c>
      <c r="AC234" t="str">
        <f t="shared" si="68"/>
        <v>Low</v>
      </c>
      <c r="AE234">
        <f>IF(ISNUMBER(MATCH("N/A",J234:N234,0)),"",IFERROR((5 * SUMPRODUCT(J144:N144,J234:N234) - PRODUCT(SUM(J144:N144),SUM(J234:N234))) / ((5 * SUM((J144^2)+(K144^2)+(L144^2)+(M144^2)+(N144^2))) - SUM(J144:N144)^2),""))</f>
        <v>573000</v>
      </c>
      <c r="AF234">
        <f>IFERROR(CORREL(J144:N144,J234:N234),"")</f>
        <v>0.15243390450530486</v>
      </c>
      <c r="AZ234">
        <f t="shared" si="69"/>
        <v>1</v>
      </c>
      <c r="BA234" t="str">
        <f>IF(AZ234=1,IF(Q234="","",IF(Q234=N144,"Yes","No")),"")</f>
        <v>No</v>
      </c>
      <c r="BB234" t="str">
        <f t="shared" si="70"/>
        <v/>
      </c>
      <c r="BC234" t="str">
        <f>IF(AZ234=1,IF(S234="","",IF(S234=N144,"Yes","No")),"")</f>
        <v>No</v>
      </c>
      <c r="BD234" t="str">
        <f t="shared" si="71"/>
        <v/>
      </c>
      <c r="BE234" t="str">
        <f t="shared" si="72"/>
        <v>Increasing</v>
      </c>
      <c r="BF234" t="str">
        <f t="shared" si="73"/>
        <v>No</v>
      </c>
      <c r="BG234" t="str">
        <f t="shared" si="74"/>
        <v>No</v>
      </c>
      <c r="BH234" t="str">
        <f t="shared" si="75"/>
        <v>No</v>
      </c>
    </row>
    <row r="235" spans="1:60" x14ac:dyDescent="0.3">
      <c r="A235" s="1">
        <v>7</v>
      </c>
      <c r="B235" t="s">
        <v>582</v>
      </c>
      <c r="C235" t="s">
        <v>264</v>
      </c>
      <c r="D235" t="s">
        <v>264</v>
      </c>
      <c r="E235" t="s">
        <v>264</v>
      </c>
      <c r="F235" t="s">
        <v>264</v>
      </c>
      <c r="G235" t="s">
        <v>264</v>
      </c>
      <c r="I235" t="str">
        <f t="shared" si="76"/>
        <v>N/A</v>
      </c>
      <c r="J235" t="str">
        <f t="shared" si="77"/>
        <v>N/A</v>
      </c>
      <c r="K235" t="str">
        <f t="shared" si="78"/>
        <v>N/A</v>
      </c>
      <c r="L235" t="str">
        <f t="shared" si="79"/>
        <v>N/A</v>
      </c>
      <c r="M235" t="str">
        <f t="shared" si="80"/>
        <v>N/A</v>
      </c>
      <c r="N235" t="str">
        <f t="shared" si="81"/>
        <v>N/A</v>
      </c>
      <c r="P235">
        <f t="shared" si="58"/>
        <v>0</v>
      </c>
      <c r="Q235" t="str">
        <f>IFERROR(J144+MATCH(P235,J235:N235,0)-1,"")</f>
        <v/>
      </c>
      <c r="R235" t="str">
        <f t="shared" si="59"/>
        <v/>
      </c>
      <c r="S235" t="str">
        <f>IFERROR(J144+MATCH(R235,J235:N235,0)-1,"")</f>
        <v/>
      </c>
      <c r="T235" t="str">
        <f t="shared" si="60"/>
        <v/>
      </c>
      <c r="U235" t="str">
        <f t="shared" si="61"/>
        <v/>
      </c>
      <c r="V235" t="str">
        <f t="shared" si="62"/>
        <v/>
      </c>
      <c r="W235" t="str">
        <f t="shared" si="63"/>
        <v/>
      </c>
      <c r="X235" t="str">
        <f t="shared" si="64"/>
        <v/>
      </c>
      <c r="Y235" t="str">
        <f t="shared" si="65"/>
        <v/>
      </c>
      <c r="Z235" t="str">
        <f t="shared" si="66"/>
        <v/>
      </c>
      <c r="AA235">
        <f t="shared" si="67"/>
        <v>0</v>
      </c>
      <c r="AB235" t="str">
        <f>IFERROR(V144+MATCH(AA235,V235:Z235,0)-1,"")</f>
        <v/>
      </c>
      <c r="AC235" t="str">
        <f t="shared" si="68"/>
        <v/>
      </c>
      <c r="AE235" t="str">
        <f>IF(ISNUMBER(MATCH("N/A",J235:N235,0)),"",IFERROR((5 * SUMPRODUCT(J144:N144,J235:N235) - PRODUCT(SUM(J144:N144),SUM(J235:N235))) / ((5 * SUM((J144^2)+(K144^2)+(L144^2)+(M144^2)+(N144^2))) - SUM(J144:N144)^2),""))</f>
        <v/>
      </c>
      <c r="AF235" t="str">
        <f>IFERROR(CORREL(J144:N144,J235:N235),"")</f>
        <v/>
      </c>
      <c r="AZ235">
        <f t="shared" si="69"/>
        <v>0</v>
      </c>
      <c r="BA235" t="str">
        <f>IF(AZ235=1,IF(Q235="","",IF(Q235=N144,"Yes","No")),"")</f>
        <v/>
      </c>
      <c r="BB235" t="str">
        <f t="shared" si="70"/>
        <v/>
      </c>
      <c r="BC235" t="str">
        <f>IF(AZ235=1,IF(S235="","",IF(S235=N144,"Yes","No")),"")</f>
        <v/>
      </c>
      <c r="BD235" t="str">
        <f t="shared" si="71"/>
        <v/>
      </c>
      <c r="BE235" t="str">
        <f t="shared" si="72"/>
        <v/>
      </c>
      <c r="BF235" t="str">
        <f t="shared" si="73"/>
        <v>No</v>
      </c>
      <c r="BG235" t="str">
        <f t="shared" si="74"/>
        <v>No</v>
      </c>
      <c r="BH235" t="str">
        <f t="shared" si="75"/>
        <v/>
      </c>
    </row>
    <row r="236" spans="1:60" x14ac:dyDescent="0.3">
      <c r="A236" s="1">
        <v>8</v>
      </c>
      <c r="B236" t="s">
        <v>583</v>
      </c>
      <c r="C236" t="s">
        <v>264</v>
      </c>
      <c r="D236" t="s">
        <v>264</v>
      </c>
      <c r="E236" t="s">
        <v>264</v>
      </c>
      <c r="F236" t="s">
        <v>264</v>
      </c>
      <c r="G236" t="s">
        <v>264</v>
      </c>
      <c r="I236" t="str">
        <f t="shared" si="76"/>
        <v>N/A</v>
      </c>
      <c r="J236" t="str">
        <f t="shared" si="77"/>
        <v>N/A</v>
      </c>
      <c r="K236" t="str">
        <f t="shared" si="78"/>
        <v>N/A</v>
      </c>
      <c r="L236" t="str">
        <f t="shared" si="79"/>
        <v>N/A</v>
      </c>
      <c r="M236" t="str">
        <f t="shared" si="80"/>
        <v>N/A</v>
      </c>
      <c r="N236" t="str">
        <f t="shared" si="81"/>
        <v>N/A</v>
      </c>
      <c r="P236">
        <f t="shared" si="58"/>
        <v>0</v>
      </c>
      <c r="Q236" t="str">
        <f>IFERROR(J144+MATCH(P236,J236:N236,0)-1,"")</f>
        <v/>
      </c>
      <c r="R236" t="str">
        <f t="shared" si="59"/>
        <v/>
      </c>
      <c r="S236" t="str">
        <f>IFERROR(J144+MATCH(R236,J236:N236,0)-1,"")</f>
        <v/>
      </c>
      <c r="T236" t="str">
        <f t="shared" si="60"/>
        <v/>
      </c>
      <c r="U236" t="str">
        <f t="shared" si="61"/>
        <v/>
      </c>
      <c r="V236" t="str">
        <f t="shared" si="62"/>
        <v/>
      </c>
      <c r="W236" t="str">
        <f t="shared" si="63"/>
        <v/>
      </c>
      <c r="X236" t="str">
        <f t="shared" si="64"/>
        <v/>
      </c>
      <c r="Y236" t="str">
        <f t="shared" si="65"/>
        <v/>
      </c>
      <c r="Z236" t="str">
        <f t="shared" si="66"/>
        <v/>
      </c>
      <c r="AA236">
        <f t="shared" si="67"/>
        <v>0</v>
      </c>
      <c r="AB236" t="str">
        <f>IFERROR(V144+MATCH(AA236,V236:Z236,0)-1,"")</f>
        <v/>
      </c>
      <c r="AC236" t="str">
        <f t="shared" si="68"/>
        <v/>
      </c>
      <c r="AE236" t="str">
        <f>IF(ISNUMBER(MATCH("N/A",J236:N236,0)),"",IFERROR((5 * SUMPRODUCT(J144:N144,J236:N236) - PRODUCT(SUM(J144:N144),SUM(J236:N236))) / ((5 * SUM((J144^2)+(K144^2)+(L144^2)+(M144^2)+(N144^2))) - SUM(J144:N144)^2),""))</f>
        <v/>
      </c>
      <c r="AF236" t="str">
        <f>IFERROR(CORREL(J144:N144,J236:N236),"")</f>
        <v/>
      </c>
      <c r="AZ236">
        <f t="shared" si="69"/>
        <v>0</v>
      </c>
      <c r="BA236" t="str">
        <f>IF(AZ236=1,IF(Q236="","",IF(Q236=N144,"Yes","No")),"")</f>
        <v/>
      </c>
      <c r="BB236" t="str">
        <f t="shared" si="70"/>
        <v/>
      </c>
      <c r="BC236" t="str">
        <f>IF(AZ236=1,IF(S236="","",IF(S236=N144,"Yes","No")),"")</f>
        <v/>
      </c>
      <c r="BD236" t="str">
        <f t="shared" si="71"/>
        <v/>
      </c>
      <c r="BE236" t="str">
        <f t="shared" si="72"/>
        <v/>
      </c>
      <c r="BF236" t="str">
        <f t="shared" si="73"/>
        <v>No</v>
      </c>
      <c r="BG236" t="str">
        <f t="shared" si="74"/>
        <v>No</v>
      </c>
      <c r="BH236" t="str">
        <f t="shared" si="75"/>
        <v/>
      </c>
    </row>
    <row r="237" spans="1:60" x14ac:dyDescent="0.3">
      <c r="A237" s="1">
        <v>9</v>
      </c>
      <c r="B237" t="s">
        <v>584</v>
      </c>
      <c r="C237" t="s">
        <v>264</v>
      </c>
      <c r="D237" t="s">
        <v>264</v>
      </c>
      <c r="E237" t="s">
        <v>264</v>
      </c>
      <c r="F237" t="s">
        <v>264</v>
      </c>
      <c r="G237" t="s">
        <v>264</v>
      </c>
      <c r="I237" t="str">
        <f t="shared" si="76"/>
        <v>N/A</v>
      </c>
      <c r="J237" t="str">
        <f t="shared" si="77"/>
        <v>N/A</v>
      </c>
      <c r="K237" t="str">
        <f t="shared" si="78"/>
        <v>N/A</v>
      </c>
      <c r="L237" t="str">
        <f t="shared" si="79"/>
        <v>N/A</v>
      </c>
      <c r="M237" t="str">
        <f t="shared" si="80"/>
        <v>N/A</v>
      </c>
      <c r="N237" t="str">
        <f t="shared" si="81"/>
        <v>N/A</v>
      </c>
      <c r="P237">
        <f t="shared" si="58"/>
        <v>0</v>
      </c>
      <c r="Q237" t="str">
        <f>IFERROR(J144+MATCH(P237,J237:N237,0)-1,"")</f>
        <v/>
      </c>
      <c r="R237" t="str">
        <f t="shared" si="59"/>
        <v/>
      </c>
      <c r="S237" t="str">
        <f>IFERROR(J144+MATCH(R237,J237:N237,0)-1,"")</f>
        <v/>
      </c>
      <c r="T237" t="str">
        <f t="shared" si="60"/>
        <v/>
      </c>
      <c r="U237" t="str">
        <f t="shared" si="61"/>
        <v/>
      </c>
      <c r="V237" t="str">
        <f t="shared" si="62"/>
        <v/>
      </c>
      <c r="W237" t="str">
        <f t="shared" si="63"/>
        <v/>
      </c>
      <c r="X237" t="str">
        <f t="shared" si="64"/>
        <v/>
      </c>
      <c r="Y237" t="str">
        <f t="shared" si="65"/>
        <v/>
      </c>
      <c r="Z237" t="str">
        <f t="shared" si="66"/>
        <v/>
      </c>
      <c r="AA237">
        <f t="shared" si="67"/>
        <v>0</v>
      </c>
      <c r="AB237" t="str">
        <f>IFERROR(V144+MATCH(AA237,V237:Z237,0)-1,"")</f>
        <v/>
      </c>
      <c r="AC237" t="str">
        <f t="shared" si="68"/>
        <v/>
      </c>
      <c r="AE237" t="str">
        <f>IF(ISNUMBER(MATCH("N/A",J237:N237,0)),"",IFERROR((5 * SUMPRODUCT(J144:N144,J237:N237) - PRODUCT(SUM(J144:N144),SUM(J237:N237))) / ((5 * SUM((J144^2)+(K144^2)+(L144^2)+(M144^2)+(N144^2))) - SUM(J144:N144)^2),""))</f>
        <v/>
      </c>
      <c r="AF237" t="str">
        <f>IFERROR(CORREL(J144:N144,J237:N237),"")</f>
        <v/>
      </c>
      <c r="AZ237">
        <f t="shared" si="69"/>
        <v>0</v>
      </c>
      <c r="BA237" t="str">
        <f>IF(AZ237=1,IF(Q237="","",IF(Q237=N144,"Yes","No")),"")</f>
        <v/>
      </c>
      <c r="BB237" t="str">
        <f t="shared" si="70"/>
        <v/>
      </c>
      <c r="BC237" t="str">
        <f>IF(AZ237=1,IF(S237="","",IF(S237=N144,"Yes","No")),"")</f>
        <v/>
      </c>
      <c r="BD237" t="str">
        <f t="shared" si="71"/>
        <v/>
      </c>
      <c r="BE237" t="str">
        <f t="shared" si="72"/>
        <v/>
      </c>
      <c r="BF237" t="str">
        <f t="shared" si="73"/>
        <v>No</v>
      </c>
      <c r="BG237" t="str">
        <f t="shared" si="74"/>
        <v>No</v>
      </c>
      <c r="BH237" t="str">
        <f t="shared" si="75"/>
        <v/>
      </c>
    </row>
    <row r="238" spans="1:60" x14ac:dyDescent="0.3">
      <c r="A238" s="1">
        <v>10</v>
      </c>
      <c r="B238" t="s">
        <v>587</v>
      </c>
      <c r="C238" t="s">
        <v>2856</v>
      </c>
      <c r="D238" t="s">
        <v>2857</v>
      </c>
      <c r="E238" t="s">
        <v>2858</v>
      </c>
      <c r="F238" t="s">
        <v>2859</v>
      </c>
      <c r="G238" t="s">
        <v>2860</v>
      </c>
      <c r="I238" t="str">
        <f t="shared" si="76"/>
        <v>N/A</v>
      </c>
      <c r="J238">
        <f t="shared" si="77"/>
        <v>122590000</v>
      </c>
      <c r="K238">
        <f t="shared" si="78"/>
        <v>111530000</v>
      </c>
      <c r="L238">
        <f t="shared" si="79"/>
        <v>99320000</v>
      </c>
      <c r="M238">
        <f t="shared" si="80"/>
        <v>164430000</v>
      </c>
      <c r="N238">
        <f t="shared" si="81"/>
        <v>342440000</v>
      </c>
      <c r="P238">
        <f t="shared" si="58"/>
        <v>342440000</v>
      </c>
      <c r="Q238">
        <f>IFERROR(J144+MATCH(P238,J238:N238,0)-1,"")</f>
        <v>2016</v>
      </c>
      <c r="R238">
        <f t="shared" si="59"/>
        <v>99320000</v>
      </c>
      <c r="S238">
        <f>IFERROR(J144+MATCH(R238,J238:N238,0)-1,"")</f>
        <v>2014</v>
      </c>
      <c r="T238">
        <f t="shared" si="60"/>
        <v>168062000</v>
      </c>
      <c r="U238">
        <f t="shared" si="61"/>
        <v>100511082.32428899</v>
      </c>
      <c r="V238">
        <f t="shared" si="62"/>
        <v>-0.45240782357998216</v>
      </c>
      <c r="W238">
        <f t="shared" si="63"/>
        <v>-0.56244544076846303</v>
      </c>
      <c r="X238">
        <f t="shared" si="64"/>
        <v>-0.68392458234815123</v>
      </c>
      <c r="Y238">
        <f t="shared" si="65"/>
        <v>-3.6135318772926091E-2</v>
      </c>
      <c r="Z238">
        <f t="shared" si="66"/>
        <v>1.7349131654695227</v>
      </c>
      <c r="AA238">
        <f t="shared" si="67"/>
        <v>1.7349131654695227</v>
      </c>
      <c r="AB238">
        <f>IFERROR(V144+MATCH(AA238,V238:Z238,0)-1,"")</f>
        <v>2016</v>
      </c>
      <c r="AC238" t="str">
        <f t="shared" si="68"/>
        <v>High</v>
      </c>
      <c r="AE238">
        <f>IF(ISNUMBER(MATCH("N/A",J238:N238,0)),"",IFERROR((5 * SUMPRODUCT(J144:N144,J238:N238) - PRODUCT(SUM(J144:N144),SUM(J238:N238))) / ((5 * SUM((J144^2)+(K144^2)+(L144^2)+(M144^2)+(N144^2))) - SUM(J144:N144)^2),""))</f>
        <v>49260000</v>
      </c>
      <c r="AF238">
        <f>IFERROR(CORREL(J144:N144,J238:N238),"")</f>
        <v>0.77490856698421429</v>
      </c>
      <c r="AZ238">
        <f t="shared" si="69"/>
        <v>1</v>
      </c>
      <c r="BA238" t="str">
        <f>IF(AZ238=1,IF(Q238="","",IF(Q238=N144,"Yes","No")),"")</f>
        <v>Yes</v>
      </c>
      <c r="BB238">
        <f t="shared" si="70"/>
        <v>342440000</v>
      </c>
      <c r="BC238" t="str">
        <f>IF(AZ238=1,IF(S238="","",IF(S238=N144,"Yes","No")),"")</f>
        <v>No</v>
      </c>
      <c r="BD238" t="str">
        <f t="shared" si="71"/>
        <v/>
      </c>
      <c r="BE238" t="str">
        <f t="shared" si="72"/>
        <v>Increasing</v>
      </c>
      <c r="BF238" t="str">
        <f t="shared" si="73"/>
        <v>Yes</v>
      </c>
      <c r="BG238" t="str">
        <f t="shared" si="74"/>
        <v>No</v>
      </c>
      <c r="BH238" t="str">
        <f t="shared" si="75"/>
        <v>No</v>
      </c>
    </row>
    <row r="239" spans="1:60" x14ac:dyDescent="0.3">
      <c r="A239" s="1">
        <v>11</v>
      </c>
      <c r="B239" t="s">
        <v>593</v>
      </c>
      <c r="C239" t="s">
        <v>2861</v>
      </c>
      <c r="D239" t="s">
        <v>2862</v>
      </c>
      <c r="E239" t="s">
        <v>2863</v>
      </c>
      <c r="F239" t="s">
        <v>2864</v>
      </c>
      <c r="G239" t="s">
        <v>2865</v>
      </c>
      <c r="I239" t="str">
        <f t="shared" si="76"/>
        <v>N/A</v>
      </c>
      <c r="J239">
        <f t="shared" si="77"/>
        <v>77430000</v>
      </c>
      <c r="K239">
        <f t="shared" si="78"/>
        <v>75880000</v>
      </c>
      <c r="L239">
        <f t="shared" si="79"/>
        <v>72430000</v>
      </c>
      <c r="M239">
        <f t="shared" si="80"/>
        <v>115450000</v>
      </c>
      <c r="N239">
        <f t="shared" si="81"/>
        <v>206660000</v>
      </c>
      <c r="P239">
        <f t="shared" si="58"/>
        <v>206660000</v>
      </c>
      <c r="Q239">
        <f>IFERROR(J144+MATCH(P239,J239:N239,0)-1,"")</f>
        <v>2016</v>
      </c>
      <c r="R239">
        <f t="shared" si="59"/>
        <v>72430000</v>
      </c>
      <c r="S239">
        <f>IFERROR(J144+MATCH(R239,J239:N239,0)-1,"")</f>
        <v>2014</v>
      </c>
      <c r="T239">
        <f t="shared" si="60"/>
        <v>109570000</v>
      </c>
      <c r="U239">
        <f t="shared" si="61"/>
        <v>57027225.515537754</v>
      </c>
      <c r="V239">
        <f t="shared" si="62"/>
        <v>-0.56359045542629582</v>
      </c>
      <c r="W239">
        <f t="shared" si="63"/>
        <v>-0.59077045561020247</v>
      </c>
      <c r="X239">
        <f t="shared" si="64"/>
        <v>-0.65126787537438169</v>
      </c>
      <c r="Y239">
        <f t="shared" si="65"/>
        <v>0.10310864585894895</v>
      </c>
      <c r="Z239">
        <f t="shared" si="66"/>
        <v>1.702520140551931</v>
      </c>
      <c r="AA239">
        <f t="shared" si="67"/>
        <v>1.702520140551931</v>
      </c>
      <c r="AB239">
        <f>IFERROR(V144+MATCH(AA239,V239:Z239,0)-1,"")</f>
        <v>2016</v>
      </c>
      <c r="AC239" t="str">
        <f t="shared" si="68"/>
        <v>High</v>
      </c>
      <c r="AE239">
        <f>IF(ISNUMBER(MATCH("N/A",J239:N239,0)),"",IFERROR((5 * SUMPRODUCT(J144:N144,J239:N239) - PRODUCT(SUM(J144:N144),SUM(J239:N239))) / ((5 * SUM((J144^2)+(K144^2)+(L144^2)+(M144^2)+(N144^2))) - SUM(J144:N144)^2),""))</f>
        <v>29803000</v>
      </c>
      <c r="AF239">
        <f>IFERROR(CORREL(J144:N144,J239:N239),"")</f>
        <v>0.82631901038496014</v>
      </c>
      <c r="AZ239">
        <f t="shared" si="69"/>
        <v>1</v>
      </c>
      <c r="BA239" t="str">
        <f>IF(AZ239=1,IF(Q239="","",IF(Q239=N144,"Yes","No")),"")</f>
        <v>Yes</v>
      </c>
      <c r="BB239">
        <f t="shared" si="70"/>
        <v>206660000</v>
      </c>
      <c r="BC239" t="str">
        <f>IF(AZ239=1,IF(S239="","",IF(S239=N144,"Yes","No")),"")</f>
        <v>No</v>
      </c>
      <c r="BD239" t="str">
        <f t="shared" si="71"/>
        <v/>
      </c>
      <c r="BE239" t="str">
        <f t="shared" si="72"/>
        <v>Increasing</v>
      </c>
      <c r="BF239" t="str">
        <f t="shared" si="73"/>
        <v>Yes</v>
      </c>
      <c r="BG239" t="str">
        <f t="shared" si="74"/>
        <v>No</v>
      </c>
      <c r="BH239" t="str">
        <f t="shared" si="75"/>
        <v>Yes</v>
      </c>
    </row>
    <row r="240" spans="1:60" x14ac:dyDescent="0.3">
      <c r="A240" s="1">
        <v>12</v>
      </c>
      <c r="B240" t="s">
        <v>599</v>
      </c>
      <c r="C240" t="s">
        <v>2866</v>
      </c>
      <c r="D240" t="s">
        <v>2867</v>
      </c>
      <c r="E240" t="s">
        <v>2868</v>
      </c>
      <c r="F240" t="s">
        <v>2869</v>
      </c>
      <c r="G240" t="s">
        <v>2870</v>
      </c>
      <c r="I240" t="str">
        <f t="shared" si="76"/>
        <v>N/A</v>
      </c>
      <c r="J240">
        <f t="shared" si="77"/>
        <v>45160000</v>
      </c>
      <c r="K240">
        <f t="shared" si="78"/>
        <v>35660000</v>
      </c>
      <c r="L240">
        <f t="shared" si="79"/>
        <v>26890000</v>
      </c>
      <c r="M240">
        <f t="shared" si="80"/>
        <v>48980000</v>
      </c>
      <c r="N240">
        <f t="shared" si="81"/>
        <v>135780000</v>
      </c>
      <c r="P240">
        <f t="shared" si="58"/>
        <v>135780000</v>
      </c>
      <c r="Q240">
        <f>IFERROR(J144+MATCH(P240,J240:N240,0)-1,"")</f>
        <v>2016</v>
      </c>
      <c r="R240">
        <f t="shared" si="59"/>
        <v>26890000</v>
      </c>
      <c r="S240">
        <f>IFERROR(J144+MATCH(R240,J240:N240,0)-1,"")</f>
        <v>2014</v>
      </c>
      <c r="T240">
        <f t="shared" si="60"/>
        <v>58494000</v>
      </c>
      <c r="U240">
        <f t="shared" si="61"/>
        <v>44050090.578794502</v>
      </c>
      <c r="V240">
        <f t="shared" si="62"/>
        <v>-0.30270085316053635</v>
      </c>
      <c r="W240">
        <f t="shared" si="63"/>
        <v>-0.51836442785868364</v>
      </c>
      <c r="X240">
        <f t="shared" si="64"/>
        <v>-0.71745595944844687</v>
      </c>
      <c r="Y240">
        <f t="shared" si="65"/>
        <v>-0.21598139470296557</v>
      </c>
      <c r="Z240">
        <f t="shared" si="66"/>
        <v>1.7545026351706323</v>
      </c>
      <c r="AA240">
        <f t="shared" si="67"/>
        <v>1.7545026351706323</v>
      </c>
      <c r="AB240">
        <f>IFERROR(V144+MATCH(AA240,V240:Z240,0)-1,"")</f>
        <v>2016</v>
      </c>
      <c r="AC240" t="str">
        <f t="shared" si="68"/>
        <v>High</v>
      </c>
      <c r="AE240">
        <f>IF(ISNUMBER(MATCH("N/A",J240:N240,0)),"",IFERROR((5 * SUMPRODUCT(J144:N144,J240:N240) - PRODUCT(SUM(J144:N144),SUM(J240:N240))) / ((5 * SUM((J144^2)+(K144^2)+(L144^2)+(M144^2)+(N144^2))) - SUM(J144:N144)^2),""))</f>
        <v>19456000</v>
      </c>
      <c r="AF240">
        <f>IFERROR(CORREL(J144:N144,J240:N240),"")</f>
        <v>0.69835581888512566</v>
      </c>
      <c r="AZ240">
        <f t="shared" si="69"/>
        <v>1</v>
      </c>
      <c r="BA240" t="str">
        <f>IF(AZ240=1,IF(Q240="","",IF(Q240=N144,"Yes","No")),"")</f>
        <v>Yes</v>
      </c>
      <c r="BB240">
        <f t="shared" si="70"/>
        <v>135780000</v>
      </c>
      <c r="BC240" t="str">
        <f>IF(AZ240=1,IF(S240="","",IF(S240=N144,"Yes","No")),"")</f>
        <v>No</v>
      </c>
      <c r="BD240" t="str">
        <f t="shared" si="71"/>
        <v/>
      </c>
      <c r="BE240" t="str">
        <f t="shared" si="72"/>
        <v>Increasing</v>
      </c>
      <c r="BF240" t="str">
        <f t="shared" si="73"/>
        <v>Yes</v>
      </c>
      <c r="BG240" t="str">
        <f t="shared" si="74"/>
        <v>No</v>
      </c>
      <c r="BH240" t="str">
        <f t="shared" si="75"/>
        <v>No</v>
      </c>
    </row>
    <row r="241" spans="1:60" x14ac:dyDescent="0.3">
      <c r="A241" s="1">
        <v>13</v>
      </c>
      <c r="B241" t="s">
        <v>604</v>
      </c>
      <c r="C241" t="s">
        <v>2871</v>
      </c>
      <c r="D241" t="s">
        <v>2294</v>
      </c>
      <c r="E241" t="s">
        <v>2872</v>
      </c>
      <c r="F241" t="s">
        <v>2873</v>
      </c>
      <c r="G241" t="s">
        <v>2874</v>
      </c>
      <c r="I241" t="str">
        <f t="shared" si="76"/>
        <v>N/A</v>
      </c>
      <c r="J241">
        <f t="shared" si="77"/>
        <v>8199999.9999999991</v>
      </c>
      <c r="K241">
        <f t="shared" si="78"/>
        <v>4890000</v>
      </c>
      <c r="L241">
        <f t="shared" si="79"/>
        <v>4110000.0000000005</v>
      </c>
      <c r="M241">
        <f t="shared" si="80"/>
        <v>7200000</v>
      </c>
      <c r="N241">
        <f t="shared" si="81"/>
        <v>3320000</v>
      </c>
      <c r="P241">
        <f t="shared" si="58"/>
        <v>8199999.9999999991</v>
      </c>
      <c r="Q241">
        <f>IFERROR(J144+MATCH(P241,J241:N241,0)-1,"")</f>
        <v>2012</v>
      </c>
      <c r="R241">
        <f t="shared" si="59"/>
        <v>3320000</v>
      </c>
      <c r="S241">
        <f>IFERROR(J144+MATCH(R241,J241:N241,0)-1,"")</f>
        <v>2016</v>
      </c>
      <c r="T241">
        <f t="shared" si="60"/>
        <v>5544000</v>
      </c>
      <c r="U241">
        <f t="shared" si="61"/>
        <v>2075266.2479787986</v>
      </c>
      <c r="V241">
        <f t="shared" si="62"/>
        <v>1.2798357813542263</v>
      </c>
      <c r="W241">
        <f t="shared" si="63"/>
        <v>-0.31514028652321696</v>
      </c>
      <c r="X241">
        <f t="shared" si="64"/>
        <v>-0.69099567411971408</v>
      </c>
      <c r="Y241">
        <f t="shared" si="65"/>
        <v>0.79796989982025579</v>
      </c>
      <c r="Z241">
        <f t="shared" si="66"/>
        <v>-1.0716697205315513</v>
      </c>
      <c r="AA241">
        <f t="shared" si="67"/>
        <v>1.2798357813542263</v>
      </c>
      <c r="AB241">
        <f>IFERROR(V144+MATCH(AA241,V241:Z241,0)-1,"")</f>
        <v>2012</v>
      </c>
      <c r="AC241" t="str">
        <f t="shared" si="68"/>
        <v>High</v>
      </c>
      <c r="AE241">
        <f>IF(ISNUMBER(MATCH("N/A",J241:N241,0)),"",IFERROR((5 * SUMPRODUCT(J144:N144,J241:N241) - PRODUCT(SUM(J144:N144),SUM(J241:N241))) / ((5 * SUM((J144^2)+(K144^2)+(L144^2)+(M144^2)+(N144^2))) - SUM(J144:N144)^2),""))</f>
        <v>-745000</v>
      </c>
      <c r="AF241">
        <f>IFERROR(CORREL(J144:N144,J241:N241),"")</f>
        <v>-0.56761315785865141</v>
      </c>
      <c r="AZ241">
        <f t="shared" si="69"/>
        <v>1</v>
      </c>
      <c r="BA241" t="str">
        <f>IF(AZ241=1,IF(Q241="","",IF(Q241=N144,"Yes","No")),"")</f>
        <v>No</v>
      </c>
      <c r="BB241" t="str">
        <f t="shared" si="70"/>
        <v/>
      </c>
      <c r="BC241" t="str">
        <f>IF(AZ241=1,IF(S241="","",IF(S241=N144,"Yes","No")),"")</f>
        <v>Yes</v>
      </c>
      <c r="BD241">
        <f t="shared" si="71"/>
        <v>3320000</v>
      </c>
      <c r="BE241" t="str">
        <f t="shared" si="72"/>
        <v>Decreasing</v>
      </c>
      <c r="BF241" t="str">
        <f t="shared" si="73"/>
        <v>Yes</v>
      </c>
      <c r="BG241" t="str">
        <f t="shared" si="74"/>
        <v>No</v>
      </c>
      <c r="BH241" t="str">
        <f t="shared" si="75"/>
        <v>No</v>
      </c>
    </row>
    <row r="242" spans="1:60" x14ac:dyDescent="0.3">
      <c r="A242" s="1">
        <v>14</v>
      </c>
      <c r="B242" t="s">
        <v>610</v>
      </c>
      <c r="C242" t="s">
        <v>2871</v>
      </c>
      <c r="D242" t="s">
        <v>2294</v>
      </c>
      <c r="E242" t="s">
        <v>2872</v>
      </c>
      <c r="F242" t="s">
        <v>2873</v>
      </c>
      <c r="G242" t="s">
        <v>2874</v>
      </c>
      <c r="I242" t="str">
        <f t="shared" si="76"/>
        <v>N/A</v>
      </c>
      <c r="J242">
        <f t="shared" si="77"/>
        <v>8199999.9999999991</v>
      </c>
      <c r="K242">
        <f t="shared" si="78"/>
        <v>4890000</v>
      </c>
      <c r="L242">
        <f t="shared" si="79"/>
        <v>4110000.0000000005</v>
      </c>
      <c r="M242">
        <f t="shared" si="80"/>
        <v>7200000</v>
      </c>
      <c r="N242">
        <f t="shared" si="81"/>
        <v>3320000</v>
      </c>
      <c r="P242">
        <f t="shared" si="58"/>
        <v>8199999.9999999991</v>
      </c>
      <c r="Q242">
        <f>IFERROR(J144+MATCH(P242,J242:N242,0)-1,"")</f>
        <v>2012</v>
      </c>
      <c r="R242">
        <f t="shared" si="59"/>
        <v>3320000</v>
      </c>
      <c r="S242">
        <f>IFERROR(J144+MATCH(R242,J242:N242,0)-1,"")</f>
        <v>2016</v>
      </c>
      <c r="T242">
        <f t="shared" si="60"/>
        <v>5544000</v>
      </c>
      <c r="U242">
        <f t="shared" si="61"/>
        <v>2075266.2479787986</v>
      </c>
      <c r="V242">
        <f t="shared" si="62"/>
        <v>1.2798357813542263</v>
      </c>
      <c r="W242">
        <f t="shared" si="63"/>
        <v>-0.31514028652321696</v>
      </c>
      <c r="X242">
        <f t="shared" si="64"/>
        <v>-0.69099567411971408</v>
      </c>
      <c r="Y242">
        <f t="shared" si="65"/>
        <v>0.79796989982025579</v>
      </c>
      <c r="Z242">
        <f t="shared" si="66"/>
        <v>-1.0716697205315513</v>
      </c>
      <c r="AA242">
        <f t="shared" si="67"/>
        <v>1.2798357813542263</v>
      </c>
      <c r="AB242">
        <f>IFERROR(V144+MATCH(AA242,V242:Z242,0)-1,"")</f>
        <v>2012</v>
      </c>
      <c r="AC242" t="str">
        <f t="shared" si="68"/>
        <v>High</v>
      </c>
      <c r="AE242">
        <f>IF(ISNUMBER(MATCH("N/A",J242:N242,0)),"",IFERROR((5 * SUMPRODUCT(J144:N144,J242:N242) - PRODUCT(SUM(J144:N144),SUM(J242:N242))) / ((5 * SUM((J144^2)+(K144^2)+(L144^2)+(M144^2)+(N144^2))) - SUM(J144:N144)^2),""))</f>
        <v>-745000</v>
      </c>
      <c r="AF242">
        <f>IFERROR(CORREL(J144:N144,J242:N242),"")</f>
        <v>-0.56761315785865141</v>
      </c>
      <c r="AZ242">
        <f t="shared" si="69"/>
        <v>1</v>
      </c>
      <c r="BA242" t="str">
        <f>IF(AZ242=1,IF(Q242="","",IF(Q242=N144,"Yes","No")),"")</f>
        <v>No</v>
      </c>
      <c r="BB242" t="str">
        <f t="shared" si="70"/>
        <v/>
      </c>
      <c r="BC242" t="str">
        <f>IF(AZ242=1,IF(S242="","",IF(S242=N144,"Yes","No")),"")</f>
        <v>Yes</v>
      </c>
      <c r="BD242">
        <f t="shared" si="71"/>
        <v>3320000</v>
      </c>
      <c r="BE242" t="str">
        <f t="shared" si="72"/>
        <v>Decreasing</v>
      </c>
      <c r="BF242" t="str">
        <f t="shared" si="73"/>
        <v>Yes</v>
      </c>
      <c r="BG242" t="str">
        <f t="shared" si="74"/>
        <v>No</v>
      </c>
      <c r="BH242" t="str">
        <f t="shared" si="75"/>
        <v>No</v>
      </c>
    </row>
    <row r="243" spans="1:60" x14ac:dyDescent="0.3">
      <c r="A243" s="1">
        <v>15</v>
      </c>
      <c r="B243" t="s">
        <v>613</v>
      </c>
      <c r="C243" t="s">
        <v>2875</v>
      </c>
      <c r="D243" t="s">
        <v>2876</v>
      </c>
      <c r="E243" t="s">
        <v>2877</v>
      </c>
      <c r="F243" t="s">
        <v>2878</v>
      </c>
      <c r="G243" t="s">
        <v>2879</v>
      </c>
      <c r="I243" t="str">
        <f t="shared" si="76"/>
        <v>N/A</v>
      </c>
      <c r="J243">
        <f t="shared" si="77"/>
        <v>709980000</v>
      </c>
      <c r="K243">
        <f t="shared" si="78"/>
        <v>726650000</v>
      </c>
      <c r="L243">
        <f t="shared" si="79"/>
        <v>724720000</v>
      </c>
      <c r="M243">
        <f t="shared" si="80"/>
        <v>669920000</v>
      </c>
      <c r="N243">
        <f t="shared" si="81"/>
        <v>820760000</v>
      </c>
      <c r="P243">
        <f t="shared" si="58"/>
        <v>820760000</v>
      </c>
      <c r="Q243">
        <f>IFERROR(J144+MATCH(P243,J243:N243,0)-1,"")</f>
        <v>2016</v>
      </c>
      <c r="R243">
        <f t="shared" si="59"/>
        <v>669920000</v>
      </c>
      <c r="S243">
        <f>IFERROR(J144+MATCH(R243,J243:N243,0)-1,"")</f>
        <v>2015</v>
      </c>
      <c r="T243">
        <f t="shared" si="60"/>
        <v>730406000</v>
      </c>
      <c r="U243">
        <f t="shared" si="61"/>
        <v>55421252.963100716</v>
      </c>
      <c r="V243">
        <f t="shared" si="62"/>
        <v>-0.36855897165658746</v>
      </c>
      <c r="W243">
        <f t="shared" si="63"/>
        <v>-6.777183479595332E-2</v>
      </c>
      <c r="X243">
        <f t="shared" si="64"/>
        <v>-0.10259602040729249</v>
      </c>
      <c r="Y243">
        <f t="shared" si="65"/>
        <v>-1.0913863683354719</v>
      </c>
      <c r="Z243">
        <f t="shared" si="66"/>
        <v>1.6303131951953052</v>
      </c>
      <c r="AA243">
        <f t="shared" si="67"/>
        <v>1.6303131951953052</v>
      </c>
      <c r="AB243">
        <f>IFERROR(V144+MATCH(AA243,V243:Z243,0)-1,"")</f>
        <v>2016</v>
      </c>
      <c r="AC243" t="str">
        <f t="shared" si="68"/>
        <v>High</v>
      </c>
      <c r="AE243">
        <f>IF(ISNUMBER(MATCH("N/A",J243:N243,0)),"",IFERROR((5 * SUMPRODUCT(J144:N144,J243:N243) - PRODUCT(SUM(J144:N144),SUM(J243:N243))) / ((5 * SUM((J144^2)+(K144^2)+(L144^2)+(M144^2)+(N144^2))) - SUM(J144:N144)^2),""))</f>
        <v>16483000</v>
      </c>
      <c r="AF243">
        <f>IFERROR(CORREL(J144:N144,J243:N243),"")</f>
        <v>0.47025121127502534</v>
      </c>
      <c r="AZ243">
        <f t="shared" si="69"/>
        <v>1</v>
      </c>
      <c r="BA243" t="str">
        <f>IF(AZ243=1,IF(Q243="","",IF(Q243=N144,"Yes","No")),"")</f>
        <v>Yes</v>
      </c>
      <c r="BB243">
        <f t="shared" si="70"/>
        <v>820760000</v>
      </c>
      <c r="BC243" t="str">
        <f>IF(AZ243=1,IF(S243="","",IF(S243=N144,"Yes","No")),"")</f>
        <v>No</v>
      </c>
      <c r="BD243" t="str">
        <f t="shared" si="71"/>
        <v/>
      </c>
      <c r="BE243" t="str">
        <f t="shared" si="72"/>
        <v>Increasing</v>
      </c>
      <c r="BF243" t="str">
        <f t="shared" si="73"/>
        <v>Yes</v>
      </c>
      <c r="BG243" t="str">
        <f t="shared" si="74"/>
        <v>No</v>
      </c>
      <c r="BH243" t="str">
        <f t="shared" si="75"/>
        <v>No</v>
      </c>
    </row>
    <row r="244" spans="1:60" x14ac:dyDescent="0.3">
      <c r="A244" s="1">
        <v>16</v>
      </c>
      <c r="B244" t="s">
        <v>618</v>
      </c>
      <c r="C244" t="s">
        <v>264</v>
      </c>
      <c r="D244" t="s">
        <v>2120</v>
      </c>
      <c r="E244" t="s">
        <v>2880</v>
      </c>
      <c r="F244" t="s">
        <v>2881</v>
      </c>
      <c r="G244" t="s">
        <v>2882</v>
      </c>
      <c r="I244" t="str">
        <f t="shared" si="76"/>
        <v>N/A</v>
      </c>
      <c r="J244" t="str">
        <f t="shared" si="77"/>
        <v>N/A</v>
      </c>
      <c r="K244">
        <f t="shared" si="78"/>
        <v>2.35E-2</v>
      </c>
      <c r="L244">
        <f t="shared" si="79"/>
        <v>-2.7000000000000001E-3</v>
      </c>
      <c r="M244">
        <f t="shared" si="80"/>
        <v>-7.5600000000000001E-2</v>
      </c>
      <c r="N244">
        <f t="shared" si="81"/>
        <v>0.22520000000000001</v>
      </c>
      <c r="P244">
        <f t="shared" si="58"/>
        <v>0.22520000000000001</v>
      </c>
      <c r="Q244">
        <f>IFERROR(J144+MATCH(P244,J244:N244,0)-1,"")</f>
        <v>2016</v>
      </c>
      <c r="R244">
        <f t="shared" si="59"/>
        <v>-7.5600000000000001E-2</v>
      </c>
      <c r="S244">
        <f>IFERROR(J144+MATCH(R244,J244:N244,0)-1,"")</f>
        <v>2015</v>
      </c>
      <c r="T244">
        <f t="shared" si="60"/>
        <v>4.2599999999999999E-2</v>
      </c>
      <c r="U244">
        <f t="shared" si="61"/>
        <v>0.12875156956972086</v>
      </c>
      <c r="V244" t="str">
        <f t="shared" si="62"/>
        <v/>
      </c>
      <c r="W244">
        <f t="shared" si="63"/>
        <v>-0.14834770608102815</v>
      </c>
      <c r="X244">
        <f t="shared" si="64"/>
        <v>-0.35184037096704585</v>
      </c>
      <c r="Y244">
        <f t="shared" si="65"/>
        <v>-0.91804706066898056</v>
      </c>
      <c r="Z244">
        <f t="shared" si="66"/>
        <v>1.4182351377170546</v>
      </c>
      <c r="AA244">
        <f t="shared" si="67"/>
        <v>1.4182351377170546</v>
      </c>
      <c r="AB244">
        <f>IFERROR(V144+MATCH(AA244,V244:Z244,0)-1,"")</f>
        <v>2016</v>
      </c>
      <c r="AC244" t="str">
        <f t="shared" si="68"/>
        <v>High</v>
      </c>
      <c r="AE244" t="str">
        <f>IF(ISNUMBER(MATCH("N/A",J244:N244,0)),"",IFERROR((5 * SUMPRODUCT(J144:N144,J244:N244) - PRODUCT(SUM(J144:N144),SUM(J244:N244))) / ((5 * SUM((J144^2)+(K144^2)+(L144^2)+(M144^2)+(N144^2))) - SUM(J144:N144)^2),""))</f>
        <v/>
      </c>
      <c r="AF244">
        <f>IFERROR(CORREL(J144:N144,J244:N244),"")</f>
        <v>0.53363795712419548</v>
      </c>
      <c r="AZ244">
        <f t="shared" si="69"/>
        <v>1</v>
      </c>
      <c r="BA244" t="str">
        <f>IF(AZ244=1,IF(Q244="","",IF(Q244=N144,"Yes","No")),"")</f>
        <v>Yes</v>
      </c>
      <c r="BB244">
        <f t="shared" si="70"/>
        <v>0.22520000000000001</v>
      </c>
      <c r="BC244" t="str">
        <f>IF(AZ244=1,IF(S244="","",IF(S244=N144,"Yes","No")),"")</f>
        <v>No</v>
      </c>
      <c r="BD244" t="str">
        <f t="shared" si="71"/>
        <v/>
      </c>
      <c r="BE244" t="str">
        <f t="shared" si="72"/>
        <v/>
      </c>
      <c r="BF244" t="str">
        <f t="shared" si="73"/>
        <v>No</v>
      </c>
      <c r="BG244" t="str">
        <f t="shared" si="74"/>
        <v>No</v>
      </c>
      <c r="BH244" t="str">
        <f t="shared" si="75"/>
        <v>No</v>
      </c>
    </row>
    <row r="245" spans="1:60" x14ac:dyDescent="0.3">
      <c r="I245" t="str">
        <f t="shared" si="76"/>
        <v>N/A</v>
      </c>
      <c r="J245" t="str">
        <f t="shared" si="77"/>
        <v>N/A</v>
      </c>
      <c r="K245" t="str">
        <f t="shared" si="78"/>
        <v>N/A</v>
      </c>
      <c r="L245" t="str">
        <f t="shared" si="79"/>
        <v>N/A</v>
      </c>
      <c r="M245" t="str">
        <f t="shared" si="80"/>
        <v>N/A</v>
      </c>
      <c r="N245" t="str">
        <f t="shared" si="81"/>
        <v>N/A</v>
      </c>
      <c r="P245">
        <f t="shared" si="58"/>
        <v>0</v>
      </c>
      <c r="Q245" t="str">
        <f>IFERROR(J144+MATCH(P245,J245:N245,0)-1,"")</f>
        <v/>
      </c>
      <c r="R245" t="str">
        <f t="shared" si="59"/>
        <v/>
      </c>
      <c r="S245" t="str">
        <f>IFERROR(J144+MATCH(R245,J245:N245,0)-1,"")</f>
        <v/>
      </c>
      <c r="T245" t="str">
        <f t="shared" si="60"/>
        <v/>
      </c>
      <c r="U245" t="str">
        <f t="shared" si="61"/>
        <v/>
      </c>
      <c r="V245" t="str">
        <f t="shared" si="62"/>
        <v/>
      </c>
      <c r="W245" t="str">
        <f t="shared" si="63"/>
        <v/>
      </c>
      <c r="X245" t="str">
        <f t="shared" si="64"/>
        <v/>
      </c>
      <c r="Y245" t="str">
        <f t="shared" si="65"/>
        <v/>
      </c>
      <c r="Z245" t="str">
        <f t="shared" si="66"/>
        <v/>
      </c>
      <c r="AA245">
        <f t="shared" si="67"/>
        <v>0</v>
      </c>
      <c r="AB245" t="str">
        <f>IFERROR(V144+MATCH(AA245,V245:Z245,0)-1,"")</f>
        <v/>
      </c>
      <c r="AC245" t="str">
        <f t="shared" si="68"/>
        <v/>
      </c>
      <c r="AE245" t="str">
        <f>IF(ISNUMBER(MATCH("N/A",J245:N245,0)),"",IFERROR((5 * SUMPRODUCT(J144:N144,J245:N245) - PRODUCT(SUM(J144:N144),SUM(J245:N245))) / ((5 * SUM((J144^2)+(K144^2)+(L144^2)+(M144^2)+(N144^2))) - SUM(J144:N144)^2),""))</f>
        <v/>
      </c>
      <c r="AF245" t="str">
        <f>IFERROR(CORREL(J144:N144,J245:N245),"")</f>
        <v/>
      </c>
      <c r="AZ245">
        <f t="shared" si="69"/>
        <v>0</v>
      </c>
      <c r="BA245" t="str">
        <f>IF(AZ245=1,IF(Q245="","",IF(Q245=N144,"Yes","No")),"")</f>
        <v/>
      </c>
      <c r="BB245" t="str">
        <f t="shared" si="70"/>
        <v/>
      </c>
      <c r="BC245" t="str">
        <f>IF(AZ245=1,IF(S245="","",IF(S245=N144,"Yes","No")),"")</f>
        <v/>
      </c>
      <c r="BD245" t="str">
        <f t="shared" si="71"/>
        <v/>
      </c>
      <c r="BE245" t="str">
        <f t="shared" si="72"/>
        <v/>
      </c>
      <c r="BF245" t="str">
        <f t="shared" si="73"/>
        <v>No</v>
      </c>
      <c r="BG245" t="str">
        <f t="shared" si="74"/>
        <v>No</v>
      </c>
      <c r="BH245" t="str">
        <f t="shared" si="75"/>
        <v/>
      </c>
    </row>
    <row r="246" spans="1:60" x14ac:dyDescent="0.3">
      <c r="B246" s="1" t="s">
        <v>316</v>
      </c>
      <c r="C246" s="1" t="s">
        <v>252</v>
      </c>
      <c r="D246" s="1" t="s">
        <v>253</v>
      </c>
      <c r="E246" s="1" t="s">
        <v>254</v>
      </c>
      <c r="F246" s="1" t="s">
        <v>255</v>
      </c>
      <c r="G246" s="1" t="s">
        <v>256</v>
      </c>
      <c r="H246" s="1" t="s">
        <v>257</v>
      </c>
      <c r="P246">
        <f t="shared" si="58"/>
        <v>0</v>
      </c>
      <c r="Q246" t="str">
        <f>IFERROR(J144+MATCH(P246,J246:N246,0)-1,"")</f>
        <v/>
      </c>
      <c r="R246" t="str">
        <f t="shared" si="59"/>
        <v/>
      </c>
      <c r="S246" t="str">
        <f>IFERROR(J144+MATCH(R246,J246:N246,0)-1,"")</f>
        <v/>
      </c>
      <c r="T246" t="str">
        <f t="shared" si="60"/>
        <v/>
      </c>
      <c r="U246" t="str">
        <f t="shared" si="61"/>
        <v/>
      </c>
      <c r="V246" t="str">
        <f t="shared" si="62"/>
        <v/>
      </c>
      <c r="W246" t="str">
        <f t="shared" si="63"/>
        <v/>
      </c>
      <c r="X246" t="str">
        <f t="shared" si="64"/>
        <v/>
      </c>
      <c r="Y246" t="str">
        <f t="shared" si="65"/>
        <v/>
      </c>
      <c r="Z246" t="str">
        <f t="shared" si="66"/>
        <v/>
      </c>
      <c r="AA246">
        <f t="shared" si="67"/>
        <v>0</v>
      </c>
      <c r="AB246" t="str">
        <f>IFERROR(V144+MATCH(AA246,V246:Z246,0)-1,"")</f>
        <v/>
      </c>
      <c r="AC246" t="str">
        <f t="shared" si="68"/>
        <v/>
      </c>
      <c r="AE246">
        <f>IF(ISNUMBER(MATCH("N/A",J246:N246,0)),"",IFERROR((5 * SUMPRODUCT(J144:N144,J246:N246) - PRODUCT(SUM(J144:N144),SUM(J246:N246))) / ((5 * SUM((J144^2)+(K144^2)+(L144^2)+(M144^2)+(N144^2))) - SUM(J144:N144)^2),""))</f>
        <v>0</v>
      </c>
      <c r="AF246" t="str">
        <f>IFERROR(CORREL(J144:N144,J246:N246),"")</f>
        <v/>
      </c>
      <c r="AZ246">
        <f t="shared" si="69"/>
        <v>0</v>
      </c>
      <c r="BA246" t="str">
        <f>IF(AZ246=1,IF(Q246="","",IF(Q246=N144,"Yes","No")),"")</f>
        <v/>
      </c>
      <c r="BB246" t="str">
        <f t="shared" si="70"/>
        <v/>
      </c>
      <c r="BC246" t="str">
        <f>IF(AZ246=1,IF(S246="","",IF(S246=N144,"Yes","No")),"")</f>
        <v/>
      </c>
      <c r="BD246" t="str">
        <f t="shared" si="71"/>
        <v/>
      </c>
      <c r="BE246" t="str">
        <f t="shared" si="72"/>
        <v/>
      </c>
      <c r="BF246" t="str">
        <f t="shared" si="73"/>
        <v>No</v>
      </c>
      <c r="BG246" t="str">
        <f t="shared" si="74"/>
        <v>No</v>
      </c>
      <c r="BH246" t="str">
        <f t="shared" si="75"/>
        <v/>
      </c>
    </row>
    <row r="247" spans="1:60" x14ac:dyDescent="0.3">
      <c r="A247" s="1">
        <v>0</v>
      </c>
      <c r="B247" t="s">
        <v>623</v>
      </c>
      <c r="C247" t="s">
        <v>1621</v>
      </c>
      <c r="D247" t="s">
        <v>2873</v>
      </c>
      <c r="E247" t="s">
        <v>2883</v>
      </c>
      <c r="F247" t="s">
        <v>264</v>
      </c>
      <c r="G247" t="s">
        <v>264</v>
      </c>
      <c r="I247" t="str">
        <f t="shared" ref="I247:I270" si="82">IF(AND(K247&gt; J247, L247&gt; K247, M247&gt; L247, N247&gt; M247), "pos_trend", IF(AND(K247&lt; J247, L247&lt; K247, M247&lt; L247, N247&lt; M247), "neg_trend", "N/A"))</f>
        <v>N/A</v>
      </c>
      <c r="J247">
        <f t="shared" ref="J247:J270" si="83">IFERROR(IF(TRIM(C247)="-", "N/A", IF(RIGHT(C247,1)=")",IF(RIGHT(C247,2)="T)",-1000000000000*VALUE(MID(C247,2,LEN(C247)-3)),IF(RIGHT(C247,2)="M)",-1000000*VALUE(MID(C247,2,LEN(C247)-3)),IF(RIGHT(C247,2)="B)",-1000000000*VALUE(MID(C247,2,LEN(C247)-3)),IF(RIGHT(C247,2)="k)",-1000*VALUE(MID(C247,2,LEN(C247)-3)),VALUE(SUBSTITUTE(C247,",","")))))),IF(RIGHT(C247,1)="T",1000000000000*VALUE(LEFT(C247,LEN(C247)-1)),IF(RIGHT(C247,1)="M",1000000*VALUE(LEFT(C247,LEN(C247)-1)),IF(RIGHT(C247,1)="B",1000000000*VALUE(LEFT(C247,LEN(C247)-1)),IF(RIGHT(C247,1)="%",0.01*VALUE(LEFT(C247,LEN(C247)-1)),IF(RIGHT(C247,1)="k",1000*VALUE(LEFT(C247,LEN(C247)-1)),VALUE(SUBSTITUTE(C247,",",""))))))))),"N/A")</f>
        <v>7760000</v>
      </c>
      <c r="K247">
        <f t="shared" ref="K247:K270" si="84">IFERROR(IF(TRIM(D247)="-", "N/A", IF(RIGHT(D247,1)=")",IF(RIGHT(D247,2)="T)",-1000000000000*VALUE(MID(D247,2,LEN(D247)-3)),IF(RIGHT(D247,2)="M)",-1000000*VALUE(MID(D247,2,LEN(D247)-3)),IF(RIGHT(D247,2)="B)",-1000000000*VALUE(MID(D247,2,LEN(D247)-3)),IF(RIGHT(D247,2)="k)",-1000*VALUE(MID(D247,2,LEN(D247)-3)),VALUE(SUBSTITUTE(D247,",","")))))),IF(RIGHT(D247,1)="T",1000000000000*VALUE(LEFT(D247,LEN(D247)-1)),IF(RIGHT(D247,1)="M",1000000*VALUE(LEFT(D247,LEN(D247)-1)),IF(RIGHT(D247,1)="B",1000000000*VALUE(LEFT(D247,LEN(D247)-1)),IF(RIGHT(D247,1)="%",0.01*VALUE(LEFT(D247,LEN(D247)-1)),IF(RIGHT(D247,1)="k",1000*VALUE(LEFT(D247,LEN(D247)-1)),VALUE(SUBSTITUTE(D247,",",""))))))))),"N/A")</f>
        <v>7200000</v>
      </c>
      <c r="L247">
        <f t="shared" ref="L247:L270" si="85">IFERROR(IF(TRIM(E247)="-", "N/A", IF(RIGHT(E247,1)=")",IF(RIGHT(E247,2)="T)",-1000000000000*VALUE(MID(E247,2,LEN(E247)-3)),IF(RIGHT(E247,2)="M)",-1000000*VALUE(MID(E247,2,LEN(E247)-3)),IF(RIGHT(E247,2)="B)",-1000000000*VALUE(MID(E247,2,LEN(E247)-3)),IF(RIGHT(E247,2)="k)",-1000*VALUE(MID(E247,2,LEN(E247)-3)),VALUE(SUBSTITUTE(E247,",","")))))),IF(RIGHT(E247,1)="T",1000000000000*VALUE(LEFT(E247,LEN(E247)-1)),IF(RIGHT(E247,1)="M",1000000*VALUE(LEFT(E247,LEN(E247)-1)),IF(RIGHT(E247,1)="B",1000000000*VALUE(LEFT(E247,LEN(E247)-1)),IF(RIGHT(E247,1)="%",0.01*VALUE(LEFT(E247,LEN(E247)-1)),IF(RIGHT(E247,1)="k",1000*VALUE(LEFT(E247,LEN(E247)-1)),VALUE(SUBSTITUTE(E247,",",""))))))))),"N/A")</f>
        <v>8420000</v>
      </c>
      <c r="M247" t="str">
        <f t="shared" ref="M247:M270" si="86">IFERROR(IF(TRIM(F247)="-", "N/A", IF(RIGHT(F247,1)=")",IF(RIGHT(F247,2)="T)",-1000000000000*VALUE(MID(F247,2,LEN(F247)-3)),IF(RIGHT(F247,2)="M)",-1000000*VALUE(MID(F247,2,LEN(F247)-3)),IF(RIGHT(F247,2)="B)",-1000000000*VALUE(MID(F247,2,LEN(F247)-3)),IF(RIGHT(F247,2)="k)",-1000*VALUE(MID(F247,2,LEN(F247)-3)),VALUE(SUBSTITUTE(F247,",","")))))),IF(RIGHT(F247,1)="T",1000000000000*VALUE(LEFT(F247,LEN(F247)-1)),IF(RIGHT(F247,1)="M",1000000*VALUE(LEFT(F247,LEN(F247)-1)),IF(RIGHT(F247,1)="B",1000000000*VALUE(LEFT(F247,LEN(F247)-1)),IF(RIGHT(F247,1)="%",0.01*VALUE(LEFT(F247,LEN(F247)-1)),IF(RIGHT(F247,1)="k",1000*VALUE(LEFT(F247,LEN(F247)-1)),VALUE(SUBSTITUTE(F247,",",""))))))))),"N/A")</f>
        <v>N/A</v>
      </c>
      <c r="N247" t="str">
        <f t="shared" ref="N247:N270" si="87">IFERROR(IF(TRIM(G247)="-", "N/A", IF(RIGHT(G247,1)=")",IF(RIGHT(G247,2)="T)",-1000000000000*VALUE(MID(G247,2,LEN(G247)-3)),IF(RIGHT(G247,2)="M)",-1000000*VALUE(MID(G247,2,LEN(G247)-3)),IF(RIGHT(G247,2)="B)",-1000000000*VALUE(MID(G247,2,LEN(G247)-3)),IF(RIGHT(G247,2)="k)",-1000*VALUE(MID(G247,2,LEN(G247)-3)),VALUE(SUBSTITUTE(G247,",","")))))),IF(RIGHT(G247,1)="T",1000000000000*VALUE(LEFT(G247,LEN(G247)-1)),IF(RIGHT(G247,1)="M",1000000*VALUE(LEFT(G247,LEN(G247)-1)),IF(RIGHT(G247,1)="B",1000000000*VALUE(LEFT(G247,LEN(G247)-1)),IF(RIGHT(G247,1)="%",0.01*VALUE(LEFT(G247,LEN(G247)-1)),IF(RIGHT(G247,1)="k",1000*VALUE(LEFT(G247,LEN(G247)-1)),VALUE(SUBSTITUTE(G247,",",""))))))))),"N/A")</f>
        <v>N/A</v>
      </c>
      <c r="P247">
        <f t="shared" si="58"/>
        <v>8420000</v>
      </c>
      <c r="Q247">
        <f>IFERROR(J144+MATCH(P247,J247:N247,0)-1,"")</f>
        <v>2014</v>
      </c>
      <c r="R247">
        <f t="shared" si="59"/>
        <v>7200000</v>
      </c>
      <c r="S247">
        <f>IFERROR(J144+MATCH(R247,J247:N247,0)-1,"")</f>
        <v>2013</v>
      </c>
      <c r="T247">
        <f t="shared" si="60"/>
        <v>7793333.333333333</v>
      </c>
      <c r="U247">
        <f t="shared" si="61"/>
        <v>610682.67810159258</v>
      </c>
      <c r="V247">
        <f t="shared" si="62"/>
        <v>-5.4583721675150777E-2</v>
      </c>
      <c r="W247">
        <f t="shared" si="63"/>
        <v>-0.97159024581769238</v>
      </c>
      <c r="X247">
        <f t="shared" si="64"/>
        <v>1.0261739674928447</v>
      </c>
      <c r="Y247" t="str">
        <f t="shared" si="65"/>
        <v/>
      </c>
      <c r="Z247" t="str">
        <f t="shared" si="66"/>
        <v/>
      </c>
      <c r="AA247">
        <f t="shared" si="67"/>
        <v>1.0261739674928447</v>
      </c>
      <c r="AB247">
        <f>IFERROR(V144+MATCH(AA247,V247:Z247,0)-1,"")</f>
        <v>2014</v>
      </c>
      <c r="AC247" t="str">
        <f t="shared" si="68"/>
        <v>High</v>
      </c>
      <c r="AE247" t="str">
        <f>IF(ISNUMBER(MATCH("N/A",J247:N247,0)),"",IFERROR((5 * SUMPRODUCT(J144:N144,J247:N247) - PRODUCT(SUM(J144:N144),SUM(J247:N247))) / ((5 * SUM((J144^2)+(K144^2)+(L144^2)+(M144^2)+(N144^2))) - SUM(J144:N144)^2),""))</f>
        <v/>
      </c>
      <c r="AF247">
        <f>IFERROR(CORREL(J144:N144,J247:N247),"")</f>
        <v>0.54037884458399765</v>
      </c>
      <c r="AZ247">
        <f t="shared" si="69"/>
        <v>1</v>
      </c>
      <c r="BA247" t="str">
        <f>IF(AZ247=1,IF(Q247="","",IF(Q247=N144,"Yes","No")),"")</f>
        <v>No</v>
      </c>
      <c r="BB247" t="str">
        <f t="shared" si="70"/>
        <v/>
      </c>
      <c r="BC247" t="str">
        <f>IF(AZ247=1,IF(S247="","",IF(S247=N144,"Yes","No")),"")</f>
        <v>No</v>
      </c>
      <c r="BD247" t="str">
        <f t="shared" si="71"/>
        <v/>
      </c>
      <c r="BE247" t="str">
        <f t="shared" si="72"/>
        <v/>
      </c>
      <c r="BF247" t="str">
        <f t="shared" si="73"/>
        <v>No</v>
      </c>
      <c r="BG247" t="str">
        <f t="shared" si="74"/>
        <v>No</v>
      </c>
      <c r="BH247" t="str">
        <f t="shared" si="75"/>
        <v>No</v>
      </c>
    </row>
    <row r="248" spans="1:60" x14ac:dyDescent="0.3">
      <c r="A248" s="1">
        <v>1</v>
      </c>
      <c r="B248" t="s">
        <v>628</v>
      </c>
      <c r="C248" t="s">
        <v>264</v>
      </c>
      <c r="D248" t="s">
        <v>264</v>
      </c>
      <c r="E248" t="s">
        <v>264</v>
      </c>
      <c r="F248" t="s">
        <v>264</v>
      </c>
      <c r="G248" t="s">
        <v>264</v>
      </c>
      <c r="I248" t="str">
        <f t="shared" si="82"/>
        <v>N/A</v>
      </c>
      <c r="J248" t="str">
        <f t="shared" si="83"/>
        <v>N/A</v>
      </c>
      <c r="K248" t="str">
        <f t="shared" si="84"/>
        <v>N/A</v>
      </c>
      <c r="L248" t="str">
        <f t="shared" si="85"/>
        <v>N/A</v>
      </c>
      <c r="M248" t="str">
        <f t="shared" si="86"/>
        <v>N/A</v>
      </c>
      <c r="N248" t="str">
        <f t="shared" si="87"/>
        <v>N/A</v>
      </c>
      <c r="P248">
        <f t="shared" si="58"/>
        <v>0</v>
      </c>
      <c r="Q248" t="str">
        <f>IFERROR(J144+MATCH(P248,J248:N248,0)-1,"")</f>
        <v/>
      </c>
      <c r="R248" t="str">
        <f t="shared" si="59"/>
        <v/>
      </c>
      <c r="S248" t="str">
        <f>IFERROR(J144+MATCH(R248,J248:N248,0)-1,"")</f>
        <v/>
      </c>
      <c r="T248" t="str">
        <f t="shared" si="60"/>
        <v/>
      </c>
      <c r="U248" t="str">
        <f t="shared" si="61"/>
        <v/>
      </c>
      <c r="V248" t="str">
        <f t="shared" si="62"/>
        <v/>
      </c>
      <c r="W248" t="str">
        <f t="shared" si="63"/>
        <v/>
      </c>
      <c r="X248" t="str">
        <f t="shared" si="64"/>
        <v/>
      </c>
      <c r="Y248" t="str">
        <f t="shared" si="65"/>
        <v/>
      </c>
      <c r="Z248" t="str">
        <f t="shared" si="66"/>
        <v/>
      </c>
      <c r="AA248">
        <f t="shared" si="67"/>
        <v>0</v>
      </c>
      <c r="AB248" t="str">
        <f>IFERROR(V144+MATCH(AA248,V248:Z248,0)-1,"")</f>
        <v/>
      </c>
      <c r="AC248" t="str">
        <f t="shared" si="68"/>
        <v/>
      </c>
      <c r="AE248" t="str">
        <f>IF(ISNUMBER(MATCH("N/A",J248:N248,0)),"",IFERROR((5 * SUMPRODUCT(J144:N144,J248:N248) - PRODUCT(SUM(J144:N144),SUM(J248:N248))) / ((5 * SUM((J144^2)+(K144^2)+(L144^2)+(M144^2)+(N144^2))) - SUM(J144:N144)^2),""))</f>
        <v/>
      </c>
      <c r="AF248" t="str">
        <f>IFERROR(CORREL(J144:N144,J248:N248),"")</f>
        <v/>
      </c>
      <c r="AZ248">
        <f t="shared" si="69"/>
        <v>0</v>
      </c>
      <c r="BA248" t="str">
        <f>IF(AZ248=1,IF(Q248="","",IF(Q248=N144,"Yes","No")),"")</f>
        <v/>
      </c>
      <c r="BB248" t="str">
        <f t="shared" si="70"/>
        <v/>
      </c>
      <c r="BC248" t="str">
        <f>IF(AZ248=1,IF(S248="","",IF(S248=N144,"Yes","No")),"")</f>
        <v/>
      </c>
      <c r="BD248" t="str">
        <f t="shared" si="71"/>
        <v/>
      </c>
      <c r="BE248" t="str">
        <f t="shared" si="72"/>
        <v/>
      </c>
      <c r="BF248" t="str">
        <f t="shared" si="73"/>
        <v>No</v>
      </c>
      <c r="BG248" t="str">
        <f t="shared" si="74"/>
        <v>No</v>
      </c>
      <c r="BH248" t="str">
        <f t="shared" si="75"/>
        <v/>
      </c>
    </row>
    <row r="249" spans="1:60" x14ac:dyDescent="0.3">
      <c r="A249" s="1">
        <v>2</v>
      </c>
      <c r="B249" t="s">
        <v>629</v>
      </c>
      <c r="C249" t="s">
        <v>1621</v>
      </c>
      <c r="D249" t="s">
        <v>2873</v>
      </c>
      <c r="E249" t="s">
        <v>2883</v>
      </c>
      <c r="F249" t="s">
        <v>264</v>
      </c>
      <c r="G249" t="s">
        <v>264</v>
      </c>
      <c r="I249" t="str">
        <f t="shared" si="82"/>
        <v>N/A</v>
      </c>
      <c r="J249">
        <f t="shared" si="83"/>
        <v>7760000</v>
      </c>
      <c r="K249">
        <f t="shared" si="84"/>
        <v>7200000</v>
      </c>
      <c r="L249">
        <f t="shared" si="85"/>
        <v>8420000</v>
      </c>
      <c r="M249" t="str">
        <f t="shared" si="86"/>
        <v>N/A</v>
      </c>
      <c r="N249" t="str">
        <f t="shared" si="87"/>
        <v>N/A</v>
      </c>
      <c r="P249">
        <f t="shared" si="58"/>
        <v>8420000</v>
      </c>
      <c r="Q249">
        <f>IFERROR(J144+MATCH(P249,J249:N249,0)-1,"")</f>
        <v>2014</v>
      </c>
      <c r="R249">
        <f t="shared" si="59"/>
        <v>7200000</v>
      </c>
      <c r="S249">
        <f>IFERROR(J144+MATCH(R249,J249:N249,0)-1,"")</f>
        <v>2013</v>
      </c>
      <c r="T249">
        <f t="shared" si="60"/>
        <v>7793333.333333333</v>
      </c>
      <c r="U249">
        <f t="shared" si="61"/>
        <v>610682.67810159258</v>
      </c>
      <c r="V249">
        <f t="shared" si="62"/>
        <v>-5.4583721675150777E-2</v>
      </c>
      <c r="W249">
        <f t="shared" si="63"/>
        <v>-0.97159024581769238</v>
      </c>
      <c r="X249">
        <f t="shared" si="64"/>
        <v>1.0261739674928447</v>
      </c>
      <c r="Y249" t="str">
        <f t="shared" si="65"/>
        <v/>
      </c>
      <c r="Z249" t="str">
        <f t="shared" si="66"/>
        <v/>
      </c>
      <c r="AA249">
        <f t="shared" si="67"/>
        <v>1.0261739674928447</v>
      </c>
      <c r="AB249">
        <f>IFERROR(V144+MATCH(AA249,V249:Z249,0)-1,"")</f>
        <v>2014</v>
      </c>
      <c r="AC249" t="str">
        <f t="shared" si="68"/>
        <v>High</v>
      </c>
      <c r="AE249" t="str">
        <f>IF(ISNUMBER(MATCH("N/A",J249:N249,0)),"",IFERROR((5 * SUMPRODUCT(J144:N144,J249:N249) - PRODUCT(SUM(J144:N144),SUM(J249:N249))) / ((5 * SUM((J144^2)+(K144^2)+(L144^2)+(M144^2)+(N144^2))) - SUM(J144:N144)^2),""))</f>
        <v/>
      </c>
      <c r="AF249">
        <f>IFERROR(CORREL(J144:N144,J249:N249),"")</f>
        <v>0.54037884458399765</v>
      </c>
      <c r="AZ249">
        <f t="shared" si="69"/>
        <v>1</v>
      </c>
      <c r="BA249" t="str">
        <f>IF(AZ249=1,IF(Q249="","",IF(Q249=N144,"Yes","No")),"")</f>
        <v>No</v>
      </c>
      <c r="BB249" t="str">
        <f t="shared" si="70"/>
        <v/>
      </c>
      <c r="BC249" t="str">
        <f>IF(AZ249=1,IF(S249="","",IF(S249=N144,"Yes","No")),"")</f>
        <v>No</v>
      </c>
      <c r="BD249" t="str">
        <f t="shared" si="71"/>
        <v/>
      </c>
      <c r="BE249" t="str">
        <f t="shared" si="72"/>
        <v/>
      </c>
      <c r="BF249" t="str">
        <f t="shared" si="73"/>
        <v>No</v>
      </c>
      <c r="BG249" t="str">
        <f t="shared" si="74"/>
        <v>No</v>
      </c>
      <c r="BH249" t="str">
        <f t="shared" si="75"/>
        <v>No</v>
      </c>
    </row>
    <row r="250" spans="1:60" x14ac:dyDescent="0.3">
      <c r="A250" s="1">
        <v>3</v>
      </c>
      <c r="B250" t="s">
        <v>630</v>
      </c>
      <c r="C250" t="s">
        <v>2884</v>
      </c>
      <c r="D250" t="s">
        <v>2885</v>
      </c>
      <c r="E250" t="s">
        <v>2886</v>
      </c>
      <c r="F250" t="s">
        <v>2887</v>
      </c>
      <c r="G250" t="s">
        <v>2888</v>
      </c>
      <c r="I250" t="str">
        <f t="shared" si="82"/>
        <v>N/A</v>
      </c>
      <c r="J250">
        <f t="shared" si="83"/>
        <v>80360000</v>
      </c>
      <c r="K250">
        <f t="shared" si="84"/>
        <v>70590000</v>
      </c>
      <c r="L250">
        <f t="shared" si="85"/>
        <v>87110000</v>
      </c>
      <c r="M250">
        <f t="shared" si="86"/>
        <v>64280000</v>
      </c>
      <c r="N250">
        <f t="shared" si="87"/>
        <v>46770000</v>
      </c>
      <c r="P250">
        <f t="shared" si="58"/>
        <v>87110000</v>
      </c>
      <c r="Q250">
        <f>IFERROR(J144+MATCH(P250,J250:N250,0)-1,"")</f>
        <v>2014</v>
      </c>
      <c r="R250">
        <f t="shared" si="59"/>
        <v>46770000</v>
      </c>
      <c r="S250">
        <f>IFERROR(J144+MATCH(R250,J250:N250,0)-1,"")</f>
        <v>2016</v>
      </c>
      <c r="T250">
        <f t="shared" si="60"/>
        <v>69822000</v>
      </c>
      <c r="U250">
        <f t="shared" si="61"/>
        <v>15593449.586284621</v>
      </c>
      <c r="V250">
        <f t="shared" si="62"/>
        <v>0.67579658636077589</v>
      </c>
      <c r="W250">
        <f t="shared" si="63"/>
        <v>4.925144983156917E-2</v>
      </c>
      <c r="X250">
        <f t="shared" si="64"/>
        <v>1.1086706571460518</v>
      </c>
      <c r="Y250">
        <f t="shared" si="65"/>
        <v>-0.35540564448770356</v>
      </c>
      <c r="Z250">
        <f t="shared" si="66"/>
        <v>-1.4783130488506933</v>
      </c>
      <c r="AA250">
        <f t="shared" si="67"/>
        <v>-1.4783130488506933</v>
      </c>
      <c r="AB250">
        <f>IFERROR(V144+MATCH(AA250,V250:Z250,0)-1,"")</f>
        <v>2016</v>
      </c>
      <c r="AC250" t="str">
        <f t="shared" si="68"/>
        <v>Low</v>
      </c>
      <c r="AE250">
        <f>IF(ISNUMBER(MATCH("N/A",J250:N250,0)),"",IFERROR((5 * SUMPRODUCT(J144:N144,J250:N250) - PRODUCT(SUM(J144:N144),SUM(J250:N250))) / ((5 * SUM((J144^2)+(K144^2)+(L144^2)+(M144^2)+(N144^2))) - SUM(J144:N144)^2),""))</f>
        <v>-7349000</v>
      </c>
      <c r="AF250">
        <f>IFERROR(CORREL(J144:N144,J250:N250),"")</f>
        <v>-0.74517118216799283</v>
      </c>
      <c r="AZ250">
        <f t="shared" si="69"/>
        <v>1</v>
      </c>
      <c r="BA250" t="str">
        <f>IF(AZ250=1,IF(Q250="","",IF(Q250=N144,"Yes","No")),"")</f>
        <v>No</v>
      </c>
      <c r="BB250" t="str">
        <f t="shared" si="70"/>
        <v/>
      </c>
      <c r="BC250" t="str">
        <f>IF(AZ250=1,IF(S250="","",IF(S250=N144,"Yes","No")),"")</f>
        <v>Yes</v>
      </c>
      <c r="BD250">
        <f t="shared" si="71"/>
        <v>46770000</v>
      </c>
      <c r="BE250" t="str">
        <f t="shared" si="72"/>
        <v>Decreasing</v>
      </c>
      <c r="BF250" t="str">
        <f t="shared" si="73"/>
        <v>Yes</v>
      </c>
      <c r="BG250" t="str">
        <f t="shared" si="74"/>
        <v>No</v>
      </c>
      <c r="BH250" t="str">
        <f t="shared" si="75"/>
        <v>No</v>
      </c>
    </row>
    <row r="251" spans="1:60" x14ac:dyDescent="0.3">
      <c r="A251" s="1">
        <v>4</v>
      </c>
      <c r="B251" t="s">
        <v>636</v>
      </c>
      <c r="C251" t="s">
        <v>264</v>
      </c>
      <c r="D251" t="s">
        <v>2889</v>
      </c>
      <c r="E251" t="s">
        <v>2890</v>
      </c>
      <c r="F251" t="s">
        <v>2891</v>
      </c>
      <c r="G251" t="s">
        <v>2892</v>
      </c>
      <c r="I251" t="str">
        <f t="shared" si="82"/>
        <v>N/A</v>
      </c>
      <c r="J251" t="str">
        <f t="shared" si="83"/>
        <v>N/A</v>
      </c>
      <c r="K251">
        <f t="shared" si="84"/>
        <v>-0.1216</v>
      </c>
      <c r="L251">
        <f t="shared" si="85"/>
        <v>0.2341</v>
      </c>
      <c r="M251">
        <f t="shared" si="86"/>
        <v>-0.2621</v>
      </c>
      <c r="N251">
        <f t="shared" si="87"/>
        <v>-0.27250000000000002</v>
      </c>
      <c r="P251">
        <f t="shared" si="58"/>
        <v>0.2341</v>
      </c>
      <c r="Q251">
        <f>IFERROR(J144+MATCH(P251,J251:N251,0)-1,"")</f>
        <v>2014</v>
      </c>
      <c r="R251">
        <f t="shared" si="59"/>
        <v>-0.27250000000000002</v>
      </c>
      <c r="S251">
        <f>IFERROR(J144+MATCH(R251,J251:N251,0)-1,"")</f>
        <v>2016</v>
      </c>
      <c r="T251">
        <f t="shared" si="60"/>
        <v>-0.10552500000000001</v>
      </c>
      <c r="U251">
        <f t="shared" si="61"/>
        <v>0.23664314026257624</v>
      </c>
      <c r="V251" t="str">
        <f t="shared" si="62"/>
        <v/>
      </c>
      <c r="W251">
        <f t="shared" si="63"/>
        <v>-6.7929287881167297E-2</v>
      </c>
      <c r="X251">
        <f t="shared" si="64"/>
        <v>1.4351778784846938</v>
      </c>
      <c r="Y251">
        <f t="shared" si="65"/>
        <v>-0.66165027993740422</v>
      </c>
      <c r="Z251">
        <f t="shared" si="66"/>
        <v>-0.70559831066612222</v>
      </c>
      <c r="AA251">
        <f t="shared" si="67"/>
        <v>1.4351778784846938</v>
      </c>
      <c r="AB251">
        <f>IFERROR(V144+MATCH(AA251,V251:Z251,0)-1,"")</f>
        <v>2014</v>
      </c>
      <c r="AC251" t="str">
        <f t="shared" si="68"/>
        <v>High</v>
      </c>
      <c r="AE251" t="str">
        <f>IF(ISNUMBER(MATCH("N/A",J251:N251,0)),"",IFERROR((5 * SUMPRODUCT(J144:N144,J251:N251) - PRODUCT(SUM(J144:N144),SUM(J251:N251))) / ((5 * SUM((J144^2)+(K144^2)+(L144^2)+(M144^2)+(N144^2))) - SUM(J144:N144)^2),""))</f>
        <v/>
      </c>
      <c r="AF251">
        <f>IFERROR(CORREL(J144:N144,J251:N251),"")</f>
        <v>-0.51766750181143395</v>
      </c>
      <c r="AZ251">
        <f t="shared" si="69"/>
        <v>1</v>
      </c>
      <c r="BA251" t="str">
        <f>IF(AZ251=1,IF(Q251="","",IF(Q251=N144,"Yes","No")),"")</f>
        <v>No</v>
      </c>
      <c r="BB251" t="str">
        <f t="shared" si="70"/>
        <v/>
      </c>
      <c r="BC251" t="str">
        <f>IF(AZ251=1,IF(S251="","",IF(S251=N144,"Yes","No")),"")</f>
        <v>Yes</v>
      </c>
      <c r="BD251">
        <f t="shared" si="71"/>
        <v>-0.27250000000000002</v>
      </c>
      <c r="BE251" t="str">
        <f t="shared" si="72"/>
        <v/>
      </c>
      <c r="BF251" t="str">
        <f t="shared" si="73"/>
        <v>No</v>
      </c>
      <c r="BG251" t="str">
        <f t="shared" si="74"/>
        <v>No</v>
      </c>
      <c r="BH251" t="str">
        <f t="shared" si="75"/>
        <v>No</v>
      </c>
    </row>
    <row r="252" spans="1:60" x14ac:dyDescent="0.3">
      <c r="A252" s="1">
        <v>5</v>
      </c>
      <c r="B252" t="s">
        <v>641</v>
      </c>
      <c r="C252" t="s">
        <v>2893</v>
      </c>
      <c r="D252" t="s">
        <v>2894</v>
      </c>
      <c r="E252" t="s">
        <v>2895</v>
      </c>
      <c r="F252" t="s">
        <v>2896</v>
      </c>
      <c r="G252" t="s">
        <v>2897</v>
      </c>
      <c r="I252" t="str">
        <f t="shared" si="82"/>
        <v>N/A</v>
      </c>
      <c r="J252">
        <f t="shared" si="83"/>
        <v>393000</v>
      </c>
      <c r="K252">
        <f t="shared" si="84"/>
        <v>3970000</v>
      </c>
      <c r="L252">
        <f t="shared" si="85"/>
        <v>1310000</v>
      </c>
      <c r="M252">
        <f t="shared" si="86"/>
        <v>6590000</v>
      </c>
      <c r="N252">
        <f t="shared" si="87"/>
        <v>2560000</v>
      </c>
      <c r="P252">
        <f t="shared" si="58"/>
        <v>6590000</v>
      </c>
      <c r="Q252">
        <f>IFERROR(J144+MATCH(P252,J252:N252,0)-1,"")</f>
        <v>2015</v>
      </c>
      <c r="R252">
        <f t="shared" si="59"/>
        <v>393000</v>
      </c>
      <c r="S252">
        <f>IFERROR(J144+MATCH(R252,J252:N252,0)-1,"")</f>
        <v>2012</v>
      </c>
      <c r="T252">
        <f t="shared" si="60"/>
        <v>2964600</v>
      </c>
      <c r="U252">
        <f t="shared" si="61"/>
        <v>2432533.8229919844</v>
      </c>
      <c r="V252">
        <f t="shared" si="62"/>
        <v>-1.057169267573417</v>
      </c>
      <c r="W252">
        <f t="shared" si="63"/>
        <v>0.41331388303714162</v>
      </c>
      <c r="X252">
        <f t="shared" si="64"/>
        <v>-0.68019609197658093</v>
      </c>
      <c r="Y252">
        <f t="shared" si="65"/>
        <v>1.4903800990281015</v>
      </c>
      <c r="Z252">
        <f t="shared" si="66"/>
        <v>-0.16632862251524516</v>
      </c>
      <c r="AA252">
        <f t="shared" si="67"/>
        <v>1.4903800990281015</v>
      </c>
      <c r="AB252">
        <f>IFERROR(V144+MATCH(AA252,V252:Z252,0)-1,"")</f>
        <v>2015</v>
      </c>
      <c r="AC252" t="str">
        <f t="shared" si="68"/>
        <v>High</v>
      </c>
      <c r="AE252">
        <f>IF(ISNUMBER(MATCH("N/A",J252:N252,0)),"",IFERROR((5 * SUMPRODUCT(J144:N144,J252:N252) - PRODUCT(SUM(J144:N144),SUM(J252:N252))) / ((5 * SUM((J144^2)+(K144^2)+(L144^2)+(M144^2)+(N144^2))) - SUM(J144:N144)^2),""))</f>
        <v>695400</v>
      </c>
      <c r="AF252">
        <f>IFERROR(CORREL(J144:N144,J252:N252),"")</f>
        <v>0.45200766873125958</v>
      </c>
      <c r="AZ252">
        <f t="shared" si="69"/>
        <v>1</v>
      </c>
      <c r="BA252" t="str">
        <f>IF(AZ252=1,IF(Q252="","",IF(Q252=N144,"Yes","No")),"")</f>
        <v>No</v>
      </c>
      <c r="BB252" t="str">
        <f t="shared" si="70"/>
        <v/>
      </c>
      <c r="BC252" t="str">
        <f>IF(AZ252=1,IF(S252="","",IF(S252=N144,"Yes","No")),"")</f>
        <v>No</v>
      </c>
      <c r="BD252" t="str">
        <f t="shared" si="71"/>
        <v/>
      </c>
      <c r="BE252" t="str">
        <f t="shared" si="72"/>
        <v>Increasing</v>
      </c>
      <c r="BF252" t="str">
        <f t="shared" si="73"/>
        <v>No</v>
      </c>
      <c r="BG252" t="str">
        <f t="shared" si="74"/>
        <v>No</v>
      </c>
      <c r="BH252" t="str">
        <f t="shared" si="75"/>
        <v>No</v>
      </c>
    </row>
    <row r="253" spans="1:60" x14ac:dyDescent="0.3">
      <c r="A253" s="1">
        <v>6</v>
      </c>
      <c r="B253" t="s">
        <v>644</v>
      </c>
      <c r="C253" t="s">
        <v>2898</v>
      </c>
      <c r="D253" t="s">
        <v>2899</v>
      </c>
      <c r="E253" t="s">
        <v>2900</v>
      </c>
      <c r="F253" t="s">
        <v>2901</v>
      </c>
      <c r="G253" t="s">
        <v>2902</v>
      </c>
      <c r="I253" t="str">
        <f t="shared" si="82"/>
        <v>neg_trend</v>
      </c>
      <c r="J253">
        <f t="shared" si="83"/>
        <v>93780000</v>
      </c>
      <c r="K253">
        <f t="shared" si="84"/>
        <v>88800000</v>
      </c>
      <c r="L253">
        <f t="shared" si="85"/>
        <v>88640000</v>
      </c>
      <c r="M253">
        <f t="shared" si="86"/>
        <v>71300000</v>
      </c>
      <c r="N253">
        <f t="shared" si="87"/>
        <v>68400000</v>
      </c>
      <c r="P253">
        <f t="shared" si="58"/>
        <v>93780000</v>
      </c>
      <c r="Q253">
        <f>IFERROR(J144+MATCH(P253,J253:N253,0)-1,"")</f>
        <v>2012</v>
      </c>
      <c r="R253">
        <f t="shared" si="59"/>
        <v>68400000</v>
      </c>
      <c r="S253">
        <f>IFERROR(J144+MATCH(R253,J253:N253,0)-1,"")</f>
        <v>2016</v>
      </c>
      <c r="T253">
        <f t="shared" si="60"/>
        <v>82184000</v>
      </c>
      <c r="U253">
        <f t="shared" si="61"/>
        <v>11493244.97259151</v>
      </c>
      <c r="V253">
        <f t="shared" si="62"/>
        <v>1.0089404713510879</v>
      </c>
      <c r="W253">
        <f t="shared" si="63"/>
        <v>0.57564247658320089</v>
      </c>
      <c r="X253">
        <f t="shared" si="64"/>
        <v>0.56172125586776678</v>
      </c>
      <c r="Y253">
        <f t="shared" si="65"/>
        <v>-0.94699103916740612</v>
      </c>
      <c r="Z253">
        <f t="shared" si="66"/>
        <v>-1.1993131646346495</v>
      </c>
      <c r="AA253">
        <f t="shared" si="67"/>
        <v>-1.1993131646346495</v>
      </c>
      <c r="AB253">
        <f>IFERROR(V144+MATCH(AA253,V253:Z253,0)-1,"")</f>
        <v>2016</v>
      </c>
      <c r="AC253" t="str">
        <f t="shared" si="68"/>
        <v>Low</v>
      </c>
      <c r="AE253">
        <f>IF(ISNUMBER(MATCH("N/A",J253:N253,0)),"",IFERROR((5 * SUMPRODUCT(J144:N144,J253:N253) - PRODUCT(SUM(J144:N144),SUM(J253:N253))) / ((5 * SUM((J144^2)+(K144^2)+(L144^2)+(M144^2)+(N144^2))) - SUM(J144:N144)^2),""))</f>
        <v>-6826000</v>
      </c>
      <c r="AF253">
        <f>IFERROR(CORREL(J144:N144,J253:N253),"")</f>
        <v>-0.93906061168041854</v>
      </c>
      <c r="AZ253">
        <f t="shared" si="69"/>
        <v>1</v>
      </c>
      <c r="BA253" t="str">
        <f>IF(AZ253=1,IF(Q253="","",IF(Q253=N144,"Yes","No")),"")</f>
        <v>No</v>
      </c>
      <c r="BB253" t="str">
        <f t="shared" si="70"/>
        <v/>
      </c>
      <c r="BC253" t="str">
        <f>IF(AZ253=1,IF(S253="","",IF(S253=N144,"Yes","No")),"")</f>
        <v>Yes</v>
      </c>
      <c r="BD253">
        <f t="shared" si="71"/>
        <v>68400000</v>
      </c>
      <c r="BE253" t="str">
        <f t="shared" si="72"/>
        <v>Decreasing</v>
      </c>
      <c r="BF253" t="str">
        <f t="shared" si="73"/>
        <v>Yes</v>
      </c>
      <c r="BG253" t="str">
        <f t="shared" si="74"/>
        <v>No</v>
      </c>
      <c r="BH253" t="str">
        <f t="shared" si="75"/>
        <v>Yes</v>
      </c>
    </row>
    <row r="254" spans="1:60" x14ac:dyDescent="0.3">
      <c r="A254" s="1">
        <v>7</v>
      </c>
      <c r="B254" t="s">
        <v>650</v>
      </c>
      <c r="C254" t="s">
        <v>264</v>
      </c>
      <c r="D254" t="s">
        <v>264</v>
      </c>
      <c r="E254" t="s">
        <v>264</v>
      </c>
      <c r="F254" t="s">
        <v>264</v>
      </c>
      <c r="G254" t="s">
        <v>264</v>
      </c>
      <c r="I254" t="str">
        <f t="shared" si="82"/>
        <v>N/A</v>
      </c>
      <c r="J254" t="str">
        <f t="shared" si="83"/>
        <v>N/A</v>
      </c>
      <c r="K254" t="str">
        <f t="shared" si="84"/>
        <v>N/A</v>
      </c>
      <c r="L254" t="str">
        <f t="shared" si="85"/>
        <v>N/A</v>
      </c>
      <c r="M254" t="str">
        <f t="shared" si="86"/>
        <v>N/A</v>
      </c>
      <c r="N254" t="str">
        <f t="shared" si="87"/>
        <v>N/A</v>
      </c>
      <c r="P254">
        <f t="shared" si="58"/>
        <v>0</v>
      </c>
      <c r="Q254" t="str">
        <f>IFERROR(J144+MATCH(P254,J254:N254,0)-1,"")</f>
        <v/>
      </c>
      <c r="R254" t="str">
        <f t="shared" si="59"/>
        <v/>
      </c>
      <c r="S254" t="str">
        <f>IFERROR(J144+MATCH(R254,J254:N254,0)-1,"")</f>
        <v/>
      </c>
      <c r="T254" t="str">
        <f t="shared" si="60"/>
        <v/>
      </c>
      <c r="U254" t="str">
        <f t="shared" si="61"/>
        <v/>
      </c>
      <c r="V254" t="str">
        <f t="shared" si="62"/>
        <v/>
      </c>
      <c r="W254" t="str">
        <f t="shared" si="63"/>
        <v/>
      </c>
      <c r="X254" t="str">
        <f t="shared" si="64"/>
        <v/>
      </c>
      <c r="Y254" t="str">
        <f t="shared" si="65"/>
        <v/>
      </c>
      <c r="Z254" t="str">
        <f t="shared" si="66"/>
        <v/>
      </c>
      <c r="AA254">
        <f t="shared" si="67"/>
        <v>0</v>
      </c>
      <c r="AB254" t="str">
        <f>IFERROR(V144+MATCH(AA254,V254:Z254,0)-1,"")</f>
        <v/>
      </c>
      <c r="AC254" t="str">
        <f t="shared" si="68"/>
        <v/>
      </c>
      <c r="AE254" t="str">
        <f>IF(ISNUMBER(MATCH("N/A",J254:N254,0)),"",IFERROR((5 * SUMPRODUCT(J144:N144,J254:N254) - PRODUCT(SUM(J144:N144),SUM(J254:N254))) / ((5 * SUM((J144^2)+(K144^2)+(L144^2)+(M144^2)+(N144^2))) - SUM(J144:N144)^2),""))</f>
        <v/>
      </c>
      <c r="AF254" t="str">
        <f>IFERROR(CORREL(J144:N144,J254:N254),"")</f>
        <v/>
      </c>
      <c r="AZ254">
        <f t="shared" si="69"/>
        <v>0</v>
      </c>
      <c r="BA254" t="str">
        <f>IF(AZ254=1,IF(Q254="","",IF(Q254=N144,"Yes","No")),"")</f>
        <v/>
      </c>
      <c r="BB254" t="str">
        <f t="shared" si="70"/>
        <v/>
      </c>
      <c r="BC254" t="str">
        <f>IF(AZ254=1,IF(S254="","",IF(S254=N144,"Yes","No")),"")</f>
        <v/>
      </c>
      <c r="BD254" t="str">
        <f t="shared" si="71"/>
        <v/>
      </c>
      <c r="BE254" t="str">
        <f t="shared" si="72"/>
        <v/>
      </c>
      <c r="BF254" t="str">
        <f t="shared" si="73"/>
        <v>No</v>
      </c>
      <c r="BG254" t="str">
        <f t="shared" si="74"/>
        <v>No</v>
      </c>
      <c r="BH254" t="str">
        <f t="shared" si="75"/>
        <v/>
      </c>
    </row>
    <row r="255" spans="1:60" x14ac:dyDescent="0.3">
      <c r="A255" s="1">
        <v>8</v>
      </c>
      <c r="B255" t="s">
        <v>651</v>
      </c>
      <c r="C255" t="s">
        <v>2903</v>
      </c>
      <c r="D255" t="s">
        <v>2904</v>
      </c>
      <c r="E255" t="s">
        <v>2905</v>
      </c>
      <c r="F255" t="s">
        <v>2906</v>
      </c>
      <c r="G255" t="s">
        <v>2907</v>
      </c>
      <c r="I255" t="str">
        <f t="shared" si="82"/>
        <v>N/A</v>
      </c>
      <c r="J255">
        <f t="shared" si="83"/>
        <v>26540000</v>
      </c>
      <c r="K255">
        <f t="shared" si="84"/>
        <v>44190000</v>
      </c>
      <c r="L255">
        <f t="shared" si="85"/>
        <v>39800000</v>
      </c>
      <c r="M255">
        <f t="shared" si="86"/>
        <v>28870000</v>
      </c>
      <c r="N255">
        <f t="shared" si="87"/>
        <v>20250000</v>
      </c>
      <c r="P255">
        <f t="shared" si="58"/>
        <v>44190000</v>
      </c>
      <c r="Q255">
        <f>IFERROR(J144+MATCH(P255,J255:N255,0)-1,"")</f>
        <v>2013</v>
      </c>
      <c r="R255">
        <f t="shared" si="59"/>
        <v>20250000</v>
      </c>
      <c r="S255">
        <f>IFERROR(J144+MATCH(R255,J255:N255,0)-1,"")</f>
        <v>2016</v>
      </c>
      <c r="T255">
        <f t="shared" si="60"/>
        <v>31930000</v>
      </c>
      <c r="U255">
        <f t="shared" si="61"/>
        <v>9837207.4289403893</v>
      </c>
      <c r="V255">
        <f t="shared" si="62"/>
        <v>-0.54791972609452044</v>
      </c>
      <c r="W255">
        <f t="shared" si="63"/>
        <v>1.2462886534172208</v>
      </c>
      <c r="X255">
        <f t="shared" si="64"/>
        <v>0.80002379301741666</v>
      </c>
      <c r="Y255">
        <f t="shared" si="65"/>
        <v>-0.31106388902583165</v>
      </c>
      <c r="Z255">
        <f t="shared" si="66"/>
        <v>-1.1873288313142856</v>
      </c>
      <c r="AA255">
        <f t="shared" si="67"/>
        <v>1.2462886534172208</v>
      </c>
      <c r="AB255">
        <f>IFERROR(V144+MATCH(AA255,V255:Z255,0)-1,"")</f>
        <v>2013</v>
      </c>
      <c r="AC255" t="str">
        <f t="shared" si="68"/>
        <v>High</v>
      </c>
      <c r="AE255">
        <f>IF(ISNUMBER(MATCH("N/A",J255:N255,0)),"",IFERROR((5 * SUMPRODUCT(J144:N144,J255:N255) - PRODUCT(SUM(J144:N144),SUM(J255:N255))) / ((5 * SUM((J144^2)+(K144^2)+(L144^2)+(M144^2)+(N144^2))) - SUM(J144:N144)^2),""))</f>
        <v>-2790000</v>
      </c>
      <c r="AF255">
        <f>IFERROR(CORREL(J144:N144,J255:N255),"")</f>
        <v>-0.4484379706131762</v>
      </c>
      <c r="AZ255">
        <f t="shared" si="69"/>
        <v>1</v>
      </c>
      <c r="BA255" t="str">
        <f>IF(AZ255=1,IF(Q255="","",IF(Q255=N144,"Yes","No")),"")</f>
        <v>No</v>
      </c>
      <c r="BB255" t="str">
        <f t="shared" si="70"/>
        <v/>
      </c>
      <c r="BC255" t="str">
        <f>IF(AZ255=1,IF(S255="","",IF(S255=N144,"Yes","No")),"")</f>
        <v>Yes</v>
      </c>
      <c r="BD255">
        <f t="shared" si="71"/>
        <v>20250000</v>
      </c>
      <c r="BE255" t="str">
        <f t="shared" si="72"/>
        <v>Decreasing</v>
      </c>
      <c r="BF255" t="str">
        <f t="shared" si="73"/>
        <v>Yes</v>
      </c>
      <c r="BG255" t="str">
        <f t="shared" si="74"/>
        <v>No</v>
      </c>
      <c r="BH255" t="str">
        <f t="shared" si="75"/>
        <v>No</v>
      </c>
    </row>
    <row r="256" spans="1:60" x14ac:dyDescent="0.3">
      <c r="A256" s="1">
        <v>9</v>
      </c>
      <c r="B256" t="s">
        <v>654</v>
      </c>
      <c r="C256" t="s">
        <v>2908</v>
      </c>
      <c r="D256" t="s">
        <v>2909</v>
      </c>
      <c r="E256" t="s">
        <v>2910</v>
      </c>
      <c r="F256" t="s">
        <v>2911</v>
      </c>
      <c r="G256" t="s">
        <v>2912</v>
      </c>
      <c r="I256" t="str">
        <f t="shared" si="82"/>
        <v>N/A</v>
      </c>
      <c r="J256">
        <f t="shared" si="83"/>
        <v>67240000</v>
      </c>
      <c r="K256">
        <f t="shared" si="84"/>
        <v>44610000</v>
      </c>
      <c r="L256">
        <f t="shared" si="85"/>
        <v>48840000</v>
      </c>
      <c r="M256">
        <f t="shared" si="86"/>
        <v>42430000</v>
      </c>
      <c r="N256">
        <f t="shared" si="87"/>
        <v>48150000</v>
      </c>
      <c r="P256">
        <f t="shared" si="58"/>
        <v>67240000</v>
      </c>
      <c r="Q256">
        <f>IFERROR(J144+MATCH(P256,J256:N256,0)-1,"")</f>
        <v>2012</v>
      </c>
      <c r="R256">
        <f t="shared" si="59"/>
        <v>42430000</v>
      </c>
      <c r="S256">
        <f>IFERROR(J144+MATCH(R256,J256:N256,0)-1,"")</f>
        <v>2015</v>
      </c>
      <c r="T256">
        <f t="shared" si="60"/>
        <v>50254000</v>
      </c>
      <c r="U256">
        <f t="shared" si="61"/>
        <v>9849113.1580462605</v>
      </c>
      <c r="V256">
        <f t="shared" si="62"/>
        <v>1.7246222809536145</v>
      </c>
      <c r="W256">
        <f t="shared" si="63"/>
        <v>-0.57304651793843164</v>
      </c>
      <c r="X256">
        <f t="shared" si="64"/>
        <v>-0.14356622543673678</v>
      </c>
      <c r="Y256">
        <f t="shared" si="65"/>
        <v>-0.79438624315207118</v>
      </c>
      <c r="Z256">
        <f t="shared" si="66"/>
        <v>-0.21362329442637495</v>
      </c>
      <c r="AA256">
        <f t="shared" si="67"/>
        <v>1.7246222809536145</v>
      </c>
      <c r="AB256">
        <f>IFERROR(V144+MATCH(AA256,V256:Z256,0)-1,"")</f>
        <v>2012</v>
      </c>
      <c r="AC256" t="str">
        <f t="shared" si="68"/>
        <v>High</v>
      </c>
      <c r="AE256">
        <f>IF(ISNUMBER(MATCH("N/A",J256:N256,0)),"",IFERROR((5 * SUMPRODUCT(J144:N144,J256:N256) - PRODUCT(SUM(J144:N144),SUM(J256:N256))) / ((5 * SUM((J144^2)+(K144^2)+(L144^2)+(M144^2)+(N144^2))) - SUM(J144:N144)^2),""))</f>
        <v>-4036000</v>
      </c>
      <c r="AF256">
        <f>IFERROR(CORREL(J144:N144,J256:N256),"")</f>
        <v>-0.64792395171197958</v>
      </c>
      <c r="AZ256">
        <f t="shared" si="69"/>
        <v>1</v>
      </c>
      <c r="BA256" t="str">
        <f>IF(AZ256=1,IF(Q256="","",IF(Q256=N144,"Yes","No")),"")</f>
        <v>No</v>
      </c>
      <c r="BB256" t="str">
        <f t="shared" si="70"/>
        <v/>
      </c>
      <c r="BC256" t="str">
        <f>IF(AZ256=1,IF(S256="","",IF(S256=N144,"Yes","No")),"")</f>
        <v>No</v>
      </c>
      <c r="BD256" t="str">
        <f t="shared" si="71"/>
        <v/>
      </c>
      <c r="BE256" t="str">
        <f t="shared" si="72"/>
        <v>Decreasing</v>
      </c>
      <c r="BF256" t="str">
        <f t="shared" si="73"/>
        <v>No</v>
      </c>
      <c r="BG256" t="str">
        <f t="shared" si="74"/>
        <v>No</v>
      </c>
      <c r="BH256" t="str">
        <f t="shared" si="75"/>
        <v>No</v>
      </c>
    </row>
    <row r="257" spans="1:60" x14ac:dyDescent="0.3">
      <c r="A257" s="1">
        <v>10</v>
      </c>
      <c r="B257" t="s">
        <v>657</v>
      </c>
      <c r="C257" t="s">
        <v>2913</v>
      </c>
      <c r="D257" t="s">
        <v>2914</v>
      </c>
      <c r="E257" t="s">
        <v>2915</v>
      </c>
      <c r="F257" t="s">
        <v>2916</v>
      </c>
      <c r="G257" t="s">
        <v>2917</v>
      </c>
      <c r="I257" t="str">
        <f t="shared" si="82"/>
        <v>N/A</v>
      </c>
      <c r="J257">
        <f t="shared" si="83"/>
        <v>182280000</v>
      </c>
      <c r="K257">
        <f t="shared" si="84"/>
        <v>170550000</v>
      </c>
      <c r="L257">
        <f t="shared" si="85"/>
        <v>185490000</v>
      </c>
      <c r="M257">
        <f t="shared" si="86"/>
        <v>142170000</v>
      </c>
      <c r="N257">
        <f t="shared" si="87"/>
        <v>117720000</v>
      </c>
      <c r="P257">
        <f t="shared" si="58"/>
        <v>185490000</v>
      </c>
      <c r="Q257">
        <f>IFERROR(J144+MATCH(P257,J257:N257,0)-1,"")</f>
        <v>2014</v>
      </c>
      <c r="R257">
        <f t="shared" si="59"/>
        <v>117720000</v>
      </c>
      <c r="S257">
        <f>IFERROR(J144+MATCH(R257,J257:N257,0)-1,"")</f>
        <v>2016</v>
      </c>
      <c r="T257">
        <f t="shared" si="60"/>
        <v>159642000</v>
      </c>
      <c r="U257">
        <f t="shared" si="61"/>
        <v>28992703.737319842</v>
      </c>
      <c r="V257">
        <f t="shared" si="62"/>
        <v>0.78081713955018373</v>
      </c>
      <c r="W257">
        <f t="shared" si="63"/>
        <v>0.37623258937244475</v>
      </c>
      <c r="X257">
        <f t="shared" si="64"/>
        <v>0.89153465072414295</v>
      </c>
      <c r="Y257">
        <f t="shared" si="65"/>
        <v>-0.60263437857676516</v>
      </c>
      <c r="Z257">
        <f t="shared" si="66"/>
        <v>-1.4459500010700062</v>
      </c>
      <c r="AA257">
        <f t="shared" si="67"/>
        <v>-1.4459500010700062</v>
      </c>
      <c r="AB257">
        <f>IFERROR(V144+MATCH(AA257,V257:Z257,0)-1,"")</f>
        <v>2016</v>
      </c>
      <c r="AC257" t="str">
        <f t="shared" si="68"/>
        <v>Low</v>
      </c>
      <c r="AE257">
        <f>IF(ISNUMBER(MATCH("N/A",J257:N257,0)),"",IFERROR((5 * SUMPRODUCT(J144:N144,J257:N257) - PRODUCT(SUM(J144:N144),SUM(J257:N257))) / ((5 * SUM((J144^2)+(K144^2)+(L144^2)+(M144^2)+(N144^2))) - SUM(J144:N144)^2),""))</f>
        <v>-15750000</v>
      </c>
      <c r="AF257">
        <f>IFERROR(CORREL(J144:N144,J257:N257),"")</f>
        <v>-0.8589380555691517</v>
      </c>
      <c r="AZ257">
        <f t="shared" si="69"/>
        <v>1</v>
      </c>
      <c r="BA257" t="str">
        <f>IF(AZ257=1,IF(Q257="","",IF(Q257=N144,"Yes","No")),"")</f>
        <v>No</v>
      </c>
      <c r="BB257" t="str">
        <f t="shared" si="70"/>
        <v/>
      </c>
      <c r="BC257" t="str">
        <f>IF(AZ257=1,IF(S257="","",IF(S257=N144,"Yes","No")),"")</f>
        <v>Yes</v>
      </c>
      <c r="BD257">
        <f t="shared" si="71"/>
        <v>117720000</v>
      </c>
      <c r="BE257" t="str">
        <f t="shared" si="72"/>
        <v>Decreasing</v>
      </c>
      <c r="BF257" t="str">
        <f t="shared" si="73"/>
        <v>Yes</v>
      </c>
      <c r="BG257" t="str">
        <f t="shared" si="74"/>
        <v>No</v>
      </c>
      <c r="BH257" t="str">
        <f t="shared" si="75"/>
        <v>Yes</v>
      </c>
    </row>
    <row r="258" spans="1:60" x14ac:dyDescent="0.3">
      <c r="A258" s="1">
        <v>11</v>
      </c>
      <c r="B258" t="s">
        <v>663</v>
      </c>
      <c r="C258" t="s">
        <v>2918</v>
      </c>
      <c r="D258" t="s">
        <v>2919</v>
      </c>
      <c r="E258" t="s">
        <v>2920</v>
      </c>
      <c r="F258" t="s">
        <v>2921</v>
      </c>
      <c r="G258" t="s">
        <v>2922</v>
      </c>
      <c r="I258" t="str">
        <f t="shared" si="82"/>
        <v>N/A</v>
      </c>
      <c r="J258">
        <f t="shared" si="83"/>
        <v>62730000</v>
      </c>
      <c r="K258">
        <f t="shared" si="84"/>
        <v>42440000</v>
      </c>
      <c r="L258">
        <f t="shared" si="85"/>
        <v>5260000</v>
      </c>
      <c r="M258">
        <f t="shared" si="86"/>
        <v>90500000</v>
      </c>
      <c r="N258">
        <f t="shared" si="87"/>
        <v>251200000</v>
      </c>
      <c r="P258">
        <f t="shared" si="58"/>
        <v>251200000</v>
      </c>
      <c r="Q258">
        <f>IFERROR(J144+MATCH(P258,J258:N258,0)-1,"")</f>
        <v>2016</v>
      </c>
      <c r="R258">
        <f t="shared" si="59"/>
        <v>5260000</v>
      </c>
      <c r="S258">
        <f>IFERROR(J144+MATCH(R258,J258:N258,0)-1,"")</f>
        <v>2014</v>
      </c>
      <c r="T258">
        <f t="shared" si="60"/>
        <v>90426000</v>
      </c>
      <c r="U258">
        <f t="shared" si="61"/>
        <v>95093712.620761633</v>
      </c>
      <c r="V258">
        <f t="shared" si="62"/>
        <v>-0.29124953939334558</v>
      </c>
      <c r="W258">
        <f t="shared" si="63"/>
        <v>-0.50461800972447579</v>
      </c>
      <c r="X258">
        <f t="shared" si="64"/>
        <v>-0.89560074638841969</v>
      </c>
      <c r="Y258">
        <f t="shared" si="65"/>
        <v>7.7817973408100718E-4</v>
      </c>
      <c r="Z258">
        <f t="shared" si="66"/>
        <v>1.6906901157721601</v>
      </c>
      <c r="AA258">
        <f t="shared" si="67"/>
        <v>1.6906901157721601</v>
      </c>
      <c r="AB258">
        <f>IFERROR(V144+MATCH(AA258,V258:Z258,0)-1,"")</f>
        <v>2016</v>
      </c>
      <c r="AC258" t="str">
        <f t="shared" si="68"/>
        <v>High</v>
      </c>
      <c r="AE258">
        <f>IF(ISNUMBER(MATCH("N/A",J258:N258,0)),"",IFERROR((5 * SUMPRODUCT(J144:N144,J258:N258) - PRODUCT(SUM(J144:N144),SUM(J258:N258))) / ((5 * SUM((J144^2)+(K144^2)+(L144^2)+(M144^2)+(N144^2))) - SUM(J144:N144)^2),""))</f>
        <v>42500000</v>
      </c>
      <c r="AF258">
        <f>IFERROR(CORREL(J144:N144,J258:N258),"")</f>
        <v>0.70665450350612091</v>
      </c>
      <c r="AZ258">
        <f t="shared" si="69"/>
        <v>1</v>
      </c>
      <c r="BA258" t="str">
        <f>IF(AZ258=1,IF(Q258="","",IF(Q258=N144,"Yes","No")),"")</f>
        <v>Yes</v>
      </c>
      <c r="BB258">
        <f t="shared" si="70"/>
        <v>251200000</v>
      </c>
      <c r="BC258" t="str">
        <f>IF(AZ258=1,IF(S258="","",IF(S258=N144,"Yes","No")),"")</f>
        <v>No</v>
      </c>
      <c r="BD258" t="str">
        <f t="shared" si="71"/>
        <v/>
      </c>
      <c r="BE258" t="str">
        <f t="shared" si="72"/>
        <v>Increasing</v>
      </c>
      <c r="BF258" t="str">
        <f t="shared" si="73"/>
        <v>Yes</v>
      </c>
      <c r="BG258" t="str">
        <f t="shared" si="74"/>
        <v>No</v>
      </c>
      <c r="BH258" t="str">
        <f t="shared" si="75"/>
        <v>No</v>
      </c>
    </row>
    <row r="259" spans="1:60" x14ac:dyDescent="0.3">
      <c r="A259" s="1">
        <v>12</v>
      </c>
      <c r="B259" t="s">
        <v>669</v>
      </c>
      <c r="C259" t="s">
        <v>2923</v>
      </c>
      <c r="D259" t="s">
        <v>2924</v>
      </c>
      <c r="E259" t="s">
        <v>2925</v>
      </c>
      <c r="F259" t="s">
        <v>2921</v>
      </c>
      <c r="G259" t="s">
        <v>2922</v>
      </c>
      <c r="I259" t="str">
        <f t="shared" si="82"/>
        <v>N/A</v>
      </c>
      <c r="J259">
        <f t="shared" si="83"/>
        <v>62250000</v>
      </c>
      <c r="K259">
        <f t="shared" si="84"/>
        <v>42100000</v>
      </c>
      <c r="L259">
        <f t="shared" si="85"/>
        <v>5070000</v>
      </c>
      <c r="M259">
        <f t="shared" si="86"/>
        <v>90500000</v>
      </c>
      <c r="N259">
        <f t="shared" si="87"/>
        <v>251200000</v>
      </c>
      <c r="P259">
        <f t="shared" si="58"/>
        <v>251200000</v>
      </c>
      <c r="Q259">
        <f>IFERROR(J144+MATCH(P259,J259:N259,0)-1,"")</f>
        <v>2016</v>
      </c>
      <c r="R259">
        <f t="shared" si="59"/>
        <v>5070000</v>
      </c>
      <c r="S259">
        <f>IFERROR(J144+MATCH(R259,J259:N259,0)-1,"")</f>
        <v>2014</v>
      </c>
      <c r="T259">
        <f t="shared" si="60"/>
        <v>90224000</v>
      </c>
      <c r="U259">
        <f t="shared" si="61"/>
        <v>95214253.817377567</v>
      </c>
      <c r="V259">
        <f t="shared" si="62"/>
        <v>-0.29380054853608967</v>
      </c>
      <c r="W259">
        <f t="shared" si="63"/>
        <v>-0.50542852640847857</v>
      </c>
      <c r="X259">
        <f t="shared" si="64"/>
        <v>-0.89434088475163298</v>
      </c>
      <c r="Y259">
        <f t="shared" si="65"/>
        <v>2.8987256522471135E-3</v>
      </c>
      <c r="Z259">
        <f t="shared" si="66"/>
        <v>1.690671234043954</v>
      </c>
      <c r="AA259">
        <f t="shared" si="67"/>
        <v>1.690671234043954</v>
      </c>
      <c r="AB259">
        <f>IFERROR(V144+MATCH(AA259,V259:Z259,0)-1,"")</f>
        <v>2016</v>
      </c>
      <c r="AC259" t="str">
        <f t="shared" si="68"/>
        <v>High</v>
      </c>
      <c r="AE259">
        <f>IF(ISNUMBER(MATCH("N/A",J259:N259,0)),"",IFERROR((5 * SUMPRODUCT(J144:N144,J259:N259) - PRODUCT(SUM(J144:N144),SUM(J259:N259))) / ((5 * SUM((J144^2)+(K144^2)+(L144^2)+(M144^2)+(N144^2))) - SUM(J144:N144)^2),""))</f>
        <v>42630000</v>
      </c>
      <c r="AF259">
        <f>IFERROR(CORREL(J144:N144,J259:N259),"")</f>
        <v>0.70791867419105992</v>
      </c>
      <c r="AZ259">
        <f t="shared" si="69"/>
        <v>1</v>
      </c>
      <c r="BA259" t="str">
        <f>IF(AZ259=1,IF(Q259="","",IF(Q259=N144,"Yes","No")),"")</f>
        <v>Yes</v>
      </c>
      <c r="BB259">
        <f t="shared" si="70"/>
        <v>251200000</v>
      </c>
      <c r="BC259" t="str">
        <f>IF(AZ259=1,IF(S259="","",IF(S259=N144,"Yes","No")),"")</f>
        <v>No</v>
      </c>
      <c r="BD259" t="str">
        <f t="shared" si="71"/>
        <v/>
      </c>
      <c r="BE259" t="str">
        <f t="shared" si="72"/>
        <v>Increasing</v>
      </c>
      <c r="BF259" t="str">
        <f t="shared" si="73"/>
        <v>Yes</v>
      </c>
      <c r="BG259" t="str">
        <f t="shared" si="74"/>
        <v>No</v>
      </c>
      <c r="BH259" t="str">
        <f t="shared" si="75"/>
        <v>No</v>
      </c>
    </row>
    <row r="260" spans="1:60" x14ac:dyDescent="0.3">
      <c r="A260" s="1">
        <v>13</v>
      </c>
      <c r="B260" t="s">
        <v>673</v>
      </c>
      <c r="C260" t="s">
        <v>2923</v>
      </c>
      <c r="D260" t="s">
        <v>2924</v>
      </c>
      <c r="E260" t="s">
        <v>2925</v>
      </c>
      <c r="F260" t="s">
        <v>2921</v>
      </c>
      <c r="G260" t="s">
        <v>2922</v>
      </c>
      <c r="I260" t="str">
        <f t="shared" si="82"/>
        <v>N/A</v>
      </c>
      <c r="J260">
        <f t="shared" si="83"/>
        <v>62250000</v>
      </c>
      <c r="K260">
        <f t="shared" si="84"/>
        <v>42100000</v>
      </c>
      <c r="L260">
        <f t="shared" si="85"/>
        <v>5070000</v>
      </c>
      <c r="M260">
        <f t="shared" si="86"/>
        <v>90500000</v>
      </c>
      <c r="N260">
        <f t="shared" si="87"/>
        <v>251200000</v>
      </c>
      <c r="P260">
        <f t="shared" si="58"/>
        <v>251200000</v>
      </c>
      <c r="Q260">
        <f>IFERROR(J144+MATCH(P260,J260:N260,0)-1,"")</f>
        <v>2016</v>
      </c>
      <c r="R260">
        <f t="shared" si="59"/>
        <v>5070000</v>
      </c>
      <c r="S260">
        <f>IFERROR(J144+MATCH(R260,J260:N260,0)-1,"")</f>
        <v>2014</v>
      </c>
      <c r="T260">
        <f t="shared" si="60"/>
        <v>90224000</v>
      </c>
      <c r="U260">
        <f t="shared" si="61"/>
        <v>95214253.817377567</v>
      </c>
      <c r="V260">
        <f t="shared" si="62"/>
        <v>-0.29380054853608967</v>
      </c>
      <c r="W260">
        <f t="shared" si="63"/>
        <v>-0.50542852640847857</v>
      </c>
      <c r="X260">
        <f t="shared" si="64"/>
        <v>-0.89434088475163298</v>
      </c>
      <c r="Y260">
        <f t="shared" si="65"/>
        <v>2.8987256522471135E-3</v>
      </c>
      <c r="Z260">
        <f t="shared" si="66"/>
        <v>1.690671234043954</v>
      </c>
      <c r="AA260">
        <f t="shared" si="67"/>
        <v>1.690671234043954</v>
      </c>
      <c r="AB260">
        <f>IFERROR(V144+MATCH(AA260,V260:Z260,0)-1,"")</f>
        <v>2016</v>
      </c>
      <c r="AC260" t="str">
        <f t="shared" si="68"/>
        <v>High</v>
      </c>
      <c r="AE260">
        <f>IF(ISNUMBER(MATCH("N/A",J260:N260,0)),"",IFERROR((5 * SUMPRODUCT(J144:N144,J260:N260) - PRODUCT(SUM(J144:N144),SUM(J260:N260))) / ((5 * SUM((J144^2)+(K144^2)+(L144^2)+(M144^2)+(N144^2))) - SUM(J144:N144)^2),""))</f>
        <v>42630000</v>
      </c>
      <c r="AF260">
        <f>IFERROR(CORREL(J144:N144,J260:N260),"")</f>
        <v>0.70791867419105992</v>
      </c>
      <c r="AZ260">
        <f t="shared" si="69"/>
        <v>1</v>
      </c>
      <c r="BA260" t="str">
        <f>IF(AZ260=1,IF(Q260="","",IF(Q260=N144,"Yes","No")),"")</f>
        <v>Yes</v>
      </c>
      <c r="BB260">
        <f t="shared" si="70"/>
        <v>251200000</v>
      </c>
      <c r="BC260" t="str">
        <f>IF(AZ260=1,IF(S260="","",IF(S260=N144,"Yes","No")),"")</f>
        <v>No</v>
      </c>
      <c r="BD260" t="str">
        <f t="shared" si="71"/>
        <v/>
      </c>
      <c r="BE260" t="str">
        <f t="shared" si="72"/>
        <v>Increasing</v>
      </c>
      <c r="BF260" t="str">
        <f t="shared" si="73"/>
        <v>Yes</v>
      </c>
      <c r="BG260" t="str">
        <f t="shared" si="74"/>
        <v>No</v>
      </c>
      <c r="BH260" t="str">
        <f t="shared" si="75"/>
        <v>No</v>
      </c>
    </row>
    <row r="261" spans="1:60" x14ac:dyDescent="0.3">
      <c r="A261" s="1">
        <v>14</v>
      </c>
      <c r="B261" t="s">
        <v>674</v>
      </c>
      <c r="C261" t="s">
        <v>264</v>
      </c>
      <c r="D261" t="s">
        <v>264</v>
      </c>
      <c r="E261" t="s">
        <v>264</v>
      </c>
      <c r="F261" t="s">
        <v>264</v>
      </c>
      <c r="G261" t="s">
        <v>264</v>
      </c>
      <c r="I261" t="str">
        <f t="shared" si="82"/>
        <v>N/A</v>
      </c>
      <c r="J261" t="str">
        <f t="shared" si="83"/>
        <v>N/A</v>
      </c>
      <c r="K261" t="str">
        <f t="shared" si="84"/>
        <v>N/A</v>
      </c>
      <c r="L261" t="str">
        <f t="shared" si="85"/>
        <v>N/A</v>
      </c>
      <c r="M261" t="str">
        <f t="shared" si="86"/>
        <v>N/A</v>
      </c>
      <c r="N261" t="str">
        <f t="shared" si="87"/>
        <v>N/A</v>
      </c>
      <c r="P261">
        <f t="shared" si="58"/>
        <v>0</v>
      </c>
      <c r="Q261" t="str">
        <f>IFERROR(J144+MATCH(P261,J261:N261,0)-1,"")</f>
        <v/>
      </c>
      <c r="R261" t="str">
        <f t="shared" si="59"/>
        <v/>
      </c>
      <c r="S261" t="str">
        <f>IFERROR(J144+MATCH(R261,J261:N261,0)-1,"")</f>
        <v/>
      </c>
      <c r="T261" t="str">
        <f t="shared" si="60"/>
        <v/>
      </c>
      <c r="U261" t="str">
        <f t="shared" si="61"/>
        <v/>
      </c>
      <c r="V261" t="str">
        <f t="shared" si="62"/>
        <v/>
      </c>
      <c r="W261" t="str">
        <f t="shared" si="63"/>
        <v/>
      </c>
      <c r="X261" t="str">
        <f t="shared" si="64"/>
        <v/>
      </c>
      <c r="Y261" t="str">
        <f t="shared" si="65"/>
        <v/>
      </c>
      <c r="Z261" t="str">
        <f t="shared" si="66"/>
        <v/>
      </c>
      <c r="AA261">
        <f t="shared" si="67"/>
        <v>0</v>
      </c>
      <c r="AB261" t="str">
        <f>IFERROR(V144+MATCH(AA261,V261:Z261,0)-1,"")</f>
        <v/>
      </c>
      <c r="AC261" t="str">
        <f t="shared" si="68"/>
        <v/>
      </c>
      <c r="AE261" t="str">
        <f>IF(ISNUMBER(MATCH("N/A",J261:N261,0)),"",IFERROR((5 * SUMPRODUCT(J144:N144,J261:N261) - PRODUCT(SUM(J144:N144),SUM(J261:N261))) / ((5 * SUM((J144^2)+(K144^2)+(L144^2)+(M144^2)+(N144^2))) - SUM(J144:N144)^2),""))</f>
        <v/>
      </c>
      <c r="AF261" t="str">
        <f>IFERROR(CORREL(J144:N144,J261:N261),"")</f>
        <v/>
      </c>
      <c r="AZ261">
        <f t="shared" si="69"/>
        <v>0</v>
      </c>
      <c r="BA261" t="str">
        <f>IF(AZ261=1,IF(Q261="","",IF(Q261=N144,"Yes","No")),"")</f>
        <v/>
      </c>
      <c r="BB261" t="str">
        <f t="shared" si="70"/>
        <v/>
      </c>
      <c r="BC261" t="str">
        <f>IF(AZ261=1,IF(S261="","",IF(S261=N144,"Yes","No")),"")</f>
        <v/>
      </c>
      <c r="BD261" t="str">
        <f t="shared" si="71"/>
        <v/>
      </c>
      <c r="BE261" t="str">
        <f t="shared" si="72"/>
        <v/>
      </c>
      <c r="BF261" t="str">
        <f t="shared" si="73"/>
        <v>No</v>
      </c>
      <c r="BG261" t="str">
        <f t="shared" si="74"/>
        <v>No</v>
      </c>
      <c r="BH261" t="str">
        <f t="shared" si="75"/>
        <v/>
      </c>
    </row>
    <row r="262" spans="1:60" x14ac:dyDescent="0.3">
      <c r="A262" s="1">
        <v>15</v>
      </c>
      <c r="B262" t="s">
        <v>675</v>
      </c>
      <c r="C262" t="s">
        <v>2926</v>
      </c>
      <c r="D262" t="s">
        <v>2927</v>
      </c>
      <c r="E262" t="s">
        <v>2928</v>
      </c>
      <c r="F262" t="s">
        <v>264</v>
      </c>
      <c r="G262" t="s">
        <v>264</v>
      </c>
      <c r="I262" t="str">
        <f t="shared" si="82"/>
        <v>N/A</v>
      </c>
      <c r="J262">
        <f t="shared" si="83"/>
        <v>483000</v>
      </c>
      <c r="K262">
        <f t="shared" si="84"/>
        <v>331000</v>
      </c>
      <c r="L262">
        <f t="shared" si="85"/>
        <v>187000</v>
      </c>
      <c r="M262" t="str">
        <f t="shared" si="86"/>
        <v>N/A</v>
      </c>
      <c r="N262" t="str">
        <f t="shared" si="87"/>
        <v>N/A</v>
      </c>
      <c r="P262">
        <f t="shared" si="58"/>
        <v>483000</v>
      </c>
      <c r="Q262">
        <f>IFERROR(J144+MATCH(P262,J262:N262,0)-1,"")</f>
        <v>2012</v>
      </c>
      <c r="R262">
        <f t="shared" si="59"/>
        <v>187000</v>
      </c>
      <c r="S262">
        <f>IFERROR(J144+MATCH(R262,J262:N262,0)-1,"")</f>
        <v>2014</v>
      </c>
      <c r="T262">
        <f t="shared" si="60"/>
        <v>333666.66666666669</v>
      </c>
      <c r="U262">
        <f t="shared" si="61"/>
        <v>148018.0169213645</v>
      </c>
      <c r="V262">
        <f t="shared" si="62"/>
        <v>1.0088861912848595</v>
      </c>
      <c r="W262">
        <f t="shared" si="63"/>
        <v>-1.8015824844372624E-2</v>
      </c>
      <c r="X262">
        <f t="shared" si="64"/>
        <v>-0.99087036644048732</v>
      </c>
      <c r="Y262" t="str">
        <f t="shared" si="65"/>
        <v/>
      </c>
      <c r="Z262" t="str">
        <f t="shared" si="66"/>
        <v/>
      </c>
      <c r="AA262">
        <f t="shared" si="67"/>
        <v>1.0088861912848595</v>
      </c>
      <c r="AB262">
        <f>IFERROR(V144+MATCH(AA262,V262:Z262,0)-1,"")</f>
        <v>2012</v>
      </c>
      <c r="AC262" t="str">
        <f t="shared" si="68"/>
        <v>High</v>
      </c>
      <c r="AE262" t="str">
        <f>IF(ISNUMBER(MATCH("N/A",J262:N262,0)),"",IFERROR((5 * SUMPRODUCT(J144:N144,J262:N262) - PRODUCT(SUM(J144:N144),SUM(J262:N262))) / ((5 * SUM((J144^2)+(K144^2)+(L144^2)+(M144^2)+(N144^2))) - SUM(J144:N144)^2),""))</f>
        <v/>
      </c>
      <c r="AF262">
        <f>IFERROR(CORREL(J144:N144,J262:N262),"")</f>
        <v>-0.99987827886267377</v>
      </c>
      <c r="AZ262">
        <f t="shared" si="69"/>
        <v>1</v>
      </c>
      <c r="BA262" t="str">
        <f>IF(AZ262=1,IF(Q262="","",IF(Q262=N144,"Yes","No")),"")</f>
        <v>No</v>
      </c>
      <c r="BB262" t="str">
        <f t="shared" si="70"/>
        <v/>
      </c>
      <c r="BC262" t="str">
        <f>IF(AZ262=1,IF(S262="","",IF(S262=N144,"Yes","No")),"")</f>
        <v>No</v>
      </c>
      <c r="BD262" t="str">
        <f t="shared" si="71"/>
        <v/>
      </c>
      <c r="BE262" t="str">
        <f t="shared" si="72"/>
        <v/>
      </c>
      <c r="BF262" t="str">
        <f t="shared" si="73"/>
        <v>No</v>
      </c>
      <c r="BG262" t="str">
        <f t="shared" si="74"/>
        <v>No</v>
      </c>
      <c r="BH262" t="str">
        <f t="shared" si="75"/>
        <v>Yes</v>
      </c>
    </row>
    <row r="263" spans="1:60" x14ac:dyDescent="0.3">
      <c r="A263" s="1">
        <v>16</v>
      </c>
      <c r="B263" t="s">
        <v>679</v>
      </c>
      <c r="C263" t="s">
        <v>264</v>
      </c>
      <c r="D263" t="s">
        <v>264</v>
      </c>
      <c r="E263" t="s">
        <v>264</v>
      </c>
      <c r="F263" t="s">
        <v>264</v>
      </c>
      <c r="G263" t="s">
        <v>264</v>
      </c>
      <c r="I263" t="str">
        <f t="shared" si="82"/>
        <v>N/A</v>
      </c>
      <c r="J263" t="str">
        <f t="shared" si="83"/>
        <v>N/A</v>
      </c>
      <c r="K263" t="str">
        <f t="shared" si="84"/>
        <v>N/A</v>
      </c>
      <c r="L263" t="str">
        <f t="shared" si="85"/>
        <v>N/A</v>
      </c>
      <c r="M263" t="str">
        <f t="shared" si="86"/>
        <v>N/A</v>
      </c>
      <c r="N263" t="str">
        <f t="shared" si="87"/>
        <v>N/A</v>
      </c>
      <c r="P263">
        <f t="shared" si="58"/>
        <v>0</v>
      </c>
      <c r="Q263" t="str">
        <f>IFERROR(J144+MATCH(P263,J263:N263,0)-1,"")</f>
        <v/>
      </c>
      <c r="R263" t="str">
        <f t="shared" si="59"/>
        <v/>
      </c>
      <c r="S263" t="str">
        <f>IFERROR(J144+MATCH(R263,J263:N263,0)-1,"")</f>
        <v/>
      </c>
      <c r="T263" t="str">
        <f t="shared" si="60"/>
        <v/>
      </c>
      <c r="U263" t="str">
        <f t="shared" si="61"/>
        <v/>
      </c>
      <c r="V263" t="str">
        <f t="shared" si="62"/>
        <v/>
      </c>
      <c r="W263" t="str">
        <f t="shared" si="63"/>
        <v/>
      </c>
      <c r="X263" t="str">
        <f t="shared" si="64"/>
        <v/>
      </c>
      <c r="Y263" t="str">
        <f t="shared" si="65"/>
        <v/>
      </c>
      <c r="Z263" t="str">
        <f t="shared" si="66"/>
        <v/>
      </c>
      <c r="AA263">
        <f t="shared" si="67"/>
        <v>0</v>
      </c>
      <c r="AB263" t="str">
        <f>IFERROR(V144+MATCH(AA263,V263:Z263,0)-1,"")</f>
        <v/>
      </c>
      <c r="AC263" t="str">
        <f t="shared" si="68"/>
        <v/>
      </c>
      <c r="AE263" t="str">
        <f>IF(ISNUMBER(MATCH("N/A",J263:N263,0)),"",IFERROR((5 * SUMPRODUCT(J144:N144,J263:N263) - PRODUCT(SUM(J144:N144),SUM(J263:N263))) / ((5 * SUM((J144^2)+(K144^2)+(L144^2)+(M144^2)+(N144^2))) - SUM(J144:N144)^2),""))</f>
        <v/>
      </c>
      <c r="AF263" t="str">
        <f>IFERROR(CORREL(J144:N144,J263:N263),"")</f>
        <v/>
      </c>
      <c r="AZ263">
        <f t="shared" si="69"/>
        <v>0</v>
      </c>
      <c r="BA263" t="str">
        <f>IF(AZ263=1,IF(Q263="","",IF(Q263=N144,"Yes","No")),"")</f>
        <v/>
      </c>
      <c r="BB263" t="str">
        <f t="shared" si="70"/>
        <v/>
      </c>
      <c r="BC263" t="str">
        <f>IF(AZ263=1,IF(S263="","",IF(S263=N144,"Yes","No")),"")</f>
        <v/>
      </c>
      <c r="BD263" t="str">
        <f t="shared" si="71"/>
        <v/>
      </c>
      <c r="BE263" t="str">
        <f t="shared" si="72"/>
        <v/>
      </c>
      <c r="BF263" t="str">
        <f t="shared" si="73"/>
        <v>No</v>
      </c>
      <c r="BG263" t="str">
        <f t="shared" si="74"/>
        <v>No</v>
      </c>
      <c r="BH263" t="str">
        <f t="shared" si="75"/>
        <v/>
      </c>
    </row>
    <row r="264" spans="1:60" x14ac:dyDescent="0.3">
      <c r="A264" s="1">
        <v>17</v>
      </c>
      <c r="B264" t="s">
        <v>680</v>
      </c>
      <c r="C264" t="s">
        <v>2929</v>
      </c>
      <c r="D264" t="s">
        <v>2930</v>
      </c>
      <c r="E264" t="s">
        <v>2931</v>
      </c>
      <c r="F264" t="s">
        <v>2932</v>
      </c>
      <c r="G264" t="s">
        <v>2933</v>
      </c>
      <c r="I264" t="str">
        <f t="shared" si="82"/>
        <v>N/A</v>
      </c>
      <c r="J264">
        <f t="shared" si="83"/>
        <v>-19320000</v>
      </c>
      <c r="K264">
        <f t="shared" si="84"/>
        <v>-8910000</v>
      </c>
      <c r="L264">
        <f t="shared" si="85"/>
        <v>-11280000</v>
      </c>
      <c r="M264">
        <f t="shared" si="86"/>
        <v>-26380000</v>
      </c>
      <c r="N264">
        <f t="shared" si="87"/>
        <v>8830000</v>
      </c>
      <c r="P264">
        <f t="shared" si="58"/>
        <v>8830000</v>
      </c>
      <c r="Q264">
        <f>IFERROR(J144+MATCH(P264,J264:N264,0)-1,"")</f>
        <v>2016</v>
      </c>
      <c r="R264">
        <f t="shared" si="59"/>
        <v>-26380000</v>
      </c>
      <c r="S264">
        <f>IFERROR(J144+MATCH(R264,J264:N264,0)-1,"")</f>
        <v>2015</v>
      </c>
      <c r="T264">
        <f t="shared" si="60"/>
        <v>-11412000</v>
      </c>
      <c r="U264">
        <f t="shared" si="61"/>
        <v>13253239.981227232</v>
      </c>
      <c r="V264">
        <f t="shared" si="62"/>
        <v>-0.59668428333006984</v>
      </c>
      <c r="W264">
        <f t="shared" si="63"/>
        <v>0.18878402590943791</v>
      </c>
      <c r="X264">
        <f t="shared" si="64"/>
        <v>9.9598287050542775E-3</v>
      </c>
      <c r="Y264">
        <f t="shared" si="65"/>
        <v>-1.1293842125549427</v>
      </c>
      <c r="Z264">
        <f t="shared" si="66"/>
        <v>1.5273246412705204</v>
      </c>
      <c r="AA264">
        <f t="shared" si="67"/>
        <v>1.5273246412705204</v>
      </c>
      <c r="AB264">
        <f>IFERROR(V144+MATCH(AA264,V264:Z264,0)-1,"")</f>
        <v>2016</v>
      </c>
      <c r="AC264" t="str">
        <f t="shared" si="68"/>
        <v>High</v>
      </c>
      <c r="AE264">
        <f>IF(ISNUMBER(MATCH("N/A",J264:N264,0)),"",IFERROR((5 * SUMPRODUCT(J144:N144,J264:N264) - PRODUCT(SUM(J144:N144),SUM(J264:N264))) / ((5 * SUM((J144^2)+(K144^2)+(L144^2)+(M144^2)+(N144^2))) - SUM(J144:N144)^2),""))</f>
        <v>3883000</v>
      </c>
      <c r="AF264">
        <f>IFERROR(CORREL(J144:N144,J264:N264),"")</f>
        <v>0.46324989858430027</v>
      </c>
      <c r="AZ264">
        <f t="shared" si="69"/>
        <v>1</v>
      </c>
      <c r="BA264" t="str">
        <f>IF(AZ264=1,IF(Q264="","",IF(Q264=N144,"Yes","No")),"")</f>
        <v>Yes</v>
      </c>
      <c r="BB264">
        <f t="shared" si="70"/>
        <v>8830000</v>
      </c>
      <c r="BC264" t="str">
        <f>IF(AZ264=1,IF(S264="","",IF(S264=N144,"Yes","No")),"")</f>
        <v>No</v>
      </c>
      <c r="BD264" t="str">
        <f t="shared" si="71"/>
        <v/>
      </c>
      <c r="BE264" t="str">
        <f t="shared" si="72"/>
        <v>Increasing</v>
      </c>
      <c r="BF264" t="str">
        <f t="shared" si="73"/>
        <v>Yes</v>
      </c>
      <c r="BG264" t="str">
        <f t="shared" si="74"/>
        <v>No</v>
      </c>
      <c r="BH264" t="str">
        <f t="shared" si="75"/>
        <v>No</v>
      </c>
    </row>
    <row r="265" spans="1:60" x14ac:dyDescent="0.3">
      <c r="A265" s="1">
        <v>18</v>
      </c>
      <c r="B265" t="s">
        <v>686</v>
      </c>
      <c r="C265" t="s">
        <v>2934</v>
      </c>
      <c r="D265" t="s">
        <v>2935</v>
      </c>
      <c r="E265" t="s">
        <v>2936</v>
      </c>
      <c r="F265" t="s">
        <v>2937</v>
      </c>
      <c r="G265" t="s">
        <v>2938</v>
      </c>
      <c r="I265" t="str">
        <f t="shared" si="82"/>
        <v>N/A</v>
      </c>
      <c r="J265">
        <f t="shared" si="83"/>
        <v>10740000</v>
      </c>
      <c r="K265">
        <f t="shared" si="84"/>
        <v>9670000</v>
      </c>
      <c r="L265">
        <f t="shared" si="85"/>
        <v>7770000</v>
      </c>
      <c r="M265">
        <f t="shared" si="86"/>
        <v>10420000</v>
      </c>
      <c r="N265">
        <f t="shared" si="87"/>
        <v>13660000</v>
      </c>
      <c r="P265">
        <f t="shared" si="58"/>
        <v>13660000</v>
      </c>
      <c r="Q265">
        <f>IFERROR(J144+MATCH(P265,J265:N265,0)-1,"")</f>
        <v>2016</v>
      </c>
      <c r="R265">
        <f t="shared" si="59"/>
        <v>7770000</v>
      </c>
      <c r="S265">
        <f>IFERROR(J144+MATCH(R265,J265:N265,0)-1,"")</f>
        <v>2014</v>
      </c>
      <c r="T265">
        <f t="shared" si="60"/>
        <v>10452000</v>
      </c>
      <c r="U265">
        <f t="shared" si="61"/>
        <v>2131893.5245457264</v>
      </c>
      <c r="V265">
        <f t="shared" si="62"/>
        <v>0.13509117443441193</v>
      </c>
      <c r="W265">
        <f t="shared" si="63"/>
        <v>-0.36681006391566023</v>
      </c>
      <c r="X265">
        <f t="shared" si="64"/>
        <v>-1.2580365619204612</v>
      </c>
      <c r="Y265">
        <f t="shared" si="65"/>
        <v>-1.5010130492712439E-2</v>
      </c>
      <c r="Z265">
        <f t="shared" si="66"/>
        <v>1.5047655818944219</v>
      </c>
      <c r="AA265">
        <f t="shared" si="67"/>
        <v>1.5047655818944219</v>
      </c>
      <c r="AB265">
        <f>IFERROR(V144+MATCH(AA265,V265:Z265,0)-1,"")</f>
        <v>2016</v>
      </c>
      <c r="AC265" t="str">
        <f t="shared" si="68"/>
        <v>High</v>
      </c>
      <c r="AE265">
        <f>IF(ISNUMBER(MATCH("N/A",J265:N265,0)),"",IFERROR((5 * SUMPRODUCT(J144:N144,J265:N265) - PRODUCT(SUM(J144:N144),SUM(J265:N265))) / ((5 * SUM((J144^2)+(K144^2)+(L144^2)+(M144^2)+(N144^2))) - SUM(J144:N144)^2),""))</f>
        <v>659000</v>
      </c>
      <c r="AF265">
        <f>IFERROR(CORREL(J144:N144,J265:N265),"")</f>
        <v>0.48875353155712065</v>
      </c>
      <c r="AZ265">
        <f t="shared" si="69"/>
        <v>1</v>
      </c>
      <c r="BA265" t="str">
        <f>IF(AZ265=1,IF(Q265="","",IF(Q265=N144,"Yes","No")),"")</f>
        <v>Yes</v>
      </c>
      <c r="BB265">
        <f t="shared" si="70"/>
        <v>13660000</v>
      </c>
      <c r="BC265" t="str">
        <f>IF(AZ265=1,IF(S265="","",IF(S265=N144,"Yes","No")),"")</f>
        <v>No</v>
      </c>
      <c r="BD265" t="str">
        <f t="shared" si="71"/>
        <v/>
      </c>
      <c r="BE265" t="str">
        <f t="shared" si="72"/>
        <v>Increasing</v>
      </c>
      <c r="BF265" t="str">
        <f t="shared" si="73"/>
        <v>Yes</v>
      </c>
      <c r="BG265" t="str">
        <f t="shared" si="74"/>
        <v>No</v>
      </c>
      <c r="BH265" t="str">
        <f t="shared" si="75"/>
        <v>No</v>
      </c>
    </row>
    <row r="266" spans="1:60" x14ac:dyDescent="0.3">
      <c r="A266" s="1">
        <v>19</v>
      </c>
      <c r="B266" t="s">
        <v>690</v>
      </c>
      <c r="C266" t="s">
        <v>2939</v>
      </c>
      <c r="D266" t="s">
        <v>2940</v>
      </c>
      <c r="E266" t="s">
        <v>2941</v>
      </c>
      <c r="F266" t="s">
        <v>2942</v>
      </c>
      <c r="G266" t="s">
        <v>2943</v>
      </c>
      <c r="I266" t="str">
        <f t="shared" si="82"/>
        <v>N/A</v>
      </c>
      <c r="J266">
        <f t="shared" si="83"/>
        <v>30060000</v>
      </c>
      <c r="K266">
        <f t="shared" si="84"/>
        <v>18580000</v>
      </c>
      <c r="L266">
        <f t="shared" si="85"/>
        <v>19050000</v>
      </c>
      <c r="M266">
        <f t="shared" si="86"/>
        <v>36800000</v>
      </c>
      <c r="N266">
        <f t="shared" si="87"/>
        <v>4820000</v>
      </c>
      <c r="P266">
        <f t="shared" si="58"/>
        <v>36800000</v>
      </c>
      <c r="Q266">
        <f>IFERROR(J144+MATCH(P266,J266:N266,0)-1,"")</f>
        <v>2015</v>
      </c>
      <c r="R266">
        <f t="shared" si="59"/>
        <v>4820000</v>
      </c>
      <c r="S266">
        <f>IFERROR(J144+MATCH(R266,J266:N266,0)-1,"")</f>
        <v>2016</v>
      </c>
      <c r="T266">
        <f t="shared" si="60"/>
        <v>21862000</v>
      </c>
      <c r="U266">
        <f t="shared" si="61"/>
        <v>12241932.853924662</v>
      </c>
      <c r="V266">
        <f t="shared" si="62"/>
        <v>0.66966549300846634</v>
      </c>
      <c r="W266">
        <f t="shared" si="63"/>
        <v>-0.26809491925515816</v>
      </c>
      <c r="X266">
        <f t="shared" si="64"/>
        <v>-0.22970228913635121</v>
      </c>
      <c r="Y266">
        <f t="shared" si="65"/>
        <v>1.2202321462015699</v>
      </c>
      <c r="Z266">
        <f t="shared" si="66"/>
        <v>-1.392100430818527</v>
      </c>
      <c r="AA266">
        <f t="shared" si="67"/>
        <v>-1.392100430818527</v>
      </c>
      <c r="AB266">
        <f>IFERROR(V144+MATCH(AA266,V266:Z266,0)-1,"")</f>
        <v>2016</v>
      </c>
      <c r="AC266" t="str">
        <f t="shared" si="68"/>
        <v>Low</v>
      </c>
      <c r="AE266">
        <f>IF(ISNUMBER(MATCH("N/A",J266:N266,0)),"",IFERROR((5 * SUMPRODUCT(J144:N144,J266:N266) - PRODUCT(SUM(J144:N144),SUM(J266:N266))) / ((5 * SUM((J144^2)+(K144^2)+(L144^2)+(M144^2)+(N144^2))) - SUM(J144:N144)^2),""))</f>
        <v>-3226000</v>
      </c>
      <c r="AF266">
        <f>IFERROR(CORREL(J144:N144,J266:N266),"")</f>
        <v>-0.41666246063556345</v>
      </c>
      <c r="AZ266">
        <f t="shared" si="69"/>
        <v>1</v>
      </c>
      <c r="BA266" t="str">
        <f>IF(AZ266=1,IF(Q266="","",IF(Q266=N144,"Yes","No")),"")</f>
        <v>No</v>
      </c>
      <c r="BB266" t="str">
        <f t="shared" si="70"/>
        <v/>
      </c>
      <c r="BC266" t="str">
        <f>IF(AZ266=1,IF(S266="","",IF(S266=N144,"Yes","No")),"")</f>
        <v>Yes</v>
      </c>
      <c r="BD266">
        <f t="shared" si="71"/>
        <v>4820000</v>
      </c>
      <c r="BE266" t="str">
        <f t="shared" si="72"/>
        <v>Decreasing</v>
      </c>
      <c r="BF266" t="str">
        <f t="shared" si="73"/>
        <v>Yes</v>
      </c>
      <c r="BG266" t="str">
        <f t="shared" si="74"/>
        <v>No</v>
      </c>
      <c r="BH266" t="str">
        <f t="shared" si="75"/>
        <v>No</v>
      </c>
    </row>
    <row r="267" spans="1:60" x14ac:dyDescent="0.3">
      <c r="A267" s="1">
        <v>20</v>
      </c>
      <c r="B267" t="s">
        <v>694</v>
      </c>
      <c r="C267" t="s">
        <v>2944</v>
      </c>
      <c r="D267" t="s">
        <v>2945</v>
      </c>
      <c r="E267" t="s">
        <v>2946</v>
      </c>
      <c r="F267" t="s">
        <v>2947</v>
      </c>
      <c r="G267" t="s">
        <v>2948</v>
      </c>
      <c r="I267" t="str">
        <f t="shared" si="82"/>
        <v>N/A</v>
      </c>
      <c r="J267">
        <f t="shared" si="83"/>
        <v>35980000</v>
      </c>
      <c r="K267">
        <f t="shared" si="84"/>
        <v>27110000</v>
      </c>
      <c r="L267">
        <f t="shared" si="85"/>
        <v>32110000</v>
      </c>
      <c r="M267">
        <f t="shared" si="86"/>
        <v>26040000</v>
      </c>
      <c r="N267">
        <f t="shared" si="87"/>
        <v>33770000</v>
      </c>
      <c r="P267">
        <f t="shared" si="58"/>
        <v>35980000</v>
      </c>
      <c r="Q267">
        <f>IFERROR(J144+MATCH(P267,J267:N267,0)-1,"")</f>
        <v>2012</v>
      </c>
      <c r="R267">
        <f t="shared" si="59"/>
        <v>26040000</v>
      </c>
      <c r="S267">
        <f>IFERROR(J144+MATCH(R267,J267:N267,0)-1,"")</f>
        <v>2015</v>
      </c>
      <c r="T267">
        <f t="shared" si="60"/>
        <v>31002000</v>
      </c>
      <c r="U267">
        <f t="shared" si="61"/>
        <v>4284830.2183400448</v>
      </c>
      <c r="V267">
        <f t="shared" si="62"/>
        <v>1.1617729866385444</v>
      </c>
      <c r="W267">
        <f t="shared" si="63"/>
        <v>-0.90832070389658792</v>
      </c>
      <c r="X267">
        <f t="shared" si="64"/>
        <v>0.25858667521002554</v>
      </c>
      <c r="Y267">
        <f t="shared" si="65"/>
        <v>-1.1580388830254031</v>
      </c>
      <c r="Z267">
        <f t="shared" si="66"/>
        <v>0.64599992507342119</v>
      </c>
      <c r="AA267">
        <f t="shared" si="67"/>
        <v>1.1617729866385444</v>
      </c>
      <c r="AB267">
        <f>IFERROR(V144+MATCH(AA267,V267:Z267,0)-1,"")</f>
        <v>2012</v>
      </c>
      <c r="AC267" t="str">
        <f t="shared" si="68"/>
        <v>High</v>
      </c>
      <c r="AE267">
        <f>IF(ISNUMBER(MATCH("N/A",J267:N267,0)),"",IFERROR((5 * SUMPRODUCT(J144:N144,J267:N267) - PRODUCT(SUM(J144:N144),SUM(J267:N267))) / ((5 * SUM((J144^2)+(K144^2)+(L144^2)+(M144^2)+(N144^2))) - SUM(J144:N144)^2),""))</f>
        <v>-549000</v>
      </c>
      <c r="AF267">
        <f>IFERROR(CORREL(J144:N144,J267:N267),"")</f>
        <v>-0.20258567399025279</v>
      </c>
      <c r="AZ267">
        <f t="shared" si="69"/>
        <v>1</v>
      </c>
      <c r="BA267" t="str">
        <f>IF(AZ267=1,IF(Q267="","",IF(Q267=N144,"Yes","No")),"")</f>
        <v>No</v>
      </c>
      <c r="BB267" t="str">
        <f t="shared" si="70"/>
        <v/>
      </c>
      <c r="BC267" t="str">
        <f>IF(AZ267=1,IF(S267="","",IF(S267=N144,"Yes","No")),"")</f>
        <v>No</v>
      </c>
      <c r="BD267" t="str">
        <f t="shared" si="71"/>
        <v/>
      </c>
      <c r="BE267" t="str">
        <f t="shared" si="72"/>
        <v>Decreasing</v>
      </c>
      <c r="BF267" t="str">
        <f t="shared" si="73"/>
        <v>No</v>
      </c>
      <c r="BG267" t="str">
        <f t="shared" si="74"/>
        <v>No</v>
      </c>
      <c r="BH267" t="str">
        <f t="shared" si="75"/>
        <v>No</v>
      </c>
    </row>
    <row r="268" spans="1:60" x14ac:dyDescent="0.3">
      <c r="A268" s="1">
        <v>21</v>
      </c>
      <c r="B268" t="s">
        <v>697</v>
      </c>
      <c r="C268" t="s">
        <v>2944</v>
      </c>
      <c r="D268" t="s">
        <v>2945</v>
      </c>
      <c r="E268" t="s">
        <v>2946</v>
      </c>
      <c r="F268" t="s">
        <v>2947</v>
      </c>
      <c r="G268" t="s">
        <v>2948</v>
      </c>
      <c r="I268" t="str">
        <f t="shared" si="82"/>
        <v>N/A</v>
      </c>
      <c r="J268">
        <f t="shared" si="83"/>
        <v>35980000</v>
      </c>
      <c r="K268">
        <f t="shared" si="84"/>
        <v>27110000</v>
      </c>
      <c r="L268">
        <f t="shared" si="85"/>
        <v>32110000</v>
      </c>
      <c r="M268">
        <f t="shared" si="86"/>
        <v>26040000</v>
      </c>
      <c r="N268">
        <f t="shared" si="87"/>
        <v>33770000</v>
      </c>
      <c r="P268">
        <f t="shared" si="58"/>
        <v>35980000</v>
      </c>
      <c r="Q268">
        <f>IFERROR(J144+MATCH(P268,J268:N268,0)-1,"")</f>
        <v>2012</v>
      </c>
      <c r="R268">
        <f t="shared" si="59"/>
        <v>26040000</v>
      </c>
      <c r="S268">
        <f>IFERROR(J144+MATCH(R268,J268:N268,0)-1,"")</f>
        <v>2015</v>
      </c>
      <c r="T268">
        <f t="shared" si="60"/>
        <v>31002000</v>
      </c>
      <c r="U268">
        <f t="shared" si="61"/>
        <v>4284830.2183400448</v>
      </c>
      <c r="V268">
        <f t="shared" si="62"/>
        <v>1.1617729866385444</v>
      </c>
      <c r="W268">
        <f t="shared" si="63"/>
        <v>-0.90832070389658792</v>
      </c>
      <c r="X268">
        <f t="shared" si="64"/>
        <v>0.25858667521002554</v>
      </c>
      <c r="Y268">
        <f t="shared" si="65"/>
        <v>-1.1580388830254031</v>
      </c>
      <c r="Z268">
        <f t="shared" si="66"/>
        <v>0.64599992507342119</v>
      </c>
      <c r="AA268">
        <f t="shared" si="67"/>
        <v>1.1617729866385444</v>
      </c>
      <c r="AB268">
        <f>IFERROR(V144+MATCH(AA268,V268:Z268,0)-1,"")</f>
        <v>2012</v>
      </c>
      <c r="AC268" t="str">
        <f t="shared" si="68"/>
        <v>High</v>
      </c>
      <c r="AE268">
        <f>IF(ISNUMBER(MATCH("N/A",J268:N268,0)),"",IFERROR((5 * SUMPRODUCT(J144:N144,J268:N268) - PRODUCT(SUM(J144:N144),SUM(J268:N268))) / ((5 * SUM((J144^2)+(K144^2)+(L144^2)+(M144^2)+(N144^2))) - SUM(J144:N144)^2),""))</f>
        <v>-549000</v>
      </c>
      <c r="AF268">
        <f>IFERROR(CORREL(J144:N144,J268:N268),"")</f>
        <v>-0.20258567399025279</v>
      </c>
      <c r="AZ268">
        <f t="shared" si="69"/>
        <v>1</v>
      </c>
      <c r="BA268" t="str">
        <f>IF(AZ268=1,IF(Q268="","",IF(Q268=N144,"Yes","No")),"")</f>
        <v>No</v>
      </c>
      <c r="BB268" t="str">
        <f t="shared" si="70"/>
        <v/>
      </c>
      <c r="BC268" t="str">
        <f>IF(AZ268=1,IF(S268="","",IF(S268=N144,"Yes","No")),"")</f>
        <v>No</v>
      </c>
      <c r="BD268" t="str">
        <f t="shared" si="71"/>
        <v/>
      </c>
      <c r="BE268" t="str">
        <f t="shared" si="72"/>
        <v>Decreasing</v>
      </c>
      <c r="BF268" t="str">
        <f t="shared" si="73"/>
        <v>No</v>
      </c>
      <c r="BG268" t="str">
        <f t="shared" si="74"/>
        <v>No</v>
      </c>
      <c r="BH268" t="str">
        <f t="shared" si="75"/>
        <v>No</v>
      </c>
    </row>
    <row r="269" spans="1:60" x14ac:dyDescent="0.3">
      <c r="A269" s="1">
        <v>22</v>
      </c>
      <c r="B269" t="s">
        <v>699</v>
      </c>
      <c r="C269" t="s">
        <v>264</v>
      </c>
      <c r="D269" t="s">
        <v>264</v>
      </c>
      <c r="E269" t="s">
        <v>264</v>
      </c>
      <c r="F269" t="s">
        <v>264</v>
      </c>
      <c r="G269" t="s">
        <v>264</v>
      </c>
      <c r="I269" t="str">
        <f t="shared" si="82"/>
        <v>N/A</v>
      </c>
      <c r="J269" t="str">
        <f t="shared" si="83"/>
        <v>N/A</v>
      </c>
      <c r="K269" t="str">
        <f t="shared" si="84"/>
        <v>N/A</v>
      </c>
      <c r="L269" t="str">
        <f t="shared" si="85"/>
        <v>N/A</v>
      </c>
      <c r="M269" t="str">
        <f t="shared" si="86"/>
        <v>N/A</v>
      </c>
      <c r="N269" t="str">
        <f t="shared" si="87"/>
        <v>N/A</v>
      </c>
      <c r="P269">
        <f t="shared" si="58"/>
        <v>0</v>
      </c>
      <c r="Q269" t="str">
        <f>IFERROR(J144+MATCH(P269,J269:N269,0)-1,"")</f>
        <v/>
      </c>
      <c r="R269" t="str">
        <f t="shared" si="59"/>
        <v/>
      </c>
      <c r="S269" t="str">
        <f>IFERROR(J144+MATCH(R269,J269:N269,0)-1,"")</f>
        <v/>
      </c>
      <c r="T269" t="str">
        <f t="shared" si="60"/>
        <v/>
      </c>
      <c r="U269" t="str">
        <f t="shared" si="61"/>
        <v/>
      </c>
      <c r="V269" t="str">
        <f t="shared" si="62"/>
        <v/>
      </c>
      <c r="W269" t="str">
        <f t="shared" si="63"/>
        <v/>
      </c>
      <c r="X269" t="str">
        <f t="shared" si="64"/>
        <v/>
      </c>
      <c r="Y269" t="str">
        <f t="shared" si="65"/>
        <v/>
      </c>
      <c r="Z269" t="str">
        <f t="shared" si="66"/>
        <v/>
      </c>
      <c r="AA269">
        <f t="shared" si="67"/>
        <v>0</v>
      </c>
      <c r="AB269" t="str">
        <f>IFERROR(V144+MATCH(AA269,V269:Z269,0)-1,"")</f>
        <v/>
      </c>
      <c r="AC269" t="str">
        <f t="shared" si="68"/>
        <v/>
      </c>
      <c r="AE269" t="str">
        <f>IF(ISNUMBER(MATCH("N/A",J269:N269,0)),"",IFERROR((5 * SUMPRODUCT(J144:N144,J269:N269) - PRODUCT(SUM(J144:N144),SUM(J269:N269))) / ((5 * SUM((J144^2)+(K144^2)+(L144^2)+(M144^2)+(N144^2))) - SUM(J144:N144)^2),""))</f>
        <v/>
      </c>
      <c r="AF269" t="str">
        <f>IFERROR(CORREL(J144:N144,J269:N269),"")</f>
        <v/>
      </c>
      <c r="AZ269">
        <f t="shared" si="69"/>
        <v>0</v>
      </c>
      <c r="BA269" t="str">
        <f>IF(AZ269=1,IF(Q269="","",IF(Q269=N144,"Yes","No")),"")</f>
        <v/>
      </c>
      <c r="BB269" t="str">
        <f t="shared" si="70"/>
        <v/>
      </c>
      <c r="BC269" t="str">
        <f>IF(AZ269=1,IF(S269="","",IF(S269=N144,"Yes","No")),"")</f>
        <v/>
      </c>
      <c r="BD269" t="str">
        <f t="shared" si="71"/>
        <v/>
      </c>
      <c r="BE269" t="str">
        <f t="shared" si="72"/>
        <v/>
      </c>
      <c r="BF269" t="str">
        <f t="shared" si="73"/>
        <v>No</v>
      </c>
      <c r="BG269" t="str">
        <f t="shared" si="74"/>
        <v>No</v>
      </c>
      <c r="BH269" t="str">
        <f t="shared" si="75"/>
        <v/>
      </c>
    </row>
    <row r="270" spans="1:60" x14ac:dyDescent="0.3">
      <c r="A270" s="1">
        <v>23</v>
      </c>
      <c r="B270" t="s">
        <v>700</v>
      </c>
      <c r="C270" t="s">
        <v>2949</v>
      </c>
      <c r="D270" t="s">
        <v>2950</v>
      </c>
      <c r="E270" t="s">
        <v>2951</v>
      </c>
      <c r="F270" t="s">
        <v>2952</v>
      </c>
      <c r="G270" t="s">
        <v>2953</v>
      </c>
      <c r="I270" t="str">
        <f t="shared" si="82"/>
        <v>N/A</v>
      </c>
      <c r="J270">
        <f t="shared" si="83"/>
        <v>291730000</v>
      </c>
      <c r="K270">
        <f t="shared" si="84"/>
        <v>249760000</v>
      </c>
      <c r="L270">
        <f t="shared" si="85"/>
        <v>230630000</v>
      </c>
      <c r="M270">
        <f t="shared" si="86"/>
        <v>269140000</v>
      </c>
      <c r="N270">
        <f t="shared" si="87"/>
        <v>416350000</v>
      </c>
      <c r="P270">
        <f t="shared" si="58"/>
        <v>416350000</v>
      </c>
      <c r="Q270">
        <f>IFERROR(J144+MATCH(P270,J270:N270,0)-1,"")</f>
        <v>2016</v>
      </c>
      <c r="R270">
        <f t="shared" si="59"/>
        <v>230630000</v>
      </c>
      <c r="S270">
        <f>IFERROR(J144+MATCH(R270,J270:N270,0)-1,"")</f>
        <v>2014</v>
      </c>
      <c r="T270">
        <f t="shared" si="60"/>
        <v>291522000</v>
      </c>
      <c r="U270">
        <f t="shared" si="61"/>
        <v>73373917.504791856</v>
      </c>
      <c r="V270">
        <f t="shared" si="62"/>
        <v>2.8347948027501197E-3</v>
      </c>
      <c r="W270">
        <f t="shared" si="63"/>
        <v>-0.56916682957908893</v>
      </c>
      <c r="X270">
        <f t="shared" si="64"/>
        <v>-0.8298861785050976</v>
      </c>
      <c r="Y270">
        <f t="shared" si="65"/>
        <v>-0.3050402753613134</v>
      </c>
      <c r="Z270">
        <f t="shared" si="66"/>
        <v>1.7012584886427498</v>
      </c>
      <c r="AA270">
        <f t="shared" si="67"/>
        <v>1.7012584886427498</v>
      </c>
      <c r="AB270">
        <f>IFERROR(V144+MATCH(AA270,V270:Z270,0)-1,"")</f>
        <v>2016</v>
      </c>
      <c r="AC270" t="str">
        <f t="shared" si="68"/>
        <v>High</v>
      </c>
      <c r="AE270">
        <f>IF(ISNUMBER(MATCH("N/A",J270:N270,0)),"",IFERROR((5 * SUMPRODUCT(J144:N144,J270:N270) - PRODUCT(SUM(J144:N144),SUM(J270:N270))) / ((5 * SUM((J144^2)+(K144^2)+(L144^2)+(M144^2)+(N144^2))) - SUM(J144:N144)^2),""))</f>
        <v>26862000</v>
      </c>
      <c r="AF270">
        <f>IFERROR(CORREL(J144:N144,J270:N270),"")</f>
        <v>0.57885080554609525</v>
      </c>
      <c r="AZ270">
        <f t="shared" si="69"/>
        <v>1</v>
      </c>
      <c r="BA270" t="str">
        <f>IF(AZ270=1,IF(Q270="","",IF(Q270=N144,"Yes","No")),"")</f>
        <v>Yes</v>
      </c>
      <c r="BB270">
        <f t="shared" si="70"/>
        <v>416350000</v>
      </c>
      <c r="BC270" t="str">
        <f>IF(AZ270=1,IF(S270="","",IF(S270=N144,"Yes","No")),"")</f>
        <v>No</v>
      </c>
      <c r="BD270" t="str">
        <f t="shared" si="71"/>
        <v/>
      </c>
      <c r="BE270" t="str">
        <f t="shared" si="72"/>
        <v>Increasing</v>
      </c>
      <c r="BF270" t="str">
        <f t="shared" si="73"/>
        <v>Yes</v>
      </c>
      <c r="BG270" t="str">
        <f t="shared" si="74"/>
        <v>No</v>
      </c>
      <c r="BH270" t="str">
        <f t="shared" si="75"/>
        <v>No</v>
      </c>
    </row>
    <row r="271" spans="1:60" x14ac:dyDescent="0.3">
      <c r="A271" s="1">
        <v>24</v>
      </c>
      <c r="B271" t="s">
        <v>706</v>
      </c>
      <c r="C271" t="s">
        <v>264</v>
      </c>
      <c r="D271" t="s">
        <v>264</v>
      </c>
      <c r="E271" t="s">
        <v>264</v>
      </c>
      <c r="F271" t="s">
        <v>264</v>
      </c>
      <c r="G271" t="s">
        <v>264</v>
      </c>
      <c r="P271">
        <f t="shared" si="58"/>
        <v>0</v>
      </c>
      <c r="Q271" t="str">
        <f>IFERROR(J144+MATCH(P271,J271:N271,0)-1,"")</f>
        <v/>
      </c>
      <c r="R271" t="str">
        <f t="shared" si="59"/>
        <v/>
      </c>
      <c r="S271" t="str">
        <f>IFERROR(J144+MATCH(R271,J271:N271,0)-1,"")</f>
        <v/>
      </c>
      <c r="T271" t="str">
        <f t="shared" si="60"/>
        <v/>
      </c>
      <c r="U271" t="str">
        <f t="shared" si="61"/>
        <v/>
      </c>
      <c r="V271" t="str">
        <f t="shared" si="62"/>
        <v/>
      </c>
      <c r="W271" t="str">
        <f t="shared" si="63"/>
        <v/>
      </c>
      <c r="X271" t="str">
        <f t="shared" si="64"/>
        <v/>
      </c>
      <c r="Y271" t="str">
        <f t="shared" si="65"/>
        <v/>
      </c>
      <c r="Z271" t="str">
        <f t="shared" si="66"/>
        <v/>
      </c>
      <c r="AA271">
        <f t="shared" si="67"/>
        <v>0</v>
      </c>
      <c r="AB271" t="str">
        <f>IFERROR(V144+MATCH(AA271,V271:Z271,0)-1,"")</f>
        <v/>
      </c>
      <c r="AC271" t="str">
        <f t="shared" si="68"/>
        <v/>
      </c>
      <c r="AE271">
        <f>IF(ISNUMBER(MATCH("N/A",J271:N271,0)),"",IFERROR((5 * SUMPRODUCT(J144:N144,J271:N271) - PRODUCT(SUM(J144:N144),SUM(J271:N271))) / ((5 * SUM((J144^2)+(K144^2)+(L144^2)+(M144^2)+(N144^2))) - SUM(J144:N144)^2),""))</f>
        <v>0</v>
      </c>
      <c r="AF271" t="str">
        <f>IFERROR(CORREL(J144:N144,J271:N271),"")</f>
        <v/>
      </c>
      <c r="AZ271">
        <f t="shared" si="69"/>
        <v>0</v>
      </c>
      <c r="BA271" t="str">
        <f>IF(AZ271=1,IF(Q271="","",IF(Q271=N144,"Yes","No")),"")</f>
        <v/>
      </c>
      <c r="BB271" t="str">
        <f t="shared" si="70"/>
        <v/>
      </c>
      <c r="BC271" t="str">
        <f>IF(AZ271=1,IF(S271="","",IF(S271=N144,"Yes","No")),"")</f>
        <v/>
      </c>
      <c r="BD271" t="str">
        <f t="shared" si="71"/>
        <v/>
      </c>
      <c r="BE271" t="str">
        <f t="shared" si="72"/>
        <v/>
      </c>
      <c r="BF271" t="str">
        <f t="shared" si="73"/>
        <v>No</v>
      </c>
      <c r="BG271" t="str">
        <f t="shared" si="74"/>
        <v>No</v>
      </c>
      <c r="BH271" t="str">
        <f t="shared" si="75"/>
        <v/>
      </c>
    </row>
    <row r="272" spans="1:60" x14ac:dyDescent="0.3">
      <c r="A272" s="1">
        <v>25</v>
      </c>
      <c r="B272" t="s">
        <v>707</v>
      </c>
      <c r="C272" t="s">
        <v>2954</v>
      </c>
      <c r="D272" t="s">
        <v>2955</v>
      </c>
      <c r="E272" t="s">
        <v>2956</v>
      </c>
      <c r="F272" t="s">
        <v>2957</v>
      </c>
      <c r="G272" t="s">
        <v>2958</v>
      </c>
      <c r="I272" t="str">
        <f t="shared" ref="I272:I310" si="88">IF(AND(K272&gt; J272, L272&gt; K272, M272&gt; L272, N272&gt; M272), "pos_trend", IF(AND(K272&lt; J272, L272&lt; K272, M272&lt; L272, N272&lt; M272), "neg_trend", "N/A"))</f>
        <v>N/A</v>
      </c>
      <c r="J272">
        <f t="shared" ref="J272:J310" si="89">IFERROR(IF(TRIM(C272)="-", "N/A", IF(RIGHT(C272,1)=")",IF(RIGHT(C272,2)="T)",-1000000000000*VALUE(MID(C272,2,LEN(C272)-3)),IF(RIGHT(C272,2)="M)",-1000000*VALUE(MID(C272,2,LEN(C272)-3)),IF(RIGHT(C272,2)="B)",-1000000000*VALUE(MID(C272,2,LEN(C272)-3)),IF(RIGHT(C272,2)="k)",-1000*VALUE(MID(C272,2,LEN(C272)-3)),VALUE(SUBSTITUTE(C272,",","")))))),IF(RIGHT(C272,1)="T",1000000000000*VALUE(LEFT(C272,LEN(C272)-1)),IF(RIGHT(C272,1)="M",1000000*VALUE(LEFT(C272,LEN(C272)-1)),IF(RIGHT(C272,1)="B",1000000000*VALUE(LEFT(C272,LEN(C272)-1)),IF(RIGHT(C272,1)="%",0.01*VALUE(LEFT(C272,LEN(C272)-1)),IF(RIGHT(C272,1)="k",1000*VALUE(LEFT(C272,LEN(C272)-1)),VALUE(SUBSTITUTE(C272,",",""))))))))),"N/A")</f>
        <v>0.41090000000000004</v>
      </c>
      <c r="K272">
        <f t="shared" ref="K272:K310" si="90">IFERROR(IF(TRIM(D272)="-", "N/A", IF(RIGHT(D272,1)=")",IF(RIGHT(D272,2)="T)",-1000000000000*VALUE(MID(D272,2,LEN(D272)-3)),IF(RIGHT(D272,2)="M)",-1000000*VALUE(MID(D272,2,LEN(D272)-3)),IF(RIGHT(D272,2)="B)",-1000000000*VALUE(MID(D272,2,LEN(D272)-3)),IF(RIGHT(D272,2)="k)",-1000*VALUE(MID(D272,2,LEN(D272)-3)),VALUE(SUBSTITUTE(D272,",","")))))),IF(RIGHT(D272,1)="T",1000000000000*VALUE(LEFT(D272,LEN(D272)-1)),IF(RIGHT(D272,1)="M",1000000*VALUE(LEFT(D272,LEN(D272)-1)),IF(RIGHT(D272,1)="B",1000000000*VALUE(LEFT(D272,LEN(D272)-1)),IF(RIGHT(D272,1)="%",0.01*VALUE(LEFT(D272,LEN(D272)-1)),IF(RIGHT(D272,1)="k",1000*VALUE(LEFT(D272,LEN(D272)-1)),VALUE(SUBSTITUTE(D272,",",""))))))))),"N/A")</f>
        <v>0.34370000000000001</v>
      </c>
      <c r="L272">
        <f t="shared" ref="L272:L310" si="91">IFERROR(IF(TRIM(E272)="-", "N/A", IF(RIGHT(E272,1)=")",IF(RIGHT(E272,2)="T)",-1000000000000*VALUE(MID(E272,2,LEN(E272)-3)),IF(RIGHT(E272,2)="M)",-1000000*VALUE(MID(E272,2,LEN(E272)-3)),IF(RIGHT(E272,2)="B)",-1000000000*VALUE(MID(E272,2,LEN(E272)-3)),IF(RIGHT(E272,2)="k)",-1000*VALUE(MID(E272,2,LEN(E272)-3)),VALUE(SUBSTITUTE(E272,",","")))))),IF(RIGHT(E272,1)="T",1000000000000*VALUE(LEFT(E272,LEN(E272)-1)),IF(RIGHT(E272,1)="M",1000000*VALUE(LEFT(E272,LEN(E272)-1)),IF(RIGHT(E272,1)="B",1000000000*VALUE(LEFT(E272,LEN(E272)-1)),IF(RIGHT(E272,1)="%",0.01*VALUE(LEFT(E272,LEN(E272)-1)),IF(RIGHT(E272,1)="k",1000*VALUE(LEFT(E272,LEN(E272)-1)),VALUE(SUBSTITUTE(E272,",",""))))))))),"N/A")</f>
        <v>0.31819999999999998</v>
      </c>
      <c r="M272">
        <f t="shared" ref="M272:M310" si="92">IFERROR(IF(TRIM(F272)="-", "N/A", IF(RIGHT(F272,1)=")",IF(RIGHT(F272,2)="T)",-1000000000000*VALUE(MID(F272,2,LEN(F272)-3)),IF(RIGHT(F272,2)="M)",-1000000*VALUE(MID(F272,2,LEN(F272)-3)),IF(RIGHT(F272,2)="B)",-1000000000*VALUE(MID(F272,2,LEN(F272)-3)),IF(RIGHT(F272,2)="k)",-1000*VALUE(MID(F272,2,LEN(F272)-3)),VALUE(SUBSTITUTE(F272,",","")))))),IF(RIGHT(F272,1)="T",1000000000000*VALUE(LEFT(F272,LEN(F272)-1)),IF(RIGHT(F272,1)="M",1000000*VALUE(LEFT(F272,LEN(F272)-1)),IF(RIGHT(F272,1)="B",1000000000*VALUE(LEFT(F272,LEN(F272)-1)),IF(RIGHT(F272,1)="%",0.01*VALUE(LEFT(F272,LEN(F272)-1)),IF(RIGHT(F272,1)="k",1000*VALUE(LEFT(F272,LEN(F272)-1)),VALUE(SUBSTITUTE(F272,",",""))))))))),"N/A")</f>
        <v>0.4017</v>
      </c>
      <c r="N272">
        <f t="shared" ref="N272:N310" si="93">IFERROR(IF(TRIM(G272)="-", "N/A", IF(RIGHT(G272,1)=")",IF(RIGHT(G272,2)="T)",-1000000000000*VALUE(MID(G272,2,LEN(G272)-3)),IF(RIGHT(G272,2)="M)",-1000000*VALUE(MID(G272,2,LEN(G272)-3)),IF(RIGHT(G272,2)="B)",-1000000000*VALUE(MID(G272,2,LEN(G272)-3)),IF(RIGHT(G272,2)="k)",-1000*VALUE(MID(G272,2,LEN(G272)-3)),VALUE(SUBSTITUTE(G272,",","")))))),IF(RIGHT(G272,1)="T",1000000000000*VALUE(LEFT(G272,LEN(G272)-1)),IF(RIGHT(G272,1)="M",1000000*VALUE(LEFT(G272,LEN(G272)-1)),IF(RIGHT(G272,1)="B",1000000000*VALUE(LEFT(G272,LEN(G272)-1)),IF(RIGHT(G272,1)="%",0.01*VALUE(LEFT(G272,LEN(G272)-1)),IF(RIGHT(G272,1)="k",1000*VALUE(LEFT(G272,LEN(G272)-1)),VALUE(SUBSTITUTE(G272,",",""))))))))),"N/A")</f>
        <v>0.50729999999999997</v>
      </c>
      <c r="P272">
        <f t="shared" si="58"/>
        <v>0.50729999999999997</v>
      </c>
      <c r="Q272">
        <f>IFERROR(J144+MATCH(P272,J272:N272,0)-1,"")</f>
        <v>2016</v>
      </c>
      <c r="R272">
        <f t="shared" si="59"/>
        <v>0.31819999999999998</v>
      </c>
      <c r="S272">
        <f>IFERROR(J144+MATCH(R272,J272:N272,0)-1,"")</f>
        <v>2014</v>
      </c>
      <c r="T272">
        <f t="shared" si="60"/>
        <v>0.39635999999999993</v>
      </c>
      <c r="U272">
        <f t="shared" si="61"/>
        <v>7.3194385030547648E-2</v>
      </c>
      <c r="V272">
        <f t="shared" si="62"/>
        <v>0.19864911760556284</v>
      </c>
      <c r="W272">
        <f t="shared" si="63"/>
        <v>-0.71945409443664698</v>
      </c>
      <c r="X272">
        <f t="shared" si="64"/>
        <v>-1.0678414740062356</v>
      </c>
      <c r="Y272">
        <f t="shared" si="65"/>
        <v>7.2956415956926479E-2</v>
      </c>
      <c r="Z272">
        <f t="shared" si="66"/>
        <v>1.5156900348803979</v>
      </c>
      <c r="AA272">
        <f t="shared" si="67"/>
        <v>1.5156900348803979</v>
      </c>
      <c r="AB272">
        <f>IFERROR(V144+MATCH(AA272,V272:Z272,0)-1,"")</f>
        <v>2016</v>
      </c>
      <c r="AC272" t="str">
        <f t="shared" si="68"/>
        <v>High</v>
      </c>
      <c r="AE272">
        <f>IF(ISNUMBER(MATCH("N/A",J272:N272,0)),"",IFERROR((5 * SUMPRODUCT(J144:N144,J272:N272) - PRODUCT(SUM(J144:N144),SUM(J272:N272))) / ((5 * SUM((J144^2)+(K144^2)+(L144^2)+(M144^2)+(N144^2))) - SUM(J144:N144)^2),""))</f>
        <v>2.5080000000089059E-2</v>
      </c>
      <c r="AF272">
        <f>IFERROR(CORREL(J144:N144,J272:N272),"")</f>
        <v>0.5417760097576021</v>
      </c>
      <c r="AZ272">
        <f t="shared" si="69"/>
        <v>1</v>
      </c>
      <c r="BA272" t="str">
        <f>IF(AZ272=1,IF(Q272="","",IF(Q272=N144,"Yes","No")),"")</f>
        <v>Yes</v>
      </c>
      <c r="BB272">
        <f t="shared" si="70"/>
        <v>0.50729999999999997</v>
      </c>
      <c r="BC272" t="str">
        <f>IF(AZ272=1,IF(S272="","",IF(S272=N144,"Yes","No")),"")</f>
        <v>No</v>
      </c>
      <c r="BD272" t="str">
        <f t="shared" si="71"/>
        <v/>
      </c>
      <c r="BE272" t="str">
        <f t="shared" si="72"/>
        <v>Increasing</v>
      </c>
      <c r="BF272" t="str">
        <f t="shared" si="73"/>
        <v>Yes</v>
      </c>
      <c r="BG272" t="str">
        <f t="shared" si="74"/>
        <v>No</v>
      </c>
      <c r="BH272" t="str">
        <f t="shared" si="75"/>
        <v>No</v>
      </c>
    </row>
    <row r="273" spans="1:60" x14ac:dyDescent="0.3">
      <c r="A273" s="1">
        <v>26</v>
      </c>
      <c r="B273" t="s">
        <v>713</v>
      </c>
      <c r="C273" t="s">
        <v>264</v>
      </c>
      <c r="D273" t="s">
        <v>264</v>
      </c>
      <c r="E273" t="s">
        <v>264</v>
      </c>
      <c r="F273" t="s">
        <v>264</v>
      </c>
      <c r="G273" t="s">
        <v>264</v>
      </c>
      <c r="I273" t="str">
        <f t="shared" si="88"/>
        <v>N/A</v>
      </c>
      <c r="J273" t="str">
        <f t="shared" si="89"/>
        <v>N/A</v>
      </c>
      <c r="K273" t="str">
        <f t="shared" si="90"/>
        <v>N/A</v>
      </c>
      <c r="L273" t="str">
        <f t="shared" si="91"/>
        <v>N/A</v>
      </c>
      <c r="M273" t="str">
        <f t="shared" si="92"/>
        <v>N/A</v>
      </c>
      <c r="N273" t="str">
        <f t="shared" si="93"/>
        <v>N/A</v>
      </c>
      <c r="P273">
        <f t="shared" ref="P273:P336" si="94">MAX(J273:N273)</f>
        <v>0</v>
      </c>
      <c r="Q273" t="str">
        <f>IFERROR(J144+MATCH(P273,J273:N273,0)-1,"")</f>
        <v/>
      </c>
      <c r="R273" t="str">
        <f t="shared" ref="R273:R336" si="95">IF(Q273="","",MIN(J273:N273))</f>
        <v/>
      </c>
      <c r="S273" t="str">
        <f>IFERROR(J144+MATCH(R273,J273:N273,0)-1,"")</f>
        <v/>
      </c>
      <c r="T273" t="str">
        <f t="shared" ref="T273:T336" si="96">IFERROR(AVERAGE(J273:N273),"")</f>
        <v/>
      </c>
      <c r="U273" t="str">
        <f t="shared" ref="U273:U336" si="97">IFERROR(STDEV(J273:N273),"")</f>
        <v/>
      </c>
      <c r="V273" t="str">
        <f t="shared" ref="V273:V336" si="98">IFERROR(IF(C273="-","",IF(ISBLANK(B273),"",IF(OR(ISNUMBER(FIND("Growth",B273)),ISNUMBER(FIND("Margin",B273))),"",(J273-T273)/U273))),"")</f>
        <v/>
      </c>
      <c r="W273" t="str">
        <f t="shared" ref="W273:W336" si="99">IFERROR(IF(OR(D273="-",ISBLANK(D273)),"",(K273-T273)/U273),"")</f>
        <v/>
      </c>
      <c r="X273" t="str">
        <f t="shared" ref="X273:X336" si="100">IFERROR(IF(OR(E273="-",ISBLANK(E273)),"",(L273-T273)/U273),"")</f>
        <v/>
      </c>
      <c r="Y273" t="str">
        <f t="shared" ref="Y273:Y336" si="101">IFERROR(IF(OR(F273="-",ISBLANK(F273)),"",(M273-T273)/U273),"")</f>
        <v/>
      </c>
      <c r="Z273" t="str">
        <f t="shared" ref="Z273:Z336" si="102">IFERROR(IF(OR(G273="-",ISBLANK(G273)),"",(N273-T273)/U273),"")</f>
        <v/>
      </c>
      <c r="AA273">
        <f t="shared" ref="AA273:AA336" si="103">IF(MAX(MAX(V273:Z273),ABS(MIN(V273:Z273)))=ABS(MIN(V273:Z273)),MIN(V273:Z273),MAX(V273:Z273))</f>
        <v>0</v>
      </c>
      <c r="AB273" t="str">
        <f>IFERROR(V144+MATCH(AA273,V273:Z273,0)-1,"")</f>
        <v/>
      </c>
      <c r="AC273" t="str">
        <f t="shared" ref="AC273:AC336" si="104">IF(AB273&lt;&gt;"",IF(S273=AB273,"Low",IF(AB273=Q273,"High","")),"")</f>
        <v/>
      </c>
      <c r="AE273" t="str">
        <f>IF(ISNUMBER(MATCH("N/A",J273:N273,0)),"",IFERROR((5 * SUMPRODUCT(J144:N144,J273:N273) - PRODUCT(SUM(J144:N144),SUM(J273:N273))) / ((5 * SUM((J144^2)+(K144^2)+(L144^2)+(M144^2)+(N144^2))) - SUM(J144:N144)^2),""))</f>
        <v/>
      </c>
      <c r="AF273" t="str">
        <f>IFERROR(CORREL(J144:N144,J273:N273),"")</f>
        <v/>
      </c>
      <c r="AZ273">
        <f t="shared" ref="AZ273:AZ336" si="105">IF(Q273=S273,0,1)</f>
        <v>0</v>
      </c>
      <c r="BA273" t="str">
        <f>IF(AZ273=1,IF(Q273="","",IF(Q273=N144,"Yes","No")),"")</f>
        <v/>
      </c>
      <c r="BB273" t="str">
        <f t="shared" ref="BB273:BB336" si="106">IF(BA273="Yes",P273,"")</f>
        <v/>
      </c>
      <c r="BC273" t="str">
        <f>IF(AZ273=1,IF(S273="","",IF(S273=N144,"Yes","No")),"")</f>
        <v/>
      </c>
      <c r="BD273" t="str">
        <f t="shared" ref="BD273:BD336" si="107">IF(BC273="Yes",R273,"")</f>
        <v/>
      </c>
      <c r="BE273" t="str">
        <f t="shared" ref="BE273:BE336" si="108">IFERROR(IF(SIGN(AE273)=1,"Increasing",IF(SIGN(AE273)=-1,"Decreasing","")),"")</f>
        <v/>
      </c>
      <c r="BF273" t="str">
        <f t="shared" ref="BF273:BF336" si="109">IF(OR(AND(BE273="Increasing",BA273="Yes"),AND(BE273="Decreasing",BC273="Yes")),"Yes","No")</f>
        <v>No</v>
      </c>
      <c r="BG273" t="str">
        <f t="shared" ref="BG273:BG336" si="110">IF(I273="pos_trend","Yes","No")</f>
        <v>No</v>
      </c>
      <c r="BH273" t="str">
        <f t="shared" ref="BH273:BH336" si="111">IF(AF273&lt;&gt;"",IF(ABS(AF273)&gt;0.8,"Yes","No"),"")</f>
        <v/>
      </c>
    </row>
    <row r="274" spans="1:60" x14ac:dyDescent="0.3">
      <c r="A274" s="1">
        <v>27</v>
      </c>
      <c r="B274" t="s">
        <v>714</v>
      </c>
      <c r="C274" t="s">
        <v>264</v>
      </c>
      <c r="D274" t="s">
        <v>264</v>
      </c>
      <c r="E274" t="s">
        <v>264</v>
      </c>
      <c r="F274" t="s">
        <v>264</v>
      </c>
      <c r="G274" t="s">
        <v>264</v>
      </c>
      <c r="I274" t="str">
        <f t="shared" si="88"/>
        <v>N/A</v>
      </c>
      <c r="J274" t="str">
        <f t="shared" si="89"/>
        <v>N/A</v>
      </c>
      <c r="K274" t="str">
        <f t="shared" si="90"/>
        <v>N/A</v>
      </c>
      <c r="L274" t="str">
        <f t="shared" si="91"/>
        <v>N/A</v>
      </c>
      <c r="M274" t="str">
        <f t="shared" si="92"/>
        <v>N/A</v>
      </c>
      <c r="N274" t="str">
        <f t="shared" si="93"/>
        <v>N/A</v>
      </c>
      <c r="P274">
        <f t="shared" si="94"/>
        <v>0</v>
      </c>
      <c r="Q274" t="str">
        <f>IFERROR(J144+MATCH(P274,J274:N274,0)-1,"")</f>
        <v/>
      </c>
      <c r="R274" t="str">
        <f t="shared" si="95"/>
        <v/>
      </c>
      <c r="S274" t="str">
        <f>IFERROR(J144+MATCH(R274,J274:N274,0)-1,"")</f>
        <v/>
      </c>
      <c r="T274" t="str">
        <f t="shared" si="96"/>
        <v/>
      </c>
      <c r="U274" t="str">
        <f t="shared" si="97"/>
        <v/>
      </c>
      <c r="V274" t="str">
        <f t="shared" si="98"/>
        <v/>
      </c>
      <c r="W274" t="str">
        <f t="shared" si="99"/>
        <v/>
      </c>
      <c r="X274" t="str">
        <f t="shared" si="100"/>
        <v/>
      </c>
      <c r="Y274" t="str">
        <f t="shared" si="101"/>
        <v/>
      </c>
      <c r="Z274" t="str">
        <f t="shared" si="102"/>
        <v/>
      </c>
      <c r="AA274">
        <f t="shared" si="103"/>
        <v>0</v>
      </c>
      <c r="AB274" t="str">
        <f>IFERROR(V144+MATCH(AA274,V274:Z274,0)-1,"")</f>
        <v/>
      </c>
      <c r="AC274" t="str">
        <f t="shared" si="104"/>
        <v/>
      </c>
      <c r="AE274" t="str">
        <f>IF(ISNUMBER(MATCH("N/A",J274:N274,0)),"",IFERROR((5 * SUMPRODUCT(J144:N144,J274:N274) - PRODUCT(SUM(J144:N144),SUM(J274:N274))) / ((5 * SUM((J144^2)+(K144^2)+(L144^2)+(M144^2)+(N144^2))) - SUM(J144:N144)^2),""))</f>
        <v/>
      </c>
      <c r="AF274" t="str">
        <f>IFERROR(CORREL(J144:N144,J274:N274),"")</f>
        <v/>
      </c>
      <c r="AZ274">
        <f t="shared" si="105"/>
        <v>0</v>
      </c>
      <c r="BA274" t="str">
        <f>IF(AZ274=1,IF(Q274="","",IF(Q274=N144,"Yes","No")),"")</f>
        <v/>
      </c>
      <c r="BB274" t="str">
        <f t="shared" si="106"/>
        <v/>
      </c>
      <c r="BC274" t="str">
        <f>IF(AZ274=1,IF(S274="","",IF(S274=N144,"Yes","No")),"")</f>
        <v/>
      </c>
      <c r="BD274" t="str">
        <f t="shared" si="107"/>
        <v/>
      </c>
      <c r="BE274" t="str">
        <f t="shared" si="108"/>
        <v/>
      </c>
      <c r="BF274" t="str">
        <f t="shared" si="109"/>
        <v>No</v>
      </c>
      <c r="BG274" t="str">
        <f t="shared" si="110"/>
        <v>No</v>
      </c>
      <c r="BH274" t="str">
        <f t="shared" si="111"/>
        <v/>
      </c>
    </row>
    <row r="275" spans="1:60" x14ac:dyDescent="0.3">
      <c r="A275" s="1">
        <v>28</v>
      </c>
      <c r="B275" t="s">
        <v>715</v>
      </c>
      <c r="C275" t="s">
        <v>264</v>
      </c>
      <c r="D275" t="s">
        <v>264</v>
      </c>
      <c r="E275" t="s">
        <v>264</v>
      </c>
      <c r="F275" t="s">
        <v>264</v>
      </c>
      <c r="G275" t="s">
        <v>264</v>
      </c>
      <c r="I275" t="str">
        <f t="shared" si="88"/>
        <v>N/A</v>
      </c>
      <c r="J275" t="str">
        <f t="shared" si="89"/>
        <v>N/A</v>
      </c>
      <c r="K275" t="str">
        <f t="shared" si="90"/>
        <v>N/A</v>
      </c>
      <c r="L275" t="str">
        <f t="shared" si="91"/>
        <v>N/A</v>
      </c>
      <c r="M275" t="str">
        <f t="shared" si="92"/>
        <v>N/A</v>
      </c>
      <c r="N275" t="str">
        <f t="shared" si="93"/>
        <v>N/A</v>
      </c>
      <c r="P275">
        <f t="shared" si="94"/>
        <v>0</v>
      </c>
      <c r="Q275" t="str">
        <f>IFERROR(J144+MATCH(P275,J275:N275,0)-1,"")</f>
        <v/>
      </c>
      <c r="R275" t="str">
        <f t="shared" si="95"/>
        <v/>
      </c>
      <c r="S275" t="str">
        <f>IFERROR(J144+MATCH(R275,J275:N275,0)-1,"")</f>
        <v/>
      </c>
      <c r="T275" t="str">
        <f t="shared" si="96"/>
        <v/>
      </c>
      <c r="U275" t="str">
        <f t="shared" si="97"/>
        <v/>
      </c>
      <c r="V275" t="str">
        <f t="shared" si="98"/>
        <v/>
      </c>
      <c r="W275" t="str">
        <f t="shared" si="99"/>
        <v/>
      </c>
      <c r="X275" t="str">
        <f t="shared" si="100"/>
        <v/>
      </c>
      <c r="Y275" t="str">
        <f t="shared" si="101"/>
        <v/>
      </c>
      <c r="Z275" t="str">
        <f t="shared" si="102"/>
        <v/>
      </c>
      <c r="AA275">
        <f t="shared" si="103"/>
        <v>0</v>
      </c>
      <c r="AB275" t="str">
        <f>IFERROR(V144+MATCH(AA275,V275:Z275,0)-1,"")</f>
        <v/>
      </c>
      <c r="AC275" t="str">
        <f t="shared" si="104"/>
        <v/>
      </c>
      <c r="AE275" t="str">
        <f>IF(ISNUMBER(MATCH("N/A",J275:N275,0)),"",IFERROR((5 * SUMPRODUCT(J144:N144,J275:N275) - PRODUCT(SUM(J144:N144),SUM(J275:N275))) / ((5 * SUM((J144^2)+(K144^2)+(L144^2)+(M144^2)+(N144^2))) - SUM(J144:N144)^2),""))</f>
        <v/>
      </c>
      <c r="AF275" t="str">
        <f>IFERROR(CORREL(J144:N144,J275:N275),"")</f>
        <v/>
      </c>
      <c r="AZ275">
        <f t="shared" si="105"/>
        <v>0</v>
      </c>
      <c r="BA275" t="str">
        <f>IF(AZ275=1,IF(Q275="","",IF(Q275=N144,"Yes","No")),"")</f>
        <v/>
      </c>
      <c r="BB275" t="str">
        <f t="shared" si="106"/>
        <v/>
      </c>
      <c r="BC275" t="str">
        <f>IF(AZ275=1,IF(S275="","",IF(S275=N144,"Yes","No")),"")</f>
        <v/>
      </c>
      <c r="BD275" t="str">
        <f t="shared" si="107"/>
        <v/>
      </c>
      <c r="BE275" t="str">
        <f t="shared" si="108"/>
        <v/>
      </c>
      <c r="BF275" t="str">
        <f t="shared" si="109"/>
        <v>No</v>
      </c>
      <c r="BG275" t="str">
        <f t="shared" si="110"/>
        <v>No</v>
      </c>
      <c r="BH275" t="str">
        <f t="shared" si="111"/>
        <v/>
      </c>
    </row>
    <row r="276" spans="1:60" x14ac:dyDescent="0.3">
      <c r="A276" s="1">
        <v>29</v>
      </c>
      <c r="B276" t="s">
        <v>716</v>
      </c>
      <c r="C276" t="s">
        <v>2959</v>
      </c>
      <c r="D276" t="s">
        <v>2960</v>
      </c>
      <c r="E276" t="s">
        <v>2961</v>
      </c>
      <c r="F276" t="s">
        <v>2962</v>
      </c>
      <c r="G276" t="s">
        <v>2963</v>
      </c>
      <c r="I276" t="str">
        <f t="shared" si="88"/>
        <v>N/A</v>
      </c>
      <c r="J276">
        <f t="shared" si="89"/>
        <v>418250000</v>
      </c>
      <c r="K276">
        <f t="shared" si="90"/>
        <v>476890000</v>
      </c>
      <c r="L276">
        <f t="shared" si="91"/>
        <v>494090000</v>
      </c>
      <c r="M276">
        <f t="shared" si="92"/>
        <v>400780000</v>
      </c>
      <c r="N276">
        <f t="shared" si="93"/>
        <v>404410000</v>
      </c>
      <c r="P276">
        <f t="shared" si="94"/>
        <v>494090000</v>
      </c>
      <c r="Q276">
        <f>IFERROR(J144+MATCH(P276,J276:N276,0)-1,"")</f>
        <v>2014</v>
      </c>
      <c r="R276">
        <f t="shared" si="95"/>
        <v>400780000</v>
      </c>
      <c r="S276">
        <f>IFERROR(J144+MATCH(R276,J276:N276,0)-1,"")</f>
        <v>2015</v>
      </c>
      <c r="T276">
        <f t="shared" si="96"/>
        <v>438884000</v>
      </c>
      <c r="U276">
        <f t="shared" si="97"/>
        <v>43469218.764546484</v>
      </c>
      <c r="V276">
        <f t="shared" si="98"/>
        <v>-0.47468071859688216</v>
      </c>
      <c r="W276">
        <f t="shared" si="99"/>
        <v>0.87431983090981413</v>
      </c>
      <c r="X276">
        <f t="shared" si="100"/>
        <v>1.2700021203285585</v>
      </c>
      <c r="Y276">
        <f t="shared" si="101"/>
        <v>-0.87657429976813017</v>
      </c>
      <c r="Z276">
        <f t="shared" si="102"/>
        <v>-0.79306693287336028</v>
      </c>
      <c r="AA276">
        <f t="shared" si="103"/>
        <v>1.2700021203285585</v>
      </c>
      <c r="AB276">
        <f>IFERROR(V144+MATCH(AA276,V276:Z276,0)-1,"")</f>
        <v>2014</v>
      </c>
      <c r="AC276" t="str">
        <f t="shared" si="104"/>
        <v>High</v>
      </c>
      <c r="AE276">
        <f>IF(ISNUMBER(MATCH("N/A",J276:N276,0)),"",IFERROR((5 * SUMPRODUCT(J144:N144,J276:N276) - PRODUCT(SUM(J144:N144),SUM(J276:N276))) / ((5 * SUM((J144^2)+(K144^2)+(L144^2)+(M144^2)+(N144^2))) - SUM(J144:N144)^2),""))</f>
        <v>-10379000</v>
      </c>
      <c r="AF276">
        <f>IFERROR(CORREL(J144:N144,J276:N276),"")</f>
        <v>-0.37752323100934881</v>
      </c>
      <c r="AZ276">
        <f t="shared" si="105"/>
        <v>1</v>
      </c>
      <c r="BA276" t="str">
        <f>IF(AZ276=1,IF(Q276="","",IF(Q276=N144,"Yes","No")),"")</f>
        <v>No</v>
      </c>
      <c r="BB276" t="str">
        <f t="shared" si="106"/>
        <v/>
      </c>
      <c r="BC276" t="str">
        <f>IF(AZ276=1,IF(S276="","",IF(S276=N144,"Yes","No")),"")</f>
        <v>No</v>
      </c>
      <c r="BD276" t="str">
        <f t="shared" si="107"/>
        <v/>
      </c>
      <c r="BE276" t="str">
        <f t="shared" si="108"/>
        <v>Decreasing</v>
      </c>
      <c r="BF276" t="str">
        <f t="shared" si="109"/>
        <v>No</v>
      </c>
      <c r="BG276" t="str">
        <f t="shared" si="110"/>
        <v>No</v>
      </c>
      <c r="BH276" t="str">
        <f t="shared" si="111"/>
        <v>No</v>
      </c>
    </row>
    <row r="277" spans="1:60" x14ac:dyDescent="0.3">
      <c r="A277" s="1">
        <v>30</v>
      </c>
      <c r="B277" t="s">
        <v>718</v>
      </c>
      <c r="C277" t="s">
        <v>2964</v>
      </c>
      <c r="D277" t="s">
        <v>2965</v>
      </c>
      <c r="E277" t="s">
        <v>2342</v>
      </c>
      <c r="F277" t="s">
        <v>2342</v>
      </c>
      <c r="G277" t="s">
        <v>2966</v>
      </c>
      <c r="I277" t="str">
        <f t="shared" si="88"/>
        <v>N/A</v>
      </c>
      <c r="J277">
        <f t="shared" si="89"/>
        <v>174000</v>
      </c>
      <c r="K277">
        <f t="shared" si="90"/>
        <v>176000</v>
      </c>
      <c r="L277">
        <f t="shared" si="91"/>
        <v>177000</v>
      </c>
      <c r="M277">
        <f t="shared" si="92"/>
        <v>177000</v>
      </c>
      <c r="N277">
        <f t="shared" si="93"/>
        <v>178000</v>
      </c>
      <c r="P277">
        <f t="shared" si="94"/>
        <v>178000</v>
      </c>
      <c r="Q277">
        <f>IFERROR(J144+MATCH(P277,J277:N277,0)-1,"")</f>
        <v>2016</v>
      </c>
      <c r="R277">
        <f t="shared" si="95"/>
        <v>174000</v>
      </c>
      <c r="S277">
        <f>IFERROR(J144+MATCH(R277,J277:N277,0)-1,"")</f>
        <v>2012</v>
      </c>
      <c r="T277">
        <f t="shared" si="96"/>
        <v>176400</v>
      </c>
      <c r="U277">
        <f t="shared" si="97"/>
        <v>1516.57508881031</v>
      </c>
      <c r="V277">
        <f t="shared" si="98"/>
        <v>-1.582513136149889</v>
      </c>
      <c r="W277">
        <f t="shared" si="99"/>
        <v>-0.26375218935831479</v>
      </c>
      <c r="X277">
        <f t="shared" si="100"/>
        <v>0.39562828403747224</v>
      </c>
      <c r="Y277">
        <f t="shared" si="101"/>
        <v>0.39562828403747224</v>
      </c>
      <c r="Z277">
        <f t="shared" si="102"/>
        <v>1.0550087574332592</v>
      </c>
      <c r="AA277">
        <f t="shared" si="103"/>
        <v>-1.582513136149889</v>
      </c>
      <c r="AB277">
        <f>IFERROR(V144+MATCH(AA277,V277:Z277,0)-1,"")</f>
        <v>2012</v>
      </c>
      <c r="AC277" t="str">
        <f t="shared" si="104"/>
        <v>Low</v>
      </c>
      <c r="AE277">
        <f>IF(ISNUMBER(MATCH("N/A",J277:N277,0)),"",IFERROR((5 * SUMPRODUCT(J144:N144,J277:N277) - PRODUCT(SUM(J144:N144),SUM(J277:N277))) / ((5 * SUM((J144^2)+(K144^2)+(L144^2)+(M144^2)+(N144^2))) - SUM(J144:N144)^2),""))</f>
        <v>900</v>
      </c>
      <c r="AF277">
        <f>IFERROR(CORREL(J144:N144,J277:N277),"")</f>
        <v>0.93831486325683644</v>
      </c>
      <c r="AZ277">
        <f t="shared" si="105"/>
        <v>1</v>
      </c>
      <c r="BA277" t="str">
        <f>IF(AZ277=1,IF(Q277="","",IF(Q277=N144,"Yes","No")),"")</f>
        <v>Yes</v>
      </c>
      <c r="BB277">
        <f t="shared" si="106"/>
        <v>178000</v>
      </c>
      <c r="BC277" t="str">
        <f>IF(AZ277=1,IF(S277="","",IF(S277=N144,"Yes","No")),"")</f>
        <v>No</v>
      </c>
      <c r="BD277" t="str">
        <f t="shared" si="107"/>
        <v/>
      </c>
      <c r="BE277" t="str">
        <f t="shared" si="108"/>
        <v>Increasing</v>
      </c>
      <c r="BF277" t="str">
        <f t="shared" si="109"/>
        <v>Yes</v>
      </c>
      <c r="BG277" t="str">
        <f t="shared" si="110"/>
        <v>No</v>
      </c>
      <c r="BH277" t="str">
        <f t="shared" si="111"/>
        <v>Yes</v>
      </c>
    </row>
    <row r="278" spans="1:60" x14ac:dyDescent="0.3">
      <c r="A278" s="1">
        <v>31</v>
      </c>
      <c r="B278" t="s">
        <v>720</v>
      </c>
      <c r="C278" t="s">
        <v>2967</v>
      </c>
      <c r="D278" t="s">
        <v>2968</v>
      </c>
      <c r="E278" t="s">
        <v>2969</v>
      </c>
      <c r="F278" t="s">
        <v>2970</v>
      </c>
      <c r="G278" t="s">
        <v>2971</v>
      </c>
      <c r="I278" t="str">
        <f t="shared" si="88"/>
        <v>pos_trend</v>
      </c>
      <c r="J278">
        <f t="shared" si="89"/>
        <v>158510000</v>
      </c>
      <c r="K278">
        <f t="shared" si="90"/>
        <v>202930000</v>
      </c>
      <c r="L278">
        <f t="shared" si="91"/>
        <v>250640000</v>
      </c>
      <c r="M278">
        <f t="shared" si="92"/>
        <v>257940000</v>
      </c>
      <c r="N278">
        <f t="shared" si="93"/>
        <v>265540000.00000003</v>
      </c>
      <c r="P278">
        <f t="shared" si="94"/>
        <v>265540000.00000003</v>
      </c>
      <c r="Q278">
        <f>IFERROR(J144+MATCH(P278,J278:N278,0)-1,"")</f>
        <v>2016</v>
      </c>
      <c r="R278">
        <f t="shared" si="95"/>
        <v>158510000</v>
      </c>
      <c r="S278">
        <f>IFERROR(J144+MATCH(R278,J278:N278,0)-1,"")</f>
        <v>2012</v>
      </c>
      <c r="T278">
        <f t="shared" si="96"/>
        <v>227112000</v>
      </c>
      <c r="U278">
        <f t="shared" si="97"/>
        <v>45474297.905520216</v>
      </c>
      <c r="V278">
        <f t="shared" si="98"/>
        <v>-1.5085884369788647</v>
      </c>
      <c r="W278">
        <f t="shared" si="99"/>
        <v>-0.53177291599403664</v>
      </c>
      <c r="X278">
        <f t="shared" si="100"/>
        <v>0.51739116564005028</v>
      </c>
      <c r="Y278">
        <f t="shared" si="101"/>
        <v>0.67792140659433309</v>
      </c>
      <c r="Z278">
        <f t="shared" si="102"/>
        <v>0.84504878073851863</v>
      </c>
      <c r="AA278">
        <f t="shared" si="103"/>
        <v>-1.5085884369788647</v>
      </c>
      <c r="AB278">
        <f>IFERROR(V144+MATCH(AA278,V278:Z278,0)-1,"")</f>
        <v>2012</v>
      </c>
      <c r="AC278" t="str">
        <f t="shared" si="104"/>
        <v>Low</v>
      </c>
      <c r="AE278">
        <f>IF(ISNUMBER(MATCH("N/A",J278:N278,0)),"",IFERROR((5 * SUMPRODUCT(J144:N144,J278:N278) - PRODUCT(SUM(J144:N144),SUM(J278:N278))) / ((5 * SUM((J144^2)+(K144^2)+(L144^2)+(M144^2)+(N144^2))) - SUM(J144:N144)^2),""))</f>
        <v>26907000</v>
      </c>
      <c r="AF278">
        <f>IFERROR(CORREL(J144:N144,J278:N278),"")</f>
        <v>0.93555490597054025</v>
      </c>
      <c r="AZ278">
        <f t="shared" si="105"/>
        <v>1</v>
      </c>
      <c r="BA278" t="str">
        <f>IF(AZ278=1,IF(Q278="","",IF(Q278=N144,"Yes","No")),"")</f>
        <v>Yes</v>
      </c>
      <c r="BB278">
        <f t="shared" si="106"/>
        <v>265540000.00000003</v>
      </c>
      <c r="BC278" t="str">
        <f>IF(AZ278=1,IF(S278="","",IF(S278=N144,"Yes","No")),"")</f>
        <v>No</v>
      </c>
      <c r="BD278" t="str">
        <f t="shared" si="107"/>
        <v/>
      </c>
      <c r="BE278" t="str">
        <f t="shared" si="108"/>
        <v>Increasing</v>
      </c>
      <c r="BF278" t="str">
        <f t="shared" si="109"/>
        <v>Yes</v>
      </c>
      <c r="BG278" t="str">
        <f t="shared" si="110"/>
        <v>Yes</v>
      </c>
      <c r="BH278" t="str">
        <f t="shared" si="111"/>
        <v>Yes</v>
      </c>
    </row>
    <row r="279" spans="1:60" x14ac:dyDescent="0.3">
      <c r="A279" s="1">
        <v>32</v>
      </c>
      <c r="B279" t="s">
        <v>724</v>
      </c>
      <c r="C279" t="s">
        <v>264</v>
      </c>
      <c r="D279" t="s">
        <v>264</v>
      </c>
      <c r="E279" t="s">
        <v>264</v>
      </c>
      <c r="F279" t="s">
        <v>264</v>
      </c>
      <c r="G279" t="s">
        <v>264</v>
      </c>
      <c r="I279" t="str">
        <f t="shared" si="88"/>
        <v>N/A</v>
      </c>
      <c r="J279" t="str">
        <f t="shared" si="89"/>
        <v>N/A</v>
      </c>
      <c r="K279" t="str">
        <f t="shared" si="90"/>
        <v>N/A</v>
      </c>
      <c r="L279" t="str">
        <f t="shared" si="91"/>
        <v>N/A</v>
      </c>
      <c r="M279" t="str">
        <f t="shared" si="92"/>
        <v>N/A</v>
      </c>
      <c r="N279" t="str">
        <f t="shared" si="93"/>
        <v>N/A</v>
      </c>
      <c r="P279">
        <f t="shared" si="94"/>
        <v>0</v>
      </c>
      <c r="Q279" t="str">
        <f>IFERROR(J144+MATCH(P279,J279:N279,0)-1,"")</f>
        <v/>
      </c>
      <c r="R279" t="str">
        <f t="shared" si="95"/>
        <v/>
      </c>
      <c r="S279" t="str">
        <f>IFERROR(J144+MATCH(R279,J279:N279,0)-1,"")</f>
        <v/>
      </c>
      <c r="T279" t="str">
        <f t="shared" si="96"/>
        <v/>
      </c>
      <c r="U279" t="str">
        <f t="shared" si="97"/>
        <v/>
      </c>
      <c r="V279" t="str">
        <f t="shared" si="98"/>
        <v/>
      </c>
      <c r="W279" t="str">
        <f t="shared" si="99"/>
        <v/>
      </c>
      <c r="X279" t="str">
        <f t="shared" si="100"/>
        <v/>
      </c>
      <c r="Y279" t="str">
        <f t="shared" si="101"/>
        <v/>
      </c>
      <c r="Z279" t="str">
        <f t="shared" si="102"/>
        <v/>
      </c>
      <c r="AA279">
        <f t="shared" si="103"/>
        <v>0</v>
      </c>
      <c r="AB279" t="str">
        <f>IFERROR(V144+MATCH(AA279,V279:Z279,0)-1,"")</f>
        <v/>
      </c>
      <c r="AC279" t="str">
        <f t="shared" si="104"/>
        <v/>
      </c>
      <c r="AE279" t="str">
        <f>IF(ISNUMBER(MATCH("N/A",J279:N279,0)),"",IFERROR((5 * SUMPRODUCT(J144:N144,J279:N279) - PRODUCT(SUM(J144:N144),SUM(J279:N279))) / ((5 * SUM((J144^2)+(K144^2)+(L144^2)+(M144^2)+(N144^2))) - SUM(J144:N144)^2),""))</f>
        <v/>
      </c>
      <c r="AF279" t="str">
        <f>IFERROR(CORREL(J144:N144,J279:N279),"")</f>
        <v/>
      </c>
      <c r="AZ279">
        <f t="shared" si="105"/>
        <v>0</v>
      </c>
      <c r="BA279" t="str">
        <f>IF(AZ279=1,IF(Q279="","",IF(Q279=N144,"Yes","No")),"")</f>
        <v/>
      </c>
      <c r="BB279" t="str">
        <f t="shared" si="106"/>
        <v/>
      </c>
      <c r="BC279" t="str">
        <f>IF(AZ279=1,IF(S279="","",IF(S279=N144,"Yes","No")),"")</f>
        <v/>
      </c>
      <c r="BD279" t="str">
        <f t="shared" si="107"/>
        <v/>
      </c>
      <c r="BE279" t="str">
        <f t="shared" si="108"/>
        <v/>
      </c>
      <c r="BF279" t="str">
        <f t="shared" si="109"/>
        <v>No</v>
      </c>
      <c r="BG279" t="str">
        <f t="shared" si="110"/>
        <v>No</v>
      </c>
      <c r="BH279" t="str">
        <f t="shared" si="111"/>
        <v/>
      </c>
    </row>
    <row r="280" spans="1:60" x14ac:dyDescent="0.3">
      <c r="A280" s="1">
        <v>33</v>
      </c>
      <c r="B280" t="s">
        <v>725</v>
      </c>
      <c r="C280" t="s">
        <v>264</v>
      </c>
      <c r="D280" t="s">
        <v>264</v>
      </c>
      <c r="E280" t="s">
        <v>264</v>
      </c>
      <c r="F280" t="s">
        <v>264</v>
      </c>
      <c r="G280" t="s">
        <v>264</v>
      </c>
      <c r="I280" t="str">
        <f t="shared" si="88"/>
        <v>N/A</v>
      </c>
      <c r="J280" t="str">
        <f t="shared" si="89"/>
        <v>N/A</v>
      </c>
      <c r="K280" t="str">
        <f t="shared" si="90"/>
        <v>N/A</v>
      </c>
      <c r="L280" t="str">
        <f t="shared" si="91"/>
        <v>N/A</v>
      </c>
      <c r="M280" t="str">
        <f t="shared" si="92"/>
        <v>N/A</v>
      </c>
      <c r="N280" t="str">
        <f t="shared" si="93"/>
        <v>N/A</v>
      </c>
      <c r="P280">
        <f t="shared" si="94"/>
        <v>0</v>
      </c>
      <c r="Q280" t="str">
        <f>IFERROR(J144+MATCH(P280,J280:N280,0)-1,"")</f>
        <v/>
      </c>
      <c r="R280" t="str">
        <f t="shared" si="95"/>
        <v/>
      </c>
      <c r="S280" t="str">
        <f>IFERROR(J144+MATCH(R280,J280:N280,0)-1,"")</f>
        <v/>
      </c>
      <c r="T280" t="str">
        <f t="shared" si="96"/>
        <v/>
      </c>
      <c r="U280" t="str">
        <f t="shared" si="97"/>
        <v/>
      </c>
      <c r="V280" t="str">
        <f t="shared" si="98"/>
        <v/>
      </c>
      <c r="W280" t="str">
        <f t="shared" si="99"/>
        <v/>
      </c>
      <c r="X280" t="str">
        <f t="shared" si="100"/>
        <v/>
      </c>
      <c r="Y280" t="str">
        <f t="shared" si="101"/>
        <v/>
      </c>
      <c r="Z280" t="str">
        <f t="shared" si="102"/>
        <v/>
      </c>
      <c r="AA280">
        <f t="shared" si="103"/>
        <v>0</v>
      </c>
      <c r="AB280" t="str">
        <f>IFERROR(V144+MATCH(AA280,V280:Z280,0)-1,"")</f>
        <v/>
      </c>
      <c r="AC280" t="str">
        <f t="shared" si="104"/>
        <v/>
      </c>
      <c r="AE280" t="str">
        <f>IF(ISNUMBER(MATCH("N/A",J280:N280,0)),"",IFERROR((5 * SUMPRODUCT(J144:N144,J280:N280) - PRODUCT(SUM(J144:N144),SUM(J280:N280))) / ((5 * SUM((J144^2)+(K144^2)+(L144^2)+(M144^2)+(N144^2))) - SUM(J144:N144)^2),""))</f>
        <v/>
      </c>
      <c r="AF280" t="str">
        <f>IFERROR(CORREL(J144:N144,J280:N280),"")</f>
        <v/>
      </c>
      <c r="AZ280">
        <f t="shared" si="105"/>
        <v>0</v>
      </c>
      <c r="BA280" t="str">
        <f>IF(AZ280=1,IF(Q280="","",IF(Q280=N144,"Yes","No")),"")</f>
        <v/>
      </c>
      <c r="BB280" t="str">
        <f t="shared" si="106"/>
        <v/>
      </c>
      <c r="BC280" t="str">
        <f>IF(AZ280=1,IF(S280="","",IF(S280=N144,"Yes","No")),"")</f>
        <v/>
      </c>
      <c r="BD280" t="str">
        <f t="shared" si="107"/>
        <v/>
      </c>
      <c r="BE280" t="str">
        <f t="shared" si="108"/>
        <v/>
      </c>
      <c r="BF280" t="str">
        <f t="shared" si="109"/>
        <v>No</v>
      </c>
      <c r="BG280" t="str">
        <f t="shared" si="110"/>
        <v>No</v>
      </c>
      <c r="BH280" t="str">
        <f t="shared" si="111"/>
        <v/>
      </c>
    </row>
    <row r="281" spans="1:60" x14ac:dyDescent="0.3">
      <c r="A281" s="1">
        <v>34</v>
      </c>
      <c r="B281" t="s">
        <v>731</v>
      </c>
      <c r="C281" t="s">
        <v>264</v>
      </c>
      <c r="D281" t="s">
        <v>264</v>
      </c>
      <c r="E281" t="s">
        <v>264</v>
      </c>
      <c r="F281" t="s">
        <v>264</v>
      </c>
      <c r="G281" t="s">
        <v>264</v>
      </c>
      <c r="I281" t="str">
        <f t="shared" si="88"/>
        <v>N/A</v>
      </c>
      <c r="J281" t="str">
        <f t="shared" si="89"/>
        <v>N/A</v>
      </c>
      <c r="K281" t="str">
        <f t="shared" si="90"/>
        <v>N/A</v>
      </c>
      <c r="L281" t="str">
        <f t="shared" si="91"/>
        <v>N/A</v>
      </c>
      <c r="M281" t="str">
        <f t="shared" si="92"/>
        <v>N/A</v>
      </c>
      <c r="N281" t="str">
        <f t="shared" si="93"/>
        <v>N/A</v>
      </c>
      <c r="P281">
        <f t="shared" si="94"/>
        <v>0</v>
      </c>
      <c r="Q281" t="str">
        <f>IFERROR(J144+MATCH(P281,J281:N281,0)-1,"")</f>
        <v/>
      </c>
      <c r="R281" t="str">
        <f t="shared" si="95"/>
        <v/>
      </c>
      <c r="S281" t="str">
        <f>IFERROR(J144+MATCH(R281,J281:N281,0)-1,"")</f>
        <v/>
      </c>
      <c r="T281" t="str">
        <f t="shared" si="96"/>
        <v/>
      </c>
      <c r="U281" t="str">
        <f t="shared" si="97"/>
        <v/>
      </c>
      <c r="V281" t="str">
        <f t="shared" si="98"/>
        <v/>
      </c>
      <c r="W281" t="str">
        <f t="shared" si="99"/>
        <v/>
      </c>
      <c r="X281" t="str">
        <f t="shared" si="100"/>
        <v/>
      </c>
      <c r="Y281" t="str">
        <f t="shared" si="101"/>
        <v/>
      </c>
      <c r="Z281" t="str">
        <f t="shared" si="102"/>
        <v/>
      </c>
      <c r="AA281">
        <f t="shared" si="103"/>
        <v>0</v>
      </c>
      <c r="AB281" t="str">
        <f>IFERROR(V144+MATCH(AA281,V281:Z281,0)-1,"")</f>
        <v/>
      </c>
      <c r="AC281" t="str">
        <f t="shared" si="104"/>
        <v/>
      </c>
      <c r="AE281" t="str">
        <f>IF(ISNUMBER(MATCH("N/A",J281:N281,0)),"",IFERROR((5 * SUMPRODUCT(J144:N144,J281:N281) - PRODUCT(SUM(J144:N144),SUM(J281:N281))) / ((5 * SUM((J144^2)+(K144^2)+(L144^2)+(M144^2)+(N144^2))) - SUM(J144:N144)^2),""))</f>
        <v/>
      </c>
      <c r="AF281" t="str">
        <f>IFERROR(CORREL(J144:N144,J281:N281),"")</f>
        <v/>
      </c>
      <c r="AZ281">
        <f t="shared" si="105"/>
        <v>0</v>
      </c>
      <c r="BA281" t="str">
        <f>IF(AZ281=1,IF(Q281="","",IF(Q281=N144,"Yes","No")),"")</f>
        <v/>
      </c>
      <c r="BB281" t="str">
        <f t="shared" si="106"/>
        <v/>
      </c>
      <c r="BC281" t="str">
        <f>IF(AZ281=1,IF(S281="","",IF(S281=N144,"Yes","No")),"")</f>
        <v/>
      </c>
      <c r="BD281" t="str">
        <f t="shared" si="107"/>
        <v/>
      </c>
      <c r="BE281" t="str">
        <f t="shared" si="108"/>
        <v/>
      </c>
      <c r="BF281" t="str">
        <f t="shared" si="109"/>
        <v>No</v>
      </c>
      <c r="BG281" t="str">
        <f t="shared" si="110"/>
        <v>No</v>
      </c>
      <c r="BH281" t="str">
        <f t="shared" si="111"/>
        <v/>
      </c>
    </row>
    <row r="282" spans="1:60" x14ac:dyDescent="0.3">
      <c r="A282" s="1">
        <v>35</v>
      </c>
      <c r="B282" t="s">
        <v>732</v>
      </c>
      <c r="C282" t="s">
        <v>264</v>
      </c>
      <c r="D282" t="s">
        <v>264</v>
      </c>
      <c r="E282" t="s">
        <v>264</v>
      </c>
      <c r="F282" t="s">
        <v>264</v>
      </c>
      <c r="G282" t="s">
        <v>264</v>
      </c>
      <c r="I282" t="str">
        <f t="shared" si="88"/>
        <v>N/A</v>
      </c>
      <c r="J282" t="str">
        <f t="shared" si="89"/>
        <v>N/A</v>
      </c>
      <c r="K282" t="str">
        <f t="shared" si="90"/>
        <v>N/A</v>
      </c>
      <c r="L282" t="str">
        <f t="shared" si="91"/>
        <v>N/A</v>
      </c>
      <c r="M282" t="str">
        <f t="shared" si="92"/>
        <v>N/A</v>
      </c>
      <c r="N282" t="str">
        <f t="shared" si="93"/>
        <v>N/A</v>
      </c>
      <c r="P282">
        <f t="shared" si="94"/>
        <v>0</v>
      </c>
      <c r="Q282" t="str">
        <f>IFERROR(J144+MATCH(P282,J282:N282,0)-1,"")</f>
        <v/>
      </c>
      <c r="R282" t="str">
        <f t="shared" si="95"/>
        <v/>
      </c>
      <c r="S282" t="str">
        <f>IFERROR(J144+MATCH(R282,J282:N282,0)-1,"")</f>
        <v/>
      </c>
      <c r="T282" t="str">
        <f t="shared" si="96"/>
        <v/>
      </c>
      <c r="U282" t="str">
        <f t="shared" si="97"/>
        <v/>
      </c>
      <c r="V282" t="str">
        <f t="shared" si="98"/>
        <v/>
      </c>
      <c r="W282" t="str">
        <f t="shared" si="99"/>
        <v/>
      </c>
      <c r="X282" t="str">
        <f t="shared" si="100"/>
        <v/>
      </c>
      <c r="Y282" t="str">
        <f t="shared" si="101"/>
        <v/>
      </c>
      <c r="Z282" t="str">
        <f t="shared" si="102"/>
        <v/>
      </c>
      <c r="AA282">
        <f t="shared" si="103"/>
        <v>0</v>
      </c>
      <c r="AB282" t="str">
        <f>IFERROR(V144+MATCH(AA282,V282:Z282,0)-1,"")</f>
        <v/>
      </c>
      <c r="AC282" t="str">
        <f t="shared" si="104"/>
        <v/>
      </c>
      <c r="AE282" t="str">
        <f>IF(ISNUMBER(MATCH("N/A",J282:N282,0)),"",IFERROR((5 * SUMPRODUCT(J144:N144,J282:N282) - PRODUCT(SUM(J144:N144),SUM(J282:N282))) / ((5 * SUM((J144^2)+(K144^2)+(L144^2)+(M144^2)+(N144^2))) - SUM(J144:N144)^2),""))</f>
        <v/>
      </c>
      <c r="AF282" t="str">
        <f>IFERROR(CORREL(J144:N144,J282:N282),"")</f>
        <v/>
      </c>
      <c r="AZ282">
        <f t="shared" si="105"/>
        <v>0</v>
      </c>
      <c r="BA282" t="str">
        <f>IF(AZ282=1,IF(Q282="","",IF(Q282=N144,"Yes","No")),"")</f>
        <v/>
      </c>
      <c r="BB282" t="str">
        <f t="shared" si="106"/>
        <v/>
      </c>
      <c r="BC282" t="str">
        <f>IF(AZ282=1,IF(S282="","",IF(S282=N144,"Yes","No")),"")</f>
        <v/>
      </c>
      <c r="BD282" t="str">
        <f t="shared" si="107"/>
        <v/>
      </c>
      <c r="BE282" t="str">
        <f t="shared" si="108"/>
        <v/>
      </c>
      <c r="BF282" t="str">
        <f t="shared" si="109"/>
        <v>No</v>
      </c>
      <c r="BG282" t="str">
        <f t="shared" si="110"/>
        <v>No</v>
      </c>
      <c r="BH282" t="str">
        <f t="shared" si="111"/>
        <v/>
      </c>
    </row>
    <row r="283" spans="1:60" x14ac:dyDescent="0.3">
      <c r="A283" s="1">
        <v>36</v>
      </c>
      <c r="B283" t="s">
        <v>733</v>
      </c>
      <c r="C283" t="s">
        <v>264</v>
      </c>
      <c r="D283" t="s">
        <v>264</v>
      </c>
      <c r="E283" t="s">
        <v>264</v>
      </c>
      <c r="F283" t="s">
        <v>2972</v>
      </c>
      <c r="G283" t="s">
        <v>2973</v>
      </c>
      <c r="I283" t="str">
        <f t="shared" si="88"/>
        <v>N/A</v>
      </c>
      <c r="J283" t="str">
        <f t="shared" si="89"/>
        <v>N/A</v>
      </c>
      <c r="K283" t="str">
        <f t="shared" si="90"/>
        <v>N/A</v>
      </c>
      <c r="L283" t="str">
        <f t="shared" si="91"/>
        <v>N/A</v>
      </c>
      <c r="M283">
        <f t="shared" si="92"/>
        <v>-74970000</v>
      </c>
      <c r="N283">
        <f t="shared" si="93"/>
        <v>-74470000</v>
      </c>
      <c r="P283">
        <f t="shared" si="94"/>
        <v>-74470000</v>
      </c>
      <c r="Q283">
        <f>IFERROR(J144+MATCH(P283,J283:N283,0)-1,"")</f>
        <v>2016</v>
      </c>
      <c r="R283">
        <f t="shared" si="95"/>
        <v>-74970000</v>
      </c>
      <c r="S283">
        <f>IFERROR(J144+MATCH(R283,J283:N283,0)-1,"")</f>
        <v>2015</v>
      </c>
      <c r="T283">
        <f t="shared" si="96"/>
        <v>-74720000</v>
      </c>
      <c r="U283">
        <f t="shared" si="97"/>
        <v>353553.39059327374</v>
      </c>
      <c r="V283" t="str">
        <f t="shared" si="98"/>
        <v/>
      </c>
      <c r="W283" t="str">
        <f t="shared" si="99"/>
        <v/>
      </c>
      <c r="X283" t="str">
        <f t="shared" si="100"/>
        <v/>
      </c>
      <c r="Y283">
        <f t="shared" si="101"/>
        <v>-0.70710678118654757</v>
      </c>
      <c r="Z283">
        <f t="shared" si="102"/>
        <v>0.70710678118654757</v>
      </c>
      <c r="AA283">
        <f t="shared" si="103"/>
        <v>-0.70710678118654757</v>
      </c>
      <c r="AB283">
        <f>IFERROR(V144+MATCH(AA283,V283:Z283,0)-1,"")</f>
        <v>2015</v>
      </c>
      <c r="AC283" t="str">
        <f t="shared" si="104"/>
        <v>Low</v>
      </c>
      <c r="AE283" t="str">
        <f>IF(ISNUMBER(MATCH("N/A",J283:N283,0)),"",IFERROR((5 * SUMPRODUCT(J144:N144,J283:N283) - PRODUCT(SUM(J144:N144),SUM(J283:N283))) / ((5 * SUM((J144^2)+(K144^2)+(L144^2)+(M144^2)+(N144^2))) - SUM(J144:N144)^2),""))</f>
        <v/>
      </c>
      <c r="AF283">
        <f>IFERROR(CORREL(J144:N144,J283:N283),"")</f>
        <v>1</v>
      </c>
      <c r="AZ283">
        <f t="shared" si="105"/>
        <v>1</v>
      </c>
      <c r="BA283" t="str">
        <f>IF(AZ283=1,IF(Q283="","",IF(Q283=N144,"Yes","No")),"")</f>
        <v>Yes</v>
      </c>
      <c r="BB283">
        <f t="shared" si="106"/>
        <v>-74470000</v>
      </c>
      <c r="BC283" t="str">
        <f>IF(AZ283=1,IF(S283="","",IF(S283=N144,"Yes","No")),"")</f>
        <v>No</v>
      </c>
      <c r="BD283" t="str">
        <f t="shared" si="107"/>
        <v/>
      </c>
      <c r="BE283" t="str">
        <f t="shared" si="108"/>
        <v/>
      </c>
      <c r="BF283" t="str">
        <f t="shared" si="109"/>
        <v>No</v>
      </c>
      <c r="BG283" t="str">
        <f t="shared" si="110"/>
        <v>No</v>
      </c>
      <c r="BH283" t="str">
        <f t="shared" si="111"/>
        <v>Yes</v>
      </c>
    </row>
    <row r="284" spans="1:60" x14ac:dyDescent="0.3">
      <c r="A284" s="1">
        <v>37</v>
      </c>
      <c r="B284" t="s">
        <v>739</v>
      </c>
      <c r="C284" t="s">
        <v>2974</v>
      </c>
      <c r="D284" t="s">
        <v>2975</v>
      </c>
      <c r="E284" t="s">
        <v>2976</v>
      </c>
      <c r="F284" t="s">
        <v>2977</v>
      </c>
      <c r="G284" t="s">
        <v>2978</v>
      </c>
      <c r="I284" t="str">
        <f t="shared" si="88"/>
        <v>N/A</v>
      </c>
      <c r="J284">
        <f t="shared" si="89"/>
        <v>0.58909999999999996</v>
      </c>
      <c r="K284">
        <f t="shared" si="90"/>
        <v>0.65629999999999999</v>
      </c>
      <c r="L284">
        <f t="shared" si="91"/>
        <v>0.68180000000000007</v>
      </c>
      <c r="M284">
        <f t="shared" si="92"/>
        <v>0.59829999999999994</v>
      </c>
      <c r="N284">
        <f t="shared" si="93"/>
        <v>0.49270000000000003</v>
      </c>
      <c r="P284">
        <f t="shared" si="94"/>
        <v>0.68180000000000007</v>
      </c>
      <c r="Q284">
        <f>IFERROR(J144+MATCH(P284,J284:N284,0)-1,"")</f>
        <v>2014</v>
      </c>
      <c r="R284">
        <f t="shared" si="95"/>
        <v>0.49270000000000003</v>
      </c>
      <c r="S284">
        <f>IFERROR(J144+MATCH(R284,J284:N284,0)-1,"")</f>
        <v>2016</v>
      </c>
      <c r="T284">
        <f t="shared" si="96"/>
        <v>0.60364000000000007</v>
      </c>
      <c r="U284">
        <f t="shared" si="97"/>
        <v>7.3194385030546899E-2</v>
      </c>
      <c r="V284">
        <f t="shared" si="98"/>
        <v>-0.19864911760556489</v>
      </c>
      <c r="W284">
        <f t="shared" si="99"/>
        <v>0.71945409443665431</v>
      </c>
      <c r="X284">
        <f t="shared" si="100"/>
        <v>1.0678414740062474</v>
      </c>
      <c r="Y284">
        <f t="shared" si="101"/>
        <v>-7.2956415956927978E-2</v>
      </c>
      <c r="Z284">
        <f t="shared" si="102"/>
        <v>-1.5156900348804134</v>
      </c>
      <c r="AA284">
        <f t="shared" si="103"/>
        <v>-1.5156900348804134</v>
      </c>
      <c r="AB284">
        <f>IFERROR(V144+MATCH(AA284,V284:Z284,0)-1,"")</f>
        <v>2016</v>
      </c>
      <c r="AC284" t="str">
        <f t="shared" si="104"/>
        <v>Low</v>
      </c>
      <c r="AE284">
        <f>IF(ISNUMBER(MATCH("N/A",J284:N284,0)),"",IFERROR((5 * SUMPRODUCT(J144:N144,J284:N284) - PRODUCT(SUM(J144:N144),SUM(J284:N284))) / ((5 * SUM((J144^2)+(K144^2)+(L144^2)+(M144^2)+(N144^2))) - SUM(J144:N144)^2),""))</f>
        <v>-2.5080000000089059E-2</v>
      </c>
      <c r="AF284">
        <f>IFERROR(CORREL(J144:N144,J284:N284),"")</f>
        <v>-0.54177600975760221</v>
      </c>
      <c r="AZ284">
        <f t="shared" si="105"/>
        <v>1</v>
      </c>
      <c r="BA284" t="str">
        <f>IF(AZ284=1,IF(Q284="","",IF(Q284=N144,"Yes","No")),"")</f>
        <v>No</v>
      </c>
      <c r="BB284" t="str">
        <f t="shared" si="106"/>
        <v/>
      </c>
      <c r="BC284" t="str">
        <f>IF(AZ284=1,IF(S284="","",IF(S284=N144,"Yes","No")),"")</f>
        <v>Yes</v>
      </c>
      <c r="BD284">
        <f t="shared" si="107"/>
        <v>0.49270000000000003</v>
      </c>
      <c r="BE284" t="str">
        <f t="shared" si="108"/>
        <v>Decreasing</v>
      </c>
      <c r="BF284" t="str">
        <f t="shared" si="109"/>
        <v>Yes</v>
      </c>
      <c r="BG284" t="str">
        <f t="shared" si="110"/>
        <v>No</v>
      </c>
      <c r="BH284" t="str">
        <f t="shared" si="111"/>
        <v>No</v>
      </c>
    </row>
    <row r="285" spans="1:60" x14ac:dyDescent="0.3">
      <c r="A285" s="1">
        <v>38</v>
      </c>
      <c r="B285" t="s">
        <v>745</v>
      </c>
      <c r="C285" t="s">
        <v>2959</v>
      </c>
      <c r="D285" t="s">
        <v>2960</v>
      </c>
      <c r="E285" t="s">
        <v>2961</v>
      </c>
      <c r="F285" t="s">
        <v>2962</v>
      </c>
      <c r="G285" t="s">
        <v>2963</v>
      </c>
      <c r="I285" t="str">
        <f t="shared" si="88"/>
        <v>N/A</v>
      </c>
      <c r="J285">
        <f t="shared" si="89"/>
        <v>418250000</v>
      </c>
      <c r="K285">
        <f t="shared" si="90"/>
        <v>476890000</v>
      </c>
      <c r="L285">
        <f t="shared" si="91"/>
        <v>494090000</v>
      </c>
      <c r="M285">
        <f t="shared" si="92"/>
        <v>400780000</v>
      </c>
      <c r="N285">
        <f t="shared" si="93"/>
        <v>404410000</v>
      </c>
      <c r="P285">
        <f t="shared" si="94"/>
        <v>494090000</v>
      </c>
      <c r="Q285">
        <f>IFERROR(J144+MATCH(P285,J285:N285,0)-1,"")</f>
        <v>2014</v>
      </c>
      <c r="R285">
        <f t="shared" si="95"/>
        <v>400780000</v>
      </c>
      <c r="S285">
        <f>IFERROR(J144+MATCH(R285,J285:N285,0)-1,"")</f>
        <v>2015</v>
      </c>
      <c r="T285">
        <f t="shared" si="96"/>
        <v>438884000</v>
      </c>
      <c r="U285">
        <f t="shared" si="97"/>
        <v>43469218.764546484</v>
      </c>
      <c r="V285">
        <f t="shared" si="98"/>
        <v>-0.47468071859688216</v>
      </c>
      <c r="W285">
        <f t="shared" si="99"/>
        <v>0.87431983090981413</v>
      </c>
      <c r="X285">
        <f t="shared" si="100"/>
        <v>1.2700021203285585</v>
      </c>
      <c r="Y285">
        <f t="shared" si="101"/>
        <v>-0.87657429976813017</v>
      </c>
      <c r="Z285">
        <f t="shared" si="102"/>
        <v>-0.79306693287336028</v>
      </c>
      <c r="AA285">
        <f t="shared" si="103"/>
        <v>1.2700021203285585</v>
      </c>
      <c r="AB285">
        <f>IFERROR(V144+MATCH(AA285,V285:Z285,0)-1,"")</f>
        <v>2014</v>
      </c>
      <c r="AC285" t="str">
        <f t="shared" si="104"/>
        <v>High</v>
      </c>
      <c r="AE285">
        <f>IF(ISNUMBER(MATCH("N/A",J285:N285,0)),"",IFERROR((5 * SUMPRODUCT(J144:N144,J285:N285) - PRODUCT(SUM(J144:N144),SUM(J285:N285))) / ((5 * SUM((J144^2)+(K144^2)+(L144^2)+(M144^2)+(N144^2))) - SUM(J144:N144)^2),""))</f>
        <v>-10379000</v>
      </c>
      <c r="AF285">
        <f>IFERROR(CORREL(J144:N144,J285:N285),"")</f>
        <v>-0.37752323100934881</v>
      </c>
      <c r="AZ285">
        <f t="shared" si="105"/>
        <v>1</v>
      </c>
      <c r="BA285" t="str">
        <f>IF(AZ285=1,IF(Q285="","",IF(Q285=N144,"Yes","No")),"")</f>
        <v>No</v>
      </c>
      <c r="BB285" t="str">
        <f t="shared" si="106"/>
        <v/>
      </c>
      <c r="BC285" t="str">
        <f>IF(AZ285=1,IF(S285="","",IF(S285=N144,"Yes","No")),"")</f>
        <v>No</v>
      </c>
      <c r="BD285" t="str">
        <f t="shared" si="107"/>
        <v/>
      </c>
      <c r="BE285" t="str">
        <f t="shared" si="108"/>
        <v>Decreasing</v>
      </c>
      <c r="BF285" t="str">
        <f t="shared" si="109"/>
        <v>No</v>
      </c>
      <c r="BG285" t="str">
        <f t="shared" si="110"/>
        <v>No</v>
      </c>
      <c r="BH285" t="str">
        <f t="shared" si="111"/>
        <v>No</v>
      </c>
    </row>
    <row r="286" spans="1:60" x14ac:dyDescent="0.3">
      <c r="A286" s="1">
        <v>39</v>
      </c>
      <c r="B286" t="s">
        <v>746</v>
      </c>
      <c r="C286" t="s">
        <v>2974</v>
      </c>
      <c r="D286" t="s">
        <v>2975</v>
      </c>
      <c r="E286" t="s">
        <v>2976</v>
      </c>
      <c r="F286" t="s">
        <v>2977</v>
      </c>
      <c r="G286" t="s">
        <v>2978</v>
      </c>
      <c r="I286" t="str">
        <f t="shared" si="88"/>
        <v>N/A</v>
      </c>
      <c r="J286">
        <f t="shared" si="89"/>
        <v>0.58909999999999996</v>
      </c>
      <c r="K286">
        <f t="shared" si="90"/>
        <v>0.65629999999999999</v>
      </c>
      <c r="L286">
        <f t="shared" si="91"/>
        <v>0.68180000000000007</v>
      </c>
      <c r="M286">
        <f t="shared" si="92"/>
        <v>0.59829999999999994</v>
      </c>
      <c r="N286">
        <f t="shared" si="93"/>
        <v>0.49270000000000003</v>
      </c>
      <c r="P286">
        <f t="shared" si="94"/>
        <v>0.68180000000000007</v>
      </c>
      <c r="Q286">
        <f>IFERROR(J144+MATCH(P286,J286:N286,0)-1,"")</f>
        <v>2014</v>
      </c>
      <c r="R286">
        <f t="shared" si="95"/>
        <v>0.49270000000000003</v>
      </c>
      <c r="S286">
        <f>IFERROR(J144+MATCH(R286,J286:N286,0)-1,"")</f>
        <v>2016</v>
      </c>
      <c r="T286">
        <f t="shared" si="96"/>
        <v>0.60364000000000007</v>
      </c>
      <c r="U286">
        <f t="shared" si="97"/>
        <v>7.3194385030546899E-2</v>
      </c>
      <c r="V286">
        <f t="shared" si="98"/>
        <v>-0.19864911760556489</v>
      </c>
      <c r="W286">
        <f t="shared" si="99"/>
        <v>0.71945409443665431</v>
      </c>
      <c r="X286">
        <f t="shared" si="100"/>
        <v>1.0678414740062474</v>
      </c>
      <c r="Y286">
        <f t="shared" si="101"/>
        <v>-7.2956415956927978E-2</v>
      </c>
      <c r="Z286">
        <f t="shared" si="102"/>
        <v>-1.5156900348804134</v>
      </c>
      <c r="AA286">
        <f t="shared" si="103"/>
        <v>-1.5156900348804134</v>
      </c>
      <c r="AB286">
        <f>IFERROR(V144+MATCH(AA286,V286:Z286,0)-1,"")</f>
        <v>2016</v>
      </c>
      <c r="AC286" t="str">
        <f t="shared" si="104"/>
        <v>Low</v>
      </c>
      <c r="AE286">
        <f>IF(ISNUMBER(MATCH("N/A",J286:N286,0)),"",IFERROR((5 * SUMPRODUCT(J144:N144,J286:N286) - PRODUCT(SUM(J144:N144),SUM(J286:N286))) / ((5 * SUM((J144^2)+(K144^2)+(L144^2)+(M144^2)+(N144^2))) - SUM(J144:N144)^2),""))</f>
        <v>-2.5080000000089059E-2</v>
      </c>
      <c r="AF286">
        <f>IFERROR(CORREL(J144:N144,J286:N286),"")</f>
        <v>-0.54177600975760221</v>
      </c>
      <c r="AZ286">
        <f t="shared" si="105"/>
        <v>1</v>
      </c>
      <c r="BA286" t="str">
        <f>IF(AZ286=1,IF(Q286="","",IF(Q286=N144,"Yes","No")),"")</f>
        <v>No</v>
      </c>
      <c r="BB286" t="str">
        <f t="shared" si="106"/>
        <v/>
      </c>
      <c r="BC286" t="str">
        <f>IF(AZ286=1,IF(S286="","",IF(S286=N144,"Yes","No")),"")</f>
        <v>Yes</v>
      </c>
      <c r="BD286">
        <f t="shared" si="107"/>
        <v>0.49270000000000003</v>
      </c>
      <c r="BE286" t="str">
        <f t="shared" si="108"/>
        <v>Decreasing</v>
      </c>
      <c r="BF286" t="str">
        <f t="shared" si="109"/>
        <v>Yes</v>
      </c>
      <c r="BG286" t="str">
        <f t="shared" si="110"/>
        <v>No</v>
      </c>
      <c r="BH286" t="str">
        <f t="shared" si="111"/>
        <v>No</v>
      </c>
    </row>
    <row r="287" spans="1:60" x14ac:dyDescent="0.3">
      <c r="A287" s="1">
        <v>40</v>
      </c>
      <c r="B287" t="s">
        <v>747</v>
      </c>
      <c r="C287" t="s">
        <v>264</v>
      </c>
      <c r="D287" t="s">
        <v>264</v>
      </c>
      <c r="E287" t="s">
        <v>264</v>
      </c>
      <c r="F287" t="s">
        <v>264</v>
      </c>
      <c r="G287" t="s">
        <v>264</v>
      </c>
      <c r="I287" t="str">
        <f t="shared" si="88"/>
        <v>N/A</v>
      </c>
      <c r="J287" t="str">
        <f t="shared" si="89"/>
        <v>N/A</v>
      </c>
      <c r="K287" t="str">
        <f t="shared" si="90"/>
        <v>N/A</v>
      </c>
      <c r="L287" t="str">
        <f t="shared" si="91"/>
        <v>N/A</v>
      </c>
      <c r="M287" t="str">
        <f t="shared" si="92"/>
        <v>N/A</v>
      </c>
      <c r="N287" t="str">
        <f t="shared" si="93"/>
        <v>N/A</v>
      </c>
      <c r="P287">
        <f t="shared" si="94"/>
        <v>0</v>
      </c>
      <c r="Q287" t="str">
        <f>IFERROR(J144+MATCH(P287,J287:N287,0)-1,"")</f>
        <v/>
      </c>
      <c r="R287" t="str">
        <f t="shared" si="95"/>
        <v/>
      </c>
      <c r="S287" t="str">
        <f>IFERROR(J144+MATCH(R287,J287:N287,0)-1,"")</f>
        <v/>
      </c>
      <c r="T287" t="str">
        <f t="shared" si="96"/>
        <v/>
      </c>
      <c r="U287" t="str">
        <f t="shared" si="97"/>
        <v/>
      </c>
      <c r="V287" t="str">
        <f t="shared" si="98"/>
        <v/>
      </c>
      <c r="W287" t="str">
        <f t="shared" si="99"/>
        <v/>
      </c>
      <c r="X287" t="str">
        <f t="shared" si="100"/>
        <v/>
      </c>
      <c r="Y287" t="str">
        <f t="shared" si="101"/>
        <v/>
      </c>
      <c r="Z287" t="str">
        <f t="shared" si="102"/>
        <v/>
      </c>
      <c r="AA287">
        <f t="shared" si="103"/>
        <v>0</v>
      </c>
      <c r="AB287" t="str">
        <f>IFERROR(V144+MATCH(AA287,V287:Z287,0)-1,"")</f>
        <v/>
      </c>
      <c r="AC287" t="str">
        <f t="shared" si="104"/>
        <v/>
      </c>
      <c r="AE287" t="str">
        <f>IF(ISNUMBER(MATCH("N/A",J287:N287,0)),"",IFERROR((5 * SUMPRODUCT(J144:N144,J287:N287) - PRODUCT(SUM(J144:N144),SUM(J287:N287))) / ((5 * SUM((J144^2)+(K144^2)+(L144^2)+(M144^2)+(N144^2))) - SUM(J144:N144)^2),""))</f>
        <v/>
      </c>
      <c r="AF287" t="str">
        <f>IFERROR(CORREL(J144:N144,J287:N287),"")</f>
        <v/>
      </c>
      <c r="AZ287">
        <f t="shared" si="105"/>
        <v>0</v>
      </c>
      <c r="BA287" t="str">
        <f>IF(AZ287=1,IF(Q287="","",IF(Q287=N144,"Yes","No")),"")</f>
        <v/>
      </c>
      <c r="BB287" t="str">
        <f t="shared" si="106"/>
        <v/>
      </c>
      <c r="BC287" t="str">
        <f>IF(AZ287=1,IF(S287="","",IF(S287=N144,"Yes","No")),"")</f>
        <v/>
      </c>
      <c r="BD287" t="str">
        <f t="shared" si="107"/>
        <v/>
      </c>
      <c r="BE287" t="str">
        <f t="shared" si="108"/>
        <v/>
      </c>
      <c r="BF287" t="str">
        <f t="shared" si="109"/>
        <v>No</v>
      </c>
      <c r="BG287" t="str">
        <f t="shared" si="110"/>
        <v>No</v>
      </c>
      <c r="BH287" t="str">
        <f t="shared" si="111"/>
        <v/>
      </c>
    </row>
    <row r="288" spans="1:60" x14ac:dyDescent="0.3">
      <c r="A288" s="1">
        <v>41</v>
      </c>
      <c r="B288" t="s">
        <v>748</v>
      </c>
      <c r="C288" t="s">
        <v>2959</v>
      </c>
      <c r="D288" t="s">
        <v>2960</v>
      </c>
      <c r="E288" t="s">
        <v>2961</v>
      </c>
      <c r="F288" t="s">
        <v>2962</v>
      </c>
      <c r="G288" t="s">
        <v>2963</v>
      </c>
      <c r="I288" t="str">
        <f t="shared" si="88"/>
        <v>N/A</v>
      </c>
      <c r="J288">
        <f t="shared" si="89"/>
        <v>418250000</v>
      </c>
      <c r="K288">
        <f t="shared" si="90"/>
        <v>476890000</v>
      </c>
      <c r="L288">
        <f t="shared" si="91"/>
        <v>494090000</v>
      </c>
      <c r="M288">
        <f t="shared" si="92"/>
        <v>400780000</v>
      </c>
      <c r="N288">
        <f t="shared" si="93"/>
        <v>404410000</v>
      </c>
      <c r="P288">
        <f t="shared" si="94"/>
        <v>494090000</v>
      </c>
      <c r="Q288">
        <f>IFERROR(J144+MATCH(P288,J288:N288,0)-1,"")</f>
        <v>2014</v>
      </c>
      <c r="R288">
        <f t="shared" si="95"/>
        <v>400780000</v>
      </c>
      <c r="S288">
        <f>IFERROR(J144+MATCH(R288,J288:N288,0)-1,"")</f>
        <v>2015</v>
      </c>
      <c r="T288">
        <f t="shared" si="96"/>
        <v>438884000</v>
      </c>
      <c r="U288">
        <f t="shared" si="97"/>
        <v>43469218.764546484</v>
      </c>
      <c r="V288">
        <f t="shared" si="98"/>
        <v>-0.47468071859688216</v>
      </c>
      <c r="W288">
        <f t="shared" si="99"/>
        <v>0.87431983090981413</v>
      </c>
      <c r="X288">
        <f t="shared" si="100"/>
        <v>1.2700021203285585</v>
      </c>
      <c r="Y288">
        <f t="shared" si="101"/>
        <v>-0.87657429976813017</v>
      </c>
      <c r="Z288">
        <f t="shared" si="102"/>
        <v>-0.79306693287336028</v>
      </c>
      <c r="AA288">
        <f t="shared" si="103"/>
        <v>1.2700021203285585</v>
      </c>
      <c r="AB288">
        <f>IFERROR(V144+MATCH(AA288,V288:Z288,0)-1,"")</f>
        <v>2014</v>
      </c>
      <c r="AC288" t="str">
        <f t="shared" si="104"/>
        <v>High</v>
      </c>
      <c r="AE288">
        <f>IF(ISNUMBER(MATCH("N/A",J288:N288,0)),"",IFERROR((5 * SUMPRODUCT(J144:N144,J288:N288) - PRODUCT(SUM(J144:N144),SUM(J288:N288))) / ((5 * SUM((J144^2)+(K144^2)+(L144^2)+(M144^2)+(N144^2))) - SUM(J144:N144)^2),""))</f>
        <v>-10379000</v>
      </c>
      <c r="AF288">
        <f>IFERROR(CORREL(J144:N144,J288:N288),"")</f>
        <v>-0.37752323100934881</v>
      </c>
      <c r="AZ288">
        <f t="shared" si="105"/>
        <v>1</v>
      </c>
      <c r="BA288" t="str">
        <f>IF(AZ288=1,IF(Q288="","",IF(Q288=N144,"Yes","No")),"")</f>
        <v>No</v>
      </c>
      <c r="BB288" t="str">
        <f t="shared" si="106"/>
        <v/>
      </c>
      <c r="BC288" t="str">
        <f>IF(AZ288=1,IF(S288="","",IF(S288=N144,"Yes","No")),"")</f>
        <v>No</v>
      </c>
      <c r="BD288" t="str">
        <f t="shared" si="107"/>
        <v/>
      </c>
      <c r="BE288" t="str">
        <f t="shared" si="108"/>
        <v>Decreasing</v>
      </c>
      <c r="BF288" t="str">
        <f t="shared" si="109"/>
        <v>No</v>
      </c>
      <c r="BG288" t="str">
        <f t="shared" si="110"/>
        <v>No</v>
      </c>
      <c r="BH288" t="str">
        <f t="shared" si="111"/>
        <v>No</v>
      </c>
    </row>
    <row r="289" spans="1:60" x14ac:dyDescent="0.3">
      <c r="A289" s="1">
        <v>42</v>
      </c>
      <c r="B289" t="s">
        <v>749</v>
      </c>
      <c r="C289" t="s">
        <v>2875</v>
      </c>
      <c r="D289" t="s">
        <v>2876</v>
      </c>
      <c r="E289" t="s">
        <v>2877</v>
      </c>
      <c r="F289" t="s">
        <v>2878</v>
      </c>
      <c r="G289" t="s">
        <v>2879</v>
      </c>
      <c r="I289" t="str">
        <f t="shared" si="88"/>
        <v>N/A</v>
      </c>
      <c r="J289">
        <f t="shared" si="89"/>
        <v>709980000</v>
      </c>
      <c r="K289">
        <f t="shared" si="90"/>
        <v>726650000</v>
      </c>
      <c r="L289">
        <f t="shared" si="91"/>
        <v>724720000</v>
      </c>
      <c r="M289">
        <f t="shared" si="92"/>
        <v>669920000</v>
      </c>
      <c r="N289">
        <f t="shared" si="93"/>
        <v>820760000</v>
      </c>
      <c r="P289">
        <f t="shared" si="94"/>
        <v>820760000</v>
      </c>
      <c r="Q289">
        <f>IFERROR(J144+MATCH(P289,J289:N289,0)-1,"")</f>
        <v>2016</v>
      </c>
      <c r="R289">
        <f t="shared" si="95"/>
        <v>669920000</v>
      </c>
      <c r="S289">
        <f>IFERROR(J144+MATCH(R289,J289:N289,0)-1,"")</f>
        <v>2015</v>
      </c>
      <c r="T289">
        <f t="shared" si="96"/>
        <v>730406000</v>
      </c>
      <c r="U289">
        <f t="shared" si="97"/>
        <v>55421252.963100716</v>
      </c>
      <c r="V289">
        <f t="shared" si="98"/>
        <v>-0.36855897165658746</v>
      </c>
      <c r="W289">
        <f t="shared" si="99"/>
        <v>-6.777183479595332E-2</v>
      </c>
      <c r="X289">
        <f t="shared" si="100"/>
        <v>-0.10259602040729249</v>
      </c>
      <c r="Y289">
        <f t="shared" si="101"/>
        <v>-1.0913863683354719</v>
      </c>
      <c r="Z289">
        <f t="shared" si="102"/>
        <v>1.6303131951953052</v>
      </c>
      <c r="AA289">
        <f t="shared" si="103"/>
        <v>1.6303131951953052</v>
      </c>
      <c r="AB289">
        <f>IFERROR(V144+MATCH(AA289,V289:Z289,0)-1,"")</f>
        <v>2016</v>
      </c>
      <c r="AC289" t="str">
        <f t="shared" si="104"/>
        <v>High</v>
      </c>
      <c r="AE289">
        <f>IF(ISNUMBER(MATCH("N/A",J289:N289,0)),"",IFERROR((5 * SUMPRODUCT(J144:N144,J289:N289) - PRODUCT(SUM(J144:N144),SUM(J289:N289))) / ((5 * SUM((J144^2)+(K144^2)+(L144^2)+(M144^2)+(N144^2))) - SUM(J144:N144)^2),""))</f>
        <v>16483000</v>
      </c>
      <c r="AF289">
        <f>IFERROR(CORREL(J144:N144,J289:N289),"")</f>
        <v>0.47025121127502534</v>
      </c>
      <c r="AZ289">
        <f t="shared" si="105"/>
        <v>1</v>
      </c>
      <c r="BA289" t="str">
        <f>IF(AZ289=1,IF(Q289="","",IF(Q289=N144,"Yes","No")),"")</f>
        <v>Yes</v>
      </c>
      <c r="BB289">
        <f t="shared" si="106"/>
        <v>820760000</v>
      </c>
      <c r="BC289" t="str">
        <f>IF(AZ289=1,IF(S289="","",IF(S289=N144,"Yes","No")),"")</f>
        <v>No</v>
      </c>
      <c r="BD289" t="str">
        <f t="shared" si="107"/>
        <v/>
      </c>
      <c r="BE289" t="str">
        <f t="shared" si="108"/>
        <v>Increasing</v>
      </c>
      <c r="BF289" t="str">
        <f t="shared" si="109"/>
        <v>Yes</v>
      </c>
      <c r="BG289" t="str">
        <f t="shared" si="110"/>
        <v>No</v>
      </c>
      <c r="BH289" t="str">
        <f t="shared" si="111"/>
        <v>No</v>
      </c>
    </row>
    <row r="290" spans="1:60" x14ac:dyDescent="0.3">
      <c r="I290" t="str">
        <f t="shared" si="88"/>
        <v>N/A</v>
      </c>
      <c r="J290" t="str">
        <f t="shared" si="89"/>
        <v>N/A</v>
      </c>
      <c r="K290" t="str">
        <f t="shared" si="90"/>
        <v>N/A</v>
      </c>
      <c r="L290" t="str">
        <f t="shared" si="91"/>
        <v>N/A</v>
      </c>
      <c r="M290" t="str">
        <f t="shared" si="92"/>
        <v>N/A</v>
      </c>
      <c r="N290" t="str">
        <f t="shared" si="93"/>
        <v>N/A</v>
      </c>
      <c r="P290">
        <f t="shared" si="94"/>
        <v>0</v>
      </c>
      <c r="Q290" t="str">
        <f>IFERROR(J144+MATCH(P290,J290:N290,0)-1,"")</f>
        <v/>
      </c>
      <c r="R290" t="str">
        <f t="shared" si="95"/>
        <v/>
      </c>
      <c r="S290" t="str">
        <f>IFERROR(J144+MATCH(R290,J290:N290,0)-1,"")</f>
        <v/>
      </c>
      <c r="T290" t="str">
        <f t="shared" si="96"/>
        <v/>
      </c>
      <c r="U290" t="str">
        <f t="shared" si="97"/>
        <v/>
      </c>
      <c r="V290" t="str">
        <f t="shared" si="98"/>
        <v/>
      </c>
      <c r="W290" t="str">
        <f t="shared" si="99"/>
        <v/>
      </c>
      <c r="X290" t="str">
        <f t="shared" si="100"/>
        <v/>
      </c>
      <c r="Y290" t="str">
        <f t="shared" si="101"/>
        <v/>
      </c>
      <c r="Z290" t="str">
        <f t="shared" si="102"/>
        <v/>
      </c>
      <c r="AA290">
        <f t="shared" si="103"/>
        <v>0</v>
      </c>
      <c r="AB290" t="str">
        <f>IFERROR(V144+MATCH(AA290,V290:Z290,0)-1,"")</f>
        <v/>
      </c>
      <c r="AC290" t="str">
        <f t="shared" si="104"/>
        <v/>
      </c>
      <c r="AE290" t="str">
        <f>IF(ISNUMBER(MATCH("N/A",J290:N290,0)),"",IFERROR((5 * SUMPRODUCT(J144:N144,J290:N290) - PRODUCT(SUM(J144:N144),SUM(J290:N290))) / ((5 * SUM((J144^2)+(K144^2)+(L144^2)+(M144^2)+(N144^2))) - SUM(J144:N144)^2),""))</f>
        <v/>
      </c>
      <c r="AF290" t="str">
        <f>IFERROR(CORREL(J144:N144,J290:N290),"")</f>
        <v/>
      </c>
      <c r="AZ290">
        <f t="shared" si="105"/>
        <v>0</v>
      </c>
      <c r="BA290" t="str">
        <f>IF(AZ290=1,IF(Q290="","",IF(Q290=N144,"Yes","No")),"")</f>
        <v/>
      </c>
      <c r="BB290" t="str">
        <f t="shared" si="106"/>
        <v/>
      </c>
      <c r="BC290" t="str">
        <f>IF(AZ290=1,IF(S290="","",IF(S290=N144,"Yes","No")),"")</f>
        <v/>
      </c>
      <c r="BD290" t="str">
        <f t="shared" si="107"/>
        <v/>
      </c>
      <c r="BE290" t="str">
        <f t="shared" si="108"/>
        <v/>
      </c>
      <c r="BF290" t="str">
        <f t="shared" si="109"/>
        <v>No</v>
      </c>
      <c r="BG290" t="str">
        <f t="shared" si="110"/>
        <v>No</v>
      </c>
      <c r="BH290" t="str">
        <f t="shared" si="111"/>
        <v/>
      </c>
    </row>
    <row r="291" spans="1:60" x14ac:dyDescent="0.3">
      <c r="B291" s="1" t="s">
        <v>251</v>
      </c>
      <c r="C291" s="1" t="s">
        <v>252</v>
      </c>
      <c r="D291" s="1" t="s">
        <v>253</v>
      </c>
      <c r="E291" s="1" t="s">
        <v>254</v>
      </c>
      <c r="F291" s="1" t="s">
        <v>255</v>
      </c>
      <c r="G291" s="1" t="s">
        <v>256</v>
      </c>
      <c r="H291" s="1" t="s">
        <v>257</v>
      </c>
      <c r="I291" t="str">
        <f t="shared" si="88"/>
        <v>pos_trend</v>
      </c>
      <c r="J291">
        <f t="shared" si="89"/>
        <v>2012</v>
      </c>
      <c r="K291">
        <f t="shared" si="90"/>
        <v>2013</v>
      </c>
      <c r="L291">
        <f t="shared" si="91"/>
        <v>2014</v>
      </c>
      <c r="M291">
        <f t="shared" si="92"/>
        <v>2015</v>
      </c>
      <c r="N291">
        <f t="shared" si="93"/>
        <v>2016</v>
      </c>
      <c r="P291">
        <f t="shared" si="94"/>
        <v>2016</v>
      </c>
      <c r="Q291">
        <f>IFERROR(J144+MATCH(P291,J291:N291,0)-1,"")</f>
        <v>2016</v>
      </c>
      <c r="R291">
        <f t="shared" si="95"/>
        <v>2012</v>
      </c>
      <c r="S291">
        <f>IFERROR(J144+MATCH(R291,J291:N291,0)-1,"")</f>
        <v>2012</v>
      </c>
      <c r="T291">
        <f t="shared" si="96"/>
        <v>2014</v>
      </c>
      <c r="U291">
        <f t="shared" si="97"/>
        <v>1.5811388300841898</v>
      </c>
      <c r="V291">
        <f t="shared" si="98"/>
        <v>-1.2649110640673518</v>
      </c>
      <c r="W291">
        <f t="shared" si="99"/>
        <v>-0.63245553203367588</v>
      </c>
      <c r="X291">
        <f t="shared" si="100"/>
        <v>0</v>
      </c>
      <c r="Y291">
        <f t="shared" si="101"/>
        <v>0.63245553203367588</v>
      </c>
      <c r="Z291">
        <f t="shared" si="102"/>
        <v>1.2649110640673518</v>
      </c>
      <c r="AA291">
        <f t="shared" si="103"/>
        <v>-1.2649110640673518</v>
      </c>
      <c r="AB291">
        <f>IFERROR(V144+MATCH(AA291,V291:Z291,0)-1,"")</f>
        <v>2012</v>
      </c>
      <c r="AC291" t="str">
        <f t="shared" si="104"/>
        <v>Low</v>
      </c>
      <c r="AE291">
        <f>IF(ISNUMBER(MATCH("N/A",J291:N291,0)),"",IFERROR((5 * SUMPRODUCT(J144:N144,J291:N291) - PRODUCT(SUM(J144:N144),SUM(J291:N291))) / ((5 * SUM((J144^2)+(K144^2)+(L144^2)+(M144^2)+(N144^2))) - SUM(J144:N144)^2),""))</f>
        <v>1</v>
      </c>
      <c r="AF291">
        <f>IFERROR(CORREL(J144:N144,J291:N291),"")</f>
        <v>0.99999999999999978</v>
      </c>
      <c r="AZ291">
        <f t="shared" si="105"/>
        <v>1</v>
      </c>
      <c r="BA291" t="str">
        <f>IF(AZ291=1,IF(Q291="","",IF(Q291=N144,"Yes","No")),"")</f>
        <v>Yes</v>
      </c>
      <c r="BB291">
        <f t="shared" si="106"/>
        <v>2016</v>
      </c>
      <c r="BC291" t="str">
        <f>IF(AZ291=1,IF(S291="","",IF(S291=N144,"Yes","No")),"")</f>
        <v>No</v>
      </c>
      <c r="BD291" t="str">
        <f t="shared" si="107"/>
        <v/>
      </c>
      <c r="BE291" t="str">
        <f t="shared" si="108"/>
        <v>Increasing</v>
      </c>
      <c r="BF291" t="str">
        <f t="shared" si="109"/>
        <v>Yes</v>
      </c>
      <c r="BG291" t="str">
        <f t="shared" si="110"/>
        <v>Yes</v>
      </c>
      <c r="BH291" t="str">
        <f t="shared" si="111"/>
        <v>Yes</v>
      </c>
    </row>
    <row r="292" spans="1:60" x14ac:dyDescent="0.3">
      <c r="A292" s="1">
        <v>0</v>
      </c>
      <c r="B292" t="s">
        <v>750</v>
      </c>
      <c r="C292" t="s">
        <v>2709</v>
      </c>
      <c r="D292" t="s">
        <v>2710</v>
      </c>
      <c r="E292" t="s">
        <v>2711</v>
      </c>
      <c r="F292" t="s">
        <v>2712</v>
      </c>
      <c r="G292" t="s">
        <v>2713</v>
      </c>
      <c r="I292" t="str">
        <f t="shared" si="88"/>
        <v>N/A</v>
      </c>
      <c r="J292">
        <f t="shared" si="89"/>
        <v>30800000</v>
      </c>
      <c r="K292">
        <f t="shared" si="90"/>
        <v>47120000</v>
      </c>
      <c r="L292">
        <f t="shared" si="91"/>
        <v>50390000</v>
      </c>
      <c r="M292">
        <f t="shared" si="92"/>
        <v>9860000</v>
      </c>
      <c r="N292">
        <f t="shared" si="93"/>
        <v>10100000</v>
      </c>
      <c r="P292">
        <f t="shared" si="94"/>
        <v>50390000</v>
      </c>
      <c r="Q292">
        <f>IFERROR(J144+MATCH(P292,J292:N292,0)-1,"")</f>
        <v>2014</v>
      </c>
      <c r="R292">
        <f t="shared" si="95"/>
        <v>9860000</v>
      </c>
      <c r="S292">
        <f>IFERROR(J144+MATCH(R292,J292:N292,0)-1,"")</f>
        <v>2015</v>
      </c>
      <c r="T292">
        <f t="shared" si="96"/>
        <v>29654000</v>
      </c>
      <c r="U292">
        <f t="shared" si="97"/>
        <v>19432688.439842802</v>
      </c>
      <c r="V292">
        <f t="shared" si="98"/>
        <v>5.8972797487472632E-2</v>
      </c>
      <c r="W292">
        <f t="shared" si="99"/>
        <v>0.89879483500540747</v>
      </c>
      <c r="X292">
        <f t="shared" si="100"/>
        <v>1.0670680006110231</v>
      </c>
      <c r="Y292">
        <f t="shared" si="101"/>
        <v>-1.0185929785925247</v>
      </c>
      <c r="Z292">
        <f t="shared" si="102"/>
        <v>-1.0062426545113785</v>
      </c>
      <c r="AA292">
        <f t="shared" si="103"/>
        <v>1.0670680006110231</v>
      </c>
      <c r="AB292">
        <f>IFERROR(V144+MATCH(AA292,V292:Z292,0)-1,"")</f>
        <v>2014</v>
      </c>
      <c r="AC292" t="str">
        <f t="shared" si="104"/>
        <v>High</v>
      </c>
      <c r="AE292">
        <f>IF(ISNUMBER(MATCH("N/A",J292:N292,0)),"",IFERROR((5 * SUMPRODUCT(J144:N144,J292:N292) - PRODUCT(SUM(J144:N144),SUM(J292:N292))) / ((5 * SUM((J144^2)+(K144^2)+(L144^2)+(M144^2)+(N144^2))) - SUM(J144:N144)^2),""))</f>
        <v>-7866000</v>
      </c>
      <c r="AF292">
        <f>IFERROR(CORREL(J144:N144,J292:N292),"")</f>
        <v>-0.64001633515320466</v>
      </c>
      <c r="AZ292">
        <f t="shared" si="105"/>
        <v>1</v>
      </c>
      <c r="BA292" t="str">
        <f>IF(AZ292=1,IF(Q292="","",IF(Q292=N144,"Yes","No")),"")</f>
        <v>No</v>
      </c>
      <c r="BB292" t="str">
        <f t="shared" si="106"/>
        <v/>
      </c>
      <c r="BC292" t="str">
        <f>IF(AZ292=1,IF(S292="","",IF(S292=N144,"Yes","No")),"")</f>
        <v>No</v>
      </c>
      <c r="BD292" t="str">
        <f t="shared" si="107"/>
        <v/>
      </c>
      <c r="BE292" t="str">
        <f t="shared" si="108"/>
        <v>Decreasing</v>
      </c>
      <c r="BF292" t="str">
        <f t="shared" si="109"/>
        <v>No</v>
      </c>
      <c r="BG292" t="str">
        <f t="shared" si="110"/>
        <v>No</v>
      </c>
      <c r="BH292" t="str">
        <f t="shared" si="111"/>
        <v>No</v>
      </c>
    </row>
    <row r="293" spans="1:60" x14ac:dyDescent="0.3">
      <c r="A293" s="1">
        <v>1</v>
      </c>
      <c r="B293" t="s">
        <v>409</v>
      </c>
      <c r="C293" t="s">
        <v>264</v>
      </c>
      <c r="D293" t="s">
        <v>2714</v>
      </c>
      <c r="E293" t="s">
        <v>2715</v>
      </c>
      <c r="F293" t="s">
        <v>2716</v>
      </c>
      <c r="G293" t="s">
        <v>2717</v>
      </c>
      <c r="I293" t="str">
        <f t="shared" si="88"/>
        <v>N/A</v>
      </c>
      <c r="J293" t="str">
        <f t="shared" si="89"/>
        <v>N/A</v>
      </c>
      <c r="K293">
        <f t="shared" si="90"/>
        <v>0.53</v>
      </c>
      <c r="L293">
        <f t="shared" si="91"/>
        <v>6.93E-2</v>
      </c>
      <c r="M293">
        <f t="shared" si="92"/>
        <v>-0.80430000000000013</v>
      </c>
      <c r="N293">
        <f t="shared" si="93"/>
        <v>2.4100000000000003E-2</v>
      </c>
      <c r="P293">
        <f t="shared" si="94"/>
        <v>0.53</v>
      </c>
      <c r="Q293">
        <f>IFERROR(J144+MATCH(P293,J293:N293,0)-1,"")</f>
        <v>2013</v>
      </c>
      <c r="R293">
        <f t="shared" si="95"/>
        <v>-0.80430000000000013</v>
      </c>
      <c r="S293">
        <f>IFERROR(J144+MATCH(R293,J293:N293,0)-1,"")</f>
        <v>2015</v>
      </c>
      <c r="T293">
        <f t="shared" si="96"/>
        <v>-4.5225000000000015E-2</v>
      </c>
      <c r="U293">
        <f t="shared" si="97"/>
        <v>0.55527788463675265</v>
      </c>
      <c r="V293" t="str">
        <f t="shared" si="98"/>
        <v/>
      </c>
      <c r="W293">
        <f t="shared" si="99"/>
        <v>1.0359227621253029</v>
      </c>
      <c r="X293">
        <f t="shared" si="100"/>
        <v>0.20624808437115966</v>
      </c>
      <c r="Y293">
        <f t="shared" si="101"/>
        <v>-1.3670182461823883</v>
      </c>
      <c r="Z293">
        <f t="shared" si="102"/>
        <v>0.12484739968592574</v>
      </c>
      <c r="AA293">
        <f t="shared" si="103"/>
        <v>-1.3670182461823883</v>
      </c>
      <c r="AB293">
        <f>IFERROR(V144+MATCH(AA293,V293:Z293,0)-1,"")</f>
        <v>2015</v>
      </c>
      <c r="AC293" t="str">
        <f t="shared" si="104"/>
        <v>Low</v>
      </c>
      <c r="AE293" t="str">
        <f>IF(ISNUMBER(MATCH("N/A",J293:N293,0)),"",IFERROR((5 * SUMPRODUCT(J144:N144,J293:N293) - PRODUCT(SUM(J144:N144),SUM(J293:N293))) / ((5 * SUM((J144^2)+(K144^2)+(L144^2)+(M144^2)+(N144^2))) - SUM(J144:N144)^2),""))</f>
        <v/>
      </c>
      <c r="AF293">
        <f>IFERROR(CORREL(J144:N144,J293:N293),"")</f>
        <v>-0.5559657804995175</v>
      </c>
      <c r="AZ293">
        <f t="shared" si="105"/>
        <v>1</v>
      </c>
      <c r="BA293" t="str">
        <f>IF(AZ293=1,IF(Q293="","",IF(Q293=N144,"Yes","No")),"")</f>
        <v>No</v>
      </c>
      <c r="BB293" t="str">
        <f t="shared" si="106"/>
        <v/>
      </c>
      <c r="BC293" t="str">
        <f>IF(AZ293=1,IF(S293="","",IF(S293=N144,"Yes","No")),"")</f>
        <v>No</v>
      </c>
      <c r="BD293" t="str">
        <f t="shared" si="107"/>
        <v/>
      </c>
      <c r="BE293" t="str">
        <f t="shared" si="108"/>
        <v/>
      </c>
      <c r="BF293" t="str">
        <f t="shared" si="109"/>
        <v>No</v>
      </c>
      <c r="BG293" t="str">
        <f t="shared" si="110"/>
        <v>No</v>
      </c>
      <c r="BH293" t="str">
        <f t="shared" si="111"/>
        <v>No</v>
      </c>
    </row>
    <row r="294" spans="1:60" x14ac:dyDescent="0.3">
      <c r="A294" s="1">
        <v>2</v>
      </c>
      <c r="B294" t="s">
        <v>751</v>
      </c>
      <c r="C294" t="s">
        <v>2612</v>
      </c>
      <c r="D294" t="s">
        <v>2613</v>
      </c>
      <c r="E294" t="s">
        <v>2614</v>
      </c>
      <c r="F294" t="s">
        <v>2615</v>
      </c>
      <c r="G294" t="s">
        <v>2616</v>
      </c>
      <c r="I294" t="str">
        <f t="shared" si="88"/>
        <v>N/A</v>
      </c>
      <c r="J294">
        <f t="shared" si="89"/>
        <v>19330000</v>
      </c>
      <c r="K294">
        <f t="shared" si="90"/>
        <v>19070000</v>
      </c>
      <c r="L294">
        <f t="shared" si="91"/>
        <v>19560000</v>
      </c>
      <c r="M294">
        <f t="shared" si="92"/>
        <v>23940000</v>
      </c>
      <c r="N294">
        <f t="shared" si="93"/>
        <v>25620000</v>
      </c>
      <c r="P294">
        <f t="shared" si="94"/>
        <v>25620000</v>
      </c>
      <c r="Q294">
        <f>IFERROR(J144+MATCH(P294,J294:N294,0)-1,"")</f>
        <v>2016</v>
      </c>
      <c r="R294">
        <f t="shared" si="95"/>
        <v>19070000</v>
      </c>
      <c r="S294">
        <f>IFERROR(J144+MATCH(R294,J294:N294,0)-1,"")</f>
        <v>2013</v>
      </c>
      <c r="T294">
        <f t="shared" si="96"/>
        <v>21504000</v>
      </c>
      <c r="U294">
        <f t="shared" si="97"/>
        <v>3053904.0587418592</v>
      </c>
      <c r="V294">
        <f t="shared" si="98"/>
        <v>-0.71187567067697599</v>
      </c>
      <c r="W294">
        <f t="shared" si="99"/>
        <v>-0.79701259541295288</v>
      </c>
      <c r="X294">
        <f t="shared" si="100"/>
        <v>-0.6365622372566887</v>
      </c>
      <c r="Y294">
        <f t="shared" si="101"/>
        <v>0.79766749483399879</v>
      </c>
      <c r="Z294">
        <f t="shared" si="102"/>
        <v>1.3477830085126188</v>
      </c>
      <c r="AA294">
        <f t="shared" si="103"/>
        <v>1.3477830085126188</v>
      </c>
      <c r="AB294">
        <f>IFERROR(V144+MATCH(AA294,V294:Z294,0)-1,"")</f>
        <v>2016</v>
      </c>
      <c r="AC294" t="str">
        <f t="shared" si="104"/>
        <v>High</v>
      </c>
      <c r="AE294">
        <f>IF(ISNUMBER(MATCH("N/A",J294:N294,0)),"",IFERROR((5 * SUMPRODUCT(J144:N144,J294:N294) - PRODUCT(SUM(J144:N144),SUM(J294:N294))) / ((5 * SUM((J144^2)+(K144^2)+(L144^2)+(M144^2)+(N144^2))) - SUM(J144:N144)^2),""))</f>
        <v>1745000</v>
      </c>
      <c r="AF294">
        <f>IFERROR(CORREL(J144:N144,J294:N294),"")</f>
        <v>0.90346232410247806</v>
      </c>
      <c r="AZ294">
        <f t="shared" si="105"/>
        <v>1</v>
      </c>
      <c r="BA294" t="str">
        <f>IF(AZ294=1,IF(Q294="","",IF(Q294=N144,"Yes","No")),"")</f>
        <v>Yes</v>
      </c>
      <c r="BB294">
        <f t="shared" si="106"/>
        <v>25620000</v>
      </c>
      <c r="BC294" t="str">
        <f>IF(AZ294=1,IF(S294="","",IF(S294=N144,"Yes","No")),"")</f>
        <v>No</v>
      </c>
      <c r="BD294" t="str">
        <f t="shared" si="107"/>
        <v/>
      </c>
      <c r="BE294" t="str">
        <f t="shared" si="108"/>
        <v>Increasing</v>
      </c>
      <c r="BF294" t="str">
        <f t="shared" si="109"/>
        <v>Yes</v>
      </c>
      <c r="BG294" t="str">
        <f t="shared" si="110"/>
        <v>No</v>
      </c>
      <c r="BH294" t="str">
        <f t="shared" si="111"/>
        <v>Yes</v>
      </c>
    </row>
    <row r="295" spans="1:60" x14ac:dyDescent="0.3">
      <c r="A295" s="1">
        <v>3</v>
      </c>
      <c r="B295" t="s">
        <v>752</v>
      </c>
      <c r="C295" t="s">
        <v>2617</v>
      </c>
      <c r="D295" t="s">
        <v>2618</v>
      </c>
      <c r="E295" t="s">
        <v>2619</v>
      </c>
      <c r="F295" t="s">
        <v>2620</v>
      </c>
      <c r="G295" t="s">
        <v>2621</v>
      </c>
      <c r="I295" t="str">
        <f t="shared" si="88"/>
        <v>N/A</v>
      </c>
      <c r="J295">
        <f t="shared" si="89"/>
        <v>15730000</v>
      </c>
      <c r="K295">
        <f t="shared" si="90"/>
        <v>16030000.000000002</v>
      </c>
      <c r="L295">
        <f t="shared" si="91"/>
        <v>16450000</v>
      </c>
      <c r="M295">
        <f t="shared" si="92"/>
        <v>14250000</v>
      </c>
      <c r="N295">
        <f t="shared" si="93"/>
        <v>13300000</v>
      </c>
      <c r="P295">
        <f t="shared" si="94"/>
        <v>16450000</v>
      </c>
      <c r="Q295">
        <f>IFERROR(J144+MATCH(P295,J295:N295,0)-1,"")</f>
        <v>2014</v>
      </c>
      <c r="R295">
        <f t="shared" si="95"/>
        <v>13300000</v>
      </c>
      <c r="S295">
        <f>IFERROR(J144+MATCH(R295,J295:N295,0)-1,"")</f>
        <v>2016</v>
      </c>
      <c r="T295">
        <f t="shared" si="96"/>
        <v>15152000</v>
      </c>
      <c r="U295">
        <f t="shared" si="97"/>
        <v>1326016.5911480901</v>
      </c>
      <c r="V295">
        <f t="shared" si="98"/>
        <v>0.43589198193934869</v>
      </c>
      <c r="W295">
        <f t="shared" si="99"/>
        <v>0.66213349505665908</v>
      </c>
      <c r="X295">
        <f t="shared" si="100"/>
        <v>0.97887161342089035</v>
      </c>
      <c r="Y295">
        <f t="shared" si="101"/>
        <v>-0.68023281610604247</v>
      </c>
      <c r="Z295">
        <f t="shared" si="102"/>
        <v>-1.3966642743108544</v>
      </c>
      <c r="AA295">
        <f t="shared" si="103"/>
        <v>-1.3966642743108544</v>
      </c>
      <c r="AB295">
        <f>IFERROR(V144+MATCH(AA295,V295:Z295,0)-1,"")</f>
        <v>2016</v>
      </c>
      <c r="AC295" t="str">
        <f t="shared" si="104"/>
        <v>Low</v>
      </c>
      <c r="AE295">
        <f>IF(ISNUMBER(MATCH("N/A",J295:N295,0)),"",IFERROR((5 * SUMPRODUCT(J144:N144,J295:N295) - PRODUCT(SUM(J144:N144),SUM(J295:N295))) / ((5 * SUM((J144^2)+(K144^2)+(L144^2)+(M144^2)+(N144^2))) - SUM(J144:N144)^2),""))</f>
        <v>-664000</v>
      </c>
      <c r="AF295">
        <f>IFERROR(CORREL(J144:N144,J295:N295),"")</f>
        <v>-0.79175192089180402</v>
      </c>
      <c r="AZ295">
        <f t="shared" si="105"/>
        <v>1</v>
      </c>
      <c r="BA295" t="str">
        <f>IF(AZ295=1,IF(Q295="","",IF(Q295=N144,"Yes","No")),"")</f>
        <v>No</v>
      </c>
      <c r="BB295" t="str">
        <f t="shared" si="106"/>
        <v/>
      </c>
      <c r="BC295" t="str">
        <f>IF(AZ295=1,IF(S295="","",IF(S295=N144,"Yes","No")),"")</f>
        <v>Yes</v>
      </c>
      <c r="BD295">
        <f t="shared" si="107"/>
        <v>13300000</v>
      </c>
      <c r="BE295" t="str">
        <f t="shared" si="108"/>
        <v>Decreasing</v>
      </c>
      <c r="BF295" t="str">
        <f t="shared" si="109"/>
        <v>Yes</v>
      </c>
      <c r="BG295" t="str">
        <f t="shared" si="110"/>
        <v>No</v>
      </c>
      <c r="BH295" t="str">
        <f t="shared" si="111"/>
        <v>No</v>
      </c>
    </row>
    <row r="296" spans="1:60" x14ac:dyDescent="0.3">
      <c r="A296" s="1">
        <v>4</v>
      </c>
      <c r="B296" t="s">
        <v>753</v>
      </c>
      <c r="C296" t="s">
        <v>2622</v>
      </c>
      <c r="D296" t="s">
        <v>2623</v>
      </c>
      <c r="E296" t="s">
        <v>2153</v>
      </c>
      <c r="F296" t="s">
        <v>2624</v>
      </c>
      <c r="G296" t="s">
        <v>2625</v>
      </c>
      <c r="I296" t="str">
        <f t="shared" si="88"/>
        <v>N/A</v>
      </c>
      <c r="J296">
        <f t="shared" si="89"/>
        <v>3600000</v>
      </c>
      <c r="K296">
        <f t="shared" si="90"/>
        <v>3040000</v>
      </c>
      <c r="L296">
        <f t="shared" si="91"/>
        <v>3120000</v>
      </c>
      <c r="M296">
        <f t="shared" si="92"/>
        <v>9680000</v>
      </c>
      <c r="N296">
        <f t="shared" si="93"/>
        <v>12320000</v>
      </c>
      <c r="P296">
        <f t="shared" si="94"/>
        <v>12320000</v>
      </c>
      <c r="Q296">
        <f>IFERROR(J144+MATCH(P296,J296:N296,0)-1,"")</f>
        <v>2016</v>
      </c>
      <c r="R296">
        <f t="shared" si="95"/>
        <v>3040000</v>
      </c>
      <c r="S296">
        <f>IFERROR(J144+MATCH(R296,J296:N296,0)-1,"")</f>
        <v>2013</v>
      </c>
      <c r="T296">
        <f t="shared" si="96"/>
        <v>6352000</v>
      </c>
      <c r="U296">
        <f t="shared" si="97"/>
        <v>4349749.4180699652</v>
      </c>
      <c r="V296">
        <f t="shared" si="98"/>
        <v>-0.63268012372563165</v>
      </c>
      <c r="W296">
        <f t="shared" si="99"/>
        <v>-0.76142317215817301</v>
      </c>
      <c r="X296">
        <f t="shared" si="100"/>
        <v>-0.7430313080963814</v>
      </c>
      <c r="Y296">
        <f t="shared" si="101"/>
        <v>0.76510154497053129</v>
      </c>
      <c r="Z296">
        <f t="shared" si="102"/>
        <v>1.3720330590096548</v>
      </c>
      <c r="AA296">
        <f t="shared" si="103"/>
        <v>1.3720330590096548</v>
      </c>
      <c r="AB296">
        <f>IFERROR(V144+MATCH(AA296,V296:Z296,0)-1,"")</f>
        <v>2016</v>
      </c>
      <c r="AC296" t="str">
        <f t="shared" si="104"/>
        <v>High</v>
      </c>
      <c r="AE296">
        <f>IF(ISNUMBER(MATCH("N/A",J296:N296,0)),"",IFERROR((5 * SUMPRODUCT(J144:N144,J296:N296) - PRODUCT(SUM(J144:N144),SUM(J296:N296))) / ((5 * SUM((J144^2)+(K144^2)+(L144^2)+(M144^2)+(N144^2))) - SUM(J144:N144)^2),""))</f>
        <v>2408000</v>
      </c>
      <c r="AF296">
        <f>IFERROR(CORREL(J144:N144,J296:N296),"")</f>
        <v>0.87531072181443248</v>
      </c>
      <c r="AZ296">
        <f t="shared" si="105"/>
        <v>1</v>
      </c>
      <c r="BA296" t="str">
        <f>IF(AZ296=1,IF(Q296="","",IF(Q296=N144,"Yes","No")),"")</f>
        <v>Yes</v>
      </c>
      <c r="BB296">
        <f t="shared" si="106"/>
        <v>12320000</v>
      </c>
      <c r="BC296" t="str">
        <f>IF(AZ296=1,IF(S296="","",IF(S296=N144,"Yes","No")),"")</f>
        <v>No</v>
      </c>
      <c r="BD296" t="str">
        <f t="shared" si="107"/>
        <v/>
      </c>
      <c r="BE296" t="str">
        <f t="shared" si="108"/>
        <v>Increasing</v>
      </c>
      <c r="BF296" t="str">
        <f t="shared" si="109"/>
        <v>Yes</v>
      </c>
      <c r="BG296" t="str">
        <f t="shared" si="110"/>
        <v>No</v>
      </c>
      <c r="BH296" t="str">
        <f t="shared" si="111"/>
        <v>Yes</v>
      </c>
    </row>
    <row r="297" spans="1:60" x14ac:dyDescent="0.3">
      <c r="A297" s="1">
        <v>5</v>
      </c>
      <c r="B297" t="s">
        <v>754</v>
      </c>
      <c r="C297" t="s">
        <v>2979</v>
      </c>
      <c r="D297" t="s">
        <v>2980</v>
      </c>
      <c r="E297" t="s">
        <v>2981</v>
      </c>
      <c r="F297" t="s">
        <v>2982</v>
      </c>
      <c r="G297" t="s">
        <v>2983</v>
      </c>
      <c r="I297" t="str">
        <f t="shared" si="88"/>
        <v>N/A</v>
      </c>
      <c r="J297">
        <f t="shared" si="89"/>
        <v>-832000</v>
      </c>
      <c r="K297">
        <f t="shared" si="90"/>
        <v>5780000</v>
      </c>
      <c r="L297">
        <f t="shared" si="91"/>
        <v>-2740000</v>
      </c>
      <c r="M297">
        <f t="shared" si="92"/>
        <v>781000</v>
      </c>
      <c r="N297">
        <f t="shared" si="93"/>
        <v>-10740000</v>
      </c>
      <c r="P297">
        <f t="shared" si="94"/>
        <v>5780000</v>
      </c>
      <c r="Q297">
        <f>IFERROR(J144+MATCH(P297,J297:N297,0)-1,"")</f>
        <v>2013</v>
      </c>
      <c r="R297">
        <f t="shared" si="95"/>
        <v>-10740000</v>
      </c>
      <c r="S297">
        <f>IFERROR(J144+MATCH(R297,J297:N297,0)-1,"")</f>
        <v>2016</v>
      </c>
      <c r="T297">
        <f t="shared" si="96"/>
        <v>-1550200</v>
      </c>
      <c r="U297">
        <f t="shared" si="97"/>
        <v>6032209.0646793731</v>
      </c>
      <c r="V297">
        <f t="shared" si="98"/>
        <v>0.11906086017563686</v>
      </c>
      <c r="W297">
        <f t="shared" si="99"/>
        <v>1.2151767157608651</v>
      </c>
      <c r="X297">
        <f t="shared" si="100"/>
        <v>-0.19724117437618036</v>
      </c>
      <c r="Y297">
        <f t="shared" si="101"/>
        <v>0.3864587541651972</v>
      </c>
      <c r="Z297">
        <f t="shared" si="102"/>
        <v>-1.5234551557255187</v>
      </c>
      <c r="AA297">
        <f t="shared" si="103"/>
        <v>-1.5234551557255187</v>
      </c>
      <c r="AB297">
        <f>IFERROR(V144+MATCH(AA297,V297:Z297,0)-1,"")</f>
        <v>2016</v>
      </c>
      <c r="AC297" t="str">
        <f t="shared" si="104"/>
        <v>Low</v>
      </c>
      <c r="AE297">
        <f>IF(ISNUMBER(MATCH("N/A",J297:N297,0)),"",IFERROR((5 * SUMPRODUCT(J144:N144,J297:N297) - PRODUCT(SUM(J144:N144),SUM(J297:N297))) / ((5 * SUM((J144^2)+(K144^2)+(L144^2)+(M144^2)+(N144^2))) - SUM(J144:N144)^2),""))</f>
        <v>-2481500</v>
      </c>
      <c r="AF297">
        <f>IFERROR(CORREL(J144:N144,J297:N297),"")</f>
        <v>-0.65044098518201232</v>
      </c>
      <c r="AZ297">
        <f t="shared" si="105"/>
        <v>1</v>
      </c>
      <c r="BA297" t="str">
        <f>IF(AZ297=1,IF(Q297="","",IF(Q297=N144,"Yes","No")),"")</f>
        <v>No</v>
      </c>
      <c r="BB297" t="str">
        <f t="shared" si="106"/>
        <v/>
      </c>
      <c r="BC297" t="str">
        <f>IF(AZ297=1,IF(S297="","",IF(S297=N144,"Yes","No")),"")</f>
        <v>Yes</v>
      </c>
      <c r="BD297">
        <f t="shared" si="107"/>
        <v>-10740000</v>
      </c>
      <c r="BE297" t="str">
        <f t="shared" si="108"/>
        <v>Decreasing</v>
      </c>
      <c r="BF297" t="str">
        <f t="shared" si="109"/>
        <v>Yes</v>
      </c>
      <c r="BG297" t="str">
        <f t="shared" si="110"/>
        <v>No</v>
      </c>
      <c r="BH297" t="str">
        <f t="shared" si="111"/>
        <v>No</v>
      </c>
    </row>
    <row r="298" spans="1:60" x14ac:dyDescent="0.3">
      <c r="A298" s="1">
        <v>6</v>
      </c>
      <c r="B298" t="s">
        <v>680</v>
      </c>
      <c r="C298" t="s">
        <v>2979</v>
      </c>
      <c r="D298" t="s">
        <v>2980</v>
      </c>
      <c r="E298" t="s">
        <v>2981</v>
      </c>
      <c r="F298" t="s">
        <v>2982</v>
      </c>
      <c r="G298" t="s">
        <v>2983</v>
      </c>
      <c r="I298" t="str">
        <f t="shared" si="88"/>
        <v>N/A</v>
      </c>
      <c r="J298">
        <f t="shared" si="89"/>
        <v>-832000</v>
      </c>
      <c r="K298">
        <f t="shared" si="90"/>
        <v>5780000</v>
      </c>
      <c r="L298">
        <f t="shared" si="91"/>
        <v>-2740000</v>
      </c>
      <c r="M298">
        <f t="shared" si="92"/>
        <v>781000</v>
      </c>
      <c r="N298">
        <f t="shared" si="93"/>
        <v>-10740000</v>
      </c>
      <c r="P298">
        <f t="shared" si="94"/>
        <v>5780000</v>
      </c>
      <c r="Q298">
        <f>IFERROR(J144+MATCH(P298,J298:N298,0)-1,"")</f>
        <v>2013</v>
      </c>
      <c r="R298">
        <f t="shared" si="95"/>
        <v>-10740000</v>
      </c>
      <c r="S298">
        <f>IFERROR(J144+MATCH(R298,J298:N298,0)-1,"")</f>
        <v>2016</v>
      </c>
      <c r="T298">
        <f t="shared" si="96"/>
        <v>-1550200</v>
      </c>
      <c r="U298">
        <f t="shared" si="97"/>
        <v>6032209.0646793731</v>
      </c>
      <c r="V298">
        <f t="shared" si="98"/>
        <v>0.11906086017563686</v>
      </c>
      <c r="W298">
        <f t="shared" si="99"/>
        <v>1.2151767157608651</v>
      </c>
      <c r="X298">
        <f t="shared" si="100"/>
        <v>-0.19724117437618036</v>
      </c>
      <c r="Y298">
        <f t="shared" si="101"/>
        <v>0.3864587541651972</v>
      </c>
      <c r="Z298">
        <f t="shared" si="102"/>
        <v>-1.5234551557255187</v>
      </c>
      <c r="AA298">
        <f t="shared" si="103"/>
        <v>-1.5234551557255187</v>
      </c>
      <c r="AB298">
        <f>IFERROR(V144+MATCH(AA298,V298:Z298,0)-1,"")</f>
        <v>2016</v>
      </c>
      <c r="AC298" t="str">
        <f t="shared" si="104"/>
        <v>Low</v>
      </c>
      <c r="AE298">
        <f>IF(ISNUMBER(MATCH("N/A",J298:N298,0)),"",IFERROR((5 * SUMPRODUCT(J144:N144,J298:N298) - PRODUCT(SUM(J144:N144),SUM(J298:N298))) / ((5 * SUM((J144^2)+(K144^2)+(L144^2)+(M144^2)+(N144^2))) - SUM(J144:N144)^2),""))</f>
        <v>-2481500</v>
      </c>
      <c r="AF298">
        <f>IFERROR(CORREL(J144:N144,J298:N298),"")</f>
        <v>-0.65044098518201232</v>
      </c>
      <c r="AZ298">
        <f t="shared" si="105"/>
        <v>1</v>
      </c>
      <c r="BA298" t="str">
        <f>IF(AZ298=1,IF(Q298="","",IF(Q298=N144,"Yes","No")),"")</f>
        <v>No</v>
      </c>
      <c r="BB298" t="str">
        <f t="shared" si="106"/>
        <v/>
      </c>
      <c r="BC298" t="str">
        <f>IF(AZ298=1,IF(S298="","",IF(S298=N144,"Yes","No")),"")</f>
        <v>Yes</v>
      </c>
      <c r="BD298">
        <f t="shared" si="107"/>
        <v>-10740000</v>
      </c>
      <c r="BE298" t="str">
        <f t="shared" si="108"/>
        <v>Decreasing</v>
      </c>
      <c r="BF298" t="str">
        <f t="shared" si="109"/>
        <v>Yes</v>
      </c>
      <c r="BG298" t="str">
        <f t="shared" si="110"/>
        <v>No</v>
      </c>
      <c r="BH298" t="str">
        <f t="shared" si="111"/>
        <v>No</v>
      </c>
    </row>
    <row r="299" spans="1:60" x14ac:dyDescent="0.3">
      <c r="A299" s="1">
        <v>7</v>
      </c>
      <c r="B299" t="s">
        <v>756</v>
      </c>
      <c r="C299" t="s">
        <v>264</v>
      </c>
      <c r="D299" t="s">
        <v>264</v>
      </c>
      <c r="E299" t="s">
        <v>264</v>
      </c>
      <c r="F299" t="s">
        <v>264</v>
      </c>
      <c r="G299" t="s">
        <v>264</v>
      </c>
      <c r="I299" t="str">
        <f t="shared" si="88"/>
        <v>N/A</v>
      </c>
      <c r="J299" t="str">
        <f t="shared" si="89"/>
        <v>N/A</v>
      </c>
      <c r="K299" t="str">
        <f t="shared" si="90"/>
        <v>N/A</v>
      </c>
      <c r="L299" t="str">
        <f t="shared" si="91"/>
        <v>N/A</v>
      </c>
      <c r="M299" t="str">
        <f t="shared" si="92"/>
        <v>N/A</v>
      </c>
      <c r="N299" t="str">
        <f t="shared" si="93"/>
        <v>N/A</v>
      </c>
      <c r="P299">
        <f t="shared" si="94"/>
        <v>0</v>
      </c>
      <c r="Q299" t="str">
        <f>IFERROR(J144+MATCH(P299,J299:N299,0)-1,"")</f>
        <v/>
      </c>
      <c r="R299" t="str">
        <f t="shared" si="95"/>
        <v/>
      </c>
      <c r="S299" t="str">
        <f>IFERROR(J144+MATCH(R299,J299:N299,0)-1,"")</f>
        <v/>
      </c>
      <c r="T299" t="str">
        <f t="shared" si="96"/>
        <v/>
      </c>
      <c r="U299" t="str">
        <f t="shared" si="97"/>
        <v/>
      </c>
      <c r="V299" t="str">
        <f t="shared" si="98"/>
        <v/>
      </c>
      <c r="W299" t="str">
        <f t="shared" si="99"/>
        <v/>
      </c>
      <c r="X299" t="str">
        <f t="shared" si="100"/>
        <v/>
      </c>
      <c r="Y299" t="str">
        <f t="shared" si="101"/>
        <v/>
      </c>
      <c r="Z299" t="str">
        <f t="shared" si="102"/>
        <v/>
      </c>
      <c r="AA299">
        <f t="shared" si="103"/>
        <v>0</v>
      </c>
      <c r="AB299" t="str">
        <f>IFERROR(V144+MATCH(AA299,V299:Z299,0)-1,"")</f>
        <v/>
      </c>
      <c r="AC299" t="str">
        <f t="shared" si="104"/>
        <v/>
      </c>
      <c r="AE299" t="str">
        <f>IF(ISNUMBER(MATCH("N/A",J299:N299,0)),"",IFERROR((5 * SUMPRODUCT(J144:N144,J299:N299) - PRODUCT(SUM(J144:N144),SUM(J299:N299))) / ((5 * SUM((J144^2)+(K144^2)+(L144^2)+(M144^2)+(N144^2))) - SUM(J144:N144)^2),""))</f>
        <v/>
      </c>
      <c r="AF299" t="str">
        <f>IFERROR(CORREL(J144:N144,J299:N299),"")</f>
        <v/>
      </c>
      <c r="AZ299">
        <f t="shared" si="105"/>
        <v>0</v>
      </c>
      <c r="BA299" t="str">
        <f>IF(AZ299=1,IF(Q299="","",IF(Q299=N144,"Yes","No")),"")</f>
        <v/>
      </c>
      <c r="BB299" t="str">
        <f t="shared" si="106"/>
        <v/>
      </c>
      <c r="BC299" t="str">
        <f>IF(AZ299=1,IF(S299="","",IF(S299=N144,"Yes","No")),"")</f>
        <v/>
      </c>
      <c r="BD299" t="str">
        <f t="shared" si="107"/>
        <v/>
      </c>
      <c r="BE299" t="str">
        <f t="shared" si="108"/>
        <v/>
      </c>
      <c r="BF299" t="str">
        <f t="shared" si="109"/>
        <v>No</v>
      </c>
      <c r="BG299" t="str">
        <f t="shared" si="110"/>
        <v>No</v>
      </c>
      <c r="BH299" t="str">
        <f t="shared" si="111"/>
        <v/>
      </c>
    </row>
    <row r="300" spans="1:60" x14ac:dyDescent="0.3">
      <c r="A300" s="1">
        <v>8</v>
      </c>
      <c r="B300" t="s">
        <v>757</v>
      </c>
      <c r="C300" t="s">
        <v>2984</v>
      </c>
      <c r="D300" t="s">
        <v>2985</v>
      </c>
      <c r="E300" t="s">
        <v>2986</v>
      </c>
      <c r="F300" t="s">
        <v>2987</v>
      </c>
      <c r="G300" t="s">
        <v>2988</v>
      </c>
      <c r="I300" t="str">
        <f t="shared" si="88"/>
        <v>N/A</v>
      </c>
      <c r="J300">
        <f t="shared" si="89"/>
        <v>15500000</v>
      </c>
      <c r="K300">
        <f t="shared" si="90"/>
        <v>7470000</v>
      </c>
      <c r="L300">
        <f t="shared" si="91"/>
        <v>18310000</v>
      </c>
      <c r="M300">
        <f t="shared" si="92"/>
        <v>26170000</v>
      </c>
      <c r="N300">
        <f t="shared" si="93"/>
        <v>25690000</v>
      </c>
      <c r="P300">
        <f t="shared" si="94"/>
        <v>26170000</v>
      </c>
      <c r="Q300">
        <f>IFERROR(J144+MATCH(P300,J300:N300,0)-1,"")</f>
        <v>2015</v>
      </c>
      <c r="R300">
        <f t="shared" si="95"/>
        <v>7470000</v>
      </c>
      <c r="S300">
        <f>IFERROR(J144+MATCH(R300,J300:N300,0)-1,"")</f>
        <v>2013</v>
      </c>
      <c r="T300">
        <f t="shared" si="96"/>
        <v>18628000</v>
      </c>
      <c r="U300">
        <f t="shared" si="97"/>
        <v>7764342.8569325814</v>
      </c>
      <c r="V300">
        <f t="shared" si="98"/>
        <v>-0.40286732021462568</v>
      </c>
      <c r="W300">
        <f t="shared" si="99"/>
        <v>-1.4370823398193073</v>
      </c>
      <c r="X300">
        <f t="shared" si="100"/>
        <v>-4.095646030314929E-2</v>
      </c>
      <c r="Y300">
        <f t="shared" si="101"/>
        <v>0.97136359624638968</v>
      </c>
      <c r="Z300">
        <f t="shared" si="102"/>
        <v>0.90954252409069269</v>
      </c>
      <c r="AA300">
        <f t="shared" si="103"/>
        <v>-1.4370823398193073</v>
      </c>
      <c r="AB300">
        <f>IFERROR(V144+MATCH(AA300,V300:Z300,0)-1,"")</f>
        <v>2013</v>
      </c>
      <c r="AC300" t="str">
        <f t="shared" si="104"/>
        <v>Low</v>
      </c>
      <c r="AE300">
        <f>IF(ISNUMBER(MATCH("N/A",J300:N300,0)),"",IFERROR((5 * SUMPRODUCT(J144:N144,J300:N300) - PRODUCT(SUM(J144:N144),SUM(J300:N300))) / ((5 * SUM((J144^2)+(K144^2)+(L144^2)+(M144^2)+(N144^2))) - SUM(J144:N144)^2),""))</f>
        <v>3908000</v>
      </c>
      <c r="AF300">
        <f>IFERROR(CORREL(J144:N144,J300:N300),"")</f>
        <v>0.79582917213037063</v>
      </c>
      <c r="AZ300">
        <f t="shared" si="105"/>
        <v>1</v>
      </c>
      <c r="BA300" t="str">
        <f>IF(AZ300=1,IF(Q300="","",IF(Q300=N144,"Yes","No")),"")</f>
        <v>No</v>
      </c>
      <c r="BB300" t="str">
        <f t="shared" si="106"/>
        <v/>
      </c>
      <c r="BC300" t="str">
        <f>IF(AZ300=1,IF(S300="","",IF(S300=N144,"Yes","No")),"")</f>
        <v>No</v>
      </c>
      <c r="BD300" t="str">
        <f t="shared" si="107"/>
        <v/>
      </c>
      <c r="BE300" t="str">
        <f t="shared" si="108"/>
        <v>Increasing</v>
      </c>
      <c r="BF300" t="str">
        <f t="shared" si="109"/>
        <v>No</v>
      </c>
      <c r="BG300" t="str">
        <f t="shared" si="110"/>
        <v>No</v>
      </c>
      <c r="BH300" t="str">
        <f t="shared" si="111"/>
        <v>No</v>
      </c>
    </row>
    <row r="301" spans="1:60" x14ac:dyDescent="0.3">
      <c r="A301" s="1">
        <v>9</v>
      </c>
      <c r="B301" t="s">
        <v>763</v>
      </c>
      <c r="C301" t="s">
        <v>2989</v>
      </c>
      <c r="D301" t="s">
        <v>2990</v>
      </c>
      <c r="E301" t="s">
        <v>2991</v>
      </c>
      <c r="F301" t="s">
        <v>2992</v>
      </c>
      <c r="G301" t="s">
        <v>2993</v>
      </c>
      <c r="I301" t="str">
        <f t="shared" si="88"/>
        <v>N/A</v>
      </c>
      <c r="J301">
        <f t="shared" si="89"/>
        <v>64790000.000000007</v>
      </c>
      <c r="K301">
        <f t="shared" si="90"/>
        <v>79450000</v>
      </c>
      <c r="L301">
        <f t="shared" si="91"/>
        <v>85520000</v>
      </c>
      <c r="M301">
        <f t="shared" si="92"/>
        <v>60750000</v>
      </c>
      <c r="N301">
        <f t="shared" si="93"/>
        <v>50670000</v>
      </c>
      <c r="P301">
        <f t="shared" si="94"/>
        <v>85520000</v>
      </c>
      <c r="Q301">
        <f>IFERROR(J144+MATCH(P301,J301:N301,0)-1,"")</f>
        <v>2014</v>
      </c>
      <c r="R301">
        <f t="shared" si="95"/>
        <v>50670000</v>
      </c>
      <c r="S301">
        <f>IFERROR(J144+MATCH(R301,J301:N301,0)-1,"")</f>
        <v>2016</v>
      </c>
      <c r="T301">
        <f t="shared" si="96"/>
        <v>68236000</v>
      </c>
      <c r="U301">
        <f t="shared" si="97"/>
        <v>14150705.989455085</v>
      </c>
      <c r="V301">
        <f t="shared" si="98"/>
        <v>-0.24352141883012093</v>
      </c>
      <c r="W301">
        <f t="shared" si="99"/>
        <v>0.7924692950554213</v>
      </c>
      <c r="X301">
        <f t="shared" si="100"/>
        <v>1.221423158171741</v>
      </c>
      <c r="Y301">
        <f t="shared" si="101"/>
        <v>-0.52901954189271305</v>
      </c>
      <c r="Z301">
        <f t="shared" si="102"/>
        <v>-1.2413514925043276</v>
      </c>
      <c r="AA301">
        <f t="shared" si="103"/>
        <v>-1.2413514925043276</v>
      </c>
      <c r="AB301">
        <f>IFERROR(V144+MATCH(AA301,V301:Z301,0)-1,"")</f>
        <v>2016</v>
      </c>
      <c r="AC301" t="str">
        <f t="shared" si="104"/>
        <v>Low</v>
      </c>
      <c r="AE301">
        <f>IF(ISNUMBER(MATCH("N/A",J301:N301,0)),"",IFERROR((5 * SUMPRODUCT(J144:N144,J301:N301) - PRODUCT(SUM(J144:N144),SUM(J301:N301))) / ((5 * SUM((J144^2)+(K144^2)+(L144^2)+(M144^2)+(N144^2))) - SUM(J144:N144)^2),""))</f>
        <v>-4694000</v>
      </c>
      <c r="AF301">
        <f>IFERROR(CORREL(J144:N144,J301:N301),"")</f>
        <v>-0.52448730642456021</v>
      </c>
      <c r="AZ301">
        <f t="shared" si="105"/>
        <v>1</v>
      </c>
      <c r="BA301" t="str">
        <f>IF(AZ301=1,IF(Q301="","",IF(Q301=N144,"Yes","No")),"")</f>
        <v>No</v>
      </c>
      <c r="BB301" t="str">
        <f t="shared" si="106"/>
        <v/>
      </c>
      <c r="BC301" t="str">
        <f>IF(AZ301=1,IF(S301="","",IF(S301=N144,"Yes","No")),"")</f>
        <v>Yes</v>
      </c>
      <c r="BD301">
        <f t="shared" si="107"/>
        <v>50670000</v>
      </c>
      <c r="BE301" t="str">
        <f t="shared" si="108"/>
        <v>Decreasing</v>
      </c>
      <c r="BF301" t="str">
        <f t="shared" si="109"/>
        <v>Yes</v>
      </c>
      <c r="BG301" t="str">
        <f t="shared" si="110"/>
        <v>No</v>
      </c>
      <c r="BH301" t="str">
        <f t="shared" si="111"/>
        <v>No</v>
      </c>
    </row>
    <row r="302" spans="1:60" x14ac:dyDescent="0.3">
      <c r="A302" s="1">
        <v>10</v>
      </c>
      <c r="B302" t="s">
        <v>767</v>
      </c>
      <c r="C302" t="s">
        <v>264</v>
      </c>
      <c r="D302" t="s">
        <v>264</v>
      </c>
      <c r="E302" t="s">
        <v>264</v>
      </c>
      <c r="F302" t="s">
        <v>264</v>
      </c>
      <c r="G302" t="s">
        <v>264</v>
      </c>
      <c r="I302" t="str">
        <f t="shared" si="88"/>
        <v>N/A</v>
      </c>
      <c r="J302" t="str">
        <f t="shared" si="89"/>
        <v>N/A</v>
      </c>
      <c r="K302" t="str">
        <f t="shared" si="90"/>
        <v>N/A</v>
      </c>
      <c r="L302" t="str">
        <f t="shared" si="91"/>
        <v>N/A</v>
      </c>
      <c r="M302" t="str">
        <f t="shared" si="92"/>
        <v>N/A</v>
      </c>
      <c r="N302" t="str">
        <f t="shared" si="93"/>
        <v>N/A</v>
      </c>
      <c r="P302">
        <f t="shared" si="94"/>
        <v>0</v>
      </c>
      <c r="Q302" t="str">
        <f>IFERROR(J144+MATCH(P302,J302:N302,0)-1,"")</f>
        <v/>
      </c>
      <c r="R302" t="str">
        <f t="shared" si="95"/>
        <v/>
      </c>
      <c r="S302" t="str">
        <f>IFERROR(J144+MATCH(R302,J302:N302,0)-1,"")</f>
        <v/>
      </c>
      <c r="T302" t="str">
        <f t="shared" si="96"/>
        <v/>
      </c>
      <c r="U302" t="str">
        <f t="shared" si="97"/>
        <v/>
      </c>
      <c r="V302" t="str">
        <f t="shared" si="98"/>
        <v/>
      </c>
      <c r="W302" t="str">
        <f t="shared" si="99"/>
        <v/>
      </c>
      <c r="X302" t="str">
        <f t="shared" si="100"/>
        <v/>
      </c>
      <c r="Y302" t="str">
        <f t="shared" si="101"/>
        <v/>
      </c>
      <c r="Z302" t="str">
        <f t="shared" si="102"/>
        <v/>
      </c>
      <c r="AA302">
        <f t="shared" si="103"/>
        <v>0</v>
      </c>
      <c r="AB302" t="str">
        <f>IFERROR(V144+MATCH(AA302,V302:Z302,0)-1,"")</f>
        <v/>
      </c>
      <c r="AC302" t="str">
        <f t="shared" si="104"/>
        <v/>
      </c>
      <c r="AE302" t="str">
        <f>IF(ISNUMBER(MATCH("N/A",J302:N302,0)),"",IFERROR((5 * SUMPRODUCT(J144:N144,J302:N302) - PRODUCT(SUM(J144:N144),SUM(J302:N302))) / ((5 * SUM((J144^2)+(K144^2)+(L144^2)+(M144^2)+(N144^2))) - SUM(J144:N144)^2),""))</f>
        <v/>
      </c>
      <c r="AF302" t="str">
        <f>IFERROR(CORREL(J144:N144,J302:N302),"")</f>
        <v/>
      </c>
      <c r="AZ302">
        <f t="shared" si="105"/>
        <v>0</v>
      </c>
      <c r="BA302" t="str">
        <f>IF(AZ302=1,IF(Q302="","",IF(Q302=N144,"Yes","No")),"")</f>
        <v/>
      </c>
      <c r="BB302" t="str">
        <f t="shared" si="106"/>
        <v/>
      </c>
      <c r="BC302" t="str">
        <f>IF(AZ302=1,IF(S302="","",IF(S302=N144,"Yes","No")),"")</f>
        <v/>
      </c>
      <c r="BD302" t="str">
        <f t="shared" si="107"/>
        <v/>
      </c>
      <c r="BE302" t="str">
        <f t="shared" si="108"/>
        <v/>
      </c>
      <c r="BF302" t="str">
        <f t="shared" si="109"/>
        <v>No</v>
      </c>
      <c r="BG302" t="str">
        <f t="shared" si="110"/>
        <v>No</v>
      </c>
      <c r="BH302" t="str">
        <f t="shared" si="111"/>
        <v/>
      </c>
    </row>
    <row r="303" spans="1:60" x14ac:dyDescent="0.3">
      <c r="A303" s="1">
        <v>11</v>
      </c>
      <c r="B303" t="s">
        <v>768</v>
      </c>
      <c r="C303" t="s">
        <v>2994</v>
      </c>
      <c r="D303" t="s">
        <v>2995</v>
      </c>
      <c r="E303" t="s">
        <v>2996</v>
      </c>
      <c r="F303" t="s">
        <v>2997</v>
      </c>
      <c r="G303" t="s">
        <v>2998</v>
      </c>
      <c r="I303" t="str">
        <f t="shared" si="88"/>
        <v>N/A</v>
      </c>
      <c r="J303">
        <f t="shared" si="89"/>
        <v>-4270000</v>
      </c>
      <c r="K303">
        <f t="shared" si="90"/>
        <v>-7240000</v>
      </c>
      <c r="L303">
        <f t="shared" si="91"/>
        <v>-14690000</v>
      </c>
      <c r="M303">
        <f t="shared" si="92"/>
        <v>-33610000</v>
      </c>
      <c r="N303">
        <f t="shared" si="93"/>
        <v>8730000</v>
      </c>
      <c r="P303">
        <f t="shared" si="94"/>
        <v>8730000</v>
      </c>
      <c r="Q303">
        <f>IFERROR(J144+MATCH(P303,J303:N303,0)-1,"")</f>
        <v>2016</v>
      </c>
      <c r="R303">
        <f t="shared" si="95"/>
        <v>-33610000</v>
      </c>
      <c r="S303">
        <f>IFERROR(J144+MATCH(R303,J303:N303,0)-1,"")</f>
        <v>2015</v>
      </c>
      <c r="T303">
        <f t="shared" si="96"/>
        <v>-10216000</v>
      </c>
      <c r="U303">
        <f t="shared" si="97"/>
        <v>15576090.01001214</v>
      </c>
      <c r="V303">
        <f t="shared" si="98"/>
        <v>0.3817389342368962</v>
      </c>
      <c r="W303">
        <f t="shared" si="99"/>
        <v>0.19106207001160494</v>
      </c>
      <c r="X303">
        <f t="shared" si="100"/>
        <v>-0.28723511466126361</v>
      </c>
      <c r="Y303">
        <f t="shared" si="101"/>
        <v>-1.501917360837193</v>
      </c>
      <c r="Z303">
        <f t="shared" si="102"/>
        <v>1.2163514712499555</v>
      </c>
      <c r="AA303">
        <f t="shared" si="103"/>
        <v>-1.501917360837193</v>
      </c>
      <c r="AB303">
        <f>IFERROR(V144+MATCH(AA303,V303:Z303,0)-1,"")</f>
        <v>2015</v>
      </c>
      <c r="AC303" t="str">
        <f t="shared" si="104"/>
        <v>Low</v>
      </c>
      <c r="AE303">
        <f>IF(ISNUMBER(MATCH("N/A",J303:N303,0)),"",IFERROR((5 * SUMPRODUCT(J144:N144,J303:N303) - PRODUCT(SUM(J144:N144),SUM(J303:N303))) / ((5 * SUM((J144^2)+(K144^2)+(L144^2)+(M144^2)+(N144^2))) - SUM(J144:N144)^2),""))</f>
        <v>-37000</v>
      </c>
      <c r="AF303">
        <f>IFERROR(CORREL(J144:N144,J303:N303),"")</f>
        <v>-3.7558935956013657E-3</v>
      </c>
      <c r="AZ303">
        <f t="shared" si="105"/>
        <v>1</v>
      </c>
      <c r="BA303" t="str">
        <f>IF(AZ303=1,IF(Q303="","",IF(Q303=N144,"Yes","No")),"")</f>
        <v>Yes</v>
      </c>
      <c r="BB303">
        <f t="shared" si="106"/>
        <v>8730000</v>
      </c>
      <c r="BC303" t="str">
        <f>IF(AZ303=1,IF(S303="","",IF(S303=N144,"Yes","No")),"")</f>
        <v>No</v>
      </c>
      <c r="BD303" t="str">
        <f t="shared" si="107"/>
        <v/>
      </c>
      <c r="BE303" t="str">
        <f t="shared" si="108"/>
        <v>Decreasing</v>
      </c>
      <c r="BF303" t="str">
        <f t="shared" si="109"/>
        <v>No</v>
      </c>
      <c r="BG303" t="str">
        <f t="shared" si="110"/>
        <v>No</v>
      </c>
      <c r="BH303" t="str">
        <f t="shared" si="111"/>
        <v>No</v>
      </c>
    </row>
    <row r="304" spans="1:60" x14ac:dyDescent="0.3">
      <c r="A304" s="1">
        <v>12</v>
      </c>
      <c r="B304" t="s">
        <v>774</v>
      </c>
      <c r="C304" t="s">
        <v>2324</v>
      </c>
      <c r="D304" t="s">
        <v>2871</v>
      </c>
      <c r="E304" t="s">
        <v>2999</v>
      </c>
      <c r="F304" t="s">
        <v>3000</v>
      </c>
      <c r="G304" t="s">
        <v>3001</v>
      </c>
      <c r="I304" t="str">
        <f t="shared" si="88"/>
        <v>N/A</v>
      </c>
      <c r="J304">
        <f t="shared" si="89"/>
        <v>7060000</v>
      </c>
      <c r="K304">
        <f t="shared" si="90"/>
        <v>8199999.9999999991</v>
      </c>
      <c r="L304">
        <f t="shared" si="91"/>
        <v>-38440000</v>
      </c>
      <c r="M304">
        <f t="shared" si="92"/>
        <v>20390000</v>
      </c>
      <c r="N304">
        <f t="shared" si="93"/>
        <v>18540000</v>
      </c>
      <c r="P304">
        <f t="shared" si="94"/>
        <v>20390000</v>
      </c>
      <c r="Q304">
        <f>IFERROR(J144+MATCH(P304,J304:N304,0)-1,"")</f>
        <v>2015</v>
      </c>
      <c r="R304">
        <f t="shared" si="95"/>
        <v>-38440000</v>
      </c>
      <c r="S304">
        <f>IFERROR(J144+MATCH(R304,J304:N304,0)-1,"")</f>
        <v>2014</v>
      </c>
      <c r="T304">
        <f t="shared" si="96"/>
        <v>3150000</v>
      </c>
      <c r="U304">
        <f t="shared" si="97"/>
        <v>24003064.387698501</v>
      </c>
      <c r="V304">
        <f t="shared" si="98"/>
        <v>0.16289586766279157</v>
      </c>
      <c r="W304">
        <f t="shared" si="99"/>
        <v>0.21038980350309391</v>
      </c>
      <c r="X304">
        <f t="shared" si="100"/>
        <v>-1.7326954312264709</v>
      </c>
      <c r="Y304">
        <f t="shared" si="101"/>
        <v>0.71824162621650289</v>
      </c>
      <c r="Z304">
        <f t="shared" si="102"/>
        <v>0.64116813384408233</v>
      </c>
      <c r="AA304">
        <f t="shared" si="103"/>
        <v>-1.7326954312264709</v>
      </c>
      <c r="AB304">
        <f>IFERROR(V144+MATCH(AA304,V304:Z304,0)-1,"")</f>
        <v>2014</v>
      </c>
      <c r="AC304" t="str">
        <f t="shared" si="104"/>
        <v>Low</v>
      </c>
      <c r="AE304">
        <f>IF(ISNUMBER(MATCH("N/A",J304:N304,0)),"",IFERROR((5 * SUMPRODUCT(J144:N144,J304:N304) - PRODUCT(SUM(J144:N144),SUM(J304:N304))) / ((5 * SUM((J144^2)+(K144^2)+(L144^2)+(M144^2)+(N144^2))) - SUM(J144:N144)^2),""))</f>
        <v>3515000</v>
      </c>
      <c r="AF304">
        <f>IFERROR(CORREL(J144:N144,J304:N304),"")</f>
        <v>0.23154139396444032</v>
      </c>
      <c r="AZ304">
        <f t="shared" si="105"/>
        <v>1</v>
      </c>
      <c r="BA304" t="str">
        <f>IF(AZ304=1,IF(Q304="","",IF(Q304=N144,"Yes","No")),"")</f>
        <v>No</v>
      </c>
      <c r="BB304" t="str">
        <f t="shared" si="106"/>
        <v/>
      </c>
      <c r="BC304" t="str">
        <f>IF(AZ304=1,IF(S304="","",IF(S304=N144,"Yes","No")),"")</f>
        <v>No</v>
      </c>
      <c r="BD304" t="str">
        <f t="shared" si="107"/>
        <v/>
      </c>
      <c r="BE304" t="str">
        <f t="shared" si="108"/>
        <v>Increasing</v>
      </c>
      <c r="BF304" t="str">
        <f t="shared" si="109"/>
        <v>No</v>
      </c>
      <c r="BG304" t="str">
        <f t="shared" si="110"/>
        <v>No</v>
      </c>
      <c r="BH304" t="str">
        <f t="shared" si="111"/>
        <v>No</v>
      </c>
    </row>
    <row r="305" spans="1:60" x14ac:dyDescent="0.3">
      <c r="A305" s="1">
        <v>13</v>
      </c>
      <c r="B305" t="s">
        <v>630</v>
      </c>
      <c r="C305" t="s">
        <v>2371</v>
      </c>
      <c r="D305" t="s">
        <v>3002</v>
      </c>
      <c r="E305" t="s">
        <v>3003</v>
      </c>
      <c r="F305" t="s">
        <v>264</v>
      </c>
      <c r="G305" t="s">
        <v>264</v>
      </c>
      <c r="I305" t="str">
        <f t="shared" si="88"/>
        <v>N/A</v>
      </c>
      <c r="J305">
        <f t="shared" si="89"/>
        <v>-15500000</v>
      </c>
      <c r="K305">
        <f t="shared" si="90"/>
        <v>-15290000</v>
      </c>
      <c r="L305">
        <f t="shared" si="91"/>
        <v>26820000</v>
      </c>
      <c r="M305" t="str">
        <f t="shared" si="92"/>
        <v>N/A</v>
      </c>
      <c r="N305" t="str">
        <f t="shared" si="93"/>
        <v>N/A</v>
      </c>
      <c r="P305">
        <f t="shared" si="94"/>
        <v>26820000</v>
      </c>
      <c r="Q305">
        <f>IFERROR(J144+MATCH(P305,J305:N305,0)-1,"")</f>
        <v>2014</v>
      </c>
      <c r="R305">
        <f t="shared" si="95"/>
        <v>-15500000</v>
      </c>
      <c r="S305">
        <f>IFERROR(J144+MATCH(R305,J305:N305,0)-1,"")</f>
        <v>2012</v>
      </c>
      <c r="T305">
        <f t="shared" si="96"/>
        <v>-1323333.3333333333</v>
      </c>
      <c r="U305">
        <f t="shared" si="97"/>
        <v>24373067.786664307</v>
      </c>
      <c r="V305">
        <f t="shared" si="98"/>
        <v>-0.58165294540490353</v>
      </c>
      <c r="W305">
        <f t="shared" si="99"/>
        <v>-0.5730368777913345</v>
      </c>
      <c r="X305">
        <f t="shared" si="100"/>
        <v>1.1546898231962379</v>
      </c>
      <c r="Y305" t="str">
        <f t="shared" si="101"/>
        <v/>
      </c>
      <c r="Z305" t="str">
        <f t="shared" si="102"/>
        <v/>
      </c>
      <c r="AA305">
        <f t="shared" si="103"/>
        <v>1.1546898231962379</v>
      </c>
      <c r="AB305">
        <f>IFERROR(V144+MATCH(AA305,V305:Z305,0)-1,"")</f>
        <v>2014</v>
      </c>
      <c r="AC305" t="str">
        <f t="shared" si="104"/>
        <v>High</v>
      </c>
      <c r="AE305" t="str">
        <f>IF(ISNUMBER(MATCH("N/A",J305:N305,0)),"",IFERROR((5 * SUMPRODUCT(J144:N144,J305:N305) - PRODUCT(SUM(J144:N144),SUM(J305:N305))) / ((5 * SUM((J144^2)+(K144^2)+(L144^2)+(M144^2)+(N144^2))) - SUM(J144:N144)^2),""))</f>
        <v/>
      </c>
      <c r="AF305">
        <f>IFERROR(CORREL(J144:N144,J305:N305),"")</f>
        <v>0.86817138430057073</v>
      </c>
      <c r="AZ305">
        <f t="shared" si="105"/>
        <v>1</v>
      </c>
      <c r="BA305" t="str">
        <f>IF(AZ305=1,IF(Q305="","",IF(Q305=N144,"Yes","No")),"")</f>
        <v>No</v>
      </c>
      <c r="BB305" t="str">
        <f t="shared" si="106"/>
        <v/>
      </c>
      <c r="BC305" t="str">
        <f>IF(AZ305=1,IF(S305="","",IF(S305=N144,"Yes","No")),"")</f>
        <v>No</v>
      </c>
      <c r="BD305" t="str">
        <f t="shared" si="107"/>
        <v/>
      </c>
      <c r="BE305" t="str">
        <f t="shared" si="108"/>
        <v/>
      </c>
      <c r="BF305" t="str">
        <f t="shared" si="109"/>
        <v>No</v>
      </c>
      <c r="BG305" t="str">
        <f t="shared" si="110"/>
        <v>No</v>
      </c>
      <c r="BH305" t="str">
        <f t="shared" si="111"/>
        <v>Yes</v>
      </c>
    </row>
    <row r="306" spans="1:60" x14ac:dyDescent="0.3">
      <c r="A306" s="1">
        <v>14</v>
      </c>
      <c r="B306" t="s">
        <v>784</v>
      </c>
      <c r="C306" t="s">
        <v>3004</v>
      </c>
      <c r="D306" t="s">
        <v>3005</v>
      </c>
      <c r="E306" t="s">
        <v>3006</v>
      </c>
      <c r="F306" t="s">
        <v>3007</v>
      </c>
      <c r="G306" t="s">
        <v>3008</v>
      </c>
      <c r="I306" t="str">
        <f t="shared" si="88"/>
        <v>N/A</v>
      </c>
      <c r="J306">
        <f t="shared" si="89"/>
        <v>-2420000</v>
      </c>
      <c r="K306">
        <f t="shared" si="90"/>
        <v>160000</v>
      </c>
      <c r="L306">
        <f t="shared" si="91"/>
        <v>884000</v>
      </c>
      <c r="M306">
        <f t="shared" si="92"/>
        <v>-39560000</v>
      </c>
      <c r="N306">
        <f t="shared" si="93"/>
        <v>-45900000</v>
      </c>
      <c r="P306">
        <f t="shared" si="94"/>
        <v>884000</v>
      </c>
      <c r="Q306">
        <f>IFERROR(J144+MATCH(P306,J306:N306,0)-1,"")</f>
        <v>2014</v>
      </c>
      <c r="R306">
        <f t="shared" si="95"/>
        <v>-45900000</v>
      </c>
      <c r="S306">
        <f>IFERROR(J144+MATCH(R306,J306:N306,0)-1,"")</f>
        <v>2016</v>
      </c>
      <c r="T306">
        <f t="shared" si="96"/>
        <v>-17367200</v>
      </c>
      <c r="U306">
        <f t="shared" si="97"/>
        <v>23293608.97757151</v>
      </c>
      <c r="V306">
        <f t="shared" si="98"/>
        <v>0.64168673967147227</v>
      </c>
      <c r="W306">
        <f t="shared" si="99"/>
        <v>0.75244673407526697</v>
      </c>
      <c r="X306">
        <f t="shared" si="100"/>
        <v>0.78352822087695195</v>
      </c>
      <c r="Y306">
        <f t="shared" si="101"/>
        <v>-0.95274201697850103</v>
      </c>
      <c r="Z306">
        <f t="shared" si="102"/>
        <v>-1.2249196776451901</v>
      </c>
      <c r="AA306">
        <f t="shared" si="103"/>
        <v>-1.2249196776451901</v>
      </c>
      <c r="AB306">
        <f>IFERROR(V144+MATCH(AA306,V306:Z306,0)-1,"")</f>
        <v>2016</v>
      </c>
      <c r="AC306" t="str">
        <f t="shared" si="104"/>
        <v>Low</v>
      </c>
      <c r="AE306">
        <f>IF(ISNUMBER(MATCH("N/A",J306:N306,0)),"",IFERROR((5 * SUMPRODUCT(J144:N144,J306:N306) - PRODUCT(SUM(J144:N144),SUM(J306:N306))) / ((5 * SUM((J144^2)+(K144^2)+(L144^2)+(M144^2)+(N144^2))) - SUM(J144:N144)^2),""))</f>
        <v>-12668000</v>
      </c>
      <c r="AF306">
        <f>IFERROR(CORREL(J144:N144,J306:N306),"")</f>
        <v>-0.85988679207212915</v>
      </c>
      <c r="AZ306">
        <f t="shared" si="105"/>
        <v>1</v>
      </c>
      <c r="BA306" t="str">
        <f>IF(AZ306=1,IF(Q306="","",IF(Q306=N144,"Yes","No")),"")</f>
        <v>No</v>
      </c>
      <c r="BB306" t="str">
        <f t="shared" si="106"/>
        <v/>
      </c>
      <c r="BC306" t="str">
        <f>IF(AZ306=1,IF(S306="","",IF(S306=N144,"Yes","No")),"")</f>
        <v>Yes</v>
      </c>
      <c r="BD306">
        <f t="shared" si="107"/>
        <v>-45900000</v>
      </c>
      <c r="BE306" t="str">
        <f t="shared" si="108"/>
        <v>Decreasing</v>
      </c>
      <c r="BF306" t="str">
        <f t="shared" si="109"/>
        <v>Yes</v>
      </c>
      <c r="BG306" t="str">
        <f t="shared" si="110"/>
        <v>No</v>
      </c>
      <c r="BH306" t="str">
        <f t="shared" si="111"/>
        <v>Yes</v>
      </c>
    </row>
    <row r="307" spans="1:60" x14ac:dyDescent="0.3">
      <c r="A307" s="1">
        <v>15</v>
      </c>
      <c r="B307" t="s">
        <v>790</v>
      </c>
      <c r="C307" t="s">
        <v>3009</v>
      </c>
      <c r="D307" t="s">
        <v>3010</v>
      </c>
      <c r="E307" t="s">
        <v>3011</v>
      </c>
      <c r="F307" t="s">
        <v>3012</v>
      </c>
      <c r="G307" t="s">
        <v>3013</v>
      </c>
      <c r="I307" t="str">
        <f t="shared" si="88"/>
        <v>N/A</v>
      </c>
      <c r="J307">
        <f t="shared" si="89"/>
        <v>60520000</v>
      </c>
      <c r="K307">
        <f t="shared" si="90"/>
        <v>72210000</v>
      </c>
      <c r="L307">
        <f t="shared" si="91"/>
        <v>70830000</v>
      </c>
      <c r="M307">
        <f t="shared" si="92"/>
        <v>27140000</v>
      </c>
      <c r="N307">
        <f t="shared" si="93"/>
        <v>59400000</v>
      </c>
      <c r="P307">
        <f t="shared" si="94"/>
        <v>72210000</v>
      </c>
      <c r="Q307">
        <f>IFERROR(J144+MATCH(P307,J307:N307,0)-1,"")</f>
        <v>2013</v>
      </c>
      <c r="R307">
        <f t="shared" si="95"/>
        <v>27140000</v>
      </c>
      <c r="S307">
        <f>IFERROR(J144+MATCH(R307,J307:N307,0)-1,"")</f>
        <v>2015</v>
      </c>
      <c r="T307">
        <f t="shared" si="96"/>
        <v>58020000</v>
      </c>
      <c r="U307">
        <f t="shared" si="97"/>
        <v>18215247.733698271</v>
      </c>
      <c r="V307">
        <f t="shared" si="98"/>
        <v>0.13724765298552549</v>
      </c>
      <c r="W307">
        <f t="shared" si="99"/>
        <v>0.77901767834584268</v>
      </c>
      <c r="X307">
        <f t="shared" si="100"/>
        <v>0.70325697389783259</v>
      </c>
      <c r="Y307">
        <f t="shared" si="101"/>
        <v>-1.6952830096772109</v>
      </c>
      <c r="Z307">
        <f t="shared" si="102"/>
        <v>7.5760704448010072E-2</v>
      </c>
      <c r="AA307">
        <f t="shared" si="103"/>
        <v>-1.6952830096772109</v>
      </c>
      <c r="AB307">
        <f>IFERROR(V144+MATCH(AA307,V307:Z307,0)-1,"")</f>
        <v>2015</v>
      </c>
      <c r="AC307" t="str">
        <f t="shared" si="104"/>
        <v>Low</v>
      </c>
      <c r="AE307">
        <f>IF(ISNUMBER(MATCH("N/A",J307:N307,0)),"",IFERROR((5 * SUMPRODUCT(J144:N144,J307:N307) - PRODUCT(SUM(J144:N144),SUM(J307:N307))) / ((5 * SUM((J144^2)+(K144^2)+(L144^2)+(M144^2)+(N144^2))) - SUM(J144:N144)^2),""))</f>
        <v>-4731000</v>
      </c>
      <c r="AF307">
        <f>IFERROR(CORREL(J144:N144,J307:N307),"")</f>
        <v>-0.41066516988893836</v>
      </c>
      <c r="AZ307">
        <f t="shared" si="105"/>
        <v>1</v>
      </c>
      <c r="BA307" t="str">
        <f>IF(AZ307=1,IF(Q307="","",IF(Q307=N144,"Yes","No")),"")</f>
        <v>No</v>
      </c>
      <c r="BB307" t="str">
        <f t="shared" si="106"/>
        <v/>
      </c>
      <c r="BC307" t="str">
        <f>IF(AZ307=1,IF(S307="","",IF(S307=N144,"Yes","No")),"")</f>
        <v>No</v>
      </c>
      <c r="BD307" t="str">
        <f t="shared" si="107"/>
        <v/>
      </c>
      <c r="BE307" t="str">
        <f t="shared" si="108"/>
        <v>Decreasing</v>
      </c>
      <c r="BF307" t="str">
        <f t="shared" si="109"/>
        <v>No</v>
      </c>
      <c r="BG307" t="str">
        <f t="shared" si="110"/>
        <v>No</v>
      </c>
      <c r="BH307" t="str">
        <f t="shared" si="111"/>
        <v>No</v>
      </c>
    </row>
    <row r="308" spans="1:60" x14ac:dyDescent="0.3">
      <c r="A308" s="1">
        <v>16</v>
      </c>
      <c r="B308" t="s">
        <v>796</v>
      </c>
      <c r="C308" t="s">
        <v>264</v>
      </c>
      <c r="D308" t="s">
        <v>3014</v>
      </c>
      <c r="E308" t="s">
        <v>2599</v>
      </c>
      <c r="F308" t="s">
        <v>3015</v>
      </c>
      <c r="G308" t="s">
        <v>3016</v>
      </c>
      <c r="I308" t="str">
        <f t="shared" si="88"/>
        <v>N/A</v>
      </c>
      <c r="J308" t="str">
        <f t="shared" si="89"/>
        <v>N/A</v>
      </c>
      <c r="K308">
        <f t="shared" si="90"/>
        <v>0.193</v>
      </c>
      <c r="L308">
        <f t="shared" si="91"/>
        <v>-1.9099999999999999E-2</v>
      </c>
      <c r="M308">
        <f t="shared" si="92"/>
        <v>-0.61680000000000001</v>
      </c>
      <c r="N308">
        <f t="shared" si="93"/>
        <v>1.1884999999999999</v>
      </c>
      <c r="P308">
        <f t="shared" si="94"/>
        <v>1.1884999999999999</v>
      </c>
      <c r="Q308">
        <f>IFERROR(J144+MATCH(P308,J308:N308,0)-1,"")</f>
        <v>2016</v>
      </c>
      <c r="R308">
        <f t="shared" si="95"/>
        <v>-0.61680000000000001</v>
      </c>
      <c r="S308">
        <f>IFERROR(J144+MATCH(R308,J308:N308,0)-1,"")</f>
        <v>2015</v>
      </c>
      <c r="T308">
        <f t="shared" si="96"/>
        <v>0.18639999999999995</v>
      </c>
      <c r="U308">
        <f t="shared" si="97"/>
        <v>0.75091243608470526</v>
      </c>
      <c r="V308" t="str">
        <f t="shared" si="98"/>
        <v/>
      </c>
      <c r="W308">
        <f t="shared" si="99"/>
        <v>8.7893070920662571E-3</v>
      </c>
      <c r="X308">
        <f t="shared" si="100"/>
        <v>-0.27366706173024269</v>
      </c>
      <c r="Y308">
        <f t="shared" si="101"/>
        <v>-1.06963203884054</v>
      </c>
      <c r="Z308">
        <f t="shared" si="102"/>
        <v>1.3345097934787167</v>
      </c>
      <c r="AA308">
        <f t="shared" si="103"/>
        <v>1.3345097934787167</v>
      </c>
      <c r="AB308">
        <f>IFERROR(V144+MATCH(AA308,V308:Z308,0)-1,"")</f>
        <v>2016</v>
      </c>
      <c r="AC308" t="str">
        <f t="shared" si="104"/>
        <v>High</v>
      </c>
      <c r="AE308" t="str">
        <f>IF(ISNUMBER(MATCH("N/A",J308:N308,0)),"",IFERROR((5 * SUMPRODUCT(J144:N144,J308:N308) - PRODUCT(SUM(J144:N144),SUM(J308:N308))) / ((5 * SUM((J144^2)+(K144^2)+(L144^2)+(M144^2)+(N144^2))) - SUM(J144:N144)^2),""))</f>
        <v/>
      </c>
      <c r="AF308">
        <f>IFERROR(CORREL(J144:N144,J308:N308),"")</f>
        <v>0.41069069986639761</v>
      </c>
      <c r="AZ308">
        <f t="shared" si="105"/>
        <v>1</v>
      </c>
      <c r="BA308" t="str">
        <f>IF(AZ308=1,IF(Q308="","",IF(Q308=N144,"Yes","No")),"")</f>
        <v>Yes</v>
      </c>
      <c r="BB308">
        <f t="shared" si="106"/>
        <v>1.1884999999999999</v>
      </c>
      <c r="BC308" t="str">
        <f>IF(AZ308=1,IF(S308="","",IF(S308=N144,"Yes","No")),"")</f>
        <v>No</v>
      </c>
      <c r="BD308" t="str">
        <f t="shared" si="107"/>
        <v/>
      </c>
      <c r="BE308" t="str">
        <f t="shared" si="108"/>
        <v/>
      </c>
      <c r="BF308" t="str">
        <f t="shared" si="109"/>
        <v>No</v>
      </c>
      <c r="BG308" t="str">
        <f t="shared" si="110"/>
        <v>No</v>
      </c>
      <c r="BH308" t="str">
        <f t="shared" si="111"/>
        <v>No</v>
      </c>
    </row>
    <row r="309" spans="1:60" x14ac:dyDescent="0.3">
      <c r="A309" s="1">
        <v>17</v>
      </c>
      <c r="B309" t="s">
        <v>801</v>
      </c>
      <c r="C309" t="s">
        <v>638</v>
      </c>
      <c r="D309" t="s">
        <v>3017</v>
      </c>
      <c r="E309" t="s">
        <v>3017</v>
      </c>
      <c r="F309" t="s">
        <v>3018</v>
      </c>
      <c r="G309" t="s">
        <v>3019</v>
      </c>
      <c r="I309" t="str">
        <f t="shared" si="88"/>
        <v>N/A</v>
      </c>
      <c r="J309">
        <f t="shared" si="89"/>
        <v>7.1599999999999997E-2</v>
      </c>
      <c r="K309">
        <f t="shared" si="90"/>
        <v>8.4199999999999997E-2</v>
      </c>
      <c r="L309">
        <f t="shared" si="91"/>
        <v>8.4199999999999997E-2</v>
      </c>
      <c r="M309">
        <f t="shared" si="92"/>
        <v>4.1399999999999999E-2</v>
      </c>
      <c r="N309">
        <f t="shared" si="93"/>
        <v>0.10060000000000001</v>
      </c>
      <c r="P309">
        <f t="shared" si="94"/>
        <v>0.10060000000000001</v>
      </c>
      <c r="Q309">
        <f>IFERROR(J144+MATCH(P309,J309:N309,0)-1,"")</f>
        <v>2016</v>
      </c>
      <c r="R309">
        <f t="shared" si="95"/>
        <v>4.1399999999999999E-2</v>
      </c>
      <c r="S309">
        <f>IFERROR(J144+MATCH(R309,J309:N309,0)-1,"")</f>
        <v>2015</v>
      </c>
      <c r="T309">
        <f t="shared" si="96"/>
        <v>7.6399999999999996E-2</v>
      </c>
      <c r="U309">
        <f t="shared" si="97"/>
        <v>2.2109726366465958E-2</v>
      </c>
      <c r="V309">
        <f t="shared" si="98"/>
        <v>-0.21709902331854303</v>
      </c>
      <c r="W309">
        <f t="shared" si="99"/>
        <v>0.35278591289263256</v>
      </c>
      <c r="X309">
        <f t="shared" si="100"/>
        <v>0.35278591289263256</v>
      </c>
      <c r="Y309">
        <f t="shared" si="101"/>
        <v>-1.5830137116977099</v>
      </c>
      <c r="Z309">
        <f t="shared" si="102"/>
        <v>1.0945409092309886</v>
      </c>
      <c r="AA309">
        <f t="shared" si="103"/>
        <v>-1.5830137116977099</v>
      </c>
      <c r="AB309">
        <f>IFERROR(V144+MATCH(AA309,V309:Z309,0)-1,"")</f>
        <v>2015</v>
      </c>
      <c r="AC309" t="str">
        <f t="shared" si="104"/>
        <v>Low</v>
      </c>
      <c r="AE309">
        <f>IF(ISNUMBER(MATCH("N/A",J309:N309,0)),"",IFERROR((5 * SUMPRODUCT(J144:N144,J309:N309) - PRODUCT(SUM(J144:N144),SUM(J309:N309))) / ((5 * SUM((J144^2)+(K144^2)+(L144^2)+(M144^2)+(N144^2))) - SUM(J144:N144)^2),""))</f>
        <v>1.5199999999913416E-3</v>
      </c>
      <c r="AF309">
        <f>IFERROR(CORREL(J144:N144,J309:N309),"")</f>
        <v>0.10870017031839563</v>
      </c>
      <c r="AZ309">
        <f t="shared" si="105"/>
        <v>1</v>
      </c>
      <c r="BA309" t="str">
        <f>IF(AZ309=1,IF(Q309="","",IF(Q309=N144,"Yes","No")),"")</f>
        <v>Yes</v>
      </c>
      <c r="BB309">
        <f t="shared" si="106"/>
        <v>0.10060000000000001</v>
      </c>
      <c r="BC309" t="str">
        <f>IF(AZ309=1,IF(S309="","",IF(S309=N144,"Yes","No")),"")</f>
        <v>No</v>
      </c>
      <c r="BD309" t="str">
        <f t="shared" si="107"/>
        <v/>
      </c>
      <c r="BE309" t="str">
        <f t="shared" si="108"/>
        <v>Increasing</v>
      </c>
      <c r="BF309" t="str">
        <f t="shared" si="109"/>
        <v>Yes</v>
      </c>
      <c r="BG309" t="str">
        <f t="shared" si="110"/>
        <v>No</v>
      </c>
      <c r="BH309" t="str">
        <f t="shared" si="111"/>
        <v>No</v>
      </c>
    </row>
    <row r="310" spans="1:60" x14ac:dyDescent="0.3">
      <c r="I310" t="str">
        <f t="shared" si="88"/>
        <v>N/A</v>
      </c>
      <c r="J310" t="str">
        <f t="shared" si="89"/>
        <v>N/A</v>
      </c>
      <c r="K310" t="str">
        <f t="shared" si="90"/>
        <v>N/A</v>
      </c>
      <c r="L310" t="str">
        <f t="shared" si="91"/>
        <v>N/A</v>
      </c>
      <c r="M310" t="str">
        <f t="shared" si="92"/>
        <v>N/A</v>
      </c>
      <c r="N310" t="str">
        <f t="shared" si="93"/>
        <v>N/A</v>
      </c>
      <c r="P310">
        <f t="shared" si="94"/>
        <v>0</v>
      </c>
      <c r="Q310" t="str">
        <f>IFERROR(J144+MATCH(P310,J310:N310,0)-1,"")</f>
        <v/>
      </c>
      <c r="R310" t="str">
        <f t="shared" si="95"/>
        <v/>
      </c>
      <c r="S310" t="str">
        <f>IFERROR(J144+MATCH(R310,J310:N310,0)-1,"")</f>
        <v/>
      </c>
      <c r="T310" t="str">
        <f t="shared" si="96"/>
        <v/>
      </c>
      <c r="U310" t="str">
        <f t="shared" si="97"/>
        <v/>
      </c>
      <c r="V310" t="str">
        <f t="shared" si="98"/>
        <v/>
      </c>
      <c r="W310" t="str">
        <f t="shared" si="99"/>
        <v/>
      </c>
      <c r="X310" t="str">
        <f t="shared" si="100"/>
        <v/>
      </c>
      <c r="Y310" t="str">
        <f t="shared" si="101"/>
        <v/>
      </c>
      <c r="Z310" t="str">
        <f t="shared" si="102"/>
        <v/>
      </c>
      <c r="AA310">
        <f t="shared" si="103"/>
        <v>0</v>
      </c>
      <c r="AB310" t="str">
        <f>IFERROR(V144+MATCH(AA310,V310:Z310,0)-1,"")</f>
        <v/>
      </c>
      <c r="AC310" t="str">
        <f t="shared" si="104"/>
        <v/>
      </c>
      <c r="AE310" t="str">
        <f>IF(ISNUMBER(MATCH("N/A",J310:N310,0)),"",IFERROR((5 * SUMPRODUCT(J144:N144,J310:N310) - PRODUCT(SUM(J144:N144),SUM(J310:N310))) / ((5 * SUM((J144^2)+(K144^2)+(L144^2)+(M144^2)+(N144^2))) - SUM(J144:N144)^2),""))</f>
        <v/>
      </c>
      <c r="AF310" t="str">
        <f>IFERROR(CORREL(J144:N144,J310:N310),"")</f>
        <v/>
      </c>
      <c r="AZ310">
        <f t="shared" si="105"/>
        <v>0</v>
      </c>
      <c r="BA310" t="str">
        <f>IF(AZ310=1,IF(Q310="","",IF(Q310=N144,"Yes","No")),"")</f>
        <v/>
      </c>
      <c r="BB310" t="str">
        <f t="shared" si="106"/>
        <v/>
      </c>
      <c r="BC310" t="str">
        <f>IF(AZ310=1,IF(S310="","",IF(S310=N144,"Yes","No")),"")</f>
        <v/>
      </c>
      <c r="BD310" t="str">
        <f t="shared" si="107"/>
        <v/>
      </c>
      <c r="BE310" t="str">
        <f t="shared" si="108"/>
        <v/>
      </c>
      <c r="BF310" t="str">
        <f t="shared" si="109"/>
        <v>No</v>
      </c>
      <c r="BG310" t="str">
        <f t="shared" si="110"/>
        <v>No</v>
      </c>
      <c r="BH310" t="str">
        <f t="shared" si="111"/>
        <v/>
      </c>
    </row>
    <row r="311" spans="1:60" x14ac:dyDescent="0.3">
      <c r="B311" s="1" t="s">
        <v>316</v>
      </c>
      <c r="C311" s="1" t="s">
        <v>252</v>
      </c>
      <c r="D311" s="1" t="s">
        <v>253</v>
      </c>
      <c r="E311" s="1" t="s">
        <v>254</v>
      </c>
      <c r="F311" s="1" t="s">
        <v>255</v>
      </c>
      <c r="G311" s="1" t="s">
        <v>256</v>
      </c>
      <c r="H311" s="1" t="s">
        <v>257</v>
      </c>
      <c r="P311">
        <f t="shared" si="94"/>
        <v>0</v>
      </c>
      <c r="Q311" t="str">
        <f>IFERROR(J144+MATCH(P311,J311:N311,0)-1,"")</f>
        <v/>
      </c>
      <c r="R311" t="str">
        <f t="shared" si="95"/>
        <v/>
      </c>
      <c r="S311" t="str">
        <f>IFERROR(J144+MATCH(R311,J311:N311,0)-1,"")</f>
        <v/>
      </c>
      <c r="T311" t="str">
        <f t="shared" si="96"/>
        <v/>
      </c>
      <c r="U311" t="str">
        <f t="shared" si="97"/>
        <v/>
      </c>
      <c r="V311" t="str">
        <f t="shared" si="98"/>
        <v/>
      </c>
      <c r="W311" t="str">
        <f t="shared" si="99"/>
        <v/>
      </c>
      <c r="X311" t="str">
        <f t="shared" si="100"/>
        <v/>
      </c>
      <c r="Y311" t="str">
        <f t="shared" si="101"/>
        <v/>
      </c>
      <c r="Z311" t="str">
        <f t="shared" si="102"/>
        <v/>
      </c>
      <c r="AA311">
        <f t="shared" si="103"/>
        <v>0</v>
      </c>
      <c r="AB311" t="str">
        <f>IFERROR(V144+MATCH(AA311,V311:Z311,0)-1,"")</f>
        <v/>
      </c>
      <c r="AC311" t="str">
        <f t="shared" si="104"/>
        <v/>
      </c>
      <c r="AE311">
        <f>IF(ISNUMBER(MATCH("N/A",J311:N311,0)),"",IFERROR((5 * SUMPRODUCT(J144:N144,J311:N311) - PRODUCT(SUM(J144:N144),SUM(J311:N311))) / ((5 * SUM((J144^2)+(K144^2)+(L144^2)+(M144^2)+(N144^2))) - SUM(J144:N144)^2),""))</f>
        <v>0</v>
      </c>
      <c r="AF311" t="str">
        <f>IFERROR(CORREL(J144:N144,J311:N311),"")</f>
        <v/>
      </c>
      <c r="AZ311">
        <f t="shared" si="105"/>
        <v>0</v>
      </c>
      <c r="BA311" t="str">
        <f>IF(AZ311=1,IF(Q311="","",IF(Q311=N144,"Yes","No")),"")</f>
        <v/>
      </c>
      <c r="BB311" t="str">
        <f t="shared" si="106"/>
        <v/>
      </c>
      <c r="BC311" t="str">
        <f>IF(AZ311=1,IF(S311="","",IF(S311=N144,"Yes","No")),"")</f>
        <v/>
      </c>
      <c r="BD311" t="str">
        <f t="shared" si="107"/>
        <v/>
      </c>
      <c r="BE311" t="str">
        <f t="shared" si="108"/>
        <v/>
      </c>
      <c r="BF311" t="str">
        <f t="shared" si="109"/>
        <v>No</v>
      </c>
      <c r="BG311" t="str">
        <f t="shared" si="110"/>
        <v>No</v>
      </c>
      <c r="BH311" t="str">
        <f t="shared" si="111"/>
        <v/>
      </c>
    </row>
    <row r="312" spans="1:60" x14ac:dyDescent="0.3">
      <c r="A312" s="1">
        <v>0</v>
      </c>
      <c r="B312" t="s">
        <v>805</v>
      </c>
      <c r="C312" t="s">
        <v>3020</v>
      </c>
      <c r="D312" t="s">
        <v>3021</v>
      </c>
      <c r="E312" t="s">
        <v>3022</v>
      </c>
      <c r="F312" t="s">
        <v>3023</v>
      </c>
      <c r="G312" t="s">
        <v>2996</v>
      </c>
      <c r="I312" t="str">
        <f t="shared" ref="I312:I327" si="112">IF(AND(K312&gt; J312, L312&gt; K312, M312&gt; L312, N312&gt; M312), "pos_trend", IF(AND(K312&lt; J312, L312&lt; K312, M312&lt; L312, N312&lt; M312), "neg_trend", "N/A"))</f>
        <v>N/A</v>
      </c>
      <c r="J312">
        <f t="shared" ref="J312:J327" si="113">IFERROR(IF(TRIM(C312)="-", "N/A", IF(RIGHT(C312,1)=")",IF(RIGHT(C312,2)="T)",-1000000000000*VALUE(MID(C312,2,LEN(C312)-3)),IF(RIGHT(C312,2)="M)",-1000000*VALUE(MID(C312,2,LEN(C312)-3)),IF(RIGHT(C312,2)="B)",-1000000000*VALUE(MID(C312,2,LEN(C312)-3)),IF(RIGHT(C312,2)="k)",-1000*VALUE(MID(C312,2,LEN(C312)-3)),VALUE(SUBSTITUTE(C312,",","")))))),IF(RIGHT(C312,1)="T",1000000000000*VALUE(LEFT(C312,LEN(C312)-1)),IF(RIGHT(C312,1)="M",1000000*VALUE(LEFT(C312,LEN(C312)-1)),IF(RIGHT(C312,1)="B",1000000000*VALUE(LEFT(C312,LEN(C312)-1)),IF(RIGHT(C312,1)="%",0.01*VALUE(LEFT(C312,LEN(C312)-1)),IF(RIGHT(C312,1)="k",1000*VALUE(LEFT(C312,LEN(C312)-1)),VALUE(SUBSTITUTE(C312,",",""))))))))),"N/A")</f>
        <v>-18170000</v>
      </c>
      <c r="K312">
        <f t="shared" ref="K312:K327" si="114">IFERROR(IF(TRIM(D312)="-", "N/A", IF(RIGHT(D312,1)=")",IF(RIGHT(D312,2)="T)",-1000000000000*VALUE(MID(D312,2,LEN(D312)-3)),IF(RIGHT(D312,2)="M)",-1000000*VALUE(MID(D312,2,LEN(D312)-3)),IF(RIGHT(D312,2)="B)",-1000000000*VALUE(MID(D312,2,LEN(D312)-3)),IF(RIGHT(D312,2)="k)",-1000*VALUE(MID(D312,2,LEN(D312)-3)),VALUE(SUBSTITUTE(D312,",","")))))),IF(RIGHT(D312,1)="T",1000000000000*VALUE(LEFT(D312,LEN(D312)-1)),IF(RIGHT(D312,1)="M",1000000*VALUE(LEFT(D312,LEN(D312)-1)),IF(RIGHT(D312,1)="B",1000000000*VALUE(LEFT(D312,LEN(D312)-1)),IF(RIGHT(D312,1)="%",0.01*VALUE(LEFT(D312,LEN(D312)-1)),IF(RIGHT(D312,1)="k",1000*VALUE(LEFT(D312,LEN(D312)-1)),VALUE(SUBSTITUTE(D312,",",""))))))))),"N/A")</f>
        <v>-17330000</v>
      </c>
      <c r="L312">
        <f t="shared" ref="L312:L327" si="115">IFERROR(IF(TRIM(E312)="-", "N/A", IF(RIGHT(E312,1)=")",IF(RIGHT(E312,2)="T)",-1000000000000*VALUE(MID(E312,2,LEN(E312)-3)),IF(RIGHT(E312,2)="M)",-1000000*VALUE(MID(E312,2,LEN(E312)-3)),IF(RIGHT(E312,2)="B)",-1000000000*VALUE(MID(E312,2,LEN(E312)-3)),IF(RIGHT(E312,2)="k)",-1000*VALUE(MID(E312,2,LEN(E312)-3)),VALUE(SUBSTITUTE(E312,",","")))))),IF(RIGHT(E312,1)="T",1000000000000*VALUE(LEFT(E312,LEN(E312)-1)),IF(RIGHT(E312,1)="M",1000000*VALUE(LEFT(E312,LEN(E312)-1)),IF(RIGHT(E312,1)="B",1000000000*VALUE(LEFT(E312,LEN(E312)-1)),IF(RIGHT(E312,1)="%",0.01*VALUE(LEFT(E312,LEN(E312)-1)),IF(RIGHT(E312,1)="k",1000*VALUE(LEFT(E312,LEN(E312)-1)),VALUE(SUBSTITUTE(E312,",",""))))))))),"N/A")</f>
        <v>-12810000</v>
      </c>
      <c r="M312">
        <f t="shared" ref="M312:M327" si="116">IFERROR(IF(TRIM(F312)="-", "N/A", IF(RIGHT(F312,1)=")",IF(RIGHT(F312,2)="T)",-1000000000000*VALUE(MID(F312,2,LEN(F312)-3)),IF(RIGHT(F312,2)="M)",-1000000*VALUE(MID(F312,2,LEN(F312)-3)),IF(RIGHT(F312,2)="B)",-1000000000*VALUE(MID(F312,2,LEN(F312)-3)),IF(RIGHT(F312,2)="k)",-1000*VALUE(MID(F312,2,LEN(F312)-3)),VALUE(SUBSTITUTE(F312,",","")))))),IF(RIGHT(F312,1)="T",1000000000000*VALUE(LEFT(F312,LEN(F312)-1)),IF(RIGHT(F312,1)="M",1000000*VALUE(LEFT(F312,LEN(F312)-1)),IF(RIGHT(F312,1)="B",1000000000*VALUE(LEFT(F312,LEN(F312)-1)),IF(RIGHT(F312,1)="%",0.01*VALUE(LEFT(F312,LEN(F312)-1)),IF(RIGHT(F312,1)="k",1000*VALUE(LEFT(F312,LEN(F312)-1)),VALUE(SUBSTITUTE(F312,",",""))))))))),"N/A")</f>
        <v>-12710000</v>
      </c>
      <c r="N312">
        <f t="shared" ref="N312:N327" si="117">IFERROR(IF(TRIM(G312)="-", "N/A", IF(RIGHT(G312,1)=")",IF(RIGHT(G312,2)="T)",-1000000000000*VALUE(MID(G312,2,LEN(G312)-3)),IF(RIGHT(G312,2)="M)",-1000000*VALUE(MID(G312,2,LEN(G312)-3)),IF(RIGHT(G312,2)="B)",-1000000000*VALUE(MID(G312,2,LEN(G312)-3)),IF(RIGHT(G312,2)="k)",-1000*VALUE(MID(G312,2,LEN(G312)-3)),VALUE(SUBSTITUTE(G312,",","")))))),IF(RIGHT(G312,1)="T",1000000000000*VALUE(LEFT(G312,LEN(G312)-1)),IF(RIGHT(G312,1)="M",1000000*VALUE(LEFT(G312,LEN(G312)-1)),IF(RIGHT(G312,1)="B",1000000000*VALUE(LEFT(G312,LEN(G312)-1)),IF(RIGHT(G312,1)="%",0.01*VALUE(LEFT(G312,LEN(G312)-1)),IF(RIGHT(G312,1)="k",1000*VALUE(LEFT(G312,LEN(G312)-1)),VALUE(SUBSTITUTE(G312,",",""))))))))),"N/A")</f>
        <v>-14690000</v>
      </c>
      <c r="P312">
        <f t="shared" si="94"/>
        <v>-12710000</v>
      </c>
      <c r="Q312">
        <f>IFERROR(J144+MATCH(P312,J312:N312,0)-1,"")</f>
        <v>2015</v>
      </c>
      <c r="R312">
        <f t="shared" si="95"/>
        <v>-18170000</v>
      </c>
      <c r="S312">
        <f>IFERROR(J144+MATCH(R312,J312:N312,0)-1,"")</f>
        <v>2012</v>
      </c>
      <c r="T312">
        <f t="shared" si="96"/>
        <v>-15142000</v>
      </c>
      <c r="U312">
        <f t="shared" si="97"/>
        <v>2525533.6069828887</v>
      </c>
      <c r="V312">
        <f t="shared" si="98"/>
        <v>-1.1989545463294704</v>
      </c>
      <c r="W312">
        <f t="shared" si="99"/>
        <v>-0.86635156782327638</v>
      </c>
      <c r="X312">
        <f t="shared" si="100"/>
        <v>0.92336922128148113</v>
      </c>
      <c r="Y312">
        <f t="shared" si="101"/>
        <v>0.96296481396078992</v>
      </c>
      <c r="Z312">
        <f t="shared" si="102"/>
        <v>0.17897207891047576</v>
      </c>
      <c r="AA312">
        <f t="shared" si="103"/>
        <v>-1.1989545463294704</v>
      </c>
      <c r="AB312">
        <f>IFERROR(V144+MATCH(AA312,V312:Z312,0)-1,"")</f>
        <v>2012</v>
      </c>
      <c r="AC312" t="str">
        <f t="shared" si="104"/>
        <v>Low</v>
      </c>
      <c r="AE312">
        <f>IF(ISNUMBER(MATCH("N/A",J312:N312,0)),"",IFERROR((5 * SUMPRODUCT(J144:N144,J312:N312) - PRODUCT(SUM(J144:N144),SUM(J312:N312))) / ((5 * SUM((J144^2)+(K144^2)+(L144^2)+(M144^2)+(N144^2))) - SUM(J144:N144)^2),""))</f>
        <v>1158000</v>
      </c>
      <c r="AF312">
        <f>IFERROR(CORREL(J144:N144,J312:N312),"")</f>
        <v>0.72497897480953888</v>
      </c>
      <c r="AZ312">
        <f t="shared" si="105"/>
        <v>1</v>
      </c>
      <c r="BA312" t="str">
        <f>IF(AZ312=1,IF(Q312="","",IF(Q312=N144,"Yes","No")),"")</f>
        <v>No</v>
      </c>
      <c r="BB312" t="str">
        <f t="shared" si="106"/>
        <v/>
      </c>
      <c r="BC312" t="str">
        <f>IF(AZ312=1,IF(S312="","",IF(S312=N144,"Yes","No")),"")</f>
        <v>No</v>
      </c>
      <c r="BD312" t="str">
        <f t="shared" si="107"/>
        <v/>
      </c>
      <c r="BE312" t="str">
        <f t="shared" si="108"/>
        <v>Increasing</v>
      </c>
      <c r="BF312" t="str">
        <f t="shared" si="109"/>
        <v>No</v>
      </c>
      <c r="BG312" t="str">
        <f t="shared" si="110"/>
        <v>No</v>
      </c>
      <c r="BH312" t="str">
        <f t="shared" si="111"/>
        <v>No</v>
      </c>
    </row>
    <row r="313" spans="1:60" x14ac:dyDescent="0.3">
      <c r="A313" s="1">
        <v>1</v>
      </c>
      <c r="B313" t="s">
        <v>811</v>
      </c>
      <c r="C313" t="s">
        <v>3020</v>
      </c>
      <c r="D313" t="s">
        <v>3021</v>
      </c>
      <c r="E313" t="s">
        <v>3022</v>
      </c>
      <c r="F313" t="s">
        <v>3023</v>
      </c>
      <c r="G313" t="s">
        <v>2996</v>
      </c>
      <c r="I313" t="str">
        <f t="shared" si="112"/>
        <v>N/A</v>
      </c>
      <c r="J313">
        <f t="shared" si="113"/>
        <v>-18170000</v>
      </c>
      <c r="K313">
        <f t="shared" si="114"/>
        <v>-17330000</v>
      </c>
      <c r="L313">
        <f t="shared" si="115"/>
        <v>-12810000</v>
      </c>
      <c r="M313">
        <f t="shared" si="116"/>
        <v>-12710000</v>
      </c>
      <c r="N313">
        <f t="shared" si="117"/>
        <v>-14690000</v>
      </c>
      <c r="P313">
        <f t="shared" si="94"/>
        <v>-12710000</v>
      </c>
      <c r="Q313">
        <f>IFERROR(J144+MATCH(P313,J313:N313,0)-1,"")</f>
        <v>2015</v>
      </c>
      <c r="R313">
        <f t="shared" si="95"/>
        <v>-18170000</v>
      </c>
      <c r="S313">
        <f>IFERROR(J144+MATCH(R313,J313:N313,0)-1,"")</f>
        <v>2012</v>
      </c>
      <c r="T313">
        <f t="shared" si="96"/>
        <v>-15142000</v>
      </c>
      <c r="U313">
        <f t="shared" si="97"/>
        <v>2525533.6069828887</v>
      </c>
      <c r="V313">
        <f t="shared" si="98"/>
        <v>-1.1989545463294704</v>
      </c>
      <c r="W313">
        <f t="shared" si="99"/>
        <v>-0.86635156782327638</v>
      </c>
      <c r="X313">
        <f t="shared" si="100"/>
        <v>0.92336922128148113</v>
      </c>
      <c r="Y313">
        <f t="shared" si="101"/>
        <v>0.96296481396078992</v>
      </c>
      <c r="Z313">
        <f t="shared" si="102"/>
        <v>0.17897207891047576</v>
      </c>
      <c r="AA313">
        <f t="shared" si="103"/>
        <v>-1.1989545463294704</v>
      </c>
      <c r="AB313">
        <f>IFERROR(V144+MATCH(AA313,V313:Z313,0)-1,"")</f>
        <v>2012</v>
      </c>
      <c r="AC313" t="str">
        <f t="shared" si="104"/>
        <v>Low</v>
      </c>
      <c r="AE313">
        <f>IF(ISNUMBER(MATCH("N/A",J313:N313,0)),"",IFERROR((5 * SUMPRODUCT(J144:N144,J313:N313) - PRODUCT(SUM(J144:N144),SUM(J313:N313))) / ((5 * SUM((J144^2)+(K144^2)+(L144^2)+(M144^2)+(N144^2))) - SUM(J144:N144)^2),""))</f>
        <v>1158000</v>
      </c>
      <c r="AF313">
        <f>IFERROR(CORREL(J144:N144,J313:N313),"")</f>
        <v>0.72497897480953888</v>
      </c>
      <c r="AZ313">
        <f t="shared" si="105"/>
        <v>1</v>
      </c>
      <c r="BA313" t="str">
        <f>IF(AZ313=1,IF(Q313="","",IF(Q313=N144,"Yes","No")),"")</f>
        <v>No</v>
      </c>
      <c r="BB313" t="str">
        <f t="shared" si="106"/>
        <v/>
      </c>
      <c r="BC313" t="str">
        <f>IF(AZ313=1,IF(S313="","",IF(S313=N144,"Yes","No")),"")</f>
        <v>No</v>
      </c>
      <c r="BD313" t="str">
        <f t="shared" si="107"/>
        <v/>
      </c>
      <c r="BE313" t="str">
        <f t="shared" si="108"/>
        <v>Increasing</v>
      </c>
      <c r="BF313" t="str">
        <f t="shared" si="109"/>
        <v>No</v>
      </c>
      <c r="BG313" t="str">
        <f t="shared" si="110"/>
        <v>No</v>
      </c>
      <c r="BH313" t="str">
        <f t="shared" si="111"/>
        <v>No</v>
      </c>
    </row>
    <row r="314" spans="1:60" x14ac:dyDescent="0.3">
      <c r="A314" s="1">
        <v>2</v>
      </c>
      <c r="B314" t="s">
        <v>812</v>
      </c>
      <c r="C314" t="s">
        <v>264</v>
      </c>
      <c r="D314" t="s">
        <v>264</v>
      </c>
      <c r="E314" t="s">
        <v>264</v>
      </c>
      <c r="F314" t="s">
        <v>264</v>
      </c>
      <c r="G314" t="s">
        <v>264</v>
      </c>
      <c r="I314" t="str">
        <f t="shared" si="112"/>
        <v>N/A</v>
      </c>
      <c r="J314" t="str">
        <f t="shared" si="113"/>
        <v>N/A</v>
      </c>
      <c r="K314" t="str">
        <f t="shared" si="114"/>
        <v>N/A</v>
      </c>
      <c r="L314" t="str">
        <f t="shared" si="115"/>
        <v>N/A</v>
      </c>
      <c r="M314" t="str">
        <f t="shared" si="116"/>
        <v>N/A</v>
      </c>
      <c r="N314" t="str">
        <f t="shared" si="117"/>
        <v>N/A</v>
      </c>
      <c r="P314">
        <f t="shared" si="94"/>
        <v>0</v>
      </c>
      <c r="Q314" t="str">
        <f>IFERROR(J144+MATCH(P314,J314:N314,0)-1,"")</f>
        <v/>
      </c>
      <c r="R314" t="str">
        <f t="shared" si="95"/>
        <v/>
      </c>
      <c r="S314" t="str">
        <f>IFERROR(J144+MATCH(R314,J314:N314,0)-1,"")</f>
        <v/>
      </c>
      <c r="T314" t="str">
        <f t="shared" si="96"/>
        <v/>
      </c>
      <c r="U314" t="str">
        <f t="shared" si="97"/>
        <v/>
      </c>
      <c r="V314" t="str">
        <f t="shared" si="98"/>
        <v/>
      </c>
      <c r="W314" t="str">
        <f t="shared" si="99"/>
        <v/>
      </c>
      <c r="X314" t="str">
        <f t="shared" si="100"/>
        <v/>
      </c>
      <c r="Y314" t="str">
        <f t="shared" si="101"/>
        <v/>
      </c>
      <c r="Z314" t="str">
        <f t="shared" si="102"/>
        <v/>
      </c>
      <c r="AA314">
        <f t="shared" si="103"/>
        <v>0</v>
      </c>
      <c r="AB314" t="str">
        <f>IFERROR(V144+MATCH(AA314,V314:Z314,0)-1,"")</f>
        <v/>
      </c>
      <c r="AC314" t="str">
        <f t="shared" si="104"/>
        <v/>
      </c>
      <c r="AE314" t="str">
        <f>IF(ISNUMBER(MATCH("N/A",J314:N314,0)),"",IFERROR((5 * SUMPRODUCT(J144:N144,J314:N314) - PRODUCT(SUM(J144:N144),SUM(J314:N314))) / ((5 * SUM((J144^2)+(K144^2)+(L144^2)+(M144^2)+(N144^2))) - SUM(J144:N144)^2),""))</f>
        <v/>
      </c>
      <c r="AF314" t="str">
        <f>IFERROR(CORREL(J144:N144,J314:N314),"")</f>
        <v/>
      </c>
      <c r="AZ314">
        <f t="shared" si="105"/>
        <v>0</v>
      </c>
      <c r="BA314" t="str">
        <f>IF(AZ314=1,IF(Q314="","",IF(Q314=N144,"Yes","No")),"")</f>
        <v/>
      </c>
      <c r="BB314" t="str">
        <f t="shared" si="106"/>
        <v/>
      </c>
      <c r="BC314" t="str">
        <f>IF(AZ314=1,IF(S314="","",IF(S314=N144,"Yes","No")),"")</f>
        <v/>
      </c>
      <c r="BD314" t="str">
        <f t="shared" si="107"/>
        <v/>
      </c>
      <c r="BE314" t="str">
        <f t="shared" si="108"/>
        <v/>
      </c>
      <c r="BF314" t="str">
        <f t="shared" si="109"/>
        <v>No</v>
      </c>
      <c r="BG314" t="str">
        <f t="shared" si="110"/>
        <v>No</v>
      </c>
      <c r="BH314" t="str">
        <f t="shared" si="111"/>
        <v/>
      </c>
    </row>
    <row r="315" spans="1:60" x14ac:dyDescent="0.3">
      <c r="A315" s="1">
        <v>3</v>
      </c>
      <c r="B315" t="s">
        <v>813</v>
      </c>
      <c r="C315" t="s">
        <v>264</v>
      </c>
      <c r="D315" t="s">
        <v>3024</v>
      </c>
      <c r="E315" t="s">
        <v>3025</v>
      </c>
      <c r="F315" t="s">
        <v>3026</v>
      </c>
      <c r="G315" t="s">
        <v>1829</v>
      </c>
      <c r="I315" t="str">
        <f t="shared" si="112"/>
        <v>N/A</v>
      </c>
      <c r="J315" t="str">
        <f t="shared" si="113"/>
        <v>N/A</v>
      </c>
      <c r="K315">
        <f t="shared" si="114"/>
        <v>4.6300000000000001E-2</v>
      </c>
      <c r="L315">
        <f t="shared" si="115"/>
        <v>0.26069999999999999</v>
      </c>
      <c r="M315">
        <f t="shared" si="116"/>
        <v>7.7000000000000002E-3</v>
      </c>
      <c r="N315">
        <f t="shared" si="117"/>
        <v>-0.15579999999999999</v>
      </c>
      <c r="P315">
        <f t="shared" si="94"/>
        <v>0.26069999999999999</v>
      </c>
      <c r="Q315">
        <f>IFERROR(J144+MATCH(P315,J315:N315,0)-1,"")</f>
        <v>2014</v>
      </c>
      <c r="R315">
        <f t="shared" si="95"/>
        <v>-0.15579999999999999</v>
      </c>
      <c r="S315">
        <f>IFERROR(J144+MATCH(R315,J315:N315,0)-1,"")</f>
        <v>2016</v>
      </c>
      <c r="T315">
        <f t="shared" si="96"/>
        <v>3.9724999999999996E-2</v>
      </c>
      <c r="U315">
        <f t="shared" si="97"/>
        <v>0.17139506750973513</v>
      </c>
      <c r="V315" t="str">
        <f t="shared" si="98"/>
        <v/>
      </c>
      <c r="W315">
        <f t="shared" si="99"/>
        <v>3.8361664052126522E-2</v>
      </c>
      <c r="X315">
        <f t="shared" si="100"/>
        <v>1.2892728082005553</v>
      </c>
      <c r="Y315">
        <f t="shared" si="101"/>
        <v>-0.18684901768355147</v>
      </c>
      <c r="Z315">
        <f t="shared" si="102"/>
        <v>-1.1407854545691305</v>
      </c>
      <c r="AA315">
        <f t="shared" si="103"/>
        <v>1.2892728082005553</v>
      </c>
      <c r="AB315">
        <f>IFERROR(V144+MATCH(AA315,V315:Z315,0)-1,"")</f>
        <v>2014</v>
      </c>
      <c r="AC315" t="str">
        <f t="shared" si="104"/>
        <v>High</v>
      </c>
      <c r="AE315" t="str">
        <f>IF(ISNUMBER(MATCH("N/A",J315:N315,0)),"",IFERROR((5 * SUMPRODUCT(J144:N144,J315:N315) - PRODUCT(SUM(J144:N144),SUM(J315:N315))) / ((5 * SUM((J144^2)+(K144^2)+(L144^2)+(M144^2)+(N144^2))) - SUM(J144:N144)^2),""))</f>
        <v/>
      </c>
      <c r="AF315">
        <f>IFERROR(CORREL(J144:N144,J315:N315),"")</f>
        <v>-0.64724822360227341</v>
      </c>
      <c r="AZ315">
        <f t="shared" si="105"/>
        <v>1</v>
      </c>
      <c r="BA315" t="str">
        <f>IF(AZ315=1,IF(Q315="","",IF(Q315=N144,"Yes","No")),"")</f>
        <v>No</v>
      </c>
      <c r="BB315" t="str">
        <f t="shared" si="106"/>
        <v/>
      </c>
      <c r="BC315" t="str">
        <f>IF(AZ315=1,IF(S315="","",IF(S315=N144,"Yes","No")),"")</f>
        <v>Yes</v>
      </c>
      <c r="BD315">
        <f t="shared" si="107"/>
        <v>-0.15579999999999999</v>
      </c>
      <c r="BE315" t="str">
        <f t="shared" si="108"/>
        <v/>
      </c>
      <c r="BF315" t="str">
        <f t="shared" si="109"/>
        <v>No</v>
      </c>
      <c r="BG315" t="str">
        <f t="shared" si="110"/>
        <v>No</v>
      </c>
      <c r="BH315" t="str">
        <f t="shared" si="111"/>
        <v>No</v>
      </c>
    </row>
    <row r="316" spans="1:60" x14ac:dyDescent="0.3">
      <c r="A316" s="1">
        <v>4</v>
      </c>
      <c r="B316" t="s">
        <v>818</v>
      </c>
      <c r="C316" t="s">
        <v>1551</v>
      </c>
      <c r="D316" t="s">
        <v>3027</v>
      </c>
      <c r="E316" t="s">
        <v>3028</v>
      </c>
      <c r="F316" t="s">
        <v>3029</v>
      </c>
      <c r="G316" t="s">
        <v>3030</v>
      </c>
      <c r="I316" t="str">
        <f t="shared" si="112"/>
        <v>N/A</v>
      </c>
      <c r="J316">
        <f t="shared" si="113"/>
        <v>-2.1499999999999998E-2</v>
      </c>
      <c r="K316">
        <f t="shared" si="114"/>
        <v>-2.0199999999999999E-2</v>
      </c>
      <c r="L316">
        <f t="shared" si="115"/>
        <v>-1.52E-2</v>
      </c>
      <c r="M316">
        <f t="shared" si="116"/>
        <v>-1.9400000000000001E-2</v>
      </c>
      <c r="N316">
        <f t="shared" si="117"/>
        <v>-2.4900000000000002E-2</v>
      </c>
      <c r="P316">
        <f t="shared" si="94"/>
        <v>-1.52E-2</v>
      </c>
      <c r="Q316">
        <f>IFERROR(J144+MATCH(P316,J316:N316,0)-1,"")</f>
        <v>2014</v>
      </c>
      <c r="R316">
        <f t="shared" si="95"/>
        <v>-2.4900000000000002E-2</v>
      </c>
      <c r="S316">
        <f>IFERROR(J144+MATCH(R316,J316:N316,0)-1,"")</f>
        <v>2016</v>
      </c>
      <c r="T316">
        <f t="shared" si="96"/>
        <v>-2.0240000000000001E-2</v>
      </c>
      <c r="U316">
        <f t="shared" si="97"/>
        <v>3.5146834850381626E-3</v>
      </c>
      <c r="V316">
        <f t="shared" si="98"/>
        <v>-0.35849600835004242</v>
      </c>
      <c r="W316">
        <f t="shared" si="99"/>
        <v>1.1380825661906655E-2</v>
      </c>
      <c r="X316">
        <f t="shared" si="100"/>
        <v>1.433984033400173</v>
      </c>
      <c r="Y316">
        <f t="shared" si="101"/>
        <v>0.23899733890002892</v>
      </c>
      <c r="Z316">
        <f t="shared" si="102"/>
        <v>-1.3258661896120647</v>
      </c>
      <c r="AA316">
        <f t="shared" si="103"/>
        <v>1.433984033400173</v>
      </c>
      <c r="AB316">
        <f>IFERROR(V144+MATCH(AA316,V316:Z316,0)-1,"")</f>
        <v>2014</v>
      </c>
      <c r="AC316" t="str">
        <f t="shared" si="104"/>
        <v>High</v>
      </c>
      <c r="AE316">
        <f>IF(ISNUMBER(MATCH("N/A",J316:N316,0)),"",IFERROR((5 * SUMPRODUCT(J144:N144,J316:N316) - PRODUCT(SUM(J144:N144),SUM(J316:N316))) / ((5 * SUM((J144^2)+(K144^2)+(L144^2)+(M144^2)+(N144^2))) - SUM(J144:N144)^2),""))</f>
        <v>-5.9999999999945427E-4</v>
      </c>
      <c r="AF316">
        <f>IFERROR(CORREL(J144:N144,J316:N316),"")</f>
        <v>-0.26991998058687622</v>
      </c>
      <c r="AZ316">
        <f t="shared" si="105"/>
        <v>1</v>
      </c>
      <c r="BA316" t="str">
        <f>IF(AZ316=1,IF(Q316="","",IF(Q316=N144,"Yes","No")),"")</f>
        <v>No</v>
      </c>
      <c r="BB316" t="str">
        <f t="shared" si="106"/>
        <v/>
      </c>
      <c r="BC316" t="str">
        <f>IF(AZ316=1,IF(S316="","",IF(S316=N144,"Yes","No")),"")</f>
        <v>Yes</v>
      </c>
      <c r="BD316">
        <f t="shared" si="107"/>
        <v>-2.4900000000000002E-2</v>
      </c>
      <c r="BE316" t="str">
        <f t="shared" si="108"/>
        <v>Decreasing</v>
      </c>
      <c r="BF316" t="str">
        <f t="shared" si="109"/>
        <v>Yes</v>
      </c>
      <c r="BG316" t="str">
        <f t="shared" si="110"/>
        <v>No</v>
      </c>
      <c r="BH316" t="str">
        <f t="shared" si="111"/>
        <v>No</v>
      </c>
    </row>
    <row r="317" spans="1:60" x14ac:dyDescent="0.3">
      <c r="A317" s="1">
        <v>5</v>
      </c>
      <c r="B317" t="s">
        <v>824</v>
      </c>
      <c r="C317" t="s">
        <v>264</v>
      </c>
      <c r="D317" t="s">
        <v>264</v>
      </c>
      <c r="E317" t="s">
        <v>264</v>
      </c>
      <c r="F317" t="s">
        <v>3031</v>
      </c>
      <c r="G317" t="s">
        <v>3032</v>
      </c>
      <c r="I317" t="str">
        <f t="shared" si="112"/>
        <v>N/A</v>
      </c>
      <c r="J317" t="str">
        <f t="shared" si="113"/>
        <v>N/A</v>
      </c>
      <c r="K317" t="str">
        <f t="shared" si="114"/>
        <v>N/A</v>
      </c>
      <c r="L317" t="str">
        <f t="shared" si="115"/>
        <v>N/A</v>
      </c>
      <c r="M317">
        <f t="shared" si="116"/>
        <v>-79980000</v>
      </c>
      <c r="N317">
        <f t="shared" si="117"/>
        <v>-197490000</v>
      </c>
      <c r="P317">
        <f t="shared" si="94"/>
        <v>-79980000</v>
      </c>
      <c r="Q317">
        <f>IFERROR(J144+MATCH(P317,J317:N317,0)-1,"")</f>
        <v>2015</v>
      </c>
      <c r="R317">
        <f t="shared" si="95"/>
        <v>-197490000</v>
      </c>
      <c r="S317">
        <f>IFERROR(J144+MATCH(R317,J317:N317,0)-1,"")</f>
        <v>2016</v>
      </c>
      <c r="T317">
        <f t="shared" si="96"/>
        <v>-138735000</v>
      </c>
      <c r="U317">
        <f t="shared" si="97"/>
        <v>83092117.8572312</v>
      </c>
      <c r="V317" t="str">
        <f t="shared" si="98"/>
        <v/>
      </c>
      <c r="W317" t="str">
        <f t="shared" si="99"/>
        <v/>
      </c>
      <c r="X317" t="str">
        <f t="shared" si="100"/>
        <v/>
      </c>
      <c r="Y317">
        <f t="shared" si="101"/>
        <v>0.70710678118654757</v>
      </c>
      <c r="Z317">
        <f t="shared" si="102"/>
        <v>-0.70710678118654757</v>
      </c>
      <c r="AA317">
        <f t="shared" si="103"/>
        <v>-0.70710678118654757</v>
      </c>
      <c r="AB317">
        <f>IFERROR(V144+MATCH(AA317,V317:Z317,0)-1,"")</f>
        <v>2016</v>
      </c>
      <c r="AC317" t="str">
        <f t="shared" si="104"/>
        <v>Low</v>
      </c>
      <c r="AE317" t="str">
        <f>IF(ISNUMBER(MATCH("N/A",J317:N317,0)),"",IFERROR((5 * SUMPRODUCT(J144:N144,J317:N317) - PRODUCT(SUM(J144:N144),SUM(J317:N317))) / ((5 * SUM((J144^2)+(K144^2)+(L144^2)+(M144^2)+(N144^2))) - SUM(J144:N144)^2),""))</f>
        <v/>
      </c>
      <c r="AF317">
        <f>IFERROR(CORREL(J144:N144,J317:N317),"")</f>
        <v>-1</v>
      </c>
      <c r="AZ317">
        <f t="shared" si="105"/>
        <v>1</v>
      </c>
      <c r="BA317" t="str">
        <f>IF(AZ317=1,IF(Q317="","",IF(Q317=N144,"Yes","No")),"")</f>
        <v>No</v>
      </c>
      <c r="BB317" t="str">
        <f t="shared" si="106"/>
        <v/>
      </c>
      <c r="BC317" t="str">
        <f>IF(AZ317=1,IF(S317="","",IF(S317=N144,"Yes","No")),"")</f>
        <v>Yes</v>
      </c>
      <c r="BD317">
        <f t="shared" si="107"/>
        <v>-197490000</v>
      </c>
      <c r="BE317" t="str">
        <f t="shared" si="108"/>
        <v/>
      </c>
      <c r="BF317" t="str">
        <f t="shared" si="109"/>
        <v>No</v>
      </c>
      <c r="BG317" t="str">
        <f t="shared" si="110"/>
        <v>No</v>
      </c>
      <c r="BH317" t="str">
        <f t="shared" si="111"/>
        <v>Yes</v>
      </c>
    </row>
    <row r="318" spans="1:60" x14ac:dyDescent="0.3">
      <c r="A318" s="1">
        <v>6</v>
      </c>
      <c r="B318" t="s">
        <v>830</v>
      </c>
      <c r="C318" t="s">
        <v>3033</v>
      </c>
      <c r="D318" t="s">
        <v>3034</v>
      </c>
      <c r="E318" t="s">
        <v>3035</v>
      </c>
      <c r="F318" t="s">
        <v>3036</v>
      </c>
      <c r="G318" t="s">
        <v>3037</v>
      </c>
      <c r="I318" t="str">
        <f t="shared" si="112"/>
        <v>N/A</v>
      </c>
      <c r="J318">
        <f t="shared" si="113"/>
        <v>541000</v>
      </c>
      <c r="K318">
        <f t="shared" si="114"/>
        <v>664000</v>
      </c>
      <c r="L318">
        <f t="shared" si="115"/>
        <v>791000</v>
      </c>
      <c r="M318">
        <f t="shared" si="116"/>
        <v>4970000</v>
      </c>
      <c r="N318">
        <f t="shared" si="117"/>
        <v>1700000</v>
      </c>
      <c r="P318">
        <f t="shared" si="94"/>
        <v>4970000</v>
      </c>
      <c r="Q318">
        <f>IFERROR(J144+MATCH(P318,J318:N318,0)-1,"")</f>
        <v>2015</v>
      </c>
      <c r="R318">
        <f t="shared" si="95"/>
        <v>541000</v>
      </c>
      <c r="S318">
        <f>IFERROR(J144+MATCH(R318,J318:N318,0)-1,"")</f>
        <v>2012</v>
      </c>
      <c r="T318">
        <f t="shared" si="96"/>
        <v>1733200</v>
      </c>
      <c r="U318">
        <f t="shared" si="97"/>
        <v>1866162.291977844</v>
      </c>
      <c r="V318">
        <f t="shared" si="98"/>
        <v>-0.63885118948387498</v>
      </c>
      <c r="W318">
        <f t="shared" si="99"/>
        <v>-0.57294052323113498</v>
      </c>
      <c r="X318">
        <f t="shared" si="100"/>
        <v>-0.5048864206774929</v>
      </c>
      <c r="Y318">
        <f t="shared" si="101"/>
        <v>1.7344686546899903</v>
      </c>
      <c r="Z318">
        <f t="shared" si="102"/>
        <v>-1.7790521297487542E-2</v>
      </c>
      <c r="AA318">
        <f t="shared" si="103"/>
        <v>1.7344686546899903</v>
      </c>
      <c r="AB318">
        <f>IFERROR(V144+MATCH(AA318,V318:Z318,0)-1,"")</f>
        <v>2015</v>
      </c>
      <c r="AC318" t="str">
        <f t="shared" si="104"/>
        <v>High</v>
      </c>
      <c r="AE318">
        <f>IF(ISNUMBER(MATCH("N/A",J318:N318,0)),"",IFERROR((5 * SUMPRODUCT(J144:N144,J318:N318) - PRODUCT(SUM(J144:N144),SUM(J318:N318))) / ((5 * SUM((J144^2)+(K144^2)+(L144^2)+(M144^2)+(N144^2))) - SUM(J144:N144)^2),""))</f>
        <v>662400</v>
      </c>
      <c r="AF318">
        <f>IFERROR(CORREL(J144:N144,J318:N318),"")</f>
        <v>0.56123005247187885</v>
      </c>
      <c r="AZ318">
        <f t="shared" si="105"/>
        <v>1</v>
      </c>
      <c r="BA318" t="str">
        <f>IF(AZ318=1,IF(Q318="","",IF(Q318=N144,"Yes","No")),"")</f>
        <v>No</v>
      </c>
      <c r="BB318" t="str">
        <f t="shared" si="106"/>
        <v/>
      </c>
      <c r="BC318" t="str">
        <f>IF(AZ318=1,IF(S318="","",IF(S318=N144,"Yes","No")),"")</f>
        <v>No</v>
      </c>
      <c r="BD318" t="str">
        <f t="shared" si="107"/>
        <v/>
      </c>
      <c r="BE318" t="str">
        <f t="shared" si="108"/>
        <v>Increasing</v>
      </c>
      <c r="BF318" t="str">
        <f t="shared" si="109"/>
        <v>No</v>
      </c>
      <c r="BG318" t="str">
        <f t="shared" si="110"/>
        <v>No</v>
      </c>
      <c r="BH318" t="str">
        <f t="shared" si="111"/>
        <v>No</v>
      </c>
    </row>
    <row r="319" spans="1:60" x14ac:dyDescent="0.3">
      <c r="A319" s="1">
        <v>7</v>
      </c>
      <c r="B319" t="s">
        <v>836</v>
      </c>
      <c r="C319" t="s">
        <v>264</v>
      </c>
      <c r="D319" t="s">
        <v>264</v>
      </c>
      <c r="E319" t="s">
        <v>264</v>
      </c>
      <c r="F319" t="s">
        <v>264</v>
      </c>
      <c r="G319" t="s">
        <v>264</v>
      </c>
      <c r="I319" t="str">
        <f t="shared" si="112"/>
        <v>N/A</v>
      </c>
      <c r="J319" t="str">
        <f t="shared" si="113"/>
        <v>N/A</v>
      </c>
      <c r="K319" t="str">
        <f t="shared" si="114"/>
        <v>N/A</v>
      </c>
      <c r="L319" t="str">
        <f t="shared" si="115"/>
        <v>N/A</v>
      </c>
      <c r="M319" t="str">
        <f t="shared" si="116"/>
        <v>N/A</v>
      </c>
      <c r="N319" t="str">
        <f t="shared" si="117"/>
        <v>N/A</v>
      </c>
      <c r="P319">
        <f t="shared" si="94"/>
        <v>0</v>
      </c>
      <c r="Q319" t="str">
        <f>IFERROR(J144+MATCH(P319,J319:N319,0)-1,"")</f>
        <v/>
      </c>
      <c r="R319" t="str">
        <f t="shared" si="95"/>
        <v/>
      </c>
      <c r="S319" t="str">
        <f>IFERROR(J144+MATCH(R319,J319:N319,0)-1,"")</f>
        <v/>
      </c>
      <c r="T319" t="str">
        <f t="shared" si="96"/>
        <v/>
      </c>
      <c r="U319" t="str">
        <f t="shared" si="97"/>
        <v/>
      </c>
      <c r="V319" t="str">
        <f t="shared" si="98"/>
        <v/>
      </c>
      <c r="W319" t="str">
        <f t="shared" si="99"/>
        <v/>
      </c>
      <c r="X319" t="str">
        <f t="shared" si="100"/>
        <v/>
      </c>
      <c r="Y319" t="str">
        <f t="shared" si="101"/>
        <v/>
      </c>
      <c r="Z319" t="str">
        <f t="shared" si="102"/>
        <v/>
      </c>
      <c r="AA319">
        <f t="shared" si="103"/>
        <v>0</v>
      </c>
      <c r="AB319" t="str">
        <f>IFERROR(V144+MATCH(AA319,V319:Z319,0)-1,"")</f>
        <v/>
      </c>
      <c r="AC319" t="str">
        <f t="shared" si="104"/>
        <v/>
      </c>
      <c r="AE319" t="str">
        <f>IF(ISNUMBER(MATCH("N/A",J319:N319,0)),"",IFERROR((5 * SUMPRODUCT(J144:N144,J319:N319) - PRODUCT(SUM(J144:N144),SUM(J319:N319))) / ((5 * SUM((J144^2)+(K144^2)+(L144^2)+(M144^2)+(N144^2))) - SUM(J144:N144)^2),""))</f>
        <v/>
      </c>
      <c r="AF319" t="str">
        <f>IFERROR(CORREL(J144:N144,J319:N319),"")</f>
        <v/>
      </c>
      <c r="AZ319">
        <f t="shared" si="105"/>
        <v>0</v>
      </c>
      <c r="BA319" t="str">
        <f>IF(AZ319=1,IF(Q319="","",IF(Q319=N144,"Yes","No")),"")</f>
        <v/>
      </c>
      <c r="BB319" t="str">
        <f t="shared" si="106"/>
        <v/>
      </c>
      <c r="BC319" t="str">
        <f>IF(AZ319=1,IF(S319="","",IF(S319=N144,"Yes","No")),"")</f>
        <v/>
      </c>
      <c r="BD319" t="str">
        <f t="shared" si="107"/>
        <v/>
      </c>
      <c r="BE319" t="str">
        <f t="shared" si="108"/>
        <v/>
      </c>
      <c r="BF319" t="str">
        <f t="shared" si="109"/>
        <v>No</v>
      </c>
      <c r="BG319" t="str">
        <f t="shared" si="110"/>
        <v>No</v>
      </c>
      <c r="BH319" t="str">
        <f t="shared" si="111"/>
        <v/>
      </c>
    </row>
    <row r="320" spans="1:60" x14ac:dyDescent="0.3">
      <c r="A320" s="1">
        <v>8</v>
      </c>
      <c r="B320" t="s">
        <v>840</v>
      </c>
      <c r="C320" t="s">
        <v>264</v>
      </c>
      <c r="D320" t="s">
        <v>264</v>
      </c>
      <c r="E320" t="s">
        <v>264</v>
      </c>
      <c r="F320" t="s">
        <v>264</v>
      </c>
      <c r="G320" t="s">
        <v>264</v>
      </c>
      <c r="I320" t="str">
        <f t="shared" si="112"/>
        <v>N/A</v>
      </c>
      <c r="J320" t="str">
        <f t="shared" si="113"/>
        <v>N/A</v>
      </c>
      <c r="K320" t="str">
        <f t="shared" si="114"/>
        <v>N/A</v>
      </c>
      <c r="L320" t="str">
        <f t="shared" si="115"/>
        <v>N/A</v>
      </c>
      <c r="M320" t="str">
        <f t="shared" si="116"/>
        <v>N/A</v>
      </c>
      <c r="N320" t="str">
        <f t="shared" si="117"/>
        <v>N/A</v>
      </c>
      <c r="P320">
        <f t="shared" si="94"/>
        <v>0</v>
      </c>
      <c r="Q320" t="str">
        <f>IFERROR(J144+MATCH(P320,J320:N320,0)-1,"")</f>
        <v/>
      </c>
      <c r="R320" t="str">
        <f t="shared" si="95"/>
        <v/>
      </c>
      <c r="S320" t="str">
        <f>IFERROR(J144+MATCH(R320,J320:N320,0)-1,"")</f>
        <v/>
      </c>
      <c r="T320" t="str">
        <f t="shared" si="96"/>
        <v/>
      </c>
      <c r="U320" t="str">
        <f t="shared" si="97"/>
        <v/>
      </c>
      <c r="V320" t="str">
        <f t="shared" si="98"/>
        <v/>
      </c>
      <c r="W320" t="str">
        <f t="shared" si="99"/>
        <v/>
      </c>
      <c r="X320" t="str">
        <f t="shared" si="100"/>
        <v/>
      </c>
      <c r="Y320" t="str">
        <f t="shared" si="101"/>
        <v/>
      </c>
      <c r="Z320" t="str">
        <f t="shared" si="102"/>
        <v/>
      </c>
      <c r="AA320">
        <f t="shared" si="103"/>
        <v>0</v>
      </c>
      <c r="AB320" t="str">
        <f>IFERROR(V144+MATCH(AA320,V320:Z320,0)-1,"")</f>
        <v/>
      </c>
      <c r="AC320" t="str">
        <f t="shared" si="104"/>
        <v/>
      </c>
      <c r="AE320" t="str">
        <f>IF(ISNUMBER(MATCH("N/A",J320:N320,0)),"",IFERROR((5 * SUMPRODUCT(J144:N144,J320:N320) - PRODUCT(SUM(J144:N144),SUM(J320:N320))) / ((5 * SUM((J144^2)+(K144^2)+(L144^2)+(M144^2)+(N144^2))) - SUM(J144:N144)^2),""))</f>
        <v/>
      </c>
      <c r="AF320" t="str">
        <f>IFERROR(CORREL(J144:N144,J320:N320),"")</f>
        <v/>
      </c>
      <c r="AZ320">
        <f t="shared" si="105"/>
        <v>0</v>
      </c>
      <c r="BA320" t="str">
        <f>IF(AZ320=1,IF(Q320="","",IF(Q320=N144,"Yes","No")),"")</f>
        <v/>
      </c>
      <c r="BB320" t="str">
        <f t="shared" si="106"/>
        <v/>
      </c>
      <c r="BC320" t="str">
        <f>IF(AZ320=1,IF(S320="","",IF(S320=N144,"Yes","No")),"")</f>
        <v/>
      </c>
      <c r="BD320" t="str">
        <f t="shared" si="107"/>
        <v/>
      </c>
      <c r="BE320" t="str">
        <f t="shared" si="108"/>
        <v/>
      </c>
      <c r="BF320" t="str">
        <f t="shared" si="109"/>
        <v>No</v>
      </c>
      <c r="BG320" t="str">
        <f t="shared" si="110"/>
        <v>No</v>
      </c>
      <c r="BH320" t="str">
        <f t="shared" si="111"/>
        <v/>
      </c>
    </row>
    <row r="321" spans="1:60" x14ac:dyDescent="0.3">
      <c r="A321" s="1">
        <v>9</v>
      </c>
      <c r="B321" t="s">
        <v>843</v>
      </c>
      <c r="C321" t="s">
        <v>264</v>
      </c>
      <c r="D321" t="s">
        <v>264</v>
      </c>
      <c r="E321" t="s">
        <v>264</v>
      </c>
      <c r="F321" t="s">
        <v>264</v>
      </c>
      <c r="G321" t="s">
        <v>264</v>
      </c>
      <c r="I321" t="str">
        <f t="shared" si="112"/>
        <v>N/A</v>
      </c>
      <c r="J321" t="str">
        <f t="shared" si="113"/>
        <v>N/A</v>
      </c>
      <c r="K321" t="str">
        <f t="shared" si="114"/>
        <v>N/A</v>
      </c>
      <c r="L321" t="str">
        <f t="shared" si="115"/>
        <v>N/A</v>
      </c>
      <c r="M321" t="str">
        <f t="shared" si="116"/>
        <v>N/A</v>
      </c>
      <c r="N321" t="str">
        <f t="shared" si="117"/>
        <v>N/A</v>
      </c>
      <c r="P321">
        <f t="shared" si="94"/>
        <v>0</v>
      </c>
      <c r="Q321" t="str">
        <f>IFERROR(J144+MATCH(P321,J321:N321,0)-1,"")</f>
        <v/>
      </c>
      <c r="R321" t="str">
        <f t="shared" si="95"/>
        <v/>
      </c>
      <c r="S321" t="str">
        <f>IFERROR(J144+MATCH(R321,J321:N321,0)-1,"")</f>
        <v/>
      </c>
      <c r="T321" t="str">
        <f t="shared" si="96"/>
        <v/>
      </c>
      <c r="U321" t="str">
        <f t="shared" si="97"/>
        <v/>
      </c>
      <c r="V321" t="str">
        <f t="shared" si="98"/>
        <v/>
      </c>
      <c r="W321" t="str">
        <f t="shared" si="99"/>
        <v/>
      </c>
      <c r="X321" t="str">
        <f t="shared" si="100"/>
        <v/>
      </c>
      <c r="Y321" t="str">
        <f t="shared" si="101"/>
        <v/>
      </c>
      <c r="Z321" t="str">
        <f t="shared" si="102"/>
        <v/>
      </c>
      <c r="AA321">
        <f t="shared" si="103"/>
        <v>0</v>
      </c>
      <c r="AB321" t="str">
        <f>IFERROR(V144+MATCH(AA321,V321:Z321,0)-1,"")</f>
        <v/>
      </c>
      <c r="AC321" t="str">
        <f t="shared" si="104"/>
        <v/>
      </c>
      <c r="AE321" t="str">
        <f>IF(ISNUMBER(MATCH("N/A",J321:N321,0)),"",IFERROR((5 * SUMPRODUCT(J144:N144,J321:N321) - PRODUCT(SUM(J144:N144),SUM(J321:N321))) / ((5 * SUM((J144^2)+(K144^2)+(L144^2)+(M144^2)+(N144^2))) - SUM(J144:N144)^2),""))</f>
        <v/>
      </c>
      <c r="AF321" t="str">
        <f>IFERROR(CORREL(J144:N144,J321:N321),"")</f>
        <v/>
      </c>
      <c r="AZ321">
        <f t="shared" si="105"/>
        <v>0</v>
      </c>
      <c r="BA321" t="str">
        <f>IF(AZ321=1,IF(Q321="","",IF(Q321=N144,"Yes","No")),"")</f>
        <v/>
      </c>
      <c r="BB321" t="str">
        <f t="shared" si="106"/>
        <v/>
      </c>
      <c r="BC321" t="str">
        <f>IF(AZ321=1,IF(S321="","",IF(S321=N144,"Yes","No")),"")</f>
        <v/>
      </c>
      <c r="BD321" t="str">
        <f t="shared" si="107"/>
        <v/>
      </c>
      <c r="BE321" t="str">
        <f t="shared" si="108"/>
        <v/>
      </c>
      <c r="BF321" t="str">
        <f t="shared" si="109"/>
        <v>No</v>
      </c>
      <c r="BG321" t="str">
        <f t="shared" si="110"/>
        <v>No</v>
      </c>
      <c r="BH321" t="str">
        <f t="shared" si="111"/>
        <v/>
      </c>
    </row>
    <row r="322" spans="1:60" x14ac:dyDescent="0.3">
      <c r="A322" s="1">
        <v>10</v>
      </c>
      <c r="B322" t="s">
        <v>846</v>
      </c>
      <c r="C322" t="s">
        <v>264</v>
      </c>
      <c r="D322" t="s">
        <v>264</v>
      </c>
      <c r="E322" t="s">
        <v>264</v>
      </c>
      <c r="F322" t="s">
        <v>264</v>
      </c>
      <c r="G322" t="s">
        <v>264</v>
      </c>
      <c r="I322" t="str">
        <f t="shared" si="112"/>
        <v>N/A</v>
      </c>
      <c r="J322" t="str">
        <f t="shared" si="113"/>
        <v>N/A</v>
      </c>
      <c r="K322" t="str">
        <f t="shared" si="114"/>
        <v>N/A</v>
      </c>
      <c r="L322" t="str">
        <f t="shared" si="115"/>
        <v>N/A</v>
      </c>
      <c r="M322" t="str">
        <f t="shared" si="116"/>
        <v>N/A</v>
      </c>
      <c r="N322" t="str">
        <f t="shared" si="117"/>
        <v>N/A</v>
      </c>
      <c r="P322">
        <f t="shared" si="94"/>
        <v>0</v>
      </c>
      <c r="Q322" t="str">
        <f>IFERROR(J144+MATCH(P322,J322:N322,0)-1,"")</f>
        <v/>
      </c>
      <c r="R322" t="str">
        <f t="shared" si="95"/>
        <v/>
      </c>
      <c r="S322" t="str">
        <f>IFERROR(J144+MATCH(R322,J322:N322,0)-1,"")</f>
        <v/>
      </c>
      <c r="T322" t="str">
        <f t="shared" si="96"/>
        <v/>
      </c>
      <c r="U322" t="str">
        <f t="shared" si="97"/>
        <v/>
      </c>
      <c r="V322" t="str">
        <f t="shared" si="98"/>
        <v/>
      </c>
      <c r="W322" t="str">
        <f t="shared" si="99"/>
        <v/>
      </c>
      <c r="X322" t="str">
        <f t="shared" si="100"/>
        <v/>
      </c>
      <c r="Y322" t="str">
        <f t="shared" si="101"/>
        <v/>
      </c>
      <c r="Z322" t="str">
        <f t="shared" si="102"/>
        <v/>
      </c>
      <c r="AA322">
        <f t="shared" si="103"/>
        <v>0</v>
      </c>
      <c r="AB322" t="str">
        <f>IFERROR(V144+MATCH(AA322,V322:Z322,0)-1,"")</f>
        <v/>
      </c>
      <c r="AC322" t="str">
        <f t="shared" si="104"/>
        <v/>
      </c>
      <c r="AE322" t="str">
        <f>IF(ISNUMBER(MATCH("N/A",J322:N322,0)),"",IFERROR((5 * SUMPRODUCT(J144:N144,J322:N322) - PRODUCT(SUM(J144:N144),SUM(J322:N322))) / ((5 * SUM((J144^2)+(K144^2)+(L144^2)+(M144^2)+(N144^2))) - SUM(J144:N144)^2),""))</f>
        <v/>
      </c>
      <c r="AF322" t="str">
        <f>IFERROR(CORREL(J144:N144,J322:N322),"")</f>
        <v/>
      </c>
      <c r="AZ322">
        <f t="shared" si="105"/>
        <v>0</v>
      </c>
      <c r="BA322" t="str">
        <f>IF(AZ322=1,IF(Q322="","",IF(Q322=N144,"Yes","No")),"")</f>
        <v/>
      </c>
      <c r="BB322" t="str">
        <f t="shared" si="106"/>
        <v/>
      </c>
      <c r="BC322" t="str">
        <f>IF(AZ322=1,IF(S322="","",IF(S322=N144,"Yes","No")),"")</f>
        <v/>
      </c>
      <c r="BD322" t="str">
        <f t="shared" si="107"/>
        <v/>
      </c>
      <c r="BE322" t="str">
        <f t="shared" si="108"/>
        <v/>
      </c>
      <c r="BF322" t="str">
        <f t="shared" si="109"/>
        <v>No</v>
      </c>
      <c r="BG322" t="str">
        <f t="shared" si="110"/>
        <v>No</v>
      </c>
      <c r="BH322" t="str">
        <f t="shared" si="111"/>
        <v/>
      </c>
    </row>
    <row r="323" spans="1:60" x14ac:dyDescent="0.3">
      <c r="A323" s="1">
        <v>11</v>
      </c>
      <c r="B323" t="s">
        <v>849</v>
      </c>
      <c r="C323" t="s">
        <v>264</v>
      </c>
      <c r="D323" t="s">
        <v>3038</v>
      </c>
      <c r="E323" t="s">
        <v>3039</v>
      </c>
      <c r="F323" t="s">
        <v>264</v>
      </c>
      <c r="G323" t="s">
        <v>264</v>
      </c>
      <c r="I323" t="str">
        <f t="shared" si="112"/>
        <v>N/A</v>
      </c>
      <c r="J323" t="str">
        <f t="shared" si="113"/>
        <v>N/A</v>
      </c>
      <c r="K323">
        <f t="shared" si="114"/>
        <v>3400000</v>
      </c>
      <c r="L323">
        <f t="shared" si="115"/>
        <v>10180000</v>
      </c>
      <c r="M323" t="str">
        <f t="shared" si="116"/>
        <v>N/A</v>
      </c>
      <c r="N323" t="str">
        <f t="shared" si="117"/>
        <v>N/A</v>
      </c>
      <c r="P323">
        <f t="shared" si="94"/>
        <v>10180000</v>
      </c>
      <c r="Q323">
        <f>IFERROR(J144+MATCH(P323,J323:N323,0)-1,"")</f>
        <v>2014</v>
      </c>
      <c r="R323">
        <f t="shared" si="95"/>
        <v>3400000</v>
      </c>
      <c r="S323">
        <f>IFERROR(J144+MATCH(R323,J323:N323,0)-1,"")</f>
        <v>2013</v>
      </c>
      <c r="T323">
        <f t="shared" si="96"/>
        <v>6790000</v>
      </c>
      <c r="U323">
        <f t="shared" si="97"/>
        <v>4794183.976444792</v>
      </c>
      <c r="V323" t="str">
        <f t="shared" si="98"/>
        <v/>
      </c>
      <c r="W323">
        <f t="shared" si="99"/>
        <v>-0.70710678118654757</v>
      </c>
      <c r="X323">
        <f t="shared" si="100"/>
        <v>0.70710678118654757</v>
      </c>
      <c r="Y323" t="str">
        <f t="shared" si="101"/>
        <v/>
      </c>
      <c r="Z323" t="str">
        <f t="shared" si="102"/>
        <v/>
      </c>
      <c r="AA323">
        <f t="shared" si="103"/>
        <v>-0.70710678118654757</v>
      </c>
      <c r="AB323">
        <f>IFERROR(V144+MATCH(AA323,V323:Z323,0)-1,"")</f>
        <v>2013</v>
      </c>
      <c r="AC323" t="str">
        <f t="shared" si="104"/>
        <v>Low</v>
      </c>
      <c r="AE323" t="str">
        <f>IF(ISNUMBER(MATCH("N/A",J323:N323,0)),"",IFERROR((5 * SUMPRODUCT(J144:N144,J323:N323) - PRODUCT(SUM(J144:N144),SUM(J323:N323))) / ((5 * SUM((J144^2)+(K144^2)+(L144^2)+(M144^2)+(N144^2))) - SUM(J144:N144)^2),""))</f>
        <v/>
      </c>
      <c r="AF323">
        <f>IFERROR(CORREL(J144:N144,J323:N323),"")</f>
        <v>1</v>
      </c>
      <c r="AZ323">
        <f t="shared" si="105"/>
        <v>1</v>
      </c>
      <c r="BA323" t="str">
        <f>IF(AZ323=1,IF(Q323="","",IF(Q323=N144,"Yes","No")),"")</f>
        <v>No</v>
      </c>
      <c r="BB323" t="str">
        <f t="shared" si="106"/>
        <v/>
      </c>
      <c r="BC323" t="str">
        <f>IF(AZ323=1,IF(S323="","",IF(S323=N144,"Yes","No")),"")</f>
        <v>No</v>
      </c>
      <c r="BD323" t="str">
        <f t="shared" si="107"/>
        <v/>
      </c>
      <c r="BE323" t="str">
        <f t="shared" si="108"/>
        <v/>
      </c>
      <c r="BF323" t="str">
        <f t="shared" si="109"/>
        <v>No</v>
      </c>
      <c r="BG323" t="str">
        <f t="shared" si="110"/>
        <v>No</v>
      </c>
      <c r="BH323" t="str">
        <f t="shared" si="111"/>
        <v>Yes</v>
      </c>
    </row>
    <row r="324" spans="1:60" x14ac:dyDescent="0.3">
      <c r="A324" s="1">
        <v>12</v>
      </c>
      <c r="B324" t="s">
        <v>852</v>
      </c>
      <c r="C324" t="s">
        <v>3040</v>
      </c>
      <c r="D324" t="s">
        <v>3041</v>
      </c>
      <c r="E324" t="s">
        <v>3042</v>
      </c>
      <c r="F324" t="s">
        <v>3043</v>
      </c>
      <c r="G324" t="s">
        <v>3044</v>
      </c>
      <c r="I324" t="str">
        <f t="shared" si="112"/>
        <v>N/A</v>
      </c>
      <c r="J324">
        <f t="shared" si="113"/>
        <v>-17630000</v>
      </c>
      <c r="K324">
        <f t="shared" si="114"/>
        <v>-13260000</v>
      </c>
      <c r="L324">
        <f t="shared" si="115"/>
        <v>-1840000</v>
      </c>
      <c r="M324">
        <f t="shared" si="116"/>
        <v>-87730000</v>
      </c>
      <c r="N324">
        <f t="shared" si="117"/>
        <v>-210480000</v>
      </c>
      <c r="P324">
        <f t="shared" si="94"/>
        <v>-1840000</v>
      </c>
      <c r="Q324">
        <f>IFERROR(J144+MATCH(P324,J324:N324,0)-1,"")</f>
        <v>2014</v>
      </c>
      <c r="R324">
        <f t="shared" si="95"/>
        <v>-210480000</v>
      </c>
      <c r="S324">
        <f>IFERROR(J144+MATCH(R324,J324:N324,0)-1,"")</f>
        <v>2016</v>
      </c>
      <c r="T324">
        <f t="shared" si="96"/>
        <v>-66188000</v>
      </c>
      <c r="U324">
        <f t="shared" si="97"/>
        <v>87441632.933059976</v>
      </c>
      <c r="V324">
        <f t="shared" si="98"/>
        <v>0.55531899818445829</v>
      </c>
      <c r="W324">
        <f t="shared" si="99"/>
        <v>0.60529519205706594</v>
      </c>
      <c r="X324">
        <f t="shared" si="100"/>
        <v>0.73589659572415511</v>
      </c>
      <c r="Y324">
        <f t="shared" si="101"/>
        <v>-0.24635861977201698</v>
      </c>
      <c r="Z324">
        <f t="shared" si="102"/>
        <v>-1.6501521661936622</v>
      </c>
      <c r="AA324">
        <f t="shared" si="103"/>
        <v>-1.6501521661936622</v>
      </c>
      <c r="AB324">
        <f>IFERROR(V144+MATCH(AA324,V324:Z324,0)-1,"")</f>
        <v>2016</v>
      </c>
      <c r="AC324" t="str">
        <f t="shared" si="104"/>
        <v>Low</v>
      </c>
      <c r="AE324">
        <f>IF(ISNUMBER(MATCH("N/A",J324:N324,0)),"",IFERROR((5 * SUMPRODUCT(J144:N144,J324:N324) - PRODUCT(SUM(J144:N144),SUM(J324:N324))) / ((5 * SUM((J144^2)+(K144^2)+(L144^2)+(M144^2)+(N144^2))) - SUM(J144:N144)^2),""))</f>
        <v>-46017000</v>
      </c>
      <c r="AF324">
        <f>IFERROR(CORREL(J144:N144,J324:N324),"")</f>
        <v>-0.83208951049306501</v>
      </c>
      <c r="AZ324">
        <f t="shared" si="105"/>
        <v>1</v>
      </c>
      <c r="BA324" t="str">
        <f>IF(AZ324=1,IF(Q324="","",IF(Q324=N144,"Yes","No")),"")</f>
        <v>No</v>
      </c>
      <c r="BB324" t="str">
        <f t="shared" si="106"/>
        <v/>
      </c>
      <c r="BC324" t="str">
        <f>IF(AZ324=1,IF(S324="","",IF(S324=N144,"Yes","No")),"")</f>
        <v>Yes</v>
      </c>
      <c r="BD324">
        <f t="shared" si="107"/>
        <v>-210480000</v>
      </c>
      <c r="BE324" t="str">
        <f t="shared" si="108"/>
        <v>Decreasing</v>
      </c>
      <c r="BF324" t="str">
        <f t="shared" si="109"/>
        <v>Yes</v>
      </c>
      <c r="BG324" t="str">
        <f t="shared" si="110"/>
        <v>No</v>
      </c>
      <c r="BH324" t="str">
        <f t="shared" si="111"/>
        <v>Yes</v>
      </c>
    </row>
    <row r="325" spans="1:60" x14ac:dyDescent="0.3">
      <c r="A325" s="1">
        <v>13</v>
      </c>
      <c r="B325" t="s">
        <v>858</v>
      </c>
      <c r="C325" t="s">
        <v>264</v>
      </c>
      <c r="D325" t="s">
        <v>3045</v>
      </c>
      <c r="E325" t="s">
        <v>3046</v>
      </c>
      <c r="F325" t="s">
        <v>3047</v>
      </c>
      <c r="G325" t="s">
        <v>3048</v>
      </c>
      <c r="I325" t="str">
        <f t="shared" si="112"/>
        <v>N/A</v>
      </c>
      <c r="J325" t="str">
        <f t="shared" si="113"/>
        <v>N/A</v>
      </c>
      <c r="K325">
        <f t="shared" si="114"/>
        <v>0.24760000000000001</v>
      </c>
      <c r="L325">
        <f t="shared" si="115"/>
        <v>0.86109999999999998</v>
      </c>
      <c r="M325">
        <f t="shared" si="116"/>
        <v>-46.625399999999999</v>
      </c>
      <c r="N325">
        <f t="shared" si="117"/>
        <v>-1.3993</v>
      </c>
      <c r="P325">
        <f t="shared" si="94"/>
        <v>0.86109999999999998</v>
      </c>
      <c r="Q325">
        <f>IFERROR(J144+MATCH(P325,J325:N325,0)-1,"")</f>
        <v>2014</v>
      </c>
      <c r="R325">
        <f t="shared" si="95"/>
        <v>-46.625399999999999</v>
      </c>
      <c r="S325">
        <f>IFERROR(J144+MATCH(R325,J325:N325,0)-1,"")</f>
        <v>2015</v>
      </c>
      <c r="T325">
        <f t="shared" si="96"/>
        <v>-11.728999999999999</v>
      </c>
      <c r="U325">
        <f t="shared" si="97"/>
        <v>23.283835599116109</v>
      </c>
      <c r="V325" t="str">
        <f t="shared" si="98"/>
        <v/>
      </c>
      <c r="W325">
        <f t="shared" si="99"/>
        <v>0.51437401492624568</v>
      </c>
      <c r="X325">
        <f t="shared" si="100"/>
        <v>0.54072276650492834</v>
      </c>
      <c r="Y325">
        <f t="shared" si="101"/>
        <v>-1.4987393228856469</v>
      </c>
      <c r="Z325">
        <f t="shared" si="102"/>
        <v>0.44364254145447285</v>
      </c>
      <c r="AA325">
        <f t="shared" si="103"/>
        <v>-1.4987393228856469</v>
      </c>
      <c r="AB325">
        <f>IFERROR(V144+MATCH(AA325,V325:Z325,0)-1,"")</f>
        <v>2015</v>
      </c>
      <c r="AC325" t="str">
        <f t="shared" si="104"/>
        <v>Low</v>
      </c>
      <c r="AE325" t="str">
        <f>IF(ISNUMBER(MATCH("N/A",J325:N325,0)),"",IFERROR((5 * SUMPRODUCT(J144:N144,J325:N325) - PRODUCT(SUM(J144:N144),SUM(J325:N325))) / ((5 * SUM((J144^2)+(K144^2)+(L144^2)+(M144^2)+(N144^2))) - SUM(J144:N144)^2),""))</f>
        <v/>
      </c>
      <c r="AF325">
        <f>IFERROR(CORREL(J144:N144,J325:N325),"")</f>
        <v>-0.29068760546192479</v>
      </c>
      <c r="AZ325">
        <f t="shared" si="105"/>
        <v>1</v>
      </c>
      <c r="BA325" t="str">
        <f>IF(AZ325=1,IF(Q325="","",IF(Q325=N144,"Yes","No")),"")</f>
        <v>No</v>
      </c>
      <c r="BB325" t="str">
        <f t="shared" si="106"/>
        <v/>
      </c>
      <c r="BC325" t="str">
        <f>IF(AZ325=1,IF(S325="","",IF(S325=N144,"Yes","No")),"")</f>
        <v>No</v>
      </c>
      <c r="BD325" t="str">
        <f t="shared" si="107"/>
        <v/>
      </c>
      <c r="BE325" t="str">
        <f t="shared" si="108"/>
        <v/>
      </c>
      <c r="BF325" t="str">
        <f t="shared" si="109"/>
        <v>No</v>
      </c>
      <c r="BG325" t="str">
        <f t="shared" si="110"/>
        <v>No</v>
      </c>
      <c r="BH325" t="str">
        <f t="shared" si="111"/>
        <v>No</v>
      </c>
    </row>
    <row r="326" spans="1:60" x14ac:dyDescent="0.3">
      <c r="A326" s="1">
        <v>14</v>
      </c>
      <c r="B326" t="s">
        <v>863</v>
      </c>
      <c r="C326" t="s">
        <v>3049</v>
      </c>
      <c r="D326" t="s">
        <v>1636</v>
      </c>
      <c r="E326" t="s">
        <v>3050</v>
      </c>
      <c r="F326" t="s">
        <v>3051</v>
      </c>
      <c r="G326" t="s">
        <v>3052</v>
      </c>
      <c r="I326" t="str">
        <f t="shared" si="112"/>
        <v>N/A</v>
      </c>
      <c r="J326">
        <f t="shared" si="113"/>
        <v>-2.0800000000000003E-2</v>
      </c>
      <c r="K326">
        <f t="shared" si="114"/>
        <v>-1.5500000000000002E-2</v>
      </c>
      <c r="L326">
        <f t="shared" si="115"/>
        <v>-2.2000000000000001E-3</v>
      </c>
      <c r="M326">
        <f t="shared" si="116"/>
        <v>-0.13369999999999999</v>
      </c>
      <c r="N326">
        <f t="shared" si="117"/>
        <v>-0.35659999999999997</v>
      </c>
      <c r="P326">
        <f t="shared" si="94"/>
        <v>-2.2000000000000001E-3</v>
      </c>
      <c r="Q326">
        <f>IFERROR(J144+MATCH(P326,J326:N326,0)-1,"")</f>
        <v>2014</v>
      </c>
      <c r="R326">
        <f t="shared" si="95"/>
        <v>-0.35659999999999997</v>
      </c>
      <c r="S326">
        <f>IFERROR(J144+MATCH(R326,J326:N326,0)-1,"")</f>
        <v>2016</v>
      </c>
      <c r="T326">
        <f t="shared" si="96"/>
        <v>-0.10575999999999999</v>
      </c>
      <c r="U326">
        <f t="shared" si="97"/>
        <v>0.14982580885815366</v>
      </c>
      <c r="V326">
        <f t="shared" si="98"/>
        <v>0.5670585104628747</v>
      </c>
      <c r="W326">
        <f t="shared" si="99"/>
        <v>0.60243292319184405</v>
      </c>
      <c r="X326">
        <f t="shared" si="100"/>
        <v>0.69120267588906903</v>
      </c>
      <c r="Y326">
        <f t="shared" si="101"/>
        <v>-0.18648322483913271</v>
      </c>
      <c r="Z326">
        <f t="shared" si="102"/>
        <v>-1.6742108847046548</v>
      </c>
      <c r="AA326">
        <f t="shared" si="103"/>
        <v>-1.6742108847046548</v>
      </c>
      <c r="AB326">
        <f>IFERROR(V144+MATCH(AA326,V326:Z326,0)-1,"")</f>
        <v>2016</v>
      </c>
      <c r="AC326" t="str">
        <f t="shared" si="104"/>
        <v>Low</v>
      </c>
      <c r="AE326">
        <f>IF(ISNUMBER(MATCH("N/A",J326:N326,0)),"",IFERROR((5 * SUMPRODUCT(J144:N144,J326:N326) - PRODUCT(SUM(J144:N144),SUM(J326:N326))) / ((5 * SUM((J144^2)+(K144^2)+(L144^2)+(M144^2)+(N144^2))) - SUM(J144:N144)^2),""))</f>
        <v>-7.8979999999992292E-2</v>
      </c>
      <c r="AF326">
        <f>IFERROR(CORREL(J144:N144,J326:N326),"")</f>
        <v>-0.83349020940895979</v>
      </c>
      <c r="AZ326">
        <f t="shared" si="105"/>
        <v>1</v>
      </c>
      <c r="BA326" t="str">
        <f>IF(AZ326=1,IF(Q326="","",IF(Q326=N144,"Yes","No")),"")</f>
        <v>No</v>
      </c>
      <c r="BB326" t="str">
        <f t="shared" si="106"/>
        <v/>
      </c>
      <c r="BC326" t="str">
        <f>IF(AZ326=1,IF(S326="","",IF(S326=N144,"Yes","No")),"")</f>
        <v>Yes</v>
      </c>
      <c r="BD326">
        <f t="shared" si="107"/>
        <v>-0.35659999999999997</v>
      </c>
      <c r="BE326" t="str">
        <f t="shared" si="108"/>
        <v>Decreasing</v>
      </c>
      <c r="BF326" t="str">
        <f t="shared" si="109"/>
        <v>Yes</v>
      </c>
      <c r="BG326" t="str">
        <f t="shared" si="110"/>
        <v>No</v>
      </c>
      <c r="BH326" t="str">
        <f t="shared" si="111"/>
        <v>Yes</v>
      </c>
    </row>
    <row r="327" spans="1:60" x14ac:dyDescent="0.3">
      <c r="I327" t="str">
        <f t="shared" si="112"/>
        <v>N/A</v>
      </c>
      <c r="J327" t="str">
        <f t="shared" si="113"/>
        <v>N/A</v>
      </c>
      <c r="K327" t="str">
        <f t="shared" si="114"/>
        <v>N/A</v>
      </c>
      <c r="L327" t="str">
        <f t="shared" si="115"/>
        <v>N/A</v>
      </c>
      <c r="M327" t="str">
        <f t="shared" si="116"/>
        <v>N/A</v>
      </c>
      <c r="N327" t="str">
        <f t="shared" si="117"/>
        <v>N/A</v>
      </c>
      <c r="P327">
        <f t="shared" si="94"/>
        <v>0</v>
      </c>
      <c r="Q327" t="str">
        <f>IFERROR(J144+MATCH(P327,J327:N327,0)-1,"")</f>
        <v/>
      </c>
      <c r="R327" t="str">
        <f t="shared" si="95"/>
        <v/>
      </c>
      <c r="S327" t="str">
        <f>IFERROR(J144+MATCH(R327,J327:N327,0)-1,"")</f>
        <v/>
      </c>
      <c r="T327" t="str">
        <f t="shared" si="96"/>
        <v/>
      </c>
      <c r="U327" t="str">
        <f t="shared" si="97"/>
        <v/>
      </c>
      <c r="V327" t="str">
        <f t="shared" si="98"/>
        <v/>
      </c>
      <c r="W327" t="str">
        <f t="shared" si="99"/>
        <v/>
      </c>
      <c r="X327" t="str">
        <f t="shared" si="100"/>
        <v/>
      </c>
      <c r="Y327" t="str">
        <f t="shared" si="101"/>
        <v/>
      </c>
      <c r="Z327" t="str">
        <f t="shared" si="102"/>
        <v/>
      </c>
      <c r="AA327">
        <f t="shared" si="103"/>
        <v>0</v>
      </c>
      <c r="AB327" t="str">
        <f>IFERROR(V144+MATCH(AA327,V327:Z327,0)-1,"")</f>
        <v/>
      </c>
      <c r="AC327" t="str">
        <f t="shared" si="104"/>
        <v/>
      </c>
      <c r="AE327" t="str">
        <f>IF(ISNUMBER(MATCH("N/A",J327:N327,0)),"",IFERROR((5 * SUMPRODUCT(J144:N144,J327:N327) - PRODUCT(SUM(J144:N144),SUM(J327:N327))) / ((5 * SUM((J144^2)+(K144^2)+(L144^2)+(M144^2)+(N144^2))) - SUM(J144:N144)^2),""))</f>
        <v/>
      </c>
      <c r="AF327" t="str">
        <f>IFERROR(CORREL(J144:N144,J327:N327),"")</f>
        <v/>
      </c>
      <c r="AZ327">
        <f t="shared" si="105"/>
        <v>0</v>
      </c>
      <c r="BA327" t="str">
        <f>IF(AZ327=1,IF(Q327="","",IF(Q327=N144,"Yes","No")),"")</f>
        <v/>
      </c>
      <c r="BB327" t="str">
        <f t="shared" si="106"/>
        <v/>
      </c>
      <c r="BC327" t="str">
        <f>IF(AZ327=1,IF(S327="","",IF(S327=N144,"Yes","No")),"")</f>
        <v/>
      </c>
      <c r="BD327" t="str">
        <f t="shared" si="107"/>
        <v/>
      </c>
      <c r="BE327" t="str">
        <f t="shared" si="108"/>
        <v/>
      </c>
      <c r="BF327" t="str">
        <f t="shared" si="109"/>
        <v>No</v>
      </c>
      <c r="BG327" t="str">
        <f t="shared" si="110"/>
        <v>No</v>
      </c>
      <c r="BH327" t="str">
        <f t="shared" si="111"/>
        <v/>
      </c>
    </row>
    <row r="328" spans="1:60" x14ac:dyDescent="0.3">
      <c r="B328" s="1" t="s">
        <v>316</v>
      </c>
      <c r="C328" s="1" t="s">
        <v>252</v>
      </c>
      <c r="D328" s="1" t="s">
        <v>253</v>
      </c>
      <c r="E328" s="1" t="s">
        <v>254</v>
      </c>
      <c r="F328" s="1" t="s">
        <v>255</v>
      </c>
      <c r="G328" s="1" t="s">
        <v>256</v>
      </c>
      <c r="H328" s="1" t="s">
        <v>257</v>
      </c>
      <c r="P328">
        <f t="shared" si="94"/>
        <v>0</v>
      </c>
      <c r="Q328" t="str">
        <f>IFERROR(J144+MATCH(P328,J328:N328,0)-1,"")</f>
        <v/>
      </c>
      <c r="R328" t="str">
        <f t="shared" si="95"/>
        <v/>
      </c>
      <c r="S328" t="str">
        <f>IFERROR(J144+MATCH(R328,J328:N328,0)-1,"")</f>
        <v/>
      </c>
      <c r="T328" t="str">
        <f t="shared" si="96"/>
        <v/>
      </c>
      <c r="U328" t="str">
        <f t="shared" si="97"/>
        <v/>
      </c>
      <c r="V328" t="str">
        <f t="shared" si="98"/>
        <v/>
      </c>
      <c r="W328" t="str">
        <f t="shared" si="99"/>
        <v/>
      </c>
      <c r="X328" t="str">
        <f t="shared" si="100"/>
        <v/>
      </c>
      <c r="Y328" t="str">
        <f t="shared" si="101"/>
        <v/>
      </c>
      <c r="Z328" t="str">
        <f t="shared" si="102"/>
        <v/>
      </c>
      <c r="AA328">
        <f t="shared" si="103"/>
        <v>0</v>
      </c>
      <c r="AB328" t="str">
        <f>IFERROR(V144+MATCH(AA328,V328:Z328,0)-1,"")</f>
        <v/>
      </c>
      <c r="AC328" t="str">
        <f t="shared" si="104"/>
        <v/>
      </c>
      <c r="AE328">
        <f>IF(ISNUMBER(MATCH("N/A",J328:N328,0)),"",IFERROR((5 * SUMPRODUCT(J144:N144,J328:N328) - PRODUCT(SUM(J144:N144),SUM(J328:N328))) / ((5 * SUM((J144^2)+(K144^2)+(L144^2)+(M144^2)+(N144^2))) - SUM(J144:N144)^2),""))</f>
        <v>0</v>
      </c>
      <c r="AF328" t="str">
        <f>IFERROR(CORREL(J144:N144,J328:N328),"")</f>
        <v/>
      </c>
      <c r="AZ328">
        <f t="shared" si="105"/>
        <v>0</v>
      </c>
      <c r="BA328" t="str">
        <f>IF(AZ328=1,IF(Q328="","",IF(Q328=N144,"Yes","No")),"")</f>
        <v/>
      </c>
      <c r="BB328" t="str">
        <f t="shared" si="106"/>
        <v/>
      </c>
      <c r="BC328" t="str">
        <f>IF(AZ328=1,IF(S328="","",IF(S328=N144,"Yes","No")),"")</f>
        <v/>
      </c>
      <c r="BD328" t="str">
        <f t="shared" si="107"/>
        <v/>
      </c>
      <c r="BE328" t="str">
        <f t="shared" si="108"/>
        <v/>
      </c>
      <c r="BF328" t="str">
        <f t="shared" si="109"/>
        <v>No</v>
      </c>
      <c r="BG328" t="str">
        <f t="shared" si="110"/>
        <v>No</v>
      </c>
      <c r="BH328" t="str">
        <f t="shared" si="111"/>
        <v/>
      </c>
    </row>
    <row r="329" spans="1:60" x14ac:dyDescent="0.3">
      <c r="A329" s="1">
        <v>0</v>
      </c>
      <c r="B329" t="s">
        <v>868</v>
      </c>
      <c r="C329" t="s">
        <v>3053</v>
      </c>
      <c r="D329" t="s">
        <v>3054</v>
      </c>
      <c r="E329" t="s">
        <v>3055</v>
      </c>
      <c r="F329" t="s">
        <v>3056</v>
      </c>
      <c r="G329" t="s">
        <v>3057</v>
      </c>
      <c r="I329" t="str">
        <f t="shared" ref="I329:I360" si="118">IF(AND(K329&gt; J329, L329&gt; K329, M329&gt; L329, N329&gt; M329), "pos_trend", IF(AND(K329&lt; J329, L329&lt; K329, M329&lt; L329, N329&lt; M329), "neg_trend", "N/A"))</f>
        <v>N/A</v>
      </c>
      <c r="J329">
        <f t="shared" ref="J329:J360" si="119">IFERROR(IF(TRIM(C329)="-", "N/A", IF(RIGHT(C329,1)=")",IF(RIGHT(C329,2)="T)",-1000000000000*VALUE(MID(C329,2,LEN(C329)-3)),IF(RIGHT(C329,2)="M)",-1000000*VALUE(MID(C329,2,LEN(C329)-3)),IF(RIGHT(C329,2)="B)",-1000000000*VALUE(MID(C329,2,LEN(C329)-3)),IF(RIGHT(C329,2)="k)",-1000*VALUE(MID(C329,2,LEN(C329)-3)),VALUE(SUBSTITUTE(C329,",","")))))),IF(RIGHT(C329,1)="T",1000000000000*VALUE(LEFT(C329,LEN(C329)-1)),IF(RIGHT(C329,1)="M",1000000*VALUE(LEFT(C329,LEN(C329)-1)),IF(RIGHT(C329,1)="B",1000000000*VALUE(LEFT(C329,LEN(C329)-1)),IF(RIGHT(C329,1)="%",0.01*VALUE(LEFT(C329,LEN(C329)-1)),IF(RIGHT(C329,1)="k",1000*VALUE(LEFT(C329,LEN(C329)-1)),VALUE(SUBSTITUTE(C329,",",""))))))))),"N/A")</f>
        <v>-2660000</v>
      </c>
      <c r="K329">
        <f t="shared" ref="K329:K360" si="120">IFERROR(IF(TRIM(D329)="-", "N/A", IF(RIGHT(D329,1)=")",IF(RIGHT(D329,2)="T)",-1000000000000*VALUE(MID(D329,2,LEN(D329)-3)),IF(RIGHT(D329,2)="M)",-1000000*VALUE(MID(D329,2,LEN(D329)-3)),IF(RIGHT(D329,2)="B)",-1000000000*VALUE(MID(D329,2,LEN(D329)-3)),IF(RIGHT(D329,2)="k)",-1000*VALUE(MID(D329,2,LEN(D329)-3)),VALUE(SUBSTITUTE(D329,",","")))))),IF(RIGHT(D329,1)="T",1000000000000*VALUE(LEFT(D329,LEN(D329)-1)),IF(RIGHT(D329,1)="M",1000000*VALUE(LEFT(D329,LEN(D329)-1)),IF(RIGHT(D329,1)="B",1000000000*VALUE(LEFT(D329,LEN(D329)-1)),IF(RIGHT(D329,1)="%",0.01*VALUE(LEFT(D329,LEN(D329)-1)),IF(RIGHT(D329,1)="k",1000*VALUE(LEFT(D329,LEN(D329)-1)),VALUE(SUBSTITUTE(D329,",",""))))))))),"N/A")</f>
        <v>-2700000</v>
      </c>
      <c r="L329">
        <f t="shared" ref="L329:L360" si="121">IFERROR(IF(TRIM(E329)="-", "N/A", IF(RIGHT(E329,1)=")",IF(RIGHT(E329,2)="T)",-1000000000000*VALUE(MID(E329,2,LEN(E329)-3)),IF(RIGHT(E329,2)="M)",-1000000*VALUE(MID(E329,2,LEN(E329)-3)),IF(RIGHT(E329,2)="B)",-1000000000*VALUE(MID(E329,2,LEN(E329)-3)),IF(RIGHT(E329,2)="k)",-1000*VALUE(MID(E329,2,LEN(E329)-3)),VALUE(SUBSTITUTE(E329,",","")))))),IF(RIGHT(E329,1)="T",1000000000000*VALUE(LEFT(E329,LEN(E329)-1)),IF(RIGHT(E329,1)="M",1000000*VALUE(LEFT(E329,LEN(E329)-1)),IF(RIGHT(E329,1)="B",1000000000*VALUE(LEFT(E329,LEN(E329)-1)),IF(RIGHT(E329,1)="%",0.01*VALUE(LEFT(E329,LEN(E329)-1)),IF(RIGHT(E329,1)="k",1000*VALUE(LEFT(E329,LEN(E329)-1)),VALUE(SUBSTITUTE(E329,",",""))))))))),"N/A")</f>
        <v>-2680000</v>
      </c>
      <c r="M329">
        <f t="shared" ref="M329:M360" si="122">IFERROR(IF(TRIM(F329)="-", "N/A", IF(RIGHT(F329,1)=")",IF(RIGHT(F329,2)="T)",-1000000000000*VALUE(MID(F329,2,LEN(F329)-3)),IF(RIGHT(F329,2)="M)",-1000000*VALUE(MID(F329,2,LEN(F329)-3)),IF(RIGHT(F329,2)="B)",-1000000000*VALUE(MID(F329,2,LEN(F329)-3)),IF(RIGHT(F329,2)="k)",-1000*VALUE(MID(F329,2,LEN(F329)-3)),VALUE(SUBSTITUTE(F329,",","")))))),IF(RIGHT(F329,1)="T",1000000000000*VALUE(LEFT(F329,LEN(F329)-1)),IF(RIGHT(F329,1)="M",1000000*VALUE(LEFT(F329,LEN(F329)-1)),IF(RIGHT(F329,1)="B",1000000000*VALUE(LEFT(F329,LEN(F329)-1)),IF(RIGHT(F329,1)="%",0.01*VALUE(LEFT(F329,LEN(F329)-1)),IF(RIGHT(F329,1)="k",1000*VALUE(LEFT(F329,LEN(F329)-1)),VALUE(SUBSTITUTE(F329,",",""))))))))),"N/A")</f>
        <v>-2560000</v>
      </c>
      <c r="N329">
        <f t="shared" ref="N329:N360" si="123">IFERROR(IF(TRIM(G329)="-", "N/A", IF(RIGHT(G329,1)=")",IF(RIGHT(G329,2)="T)",-1000000000000*VALUE(MID(G329,2,LEN(G329)-3)),IF(RIGHT(G329,2)="M)",-1000000*VALUE(MID(G329,2,LEN(G329)-3)),IF(RIGHT(G329,2)="B)",-1000000000*VALUE(MID(G329,2,LEN(G329)-3)),IF(RIGHT(G329,2)="k)",-1000*VALUE(MID(G329,2,LEN(G329)-3)),VALUE(SUBSTITUTE(G329,",","")))))),IF(RIGHT(G329,1)="T",1000000000000*VALUE(LEFT(G329,LEN(G329)-1)),IF(RIGHT(G329,1)="M",1000000*VALUE(LEFT(G329,LEN(G329)-1)),IF(RIGHT(G329,1)="B",1000000000*VALUE(LEFT(G329,LEN(G329)-1)),IF(RIGHT(G329,1)="%",0.01*VALUE(LEFT(G329,LEN(G329)-1)),IF(RIGHT(G329,1)="k",1000*VALUE(LEFT(G329,LEN(G329)-1)),VALUE(SUBSTITUTE(G329,",",""))))))))),"N/A")</f>
        <v>-2500000</v>
      </c>
      <c r="P329">
        <f t="shared" si="94"/>
        <v>-2500000</v>
      </c>
      <c r="Q329">
        <f>IFERROR(J144+MATCH(P329,J329:N329,0)-1,"")</f>
        <v>2016</v>
      </c>
      <c r="R329">
        <f t="shared" si="95"/>
        <v>-2700000</v>
      </c>
      <c r="S329">
        <f>IFERROR(J144+MATCH(R329,J329:N329,0)-1,"")</f>
        <v>2013</v>
      </c>
      <c r="T329">
        <f t="shared" si="96"/>
        <v>-2620000</v>
      </c>
      <c r="U329">
        <f t="shared" si="97"/>
        <v>86023.252670426271</v>
      </c>
      <c r="V329">
        <f t="shared" si="98"/>
        <v>-0.46499055497527708</v>
      </c>
      <c r="W329">
        <f t="shared" si="99"/>
        <v>-0.92998110995055416</v>
      </c>
      <c r="X329">
        <f t="shared" si="100"/>
        <v>-0.69748583246291562</v>
      </c>
      <c r="Y329">
        <f t="shared" si="101"/>
        <v>0.69748583246291562</v>
      </c>
      <c r="Z329">
        <f t="shared" si="102"/>
        <v>1.3949716649258312</v>
      </c>
      <c r="AA329">
        <f t="shared" si="103"/>
        <v>1.3949716649258312</v>
      </c>
      <c r="AB329">
        <f>IFERROR(V144+MATCH(AA329,V329:Z329,0)-1,"")</f>
        <v>2016</v>
      </c>
      <c r="AC329" t="str">
        <f t="shared" si="104"/>
        <v>High</v>
      </c>
      <c r="AE329">
        <f>IF(ISNUMBER(MATCH("N/A",J329:N329,0)),"",IFERROR((5 * SUMPRODUCT(J144:N144,J329:N329) - PRODUCT(SUM(J144:N144),SUM(J329:N329))) / ((5 * SUM((J144^2)+(K144^2)+(L144^2)+(M144^2)+(N144^2))) - SUM(J144:N144)^2),""))</f>
        <v>46000</v>
      </c>
      <c r="AF329">
        <f>IFERROR(CORREL(J144:N144,J329:N329),"")</f>
        <v>0.8454968154078788</v>
      </c>
      <c r="AZ329">
        <f t="shared" si="105"/>
        <v>1</v>
      </c>
      <c r="BA329" t="str">
        <f>IF(AZ329=1,IF(Q329="","",IF(Q329=N144,"Yes","No")),"")</f>
        <v>Yes</v>
      </c>
      <c r="BB329">
        <f t="shared" si="106"/>
        <v>-2500000</v>
      </c>
      <c r="BC329" t="str">
        <f>IF(AZ329=1,IF(S329="","",IF(S329=N144,"Yes","No")),"")</f>
        <v>No</v>
      </c>
      <c r="BD329" t="str">
        <f t="shared" si="107"/>
        <v/>
      </c>
      <c r="BE329" t="str">
        <f t="shared" si="108"/>
        <v>Increasing</v>
      </c>
      <c r="BF329" t="str">
        <f t="shared" si="109"/>
        <v>Yes</v>
      </c>
      <c r="BG329" t="str">
        <f t="shared" si="110"/>
        <v>No</v>
      </c>
      <c r="BH329" t="str">
        <f t="shared" si="111"/>
        <v>Yes</v>
      </c>
    </row>
    <row r="330" spans="1:60" x14ac:dyDescent="0.3">
      <c r="A330" s="1">
        <v>1</v>
      </c>
      <c r="B330" t="s">
        <v>874</v>
      </c>
      <c r="C330" t="s">
        <v>3053</v>
      </c>
      <c r="D330" t="s">
        <v>3054</v>
      </c>
      <c r="E330" t="s">
        <v>3055</v>
      </c>
      <c r="F330" t="s">
        <v>3056</v>
      </c>
      <c r="G330" t="s">
        <v>3057</v>
      </c>
      <c r="I330" t="str">
        <f t="shared" si="118"/>
        <v>N/A</v>
      </c>
      <c r="J330">
        <f t="shared" si="119"/>
        <v>-2660000</v>
      </c>
      <c r="K330">
        <f t="shared" si="120"/>
        <v>-2700000</v>
      </c>
      <c r="L330">
        <f t="shared" si="121"/>
        <v>-2680000</v>
      </c>
      <c r="M330">
        <f t="shared" si="122"/>
        <v>-2560000</v>
      </c>
      <c r="N330">
        <f t="shared" si="123"/>
        <v>-2500000</v>
      </c>
      <c r="P330">
        <f t="shared" si="94"/>
        <v>-2500000</v>
      </c>
      <c r="Q330">
        <f>IFERROR(J144+MATCH(P330,J330:N330,0)-1,"")</f>
        <v>2016</v>
      </c>
      <c r="R330">
        <f t="shared" si="95"/>
        <v>-2700000</v>
      </c>
      <c r="S330">
        <f>IFERROR(J144+MATCH(R330,J330:N330,0)-1,"")</f>
        <v>2013</v>
      </c>
      <c r="T330">
        <f t="shared" si="96"/>
        <v>-2620000</v>
      </c>
      <c r="U330">
        <f t="shared" si="97"/>
        <v>86023.252670426271</v>
      </c>
      <c r="V330">
        <f t="shared" si="98"/>
        <v>-0.46499055497527708</v>
      </c>
      <c r="W330">
        <f t="shared" si="99"/>
        <v>-0.92998110995055416</v>
      </c>
      <c r="X330">
        <f t="shared" si="100"/>
        <v>-0.69748583246291562</v>
      </c>
      <c r="Y330">
        <f t="shared" si="101"/>
        <v>0.69748583246291562</v>
      </c>
      <c r="Z330">
        <f t="shared" si="102"/>
        <v>1.3949716649258312</v>
      </c>
      <c r="AA330">
        <f t="shared" si="103"/>
        <v>1.3949716649258312</v>
      </c>
      <c r="AB330">
        <f>IFERROR(V144+MATCH(AA330,V330:Z330,0)-1,"")</f>
        <v>2016</v>
      </c>
      <c r="AC330" t="str">
        <f t="shared" si="104"/>
        <v>High</v>
      </c>
      <c r="AE330">
        <f>IF(ISNUMBER(MATCH("N/A",J330:N330,0)),"",IFERROR((5 * SUMPRODUCT(J144:N144,J330:N330) - PRODUCT(SUM(J144:N144),SUM(J330:N330))) / ((5 * SUM((J144^2)+(K144^2)+(L144^2)+(M144^2)+(N144^2))) - SUM(J144:N144)^2),""))</f>
        <v>46000</v>
      </c>
      <c r="AF330">
        <f>IFERROR(CORREL(J144:N144,J330:N330),"")</f>
        <v>0.8454968154078788</v>
      </c>
      <c r="AZ330">
        <f t="shared" si="105"/>
        <v>1</v>
      </c>
      <c r="BA330" t="str">
        <f>IF(AZ330=1,IF(Q330="","",IF(Q330=N144,"Yes","No")),"")</f>
        <v>Yes</v>
      </c>
      <c r="BB330">
        <f t="shared" si="106"/>
        <v>-2500000</v>
      </c>
      <c r="BC330" t="str">
        <f>IF(AZ330=1,IF(S330="","",IF(S330=N144,"Yes","No")),"")</f>
        <v>No</v>
      </c>
      <c r="BD330" t="str">
        <f t="shared" si="107"/>
        <v/>
      </c>
      <c r="BE330" t="str">
        <f t="shared" si="108"/>
        <v>Increasing</v>
      </c>
      <c r="BF330" t="str">
        <f t="shared" si="109"/>
        <v>Yes</v>
      </c>
      <c r="BG330" t="str">
        <f t="shared" si="110"/>
        <v>No</v>
      </c>
      <c r="BH330" t="str">
        <f t="shared" si="111"/>
        <v>Yes</v>
      </c>
    </row>
    <row r="331" spans="1:60" x14ac:dyDescent="0.3">
      <c r="A331" s="1">
        <v>2</v>
      </c>
      <c r="B331" t="s">
        <v>421</v>
      </c>
      <c r="C331" t="s">
        <v>264</v>
      </c>
      <c r="D331" t="s">
        <v>264</v>
      </c>
      <c r="E331" t="s">
        <v>264</v>
      </c>
      <c r="F331" t="s">
        <v>264</v>
      </c>
      <c r="G331" t="s">
        <v>264</v>
      </c>
      <c r="I331" t="str">
        <f t="shared" si="118"/>
        <v>N/A</v>
      </c>
      <c r="J331" t="str">
        <f t="shared" si="119"/>
        <v>N/A</v>
      </c>
      <c r="K331" t="str">
        <f t="shared" si="120"/>
        <v>N/A</v>
      </c>
      <c r="L331" t="str">
        <f t="shared" si="121"/>
        <v>N/A</v>
      </c>
      <c r="M331" t="str">
        <f t="shared" si="122"/>
        <v>N/A</v>
      </c>
      <c r="N331" t="str">
        <f t="shared" si="123"/>
        <v>N/A</v>
      </c>
      <c r="P331">
        <f t="shared" si="94"/>
        <v>0</v>
      </c>
      <c r="Q331" t="str">
        <f>IFERROR(J144+MATCH(P331,J331:N331,0)-1,"")</f>
        <v/>
      </c>
      <c r="R331" t="str">
        <f t="shared" si="95"/>
        <v/>
      </c>
      <c r="S331" t="str">
        <f>IFERROR(J144+MATCH(R331,J331:N331,0)-1,"")</f>
        <v/>
      </c>
      <c r="T331" t="str">
        <f t="shared" si="96"/>
        <v/>
      </c>
      <c r="U331" t="str">
        <f t="shared" si="97"/>
        <v/>
      </c>
      <c r="V331" t="str">
        <f t="shared" si="98"/>
        <v/>
      </c>
      <c r="W331" t="str">
        <f t="shared" si="99"/>
        <v/>
      </c>
      <c r="X331" t="str">
        <f t="shared" si="100"/>
        <v/>
      </c>
      <c r="Y331" t="str">
        <f t="shared" si="101"/>
        <v/>
      </c>
      <c r="Z331" t="str">
        <f t="shared" si="102"/>
        <v/>
      </c>
      <c r="AA331">
        <f t="shared" si="103"/>
        <v>0</v>
      </c>
      <c r="AB331" t="str">
        <f>IFERROR(V144+MATCH(AA331,V331:Z331,0)-1,"")</f>
        <v/>
      </c>
      <c r="AC331" t="str">
        <f t="shared" si="104"/>
        <v/>
      </c>
      <c r="AE331" t="str">
        <f>IF(ISNUMBER(MATCH("N/A",J331:N331,0)),"",IFERROR((5 * SUMPRODUCT(J144:N144,J331:N331) - PRODUCT(SUM(J144:N144),SUM(J331:N331))) / ((5 * SUM((J144^2)+(K144^2)+(L144^2)+(M144^2)+(N144^2))) - SUM(J144:N144)^2),""))</f>
        <v/>
      </c>
      <c r="AF331" t="str">
        <f>IFERROR(CORREL(J144:N144,J331:N331),"")</f>
        <v/>
      </c>
      <c r="AZ331">
        <f t="shared" si="105"/>
        <v>0</v>
      </c>
      <c r="BA331" t="str">
        <f>IF(AZ331=1,IF(Q331="","",IF(Q331=N144,"Yes","No")),"")</f>
        <v/>
      </c>
      <c r="BB331" t="str">
        <f t="shared" si="106"/>
        <v/>
      </c>
      <c r="BC331" t="str">
        <f>IF(AZ331=1,IF(S331="","",IF(S331=N144,"Yes","No")),"")</f>
        <v/>
      </c>
      <c r="BD331" t="str">
        <f t="shared" si="107"/>
        <v/>
      </c>
      <c r="BE331" t="str">
        <f t="shared" si="108"/>
        <v/>
      </c>
      <c r="BF331" t="str">
        <f t="shared" si="109"/>
        <v>No</v>
      </c>
      <c r="BG331" t="str">
        <f t="shared" si="110"/>
        <v>No</v>
      </c>
      <c r="BH331" t="str">
        <f t="shared" si="111"/>
        <v/>
      </c>
    </row>
    <row r="332" spans="1:60" x14ac:dyDescent="0.3">
      <c r="A332" s="1">
        <v>3</v>
      </c>
      <c r="B332" t="s">
        <v>875</v>
      </c>
      <c r="C332" t="s">
        <v>3058</v>
      </c>
      <c r="D332" t="s">
        <v>3059</v>
      </c>
      <c r="E332" t="s">
        <v>3060</v>
      </c>
      <c r="F332" t="s">
        <v>3061</v>
      </c>
      <c r="G332" t="s">
        <v>3062</v>
      </c>
      <c r="I332" t="str">
        <f t="shared" si="118"/>
        <v>N/A</v>
      </c>
      <c r="J332">
        <f t="shared" si="119"/>
        <v>406000</v>
      </c>
      <c r="K332">
        <f t="shared" si="120"/>
        <v>2390000</v>
      </c>
      <c r="L332">
        <f t="shared" si="121"/>
        <v>420000</v>
      </c>
      <c r="M332">
        <f t="shared" si="122"/>
        <v>-74710000</v>
      </c>
      <c r="N332">
        <f t="shared" si="123"/>
        <v>746000</v>
      </c>
      <c r="P332">
        <f t="shared" si="94"/>
        <v>2390000</v>
      </c>
      <c r="Q332">
        <f>IFERROR(J144+MATCH(P332,J332:N332,0)-1,"")</f>
        <v>2013</v>
      </c>
      <c r="R332">
        <f t="shared" si="95"/>
        <v>-74710000</v>
      </c>
      <c r="S332">
        <f>IFERROR(J144+MATCH(R332,J332:N332,0)-1,"")</f>
        <v>2015</v>
      </c>
      <c r="T332">
        <f t="shared" si="96"/>
        <v>-14149600</v>
      </c>
      <c r="U332">
        <f t="shared" si="97"/>
        <v>33864206.956608333</v>
      </c>
      <c r="V332">
        <f t="shared" si="98"/>
        <v>0.42982255626569721</v>
      </c>
      <c r="W332">
        <f t="shared" si="99"/>
        <v>0.4884094885550665</v>
      </c>
      <c r="X332">
        <f t="shared" si="100"/>
        <v>0.43023597211854558</v>
      </c>
      <c r="Y332">
        <f t="shared" si="101"/>
        <v>-1.7883306724884669</v>
      </c>
      <c r="Z332">
        <f t="shared" si="102"/>
        <v>0.43986265554915766</v>
      </c>
      <c r="AA332">
        <f t="shared" si="103"/>
        <v>-1.7883306724884669</v>
      </c>
      <c r="AB332">
        <f>IFERROR(V144+MATCH(AA332,V332:Z332,0)-1,"")</f>
        <v>2015</v>
      </c>
      <c r="AC332" t="str">
        <f t="shared" si="104"/>
        <v>Low</v>
      </c>
      <c r="AE332">
        <f>IF(ISNUMBER(MATCH("N/A",J332:N332,0)),"",IFERROR((5 * SUMPRODUCT(J144:N144,J332:N332) - PRODUCT(SUM(J144:N144),SUM(J332:N332))) / ((5 * SUM((J144^2)+(K144^2)+(L144^2)+(M144^2)+(N144^2))) - SUM(J144:N144)^2),""))</f>
        <v>-7642000</v>
      </c>
      <c r="AF332">
        <f>IFERROR(CORREL(J144:N144,J332:N332),"")</f>
        <v>-0.35680926929681023</v>
      </c>
      <c r="AZ332">
        <f t="shared" si="105"/>
        <v>1</v>
      </c>
      <c r="BA332" t="str">
        <f>IF(AZ332=1,IF(Q332="","",IF(Q332=N144,"Yes","No")),"")</f>
        <v>No</v>
      </c>
      <c r="BB332" t="str">
        <f t="shared" si="106"/>
        <v/>
      </c>
      <c r="BC332" t="str">
        <f>IF(AZ332=1,IF(S332="","",IF(S332=N144,"Yes","No")),"")</f>
        <v>No</v>
      </c>
      <c r="BD332" t="str">
        <f t="shared" si="107"/>
        <v/>
      </c>
      <c r="BE332" t="str">
        <f t="shared" si="108"/>
        <v>Decreasing</v>
      </c>
      <c r="BF332" t="str">
        <f t="shared" si="109"/>
        <v>No</v>
      </c>
      <c r="BG332" t="str">
        <f t="shared" si="110"/>
        <v>No</v>
      </c>
      <c r="BH332" t="str">
        <f t="shared" si="111"/>
        <v>No</v>
      </c>
    </row>
    <row r="333" spans="1:60" x14ac:dyDescent="0.3">
      <c r="A333" s="1">
        <v>4</v>
      </c>
      <c r="B333" t="s">
        <v>881</v>
      </c>
      <c r="C333" t="s">
        <v>264</v>
      </c>
      <c r="D333" t="s">
        <v>264</v>
      </c>
      <c r="E333" t="s">
        <v>264</v>
      </c>
      <c r="F333" t="s">
        <v>2972</v>
      </c>
      <c r="G333" t="s">
        <v>264</v>
      </c>
      <c r="I333" t="str">
        <f t="shared" si="118"/>
        <v>N/A</v>
      </c>
      <c r="J333" t="str">
        <f t="shared" si="119"/>
        <v>N/A</v>
      </c>
      <c r="K333" t="str">
        <f t="shared" si="120"/>
        <v>N/A</v>
      </c>
      <c r="L333" t="str">
        <f t="shared" si="121"/>
        <v>N/A</v>
      </c>
      <c r="M333">
        <f t="shared" si="122"/>
        <v>-74970000</v>
      </c>
      <c r="N333" t="str">
        <f t="shared" si="123"/>
        <v>N/A</v>
      </c>
      <c r="P333">
        <f t="shared" si="94"/>
        <v>-74970000</v>
      </c>
      <c r="Q333">
        <f>IFERROR(J144+MATCH(P333,J333:N333,0)-1,"")</f>
        <v>2015</v>
      </c>
      <c r="R333">
        <f t="shared" si="95"/>
        <v>-74970000</v>
      </c>
      <c r="S333">
        <f>IFERROR(J144+MATCH(R333,J333:N333,0)-1,"")</f>
        <v>2015</v>
      </c>
      <c r="T333">
        <f t="shared" si="96"/>
        <v>-74970000</v>
      </c>
      <c r="U333" t="str">
        <f t="shared" si="97"/>
        <v/>
      </c>
      <c r="V333" t="str">
        <f t="shared" si="98"/>
        <v/>
      </c>
      <c r="W333" t="str">
        <f t="shared" si="99"/>
        <v/>
      </c>
      <c r="X333" t="str">
        <f t="shared" si="100"/>
        <v/>
      </c>
      <c r="Y333" t="str">
        <f t="shared" si="101"/>
        <v/>
      </c>
      <c r="Z333" t="str">
        <f t="shared" si="102"/>
        <v/>
      </c>
      <c r="AA333">
        <f t="shared" si="103"/>
        <v>0</v>
      </c>
      <c r="AB333" t="str">
        <f>IFERROR(V144+MATCH(AA333,V333:Z333,0)-1,"")</f>
        <v/>
      </c>
      <c r="AC333" t="str">
        <f t="shared" si="104"/>
        <v/>
      </c>
      <c r="AE333" t="str">
        <f>IF(ISNUMBER(MATCH("N/A",J333:N333,0)),"",IFERROR((5 * SUMPRODUCT(J144:N144,J333:N333) - PRODUCT(SUM(J144:N144),SUM(J333:N333))) / ((5 * SUM((J144^2)+(K144^2)+(L144^2)+(M144^2)+(N144^2))) - SUM(J144:N144)^2),""))</f>
        <v/>
      </c>
      <c r="AF333" t="str">
        <f>IFERROR(CORREL(J144:N144,J333:N333),"")</f>
        <v/>
      </c>
      <c r="AZ333">
        <f t="shared" si="105"/>
        <v>0</v>
      </c>
      <c r="BA333" t="str">
        <f>IF(AZ333=1,IF(Q333="","",IF(Q333=N144,"Yes","No")),"")</f>
        <v/>
      </c>
      <c r="BB333" t="str">
        <f t="shared" si="106"/>
        <v/>
      </c>
      <c r="BC333" t="str">
        <f>IF(AZ333=1,IF(S333="","",IF(S333=N144,"Yes","No")),"")</f>
        <v/>
      </c>
      <c r="BD333" t="str">
        <f t="shared" si="107"/>
        <v/>
      </c>
      <c r="BE333" t="str">
        <f t="shared" si="108"/>
        <v/>
      </c>
      <c r="BF333" t="str">
        <f t="shared" si="109"/>
        <v>No</v>
      </c>
      <c r="BG333" t="str">
        <f t="shared" si="110"/>
        <v>No</v>
      </c>
      <c r="BH333" t="str">
        <f t="shared" si="111"/>
        <v/>
      </c>
    </row>
    <row r="334" spans="1:60" x14ac:dyDescent="0.3">
      <c r="A334" s="1">
        <v>5</v>
      </c>
      <c r="B334" t="s">
        <v>885</v>
      </c>
      <c r="C334" t="s">
        <v>3058</v>
      </c>
      <c r="D334" t="s">
        <v>3059</v>
      </c>
      <c r="E334" t="s">
        <v>3060</v>
      </c>
      <c r="F334" t="s">
        <v>3063</v>
      </c>
      <c r="G334" t="s">
        <v>3062</v>
      </c>
      <c r="I334" t="str">
        <f t="shared" si="118"/>
        <v>N/A</v>
      </c>
      <c r="J334">
        <f t="shared" si="119"/>
        <v>406000</v>
      </c>
      <c r="K334">
        <f t="shared" si="120"/>
        <v>2390000</v>
      </c>
      <c r="L334">
        <f t="shared" si="121"/>
        <v>420000</v>
      </c>
      <c r="M334">
        <f t="shared" si="122"/>
        <v>258000</v>
      </c>
      <c r="N334">
        <f t="shared" si="123"/>
        <v>746000</v>
      </c>
      <c r="P334">
        <f t="shared" si="94"/>
        <v>2390000</v>
      </c>
      <c r="Q334">
        <f>IFERROR(J144+MATCH(P334,J334:N334,0)-1,"")</f>
        <v>2013</v>
      </c>
      <c r="R334">
        <f t="shared" si="95"/>
        <v>258000</v>
      </c>
      <c r="S334">
        <f>IFERROR(J144+MATCH(R334,J334:N334,0)-1,"")</f>
        <v>2015</v>
      </c>
      <c r="T334">
        <f t="shared" si="96"/>
        <v>844000</v>
      </c>
      <c r="U334">
        <f t="shared" si="97"/>
        <v>882430.73382560746</v>
      </c>
      <c r="V334">
        <f t="shared" si="98"/>
        <v>-0.49635623875104151</v>
      </c>
      <c r="W334">
        <f t="shared" si="99"/>
        <v>1.7519788701121237</v>
      </c>
      <c r="X334">
        <f t="shared" si="100"/>
        <v>-0.48049097084575709</v>
      </c>
      <c r="Y334">
        <f t="shared" si="101"/>
        <v>-0.66407478517833407</v>
      </c>
      <c r="Z334">
        <f t="shared" si="102"/>
        <v>-0.11105687533699103</v>
      </c>
      <c r="AA334">
        <f t="shared" si="103"/>
        <v>1.7519788701121237</v>
      </c>
      <c r="AB334">
        <f>IFERROR(V144+MATCH(AA334,V334:Z334,0)-1,"")</f>
        <v>2013</v>
      </c>
      <c r="AC334" t="str">
        <f t="shared" si="104"/>
        <v>High</v>
      </c>
      <c r="AE334">
        <f>IF(ISNUMBER(MATCH("N/A",J334:N334,0)),"",IFERROR((5 * SUMPRODUCT(J144:N144,J334:N334) - PRODUCT(SUM(J144:N144),SUM(J334:N334))) / ((5 * SUM((J144^2)+(K144^2)+(L144^2)+(M144^2)+(N144^2))) - SUM(J144:N144)^2),""))</f>
        <v>-145200</v>
      </c>
      <c r="AF334">
        <f>IFERROR(CORREL(J144:N144,J334:N334),"")</f>
        <v>-0.26016926805452351</v>
      </c>
      <c r="AZ334">
        <f t="shared" si="105"/>
        <v>1</v>
      </c>
      <c r="BA334" t="str">
        <f>IF(AZ334=1,IF(Q334="","",IF(Q334=N144,"Yes","No")),"")</f>
        <v>No</v>
      </c>
      <c r="BB334" t="str">
        <f t="shared" si="106"/>
        <v/>
      </c>
      <c r="BC334" t="str">
        <f>IF(AZ334=1,IF(S334="","",IF(S334=N144,"Yes","No")),"")</f>
        <v>No</v>
      </c>
      <c r="BD334" t="str">
        <f t="shared" si="107"/>
        <v/>
      </c>
      <c r="BE334" t="str">
        <f t="shared" si="108"/>
        <v>Decreasing</v>
      </c>
      <c r="BF334" t="str">
        <f t="shared" si="109"/>
        <v>No</v>
      </c>
      <c r="BG334" t="str">
        <f t="shared" si="110"/>
        <v>No</v>
      </c>
      <c r="BH334" t="str">
        <f t="shared" si="111"/>
        <v>No</v>
      </c>
    </row>
    <row r="335" spans="1:60" x14ac:dyDescent="0.3">
      <c r="A335" s="1">
        <v>6</v>
      </c>
      <c r="B335" t="s">
        <v>889</v>
      </c>
      <c r="C335" t="s">
        <v>264</v>
      </c>
      <c r="D335" t="s">
        <v>264</v>
      </c>
      <c r="E335" t="s">
        <v>264</v>
      </c>
      <c r="F335" t="s">
        <v>264</v>
      </c>
      <c r="G335" t="s">
        <v>3064</v>
      </c>
      <c r="I335" t="str">
        <f t="shared" si="118"/>
        <v>N/A</v>
      </c>
      <c r="J335" t="str">
        <f t="shared" si="119"/>
        <v>N/A</v>
      </c>
      <c r="K335" t="str">
        <f t="shared" si="120"/>
        <v>N/A</v>
      </c>
      <c r="L335" t="str">
        <f t="shared" si="121"/>
        <v>N/A</v>
      </c>
      <c r="M335" t="str">
        <f t="shared" si="122"/>
        <v>N/A</v>
      </c>
      <c r="N335">
        <f t="shared" si="123"/>
        <v>500000</v>
      </c>
      <c r="P335">
        <f t="shared" si="94"/>
        <v>500000</v>
      </c>
      <c r="Q335">
        <f>IFERROR(J144+MATCH(P335,J335:N335,0)-1,"")</f>
        <v>2016</v>
      </c>
      <c r="R335">
        <f t="shared" si="95"/>
        <v>500000</v>
      </c>
      <c r="S335">
        <f>IFERROR(J144+MATCH(R335,J335:N335,0)-1,"")</f>
        <v>2016</v>
      </c>
      <c r="T335">
        <f t="shared" si="96"/>
        <v>500000</v>
      </c>
      <c r="U335" t="str">
        <f t="shared" si="97"/>
        <v/>
      </c>
      <c r="V335" t="str">
        <f t="shared" si="98"/>
        <v/>
      </c>
      <c r="W335" t="str">
        <f t="shared" si="99"/>
        <v/>
      </c>
      <c r="X335" t="str">
        <f t="shared" si="100"/>
        <v/>
      </c>
      <c r="Y335" t="str">
        <f t="shared" si="101"/>
        <v/>
      </c>
      <c r="Z335" t="str">
        <f t="shared" si="102"/>
        <v/>
      </c>
      <c r="AA335">
        <f t="shared" si="103"/>
        <v>0</v>
      </c>
      <c r="AB335" t="str">
        <f>IFERROR(V144+MATCH(AA335,V335:Z335,0)-1,"")</f>
        <v/>
      </c>
      <c r="AC335" t="str">
        <f t="shared" si="104"/>
        <v/>
      </c>
      <c r="AE335" t="str">
        <f>IF(ISNUMBER(MATCH("N/A",J335:N335,0)),"",IFERROR((5 * SUMPRODUCT(J144:N144,J335:N335) - PRODUCT(SUM(J144:N144),SUM(J335:N335))) / ((5 * SUM((J144^2)+(K144^2)+(L144^2)+(M144^2)+(N144^2))) - SUM(J144:N144)^2),""))</f>
        <v/>
      </c>
      <c r="AF335" t="str">
        <f>IFERROR(CORREL(J144:N144,J335:N335),"")</f>
        <v/>
      </c>
      <c r="AZ335">
        <f t="shared" si="105"/>
        <v>0</v>
      </c>
      <c r="BA335" t="str">
        <f>IF(AZ335=1,IF(Q335="","",IF(Q335=N144,"Yes","No")),"")</f>
        <v/>
      </c>
      <c r="BB335" t="str">
        <f t="shared" si="106"/>
        <v/>
      </c>
      <c r="BC335" t="str">
        <f>IF(AZ335=1,IF(S335="","",IF(S335=N144,"Yes","No")),"")</f>
        <v/>
      </c>
      <c r="BD335" t="str">
        <f t="shared" si="107"/>
        <v/>
      </c>
      <c r="BE335" t="str">
        <f t="shared" si="108"/>
        <v/>
      </c>
      <c r="BF335" t="str">
        <f t="shared" si="109"/>
        <v>No</v>
      </c>
      <c r="BG335" t="str">
        <f t="shared" si="110"/>
        <v>No</v>
      </c>
      <c r="BH335" t="str">
        <f t="shared" si="111"/>
        <v/>
      </c>
    </row>
    <row r="336" spans="1:60" x14ac:dyDescent="0.3">
      <c r="A336" s="1">
        <v>7</v>
      </c>
      <c r="B336" t="s">
        <v>890</v>
      </c>
      <c r="C336" t="s">
        <v>3058</v>
      </c>
      <c r="D336" t="s">
        <v>3059</v>
      </c>
      <c r="E336" t="s">
        <v>3060</v>
      </c>
      <c r="F336" t="s">
        <v>3063</v>
      </c>
      <c r="G336" t="s">
        <v>3065</v>
      </c>
      <c r="I336" t="str">
        <f t="shared" si="118"/>
        <v>N/A</v>
      </c>
      <c r="J336">
        <f t="shared" si="119"/>
        <v>406000</v>
      </c>
      <c r="K336">
        <f t="shared" si="120"/>
        <v>2390000</v>
      </c>
      <c r="L336">
        <f t="shared" si="121"/>
        <v>420000</v>
      </c>
      <c r="M336">
        <f t="shared" si="122"/>
        <v>258000</v>
      </c>
      <c r="N336">
        <f t="shared" si="123"/>
        <v>246000</v>
      </c>
      <c r="P336">
        <f t="shared" si="94"/>
        <v>2390000</v>
      </c>
      <c r="Q336">
        <f>IFERROR(J144+MATCH(P336,J336:N336,0)-1,"")</f>
        <v>2013</v>
      </c>
      <c r="R336">
        <f t="shared" si="95"/>
        <v>246000</v>
      </c>
      <c r="S336">
        <f>IFERROR(J144+MATCH(R336,J336:N336,0)-1,"")</f>
        <v>2016</v>
      </c>
      <c r="T336">
        <f t="shared" si="96"/>
        <v>744000</v>
      </c>
      <c r="U336">
        <f t="shared" si="97"/>
        <v>923679.59812913486</v>
      </c>
      <c r="V336">
        <f t="shared" si="98"/>
        <v>-0.3659277531782682</v>
      </c>
      <c r="W336">
        <f t="shared" si="99"/>
        <v>1.7820032003888444</v>
      </c>
      <c r="X336">
        <f t="shared" si="100"/>
        <v>-0.35077098233656478</v>
      </c>
      <c r="Y336">
        <f t="shared" si="101"/>
        <v>-0.52615647350484718</v>
      </c>
      <c r="Z336">
        <f t="shared" si="102"/>
        <v>-0.53914799136916436</v>
      </c>
      <c r="AA336">
        <f t="shared" si="103"/>
        <v>1.7820032003888444</v>
      </c>
      <c r="AB336">
        <f>IFERROR(V144+MATCH(AA336,V336:Z336,0)-1,"")</f>
        <v>2013</v>
      </c>
      <c r="AC336" t="str">
        <f t="shared" si="104"/>
        <v>High</v>
      </c>
      <c r="AE336">
        <f>IF(ISNUMBER(MATCH("N/A",J336:N336,0)),"",IFERROR((5 * SUMPRODUCT(J144:N144,J336:N336) - PRODUCT(SUM(J144:N144),SUM(J336:N336))) / ((5 * SUM((J144^2)+(K144^2)+(L144^2)+(M144^2)+(N144^2))) - SUM(J144:N144)^2),""))</f>
        <v>-245200</v>
      </c>
      <c r="AF336">
        <f>IFERROR(CORREL(J144:N144,J336:N336),"")</f>
        <v>-0.4197291375947893</v>
      </c>
      <c r="AZ336">
        <f t="shared" si="105"/>
        <v>1</v>
      </c>
      <c r="BA336" t="str">
        <f>IF(AZ336=1,IF(Q336="","",IF(Q336=N144,"Yes","No")),"")</f>
        <v>No</v>
      </c>
      <c r="BB336" t="str">
        <f t="shared" si="106"/>
        <v/>
      </c>
      <c r="BC336" t="str">
        <f>IF(AZ336=1,IF(S336="","",IF(S336=N144,"Yes","No")),"")</f>
        <v>Yes</v>
      </c>
      <c r="BD336">
        <f t="shared" si="107"/>
        <v>246000</v>
      </c>
      <c r="BE336" t="str">
        <f t="shared" si="108"/>
        <v>Decreasing</v>
      </c>
      <c r="BF336" t="str">
        <f t="shared" si="109"/>
        <v>Yes</v>
      </c>
      <c r="BG336" t="str">
        <f t="shared" si="110"/>
        <v>No</v>
      </c>
      <c r="BH336" t="str">
        <f t="shared" si="111"/>
        <v>No</v>
      </c>
    </row>
    <row r="337" spans="1:60" x14ac:dyDescent="0.3">
      <c r="A337" s="1">
        <v>8</v>
      </c>
      <c r="B337" t="s">
        <v>891</v>
      </c>
      <c r="C337" t="s">
        <v>3066</v>
      </c>
      <c r="D337" t="s">
        <v>3067</v>
      </c>
      <c r="E337" t="s">
        <v>3068</v>
      </c>
      <c r="F337" t="s">
        <v>3069</v>
      </c>
      <c r="G337" t="s">
        <v>3070</v>
      </c>
      <c r="I337" t="str">
        <f t="shared" si="118"/>
        <v>N/A</v>
      </c>
      <c r="J337">
        <f t="shared" si="119"/>
        <v>-34510000</v>
      </c>
      <c r="K337">
        <f t="shared" si="120"/>
        <v>-19660000</v>
      </c>
      <c r="L337">
        <f t="shared" si="121"/>
        <v>-36220000</v>
      </c>
      <c r="M337">
        <f t="shared" si="122"/>
        <v>79390000</v>
      </c>
      <c r="N337">
        <f t="shared" si="123"/>
        <v>160660000</v>
      </c>
      <c r="P337">
        <f t="shared" ref="P337:P353" si="124">MAX(J337:N337)</f>
        <v>160660000</v>
      </c>
      <c r="Q337">
        <f>IFERROR(J144+MATCH(P337,J337:N337,0)-1,"")</f>
        <v>2016</v>
      </c>
      <c r="R337">
        <f t="shared" ref="R337:R400" si="125">IF(Q337="","",MIN(J337:N337))</f>
        <v>-36220000</v>
      </c>
      <c r="S337">
        <f>IFERROR(J144+MATCH(R337,J337:N337,0)-1,"")</f>
        <v>2014</v>
      </c>
      <c r="T337">
        <f t="shared" ref="T337:T353" si="126">IFERROR(AVERAGE(J337:N337),"")</f>
        <v>29932000</v>
      </c>
      <c r="U337">
        <f t="shared" ref="U337:U353" si="127">IFERROR(STDEV(J337:N337),"")</f>
        <v>87355779.259302586</v>
      </c>
      <c r="V337">
        <f t="shared" ref="V337:V400" si="128">IFERROR(IF(C337="-","",IF(ISBLANK(B337),"",IF(OR(ISNUMBER(FIND("Growth",B337)),ISNUMBER(FIND("Margin",B337))),"",(J337-T337)/U337))),"")</f>
        <v>-0.73769589770029464</v>
      </c>
      <c r="W337">
        <f t="shared" ref="W337:W353" si="129">IFERROR(IF(OR(D337="-",ISBLANK(D337)),"",(K337-T337)/U337),"")</f>
        <v>-0.56770142079316299</v>
      </c>
      <c r="X337">
        <f t="shared" ref="X337:X353" si="130">IFERROR(IF(OR(E337="-",ISBLANK(E337)),"",(L337-T337)/U337),"")</f>
        <v>-0.75727101928354013</v>
      </c>
      <c r="Y337">
        <f t="shared" ref="Y337:Y353" si="131">IFERROR(IF(OR(F337="-",ISBLANK(F337)),"",(M337-T337)/U337),"")</f>
        <v>0.56616746389716599</v>
      </c>
      <c r="Z337">
        <f t="shared" ref="Z337:Z353" si="132">IFERROR(IF(OR(G337="-",ISBLANK(G337)),"",(N337-T337)/U337),"")</f>
        <v>1.4965008738798318</v>
      </c>
      <c r="AA337">
        <f t="shared" ref="AA337:AA400" si="133">IF(MAX(MAX(V337:Z337),ABS(MIN(V337:Z337)))=ABS(MIN(V337:Z337)),MIN(V337:Z337),MAX(V337:Z337))</f>
        <v>1.4965008738798318</v>
      </c>
      <c r="AB337">
        <f>IFERROR(V144+MATCH(AA337,V337:Z337,0)-1,"")</f>
        <v>2016</v>
      </c>
      <c r="AC337" t="str">
        <f t="shared" ref="AC337:AC400" si="134">IF(AB337&lt;&gt;"",IF(S337=AB337,"Low",IF(AB337=Q337,"High","")),"")</f>
        <v>High</v>
      </c>
      <c r="AE337">
        <f>IF(ISNUMBER(MATCH("N/A",J337:N337,0)),"",IFERROR((5 * SUMPRODUCT(J144:N144,J337:N337) - PRODUCT(SUM(J144:N144),SUM(J337:N337))) / ((5 * SUM((J144^2)+(K144^2)+(L144^2)+(M144^2)+(N144^2))) - SUM(J144:N144)^2),""))</f>
        <v>48939000</v>
      </c>
      <c r="AF337">
        <f>IFERROR(CORREL(J144:N144,J337:N337),"")</f>
        <v>0.885795466099628</v>
      </c>
      <c r="AZ337">
        <f t="shared" ref="AZ337:AZ352" si="135">IF(Q337=S337,0,1)</f>
        <v>1</v>
      </c>
      <c r="BA337" t="str">
        <f>IF(AZ337=1,IF(Q337="","",IF(Q337=N144,"Yes","No")),"")</f>
        <v>Yes</v>
      </c>
      <c r="BB337">
        <f t="shared" ref="BB337:BB400" si="136">IF(BA337="Yes",P337,"")</f>
        <v>160660000</v>
      </c>
      <c r="BC337" t="str">
        <f>IF(AZ337=1,IF(S337="","",IF(S337=N144,"Yes","No")),"")</f>
        <v>No</v>
      </c>
      <c r="BD337" t="str">
        <f t="shared" ref="BD337:BD400" si="137">IF(BC337="Yes",R337,"")</f>
        <v/>
      </c>
      <c r="BE337" t="str">
        <f t="shared" ref="BE337:BE352" si="138">IFERROR(IF(SIGN(AE337)=1,"Increasing",IF(SIGN(AE337)=-1,"Decreasing","")),"")</f>
        <v>Increasing</v>
      </c>
      <c r="BF337" t="str">
        <f t="shared" ref="BF337:BF400" si="139">IF(OR(AND(BE337="Increasing",BA337="Yes"),AND(BE337="Decreasing",BC337="Yes")),"Yes","No")</f>
        <v>Yes</v>
      </c>
      <c r="BG337" t="str">
        <f t="shared" ref="BG337:BG352" si="140">IF(I337="pos_trend","Yes","No")</f>
        <v>No</v>
      </c>
      <c r="BH337" t="str">
        <f t="shared" ref="BH337:BH352" si="141">IF(AF337&lt;&gt;"",IF(ABS(AF337)&gt;0.8,"Yes","No"),"")</f>
        <v>Yes</v>
      </c>
    </row>
    <row r="338" spans="1:60" x14ac:dyDescent="0.3">
      <c r="A338" s="1">
        <v>9</v>
      </c>
      <c r="B338" t="s">
        <v>897</v>
      </c>
      <c r="C338" t="s">
        <v>264</v>
      </c>
      <c r="D338" t="s">
        <v>264</v>
      </c>
      <c r="E338" t="s">
        <v>264</v>
      </c>
      <c r="F338" t="s">
        <v>264</v>
      </c>
      <c r="G338" t="s">
        <v>264</v>
      </c>
      <c r="I338" t="str">
        <f t="shared" si="118"/>
        <v>N/A</v>
      </c>
      <c r="J338" t="str">
        <f t="shared" si="119"/>
        <v>N/A</v>
      </c>
      <c r="K338" t="str">
        <f t="shared" si="120"/>
        <v>N/A</v>
      </c>
      <c r="L338" t="str">
        <f t="shared" si="121"/>
        <v>N/A</v>
      </c>
      <c r="M338" t="str">
        <f t="shared" si="122"/>
        <v>N/A</v>
      </c>
      <c r="N338" t="str">
        <f t="shared" si="123"/>
        <v>N/A</v>
      </c>
      <c r="P338">
        <f t="shared" si="124"/>
        <v>0</v>
      </c>
      <c r="Q338" t="str">
        <f>IFERROR(J144+MATCH(P338,J338:N338,0)-1,"")</f>
        <v/>
      </c>
      <c r="R338" t="str">
        <f t="shared" si="125"/>
        <v/>
      </c>
      <c r="S338" t="str">
        <f>IFERROR(J144+MATCH(R338,J338:N338,0)-1,"")</f>
        <v/>
      </c>
      <c r="T338" t="str">
        <f t="shared" si="126"/>
        <v/>
      </c>
      <c r="U338" t="str">
        <f t="shared" si="127"/>
        <v/>
      </c>
      <c r="V338" t="str">
        <f t="shared" si="128"/>
        <v/>
      </c>
      <c r="W338" t="str">
        <f t="shared" si="129"/>
        <v/>
      </c>
      <c r="X338" t="str">
        <f t="shared" si="130"/>
        <v/>
      </c>
      <c r="Y338" t="str">
        <f t="shared" si="131"/>
        <v/>
      </c>
      <c r="Z338" t="str">
        <f t="shared" si="132"/>
        <v/>
      </c>
      <c r="AA338">
        <f t="shared" si="133"/>
        <v>0</v>
      </c>
      <c r="AB338" t="str">
        <f>IFERROR(V144+MATCH(AA338,V338:Z338,0)-1,"")</f>
        <v/>
      </c>
      <c r="AC338" t="str">
        <f t="shared" si="134"/>
        <v/>
      </c>
      <c r="AE338" t="str">
        <f>IF(ISNUMBER(MATCH("N/A",J338:N338,0)),"",IFERROR((5 * SUMPRODUCT(J144:N144,J338:N338) - PRODUCT(SUM(J144:N144),SUM(J338:N338))) / ((5 * SUM((J144^2)+(K144^2)+(L144^2)+(M144^2)+(N144^2))) - SUM(J144:N144)^2),""))</f>
        <v/>
      </c>
      <c r="AF338" t="str">
        <f>IFERROR(CORREL(J144:N144,J338:N338),"")</f>
        <v/>
      </c>
      <c r="AZ338">
        <f t="shared" si="135"/>
        <v>0</v>
      </c>
      <c r="BA338" t="str">
        <f>IF(AZ338=1,IF(Q338="","",IF(Q338=N144,"Yes","No")),"")</f>
        <v/>
      </c>
      <c r="BB338" t="str">
        <f t="shared" si="136"/>
        <v/>
      </c>
      <c r="BC338" t="str">
        <f>IF(AZ338=1,IF(S338="","",IF(S338=N144,"Yes","No")),"")</f>
        <v/>
      </c>
      <c r="BD338" t="str">
        <f t="shared" si="137"/>
        <v/>
      </c>
      <c r="BE338" t="str">
        <f t="shared" si="138"/>
        <v/>
      </c>
      <c r="BF338" t="str">
        <f t="shared" si="139"/>
        <v>No</v>
      </c>
      <c r="BG338" t="str">
        <f t="shared" si="140"/>
        <v>No</v>
      </c>
      <c r="BH338" t="str">
        <f t="shared" si="141"/>
        <v/>
      </c>
    </row>
    <row r="339" spans="1:60" x14ac:dyDescent="0.3">
      <c r="A339" s="1">
        <v>10</v>
      </c>
      <c r="B339" t="s">
        <v>898</v>
      </c>
      <c r="C339" t="s">
        <v>3066</v>
      </c>
      <c r="D339" t="s">
        <v>3067</v>
      </c>
      <c r="E339" t="s">
        <v>3068</v>
      </c>
      <c r="F339" t="s">
        <v>3069</v>
      </c>
      <c r="G339" t="s">
        <v>3070</v>
      </c>
      <c r="I339" t="str">
        <f t="shared" si="118"/>
        <v>N/A</v>
      </c>
      <c r="J339">
        <f t="shared" si="119"/>
        <v>-34510000</v>
      </c>
      <c r="K339">
        <f t="shared" si="120"/>
        <v>-19660000</v>
      </c>
      <c r="L339">
        <f t="shared" si="121"/>
        <v>-36220000</v>
      </c>
      <c r="M339">
        <f t="shared" si="122"/>
        <v>79390000</v>
      </c>
      <c r="N339">
        <f t="shared" si="123"/>
        <v>160660000</v>
      </c>
      <c r="P339">
        <f t="shared" si="124"/>
        <v>160660000</v>
      </c>
      <c r="Q339">
        <f>IFERROR(J144+MATCH(P339,J339:N339,0)-1,"")</f>
        <v>2016</v>
      </c>
      <c r="R339">
        <f t="shared" si="125"/>
        <v>-36220000</v>
      </c>
      <c r="S339">
        <f>IFERROR(J144+MATCH(R339,J339:N339,0)-1,"")</f>
        <v>2014</v>
      </c>
      <c r="T339">
        <f t="shared" si="126"/>
        <v>29932000</v>
      </c>
      <c r="U339">
        <f t="shared" si="127"/>
        <v>87355779.259302586</v>
      </c>
      <c r="V339">
        <f t="shared" si="128"/>
        <v>-0.73769589770029464</v>
      </c>
      <c r="W339">
        <f t="shared" si="129"/>
        <v>-0.56770142079316299</v>
      </c>
      <c r="X339">
        <f t="shared" si="130"/>
        <v>-0.75727101928354013</v>
      </c>
      <c r="Y339">
        <f t="shared" si="131"/>
        <v>0.56616746389716599</v>
      </c>
      <c r="Z339">
        <f t="shared" si="132"/>
        <v>1.4965008738798318</v>
      </c>
      <c r="AA339">
        <f t="shared" si="133"/>
        <v>1.4965008738798318</v>
      </c>
      <c r="AB339">
        <f>IFERROR(V144+MATCH(AA339,V339:Z339,0)-1,"")</f>
        <v>2016</v>
      </c>
      <c r="AC339" t="str">
        <f t="shared" si="134"/>
        <v>High</v>
      </c>
      <c r="AE339">
        <f>IF(ISNUMBER(MATCH("N/A",J339:N339,0)),"",IFERROR((5 * SUMPRODUCT(J144:N144,J339:N339) - PRODUCT(SUM(J144:N144),SUM(J339:N339))) / ((5 * SUM((J144^2)+(K144^2)+(L144^2)+(M144^2)+(N144^2))) - SUM(J144:N144)^2),""))</f>
        <v>48939000</v>
      </c>
      <c r="AF339">
        <f>IFERROR(CORREL(J144:N144,J339:N339),"")</f>
        <v>0.885795466099628</v>
      </c>
      <c r="AZ339">
        <f t="shared" si="135"/>
        <v>1</v>
      </c>
      <c r="BA339" t="str">
        <f>IF(AZ339=1,IF(Q339="","",IF(Q339=N144,"Yes","No")),"")</f>
        <v>Yes</v>
      </c>
      <c r="BB339">
        <f t="shared" si="136"/>
        <v>160660000</v>
      </c>
      <c r="BC339" t="str">
        <f>IF(AZ339=1,IF(S339="","",IF(S339=N144,"Yes","No")),"")</f>
        <v>No</v>
      </c>
      <c r="BD339" t="str">
        <f t="shared" si="137"/>
        <v/>
      </c>
      <c r="BE339" t="str">
        <f t="shared" si="138"/>
        <v>Increasing</v>
      </c>
      <c r="BF339" t="str">
        <f t="shared" si="139"/>
        <v>Yes</v>
      </c>
      <c r="BG339" t="str">
        <f t="shared" si="140"/>
        <v>No</v>
      </c>
      <c r="BH339" t="str">
        <f t="shared" si="141"/>
        <v>Yes</v>
      </c>
    </row>
    <row r="340" spans="1:60" x14ac:dyDescent="0.3">
      <c r="A340" s="1">
        <v>11</v>
      </c>
      <c r="B340" t="s">
        <v>899</v>
      </c>
      <c r="C340" t="s">
        <v>3071</v>
      </c>
      <c r="D340" t="s">
        <v>3072</v>
      </c>
      <c r="E340" t="s">
        <v>3073</v>
      </c>
      <c r="F340" t="s">
        <v>3074</v>
      </c>
      <c r="G340" t="s">
        <v>3075</v>
      </c>
      <c r="I340" t="str">
        <f t="shared" si="118"/>
        <v>N/A</v>
      </c>
      <c r="J340">
        <f t="shared" si="119"/>
        <v>186410000</v>
      </c>
      <c r="K340">
        <f t="shared" si="120"/>
        <v>146580000</v>
      </c>
      <c r="L340">
        <f t="shared" si="121"/>
        <v>149140000</v>
      </c>
      <c r="M340">
        <f t="shared" si="122"/>
        <v>261390000</v>
      </c>
      <c r="N340">
        <f t="shared" si="123"/>
        <v>323200000</v>
      </c>
      <c r="P340">
        <f t="shared" si="124"/>
        <v>323200000</v>
      </c>
      <c r="Q340">
        <f>IFERROR(J144+MATCH(P340,J340:N340,0)-1,"")</f>
        <v>2016</v>
      </c>
      <c r="R340">
        <f t="shared" si="125"/>
        <v>146580000</v>
      </c>
      <c r="S340">
        <f>IFERROR(J144+MATCH(R340,J340:N340,0)-1,"")</f>
        <v>2013</v>
      </c>
      <c r="T340">
        <f t="shared" si="126"/>
        <v>213344000</v>
      </c>
      <c r="U340">
        <f t="shared" si="127"/>
        <v>76944435.341355264</v>
      </c>
      <c r="V340">
        <f t="shared" si="128"/>
        <v>-0.35004480675581495</v>
      </c>
      <c r="W340">
        <f t="shared" si="129"/>
        <v>-0.86769107738342721</v>
      </c>
      <c r="X340">
        <f t="shared" si="130"/>
        <v>-0.83442031532450955</v>
      </c>
      <c r="Y340">
        <f t="shared" si="131"/>
        <v>0.62442462261045084</v>
      </c>
      <c r="Z340">
        <f t="shared" si="132"/>
        <v>1.4277315768533008</v>
      </c>
      <c r="AA340">
        <f t="shared" si="133"/>
        <v>1.4277315768533008</v>
      </c>
      <c r="AB340">
        <f>IFERROR(V144+MATCH(AA340,V340:Z340,0)-1,"")</f>
        <v>2016</v>
      </c>
      <c r="AC340" t="str">
        <f t="shared" si="134"/>
        <v>High</v>
      </c>
      <c r="AE340">
        <f>IF(ISNUMBER(MATCH("N/A",J340:N340,0)),"",IFERROR((5 * SUMPRODUCT(J144:N144,J340:N340) - PRODUCT(SUM(J144:N144),SUM(J340:N340))) / ((5 * SUM((J144^2)+(K144^2)+(L144^2)+(M144^2)+(N144^2))) - SUM(J144:N144)^2),""))</f>
        <v>38839000</v>
      </c>
      <c r="AF340">
        <f>IFERROR(CORREL(J144:N144,J340:N340),"")</f>
        <v>0.79810646149006104</v>
      </c>
      <c r="AZ340">
        <f t="shared" si="135"/>
        <v>1</v>
      </c>
      <c r="BA340" t="str">
        <f>IF(AZ340=1,IF(Q340="","",IF(Q340=N144,"Yes","No")),"")</f>
        <v>Yes</v>
      </c>
      <c r="BB340">
        <f t="shared" si="136"/>
        <v>323200000</v>
      </c>
      <c r="BC340" t="str">
        <f>IF(AZ340=1,IF(S340="","",IF(S340=N144,"Yes","No")),"")</f>
        <v>No</v>
      </c>
      <c r="BD340" t="str">
        <f t="shared" si="137"/>
        <v/>
      </c>
      <c r="BE340" t="str">
        <f t="shared" si="138"/>
        <v>Increasing</v>
      </c>
      <c r="BF340" t="str">
        <f t="shared" si="139"/>
        <v>Yes</v>
      </c>
      <c r="BG340" t="str">
        <f t="shared" si="140"/>
        <v>No</v>
      </c>
      <c r="BH340" t="str">
        <f t="shared" si="141"/>
        <v>No</v>
      </c>
    </row>
    <row r="341" spans="1:60" x14ac:dyDescent="0.3">
      <c r="A341" s="1">
        <v>12</v>
      </c>
      <c r="B341" t="s">
        <v>905</v>
      </c>
      <c r="C341" t="s">
        <v>3076</v>
      </c>
      <c r="D341" t="s">
        <v>3077</v>
      </c>
      <c r="E341" t="s">
        <v>3078</v>
      </c>
      <c r="F341" t="s">
        <v>3079</v>
      </c>
      <c r="G341" t="s">
        <v>3080</v>
      </c>
      <c r="I341" t="str">
        <f t="shared" si="118"/>
        <v>N/A</v>
      </c>
      <c r="J341">
        <f t="shared" si="119"/>
        <v>-220920000</v>
      </c>
      <c r="K341">
        <f t="shared" si="120"/>
        <v>-166240000</v>
      </c>
      <c r="L341">
        <f t="shared" si="121"/>
        <v>-185360000</v>
      </c>
      <c r="M341">
        <f t="shared" si="122"/>
        <v>-182000000</v>
      </c>
      <c r="N341">
        <f t="shared" si="123"/>
        <v>-162540000</v>
      </c>
      <c r="P341">
        <f t="shared" si="124"/>
        <v>-162540000</v>
      </c>
      <c r="Q341">
        <f>IFERROR(J144+MATCH(P341,J341:N341,0)-1,"")</f>
        <v>2016</v>
      </c>
      <c r="R341">
        <f t="shared" si="125"/>
        <v>-220920000</v>
      </c>
      <c r="S341">
        <f>IFERROR(J144+MATCH(R341,J341:N341,0)-1,"")</f>
        <v>2012</v>
      </c>
      <c r="T341">
        <f t="shared" si="126"/>
        <v>-183412000</v>
      </c>
      <c r="U341">
        <f t="shared" si="127"/>
        <v>23147119.043198444</v>
      </c>
      <c r="V341">
        <f t="shared" si="128"/>
        <v>-1.6204176394479364</v>
      </c>
      <c r="W341">
        <f t="shared" si="129"/>
        <v>0.74186338126799523</v>
      </c>
      <c r="X341">
        <f t="shared" si="130"/>
        <v>-8.4157341411021117E-2</v>
      </c>
      <c r="Y341">
        <f t="shared" si="131"/>
        <v>6.1001111946797651E-2</v>
      </c>
      <c r="Z341">
        <f t="shared" si="132"/>
        <v>0.90171048764416473</v>
      </c>
      <c r="AA341">
        <f t="shared" si="133"/>
        <v>-1.6204176394479364</v>
      </c>
      <c r="AB341">
        <f>IFERROR(V144+MATCH(AA341,V341:Z341,0)-1,"")</f>
        <v>2012</v>
      </c>
      <c r="AC341" t="str">
        <f t="shared" si="134"/>
        <v>Low</v>
      </c>
      <c r="AE341">
        <f>IF(ISNUMBER(MATCH("N/A",J341:N341,0)),"",IFERROR((5 * SUMPRODUCT(J144:N144,J341:N341) - PRODUCT(SUM(J144:N144),SUM(J341:N341))) / ((5 * SUM((J144^2)+(K144^2)+(L144^2)+(M144^2)+(N144^2))) - SUM(J144:N144)^2),""))</f>
        <v>10100000</v>
      </c>
      <c r="AF341">
        <f>IFERROR(CORREL(J144:N144,J341:N341),"")</f>
        <v>0.68991316604226816</v>
      </c>
      <c r="AZ341">
        <f t="shared" si="135"/>
        <v>1</v>
      </c>
      <c r="BA341" t="str">
        <f>IF(AZ341=1,IF(Q341="","",IF(Q341=N144,"Yes","No")),"")</f>
        <v>Yes</v>
      </c>
      <c r="BB341">
        <f t="shared" si="136"/>
        <v>-162540000</v>
      </c>
      <c r="BC341" t="str">
        <f>IF(AZ341=1,IF(S341="","",IF(S341=N144,"Yes","No")),"")</f>
        <v>No</v>
      </c>
      <c r="BD341" t="str">
        <f t="shared" si="137"/>
        <v/>
      </c>
      <c r="BE341" t="str">
        <f t="shared" si="138"/>
        <v>Increasing</v>
      </c>
      <c r="BF341" t="str">
        <f t="shared" si="139"/>
        <v>Yes</v>
      </c>
      <c r="BG341" t="str">
        <f t="shared" si="140"/>
        <v>No</v>
      </c>
      <c r="BH341" t="str">
        <f t="shared" si="141"/>
        <v>No</v>
      </c>
    </row>
    <row r="342" spans="1:60" x14ac:dyDescent="0.3">
      <c r="A342" s="1">
        <v>13</v>
      </c>
      <c r="B342" t="s">
        <v>757</v>
      </c>
      <c r="C342" t="s">
        <v>3081</v>
      </c>
      <c r="D342" t="s">
        <v>3082</v>
      </c>
      <c r="E342" t="s">
        <v>3083</v>
      </c>
      <c r="F342" t="s">
        <v>3084</v>
      </c>
      <c r="G342" t="s">
        <v>3085</v>
      </c>
      <c r="I342" t="str">
        <f t="shared" si="118"/>
        <v>N/A</v>
      </c>
      <c r="J342">
        <f t="shared" si="119"/>
        <v>-642000</v>
      </c>
      <c r="K342">
        <f t="shared" si="120"/>
        <v>732000</v>
      </c>
      <c r="L342">
        <f t="shared" si="121"/>
        <v>756000</v>
      </c>
      <c r="M342">
        <f t="shared" si="122"/>
        <v>134000</v>
      </c>
      <c r="N342">
        <f t="shared" si="123"/>
        <v>-145000</v>
      </c>
      <c r="P342">
        <f t="shared" si="124"/>
        <v>756000</v>
      </c>
      <c r="Q342">
        <f>IFERROR(J144+MATCH(P342,J342:N342,0)-1,"")</f>
        <v>2014</v>
      </c>
      <c r="R342">
        <f t="shared" si="125"/>
        <v>-642000</v>
      </c>
      <c r="S342">
        <f>IFERROR(J144+MATCH(R342,J342:N342,0)-1,"")</f>
        <v>2012</v>
      </c>
      <c r="T342">
        <f t="shared" si="126"/>
        <v>167000</v>
      </c>
      <c r="U342">
        <f t="shared" si="127"/>
        <v>595621.52412417065</v>
      </c>
      <c r="V342">
        <f t="shared" si="128"/>
        <v>-1.3582450721363553</v>
      </c>
      <c r="W342">
        <f t="shared" si="129"/>
        <v>0.94858895643639141</v>
      </c>
      <c r="X342">
        <f t="shared" si="130"/>
        <v>0.98888300060360101</v>
      </c>
      <c r="Y342">
        <f t="shared" si="131"/>
        <v>-5.5404310729913128E-2</v>
      </c>
      <c r="Z342">
        <f t="shared" si="132"/>
        <v>-0.52382257417372413</v>
      </c>
      <c r="AA342">
        <f t="shared" si="133"/>
        <v>-1.3582450721363553</v>
      </c>
      <c r="AB342">
        <f>IFERROR(V144+MATCH(AA342,V342:Z342,0)-1,"")</f>
        <v>2012</v>
      </c>
      <c r="AC342" t="str">
        <f t="shared" si="134"/>
        <v>Low</v>
      </c>
      <c r="AE342">
        <f>IF(ISNUMBER(MATCH("N/A",J342:N342,0)),"",IFERROR((5 * SUMPRODUCT(J144:N144,J342:N342) - PRODUCT(SUM(J144:N144),SUM(J342:N342))) / ((5 * SUM((J144^2)+(K144^2)+(L144^2)+(M144^2)+(N144^2))) - SUM(J144:N144)^2),""))</f>
        <v>39600</v>
      </c>
      <c r="AF342">
        <f>IFERROR(CORREL(J144:N144,J342:N342),"")</f>
        <v>0.10512228845893891</v>
      </c>
      <c r="AZ342">
        <f t="shared" si="135"/>
        <v>1</v>
      </c>
      <c r="BA342" t="str">
        <f>IF(AZ342=1,IF(Q342="","",IF(Q342=N144,"Yes","No")),"")</f>
        <v>No</v>
      </c>
      <c r="BB342" t="str">
        <f t="shared" si="136"/>
        <v/>
      </c>
      <c r="BC342" t="str">
        <f>IF(AZ342=1,IF(S342="","",IF(S342=N144,"Yes","No")),"")</f>
        <v>No</v>
      </c>
      <c r="BD342" t="str">
        <f t="shared" si="137"/>
        <v/>
      </c>
      <c r="BE342" t="str">
        <f t="shared" si="138"/>
        <v>Increasing</v>
      </c>
      <c r="BF342" t="str">
        <f t="shared" si="139"/>
        <v>No</v>
      </c>
      <c r="BG342" t="str">
        <f t="shared" si="140"/>
        <v>No</v>
      </c>
      <c r="BH342" t="str">
        <f t="shared" si="141"/>
        <v>No</v>
      </c>
    </row>
    <row r="343" spans="1:60" x14ac:dyDescent="0.3">
      <c r="A343" s="1">
        <v>14</v>
      </c>
      <c r="B343" t="s">
        <v>846</v>
      </c>
      <c r="C343" t="s">
        <v>3081</v>
      </c>
      <c r="D343" t="s">
        <v>264</v>
      </c>
      <c r="E343" t="s">
        <v>264</v>
      </c>
      <c r="F343" t="s">
        <v>264</v>
      </c>
      <c r="G343" t="s">
        <v>3085</v>
      </c>
      <c r="I343" t="str">
        <f t="shared" si="118"/>
        <v>N/A</v>
      </c>
      <c r="J343">
        <f t="shared" si="119"/>
        <v>-642000</v>
      </c>
      <c r="K343" t="str">
        <f t="shared" si="120"/>
        <v>N/A</v>
      </c>
      <c r="L343" t="str">
        <f t="shared" si="121"/>
        <v>N/A</v>
      </c>
      <c r="M343" t="str">
        <f t="shared" si="122"/>
        <v>N/A</v>
      </c>
      <c r="N343">
        <f t="shared" si="123"/>
        <v>-145000</v>
      </c>
      <c r="P343">
        <f t="shared" si="124"/>
        <v>-145000</v>
      </c>
      <c r="Q343">
        <f>IFERROR(J144+MATCH(P343,J343:N343,0)-1,"")</f>
        <v>2016</v>
      </c>
      <c r="R343">
        <f t="shared" si="125"/>
        <v>-642000</v>
      </c>
      <c r="S343">
        <f>IFERROR(J144+MATCH(R343,J343:N343,0)-1,"")</f>
        <v>2012</v>
      </c>
      <c r="T343">
        <f t="shared" si="126"/>
        <v>-393500</v>
      </c>
      <c r="U343">
        <f t="shared" si="127"/>
        <v>351432.07024971413</v>
      </c>
      <c r="V343">
        <f t="shared" si="128"/>
        <v>-0.70710678118654746</v>
      </c>
      <c r="W343" t="str">
        <f t="shared" si="129"/>
        <v/>
      </c>
      <c r="X343" t="str">
        <f t="shared" si="130"/>
        <v/>
      </c>
      <c r="Y343" t="str">
        <f t="shared" si="131"/>
        <v/>
      </c>
      <c r="Z343">
        <f t="shared" si="132"/>
        <v>0.70710678118654746</v>
      </c>
      <c r="AA343">
        <f t="shared" si="133"/>
        <v>-0.70710678118654746</v>
      </c>
      <c r="AB343">
        <f>IFERROR(V144+MATCH(AA343,V343:Z343,0)-1,"")</f>
        <v>2012</v>
      </c>
      <c r="AC343" t="str">
        <f t="shared" si="134"/>
        <v>Low</v>
      </c>
      <c r="AE343" t="str">
        <f>IF(ISNUMBER(MATCH("N/A",J343:N343,0)),"",IFERROR((5 * SUMPRODUCT(J144:N144,J343:N343) - PRODUCT(SUM(J144:N144),SUM(J343:N343))) / ((5 * SUM((J144^2)+(K144^2)+(L144^2)+(M144^2)+(N144^2))) - SUM(J144:N144)^2),""))</f>
        <v/>
      </c>
      <c r="AF343">
        <f>IFERROR(CORREL(J144:N144,J343:N343),"")</f>
        <v>1</v>
      </c>
      <c r="AZ343">
        <f t="shared" si="135"/>
        <v>1</v>
      </c>
      <c r="BA343" t="str">
        <f>IF(AZ343=1,IF(Q343="","",IF(Q343=N144,"Yes","No")),"")</f>
        <v>Yes</v>
      </c>
      <c r="BB343">
        <f t="shared" si="136"/>
        <v>-145000</v>
      </c>
      <c r="BC343" t="str">
        <f>IF(AZ343=1,IF(S343="","",IF(S343=N144,"Yes","No")),"")</f>
        <v>No</v>
      </c>
      <c r="BD343" t="str">
        <f t="shared" si="137"/>
        <v/>
      </c>
      <c r="BE343" t="str">
        <f t="shared" si="138"/>
        <v/>
      </c>
      <c r="BF343" t="str">
        <f t="shared" si="139"/>
        <v>No</v>
      </c>
      <c r="BG343" t="str">
        <f t="shared" si="140"/>
        <v>No</v>
      </c>
      <c r="BH343" t="str">
        <f t="shared" si="141"/>
        <v>Yes</v>
      </c>
    </row>
    <row r="344" spans="1:60" x14ac:dyDescent="0.3">
      <c r="A344" s="1">
        <v>15</v>
      </c>
      <c r="B344" t="s">
        <v>849</v>
      </c>
      <c r="C344" t="s">
        <v>264</v>
      </c>
      <c r="D344" t="s">
        <v>3082</v>
      </c>
      <c r="E344" t="s">
        <v>3083</v>
      </c>
      <c r="F344" t="s">
        <v>3084</v>
      </c>
      <c r="G344" t="s">
        <v>264</v>
      </c>
      <c r="I344" t="str">
        <f t="shared" si="118"/>
        <v>N/A</v>
      </c>
      <c r="J344" t="str">
        <f t="shared" si="119"/>
        <v>N/A</v>
      </c>
      <c r="K344">
        <f t="shared" si="120"/>
        <v>732000</v>
      </c>
      <c r="L344">
        <f t="shared" si="121"/>
        <v>756000</v>
      </c>
      <c r="M344">
        <f t="shared" si="122"/>
        <v>134000</v>
      </c>
      <c r="N344" t="str">
        <f t="shared" si="123"/>
        <v>N/A</v>
      </c>
      <c r="P344">
        <f t="shared" si="124"/>
        <v>756000</v>
      </c>
      <c r="Q344">
        <f>IFERROR(J144+MATCH(P344,J344:N344,0)-1,"")</f>
        <v>2014</v>
      </c>
      <c r="R344">
        <f t="shared" si="125"/>
        <v>134000</v>
      </c>
      <c r="S344">
        <f>IFERROR(J144+MATCH(R344,J344:N344,0)-1,"")</f>
        <v>2015</v>
      </c>
      <c r="T344">
        <f t="shared" si="126"/>
        <v>540666.66666666663</v>
      </c>
      <c r="U344">
        <f t="shared" si="127"/>
        <v>352388.04368669109</v>
      </c>
      <c r="V344" t="str">
        <f t="shared" si="128"/>
        <v/>
      </c>
      <c r="W344">
        <f t="shared" si="129"/>
        <v>0.54296204641792056</v>
      </c>
      <c r="X344">
        <f t="shared" si="130"/>
        <v>0.61106878394769448</v>
      </c>
      <c r="Y344">
        <f t="shared" si="131"/>
        <v>-1.1540308303656146</v>
      </c>
      <c r="Z344" t="str">
        <f t="shared" si="132"/>
        <v/>
      </c>
      <c r="AA344">
        <f t="shared" si="133"/>
        <v>-1.1540308303656146</v>
      </c>
      <c r="AB344">
        <f>IFERROR(V144+MATCH(AA344,V344:Z344,0)-1,"")</f>
        <v>2015</v>
      </c>
      <c r="AC344" t="str">
        <f t="shared" si="134"/>
        <v>Low</v>
      </c>
      <c r="AE344" t="str">
        <f>IF(ISNUMBER(MATCH("N/A",J344:N344,0)),"",IFERROR((5 * SUMPRODUCT(J144:N144,J344:N344) - PRODUCT(SUM(J144:N144),SUM(J344:N344))) / ((5 * SUM((J144^2)+(K144^2)+(L144^2)+(M144^2)+(N144^2))) - SUM(J144:N144)^2),""))</f>
        <v/>
      </c>
      <c r="AF344">
        <f>IFERROR(CORREL(J144:N144,J344:N344),"")</f>
        <v>-0.84849643839176758</v>
      </c>
      <c r="AZ344">
        <f t="shared" si="135"/>
        <v>1</v>
      </c>
      <c r="BA344" t="str">
        <f>IF(AZ344=1,IF(Q344="","",IF(Q344=N144,"Yes","No")),"")</f>
        <v>No</v>
      </c>
      <c r="BB344" t="str">
        <f t="shared" si="136"/>
        <v/>
      </c>
      <c r="BC344" t="str">
        <f>IF(AZ344=1,IF(S344="","",IF(S344=N144,"Yes","No")),"")</f>
        <v>No</v>
      </c>
      <c r="BD344" t="str">
        <f t="shared" si="137"/>
        <v/>
      </c>
      <c r="BE344" t="str">
        <f t="shared" si="138"/>
        <v/>
      </c>
      <c r="BF344" t="str">
        <f t="shared" si="139"/>
        <v>No</v>
      </c>
      <c r="BG344" t="str">
        <f t="shared" si="140"/>
        <v>No</v>
      </c>
      <c r="BH344" t="str">
        <f t="shared" si="141"/>
        <v>Yes</v>
      </c>
    </row>
    <row r="345" spans="1:60" x14ac:dyDescent="0.3">
      <c r="A345" s="1">
        <v>16</v>
      </c>
      <c r="B345" t="s">
        <v>920</v>
      </c>
      <c r="C345" t="s">
        <v>3086</v>
      </c>
      <c r="D345" t="s">
        <v>3087</v>
      </c>
      <c r="E345" t="s">
        <v>3088</v>
      </c>
      <c r="F345" t="s">
        <v>3089</v>
      </c>
      <c r="G345" t="s">
        <v>3090</v>
      </c>
      <c r="I345" t="str">
        <f t="shared" si="118"/>
        <v>N/A</v>
      </c>
      <c r="J345">
        <f t="shared" si="119"/>
        <v>-37410000</v>
      </c>
      <c r="K345">
        <f t="shared" si="120"/>
        <v>-19240000</v>
      </c>
      <c r="L345">
        <f t="shared" si="121"/>
        <v>-37720000</v>
      </c>
      <c r="M345">
        <f t="shared" si="122"/>
        <v>2250000</v>
      </c>
      <c r="N345">
        <f t="shared" si="123"/>
        <v>158760000</v>
      </c>
      <c r="P345">
        <f t="shared" si="124"/>
        <v>158760000</v>
      </c>
      <c r="Q345">
        <f>IFERROR(J144+MATCH(P345,J345:N345,0)-1,"")</f>
        <v>2016</v>
      </c>
      <c r="R345">
        <f t="shared" si="125"/>
        <v>-37720000</v>
      </c>
      <c r="S345">
        <f>IFERROR(J144+MATCH(R345,J345:N345,0)-1,"")</f>
        <v>2014</v>
      </c>
      <c r="T345">
        <f t="shared" si="126"/>
        <v>13328000</v>
      </c>
      <c r="U345">
        <f t="shared" si="127"/>
        <v>82936883.049702317</v>
      </c>
      <c r="V345">
        <f t="shared" si="128"/>
        <v>-0.61176641964701994</v>
      </c>
      <c r="W345">
        <f t="shared" si="129"/>
        <v>-0.39268415694477798</v>
      </c>
      <c r="X345">
        <f t="shared" si="130"/>
        <v>-0.61550420178448251</v>
      </c>
      <c r="Y345">
        <f t="shared" si="131"/>
        <v>-0.1335714532864852</v>
      </c>
      <c r="Z345">
        <f t="shared" si="132"/>
        <v>1.7535262316627656</v>
      </c>
      <c r="AA345">
        <f t="shared" si="133"/>
        <v>1.7535262316627656</v>
      </c>
      <c r="AB345">
        <f>IFERROR(V144+MATCH(AA345,V345:Z345,0)-1,"")</f>
        <v>2016</v>
      </c>
      <c r="AC345" t="str">
        <f t="shared" si="134"/>
        <v>High</v>
      </c>
      <c r="AE345">
        <f>IF(ISNUMBER(MATCH("N/A",J345:N345,0)),"",IFERROR((5 * SUMPRODUCT(J144:N144,J345:N345) - PRODUCT(SUM(J144:N144),SUM(J345:N345))) / ((5 * SUM((J144^2)+(K144^2)+(L144^2)+(M144^2)+(N144^2))) - SUM(J144:N144)^2),""))</f>
        <v>41383000</v>
      </c>
      <c r="AF345">
        <f>IFERROR(CORREL(J144:N144,J345:N345),"")</f>
        <v>0.78894052681195936</v>
      </c>
      <c r="AZ345">
        <f t="shared" si="135"/>
        <v>1</v>
      </c>
      <c r="BA345" t="str">
        <f>IF(AZ345=1,IF(Q345="","",IF(Q345=N144,"Yes","No")),"")</f>
        <v>Yes</v>
      </c>
      <c r="BB345">
        <f t="shared" si="136"/>
        <v>158760000</v>
      </c>
      <c r="BC345" t="str">
        <f>IF(AZ345=1,IF(S345="","",IF(S345=N144,"Yes","No")),"")</f>
        <v>No</v>
      </c>
      <c r="BD345" t="str">
        <f t="shared" si="137"/>
        <v/>
      </c>
      <c r="BE345" t="str">
        <f t="shared" si="138"/>
        <v>Increasing</v>
      </c>
      <c r="BF345" t="str">
        <f t="shared" si="139"/>
        <v>Yes</v>
      </c>
      <c r="BG345" t="str">
        <f t="shared" si="140"/>
        <v>No</v>
      </c>
      <c r="BH345" t="str">
        <f t="shared" si="141"/>
        <v>No</v>
      </c>
    </row>
    <row r="346" spans="1:60" x14ac:dyDescent="0.3">
      <c r="A346" s="1">
        <v>17</v>
      </c>
      <c r="B346" t="s">
        <v>926</v>
      </c>
      <c r="C346" t="s">
        <v>264</v>
      </c>
      <c r="D346" t="s">
        <v>3091</v>
      </c>
      <c r="E346" t="s">
        <v>3092</v>
      </c>
      <c r="F346" t="s">
        <v>3093</v>
      </c>
      <c r="G346" t="s">
        <v>3094</v>
      </c>
      <c r="I346" t="str">
        <f t="shared" si="118"/>
        <v>N/A</v>
      </c>
      <c r="J346" t="str">
        <f t="shared" si="119"/>
        <v>N/A</v>
      </c>
      <c r="K346">
        <f t="shared" si="120"/>
        <v>0.48580000000000001</v>
      </c>
      <c r="L346">
        <f t="shared" si="121"/>
        <v>-0.96120000000000005</v>
      </c>
      <c r="M346">
        <f t="shared" si="122"/>
        <v>1.0597000000000001</v>
      </c>
      <c r="N346">
        <f t="shared" si="123"/>
        <v>69.5304</v>
      </c>
      <c r="P346">
        <f t="shared" si="124"/>
        <v>69.5304</v>
      </c>
      <c r="Q346">
        <f>IFERROR(J144+MATCH(P346,J346:N346,0)-1,"")</f>
        <v>2016</v>
      </c>
      <c r="R346">
        <f t="shared" si="125"/>
        <v>-0.96120000000000005</v>
      </c>
      <c r="S346">
        <f>IFERROR(J144+MATCH(R346,J346:N346,0)-1,"")</f>
        <v>2014</v>
      </c>
      <c r="T346">
        <f t="shared" si="126"/>
        <v>17.528675</v>
      </c>
      <c r="U346">
        <f t="shared" si="127"/>
        <v>34.678242969271572</v>
      </c>
      <c r="V346" t="str">
        <f t="shared" si="128"/>
        <v/>
      </c>
      <c r="W346">
        <f t="shared" si="129"/>
        <v>-0.49145728101339242</v>
      </c>
      <c r="X346">
        <f t="shared" si="130"/>
        <v>-0.53318373183969847</v>
      </c>
      <c r="Y346">
        <f t="shared" si="131"/>
        <v>-0.47490799965249614</v>
      </c>
      <c r="Z346">
        <f t="shared" si="132"/>
        <v>1.499549012505587</v>
      </c>
      <c r="AA346">
        <f t="shared" si="133"/>
        <v>1.499549012505587</v>
      </c>
      <c r="AB346">
        <f>IFERROR(V144+MATCH(AA346,V346:Z346,0)-1,"")</f>
        <v>2016</v>
      </c>
      <c r="AC346" t="str">
        <f t="shared" si="134"/>
        <v>High</v>
      </c>
      <c r="AE346" t="str">
        <f>IF(ISNUMBER(MATCH("N/A",J346:N346,0)),"",IFERROR((5 * SUMPRODUCT(J144:N144,J346:N346) - PRODUCT(SUM(J144:N144),SUM(J346:N346))) / ((5 * SUM((J144^2)+(K144^2)+(L144^2)+(M144^2)+(N144^2))) - SUM(J144:N144)^2),""))</f>
        <v/>
      </c>
      <c r="AF346">
        <f>IFERROR(CORREL(J144:N144,J346:N346),"")</f>
        <v>0.77863678637428546</v>
      </c>
      <c r="AZ346">
        <f t="shared" si="135"/>
        <v>1</v>
      </c>
      <c r="BA346" t="str">
        <f>IF(AZ346=1,IF(Q346="","",IF(Q346=N144,"Yes","No")),"")</f>
        <v>Yes</v>
      </c>
      <c r="BB346">
        <f t="shared" si="136"/>
        <v>69.5304</v>
      </c>
      <c r="BC346" t="str">
        <f>IF(AZ346=1,IF(S346="","",IF(S346=N144,"Yes","No")),"")</f>
        <v>No</v>
      </c>
      <c r="BD346" t="str">
        <f t="shared" si="137"/>
        <v/>
      </c>
      <c r="BE346" t="str">
        <f t="shared" si="138"/>
        <v/>
      </c>
      <c r="BF346" t="str">
        <f t="shared" si="139"/>
        <v>No</v>
      </c>
      <c r="BG346" t="str">
        <f t="shared" si="140"/>
        <v>No</v>
      </c>
      <c r="BH346" t="str">
        <f t="shared" si="141"/>
        <v>No</v>
      </c>
    </row>
    <row r="347" spans="1:60" x14ac:dyDescent="0.3">
      <c r="A347" s="1">
        <v>18</v>
      </c>
      <c r="B347" t="s">
        <v>931</v>
      </c>
      <c r="C347" t="s">
        <v>3095</v>
      </c>
      <c r="D347" t="s">
        <v>3096</v>
      </c>
      <c r="E347" t="s">
        <v>3097</v>
      </c>
      <c r="F347" t="s">
        <v>3098</v>
      </c>
      <c r="G347" t="s">
        <v>3099</v>
      </c>
      <c r="I347" t="str">
        <f t="shared" si="118"/>
        <v>N/A</v>
      </c>
      <c r="J347">
        <f t="shared" si="119"/>
        <v>-4.4200000000000003E-2</v>
      </c>
      <c r="K347">
        <f t="shared" si="120"/>
        <v>-2.2400000000000003E-2</v>
      </c>
      <c r="L347">
        <f t="shared" si="121"/>
        <v>-4.4800000000000006E-2</v>
      </c>
      <c r="M347">
        <f t="shared" si="122"/>
        <v>3.4000000000000002E-3</v>
      </c>
      <c r="N347">
        <f t="shared" si="123"/>
        <v>0.26900000000000002</v>
      </c>
      <c r="P347">
        <f t="shared" si="124"/>
        <v>0.26900000000000002</v>
      </c>
      <c r="Q347">
        <f>IFERROR(J144+MATCH(P347,J347:N347,0)-1,"")</f>
        <v>2016</v>
      </c>
      <c r="R347">
        <f t="shared" si="125"/>
        <v>-4.4800000000000006E-2</v>
      </c>
      <c r="S347">
        <f>IFERROR(J144+MATCH(R347,J347:N347,0)-1,"")</f>
        <v>2014</v>
      </c>
      <c r="T347">
        <f t="shared" si="126"/>
        <v>3.2199999999999999E-2</v>
      </c>
      <c r="U347">
        <f t="shared" si="127"/>
        <v>0.13383833531540956</v>
      </c>
      <c r="V347">
        <f t="shared" si="128"/>
        <v>-0.5708379428057907</v>
      </c>
      <c r="W347">
        <f t="shared" si="129"/>
        <v>-0.40795486488476668</v>
      </c>
      <c r="X347">
        <f t="shared" si="130"/>
        <v>-0.57532096329902993</v>
      </c>
      <c r="Y347">
        <f t="shared" si="131"/>
        <v>-0.21518498367548131</v>
      </c>
      <c r="Z347">
        <f t="shared" si="132"/>
        <v>1.7692987546650687</v>
      </c>
      <c r="AA347">
        <f t="shared" si="133"/>
        <v>1.7692987546650687</v>
      </c>
      <c r="AB347">
        <f>IFERROR(V144+MATCH(AA347,V347:Z347,0)-1,"")</f>
        <v>2016</v>
      </c>
      <c r="AC347" t="str">
        <f t="shared" si="134"/>
        <v>High</v>
      </c>
      <c r="AE347">
        <f>IF(ISNUMBER(MATCH("N/A",J347:N347,0)),"",IFERROR((5 * SUMPRODUCT(J144:N144,J347:N347) - PRODUCT(SUM(J144:N144),SUM(J347:N347))) / ((5 * SUM((J144^2)+(K144^2)+(L144^2)+(M144^2)+(N144^2))) - SUM(J144:N144)^2),""))</f>
        <v>6.5220000000008438E-2</v>
      </c>
      <c r="AF347">
        <f>IFERROR(CORREL(J144:N144,J347:N347),"")</f>
        <v>0.77049579446030236</v>
      </c>
      <c r="AZ347">
        <f t="shared" si="135"/>
        <v>1</v>
      </c>
      <c r="BA347" t="str">
        <f>IF(AZ347=1,IF(Q347="","",IF(Q347=N144,"Yes","No")),"")</f>
        <v>Yes</v>
      </c>
      <c r="BB347">
        <f t="shared" si="136"/>
        <v>0.26900000000000002</v>
      </c>
      <c r="BC347" t="str">
        <f>IF(AZ347=1,IF(S347="","",IF(S347=N144,"Yes","No")),"")</f>
        <v>No</v>
      </c>
      <c r="BD347" t="str">
        <f t="shared" si="137"/>
        <v/>
      </c>
      <c r="BE347" t="str">
        <f t="shared" si="138"/>
        <v>Increasing</v>
      </c>
      <c r="BF347" t="str">
        <f t="shared" si="139"/>
        <v>Yes</v>
      </c>
      <c r="BG347" t="str">
        <f t="shared" si="140"/>
        <v>No</v>
      </c>
      <c r="BH347" t="str">
        <f t="shared" si="141"/>
        <v>No</v>
      </c>
    </row>
    <row r="348" spans="1:60" x14ac:dyDescent="0.3">
      <c r="A348" s="1">
        <v>19</v>
      </c>
      <c r="B348" t="s">
        <v>937</v>
      </c>
      <c r="C348" t="s">
        <v>3100</v>
      </c>
      <c r="D348" t="s">
        <v>3101</v>
      </c>
      <c r="E348" t="s">
        <v>3102</v>
      </c>
      <c r="F348" t="s">
        <v>3103</v>
      </c>
      <c r="G348" t="s">
        <v>3104</v>
      </c>
      <c r="I348" t="str">
        <f t="shared" si="118"/>
        <v>N/A</v>
      </c>
      <c r="J348">
        <f t="shared" si="119"/>
        <v>1400000</v>
      </c>
      <c r="K348">
        <f t="shared" si="120"/>
        <v>735000</v>
      </c>
      <c r="L348">
        <f t="shared" si="121"/>
        <v>-12160000</v>
      </c>
      <c r="M348">
        <f t="shared" si="122"/>
        <v>-8500000</v>
      </c>
      <c r="N348">
        <f t="shared" si="123"/>
        <v>-3940000</v>
      </c>
      <c r="P348">
        <f t="shared" si="124"/>
        <v>1400000</v>
      </c>
      <c r="Q348">
        <f>IFERROR(J144+MATCH(P348,J348:N348,0)-1,"")</f>
        <v>2012</v>
      </c>
      <c r="R348">
        <f t="shared" si="125"/>
        <v>-12160000</v>
      </c>
      <c r="S348">
        <f>IFERROR(J144+MATCH(R348,J348:N348,0)-1,"")</f>
        <v>2014</v>
      </c>
      <c r="T348">
        <f t="shared" si="126"/>
        <v>-4493000</v>
      </c>
      <c r="U348">
        <f t="shared" si="127"/>
        <v>5856709.4003373599</v>
      </c>
      <c r="V348">
        <f t="shared" si="128"/>
        <v>1.0061964146045133</v>
      </c>
      <c r="W348">
        <f t="shared" si="129"/>
        <v>0.89265142636219164</v>
      </c>
      <c r="X348">
        <f t="shared" si="130"/>
        <v>-1.3090968794795186</v>
      </c>
      <c r="Y348">
        <f t="shared" si="131"/>
        <v>-0.68417258328869579</v>
      </c>
      <c r="Z348">
        <f t="shared" si="132"/>
        <v>9.442162180150955E-2</v>
      </c>
      <c r="AA348">
        <f t="shared" si="133"/>
        <v>-1.3090968794795186</v>
      </c>
      <c r="AB348">
        <f>IFERROR(V144+MATCH(AA348,V348:Z348,0)-1,"")</f>
        <v>2014</v>
      </c>
      <c r="AC348" t="str">
        <f t="shared" si="134"/>
        <v>Low</v>
      </c>
      <c r="AE348">
        <f>IF(ISNUMBER(MATCH("N/A",J348:N348,0)),"",IFERROR((5 * SUMPRODUCT(J144:N144,J348:N348) - PRODUCT(SUM(J144:N144),SUM(J348:N348))) / ((5 * SUM((J144^2)+(K144^2)+(L144^2)+(M144^2)+(N144^2))) - SUM(J144:N144)^2),""))</f>
        <v>-1991500</v>
      </c>
      <c r="AF348">
        <f>IFERROR(CORREL(J144:N144,J348:N348),"")</f>
        <v>-0.53764627282536559</v>
      </c>
      <c r="AZ348">
        <f t="shared" si="135"/>
        <v>1</v>
      </c>
      <c r="BA348" t="str">
        <f>IF(AZ348=1,IF(Q348="","",IF(Q348=N144,"Yes","No")),"")</f>
        <v>No</v>
      </c>
      <c r="BB348" t="str">
        <f t="shared" si="136"/>
        <v/>
      </c>
      <c r="BC348" t="str">
        <f>IF(AZ348=1,IF(S348="","",IF(S348=N144,"Yes","No")),"")</f>
        <v>No</v>
      </c>
      <c r="BD348" t="str">
        <f t="shared" si="137"/>
        <v/>
      </c>
      <c r="BE348" t="str">
        <f t="shared" si="138"/>
        <v>Decreasing</v>
      </c>
      <c r="BF348" t="str">
        <f t="shared" si="139"/>
        <v>No</v>
      </c>
      <c r="BG348" t="str">
        <f t="shared" si="140"/>
        <v>No</v>
      </c>
      <c r="BH348" t="str">
        <f t="shared" si="141"/>
        <v>No</v>
      </c>
    </row>
    <row r="349" spans="1:60" x14ac:dyDescent="0.3">
      <c r="A349" s="1">
        <v>20</v>
      </c>
      <c r="B349" t="s">
        <v>939</v>
      </c>
      <c r="C349" t="s">
        <v>698</v>
      </c>
      <c r="D349" t="s">
        <v>698</v>
      </c>
      <c r="E349" t="s">
        <v>698</v>
      </c>
      <c r="F349" t="s">
        <v>698</v>
      </c>
      <c r="G349" t="s">
        <v>698</v>
      </c>
      <c r="I349" t="str">
        <f t="shared" si="118"/>
        <v>N/A</v>
      </c>
      <c r="J349">
        <f t="shared" si="119"/>
        <v>0</v>
      </c>
      <c r="K349">
        <f t="shared" si="120"/>
        <v>0</v>
      </c>
      <c r="L349">
        <f t="shared" si="121"/>
        <v>0</v>
      </c>
      <c r="M349">
        <f t="shared" si="122"/>
        <v>0</v>
      </c>
      <c r="N349">
        <f t="shared" si="123"/>
        <v>0</v>
      </c>
      <c r="P349">
        <f t="shared" si="124"/>
        <v>0</v>
      </c>
      <c r="Q349">
        <f>IFERROR(J144+MATCH(P349,J349:N349,0)-1,"")</f>
        <v>2012</v>
      </c>
      <c r="R349">
        <f t="shared" si="125"/>
        <v>0</v>
      </c>
      <c r="S349">
        <f>IFERROR(J144+MATCH(R349,J349:N349,0)-1,"")</f>
        <v>2012</v>
      </c>
      <c r="T349">
        <f t="shared" si="126"/>
        <v>0</v>
      </c>
      <c r="U349">
        <f t="shared" si="127"/>
        <v>0</v>
      </c>
      <c r="V349" t="str">
        <f t="shared" si="128"/>
        <v/>
      </c>
      <c r="W349" t="str">
        <f t="shared" si="129"/>
        <v/>
      </c>
      <c r="X349" t="str">
        <f t="shared" si="130"/>
        <v/>
      </c>
      <c r="Y349" t="str">
        <f t="shared" si="131"/>
        <v/>
      </c>
      <c r="Z349" t="str">
        <f t="shared" si="132"/>
        <v/>
      </c>
      <c r="AA349">
        <f t="shared" si="133"/>
        <v>0</v>
      </c>
      <c r="AB349" t="str">
        <f>IFERROR(V144+MATCH(AA349,V349:Z349,0)-1,"")</f>
        <v/>
      </c>
      <c r="AC349" t="str">
        <f t="shared" si="134"/>
        <v/>
      </c>
      <c r="AE349">
        <f>IF(ISNUMBER(MATCH("N/A",J349:N349,0)),"",IFERROR((5 * SUMPRODUCT(J144:N144,J349:N349) - PRODUCT(SUM(J144:N144),SUM(J349:N349))) / ((5 * SUM((J144^2)+(K144^2)+(L144^2)+(M144^2)+(N144^2))) - SUM(J144:N144)^2),""))</f>
        <v>0</v>
      </c>
      <c r="AF349" t="str">
        <f>IFERROR(CORREL(J144:N144,J349:N349),"")</f>
        <v/>
      </c>
      <c r="AZ349">
        <f t="shared" si="135"/>
        <v>0</v>
      </c>
      <c r="BA349" t="str">
        <f>IF(AZ349=1,IF(Q349="","",IF(Q349=N144,"Yes","No")),"")</f>
        <v/>
      </c>
      <c r="BB349" t="str">
        <f t="shared" si="136"/>
        <v/>
      </c>
      <c r="BC349" t="str">
        <f>IF(AZ349=1,IF(S349="","",IF(S349=N144,"Yes","No")),"")</f>
        <v/>
      </c>
      <c r="BD349" t="str">
        <f t="shared" si="137"/>
        <v/>
      </c>
      <c r="BE349" t="str">
        <f t="shared" si="138"/>
        <v/>
      </c>
      <c r="BF349" t="str">
        <f t="shared" si="139"/>
        <v>No</v>
      </c>
      <c r="BG349" t="str">
        <f t="shared" si="140"/>
        <v>No</v>
      </c>
      <c r="BH349" t="str">
        <f t="shared" si="141"/>
        <v/>
      </c>
    </row>
    <row r="350" spans="1:60" x14ac:dyDescent="0.3">
      <c r="A350" s="1">
        <v>21</v>
      </c>
      <c r="B350" t="s">
        <v>940</v>
      </c>
      <c r="C350" t="s">
        <v>3105</v>
      </c>
      <c r="D350" t="s">
        <v>3106</v>
      </c>
      <c r="E350" t="s">
        <v>3107</v>
      </c>
      <c r="F350" t="s">
        <v>3108</v>
      </c>
      <c r="G350" t="s">
        <v>3109</v>
      </c>
      <c r="I350" t="str">
        <f t="shared" si="118"/>
        <v>N/A</v>
      </c>
      <c r="J350">
        <f t="shared" si="119"/>
        <v>6880000</v>
      </c>
      <c r="K350">
        <f t="shared" si="120"/>
        <v>40440000</v>
      </c>
      <c r="L350">
        <f t="shared" si="121"/>
        <v>19100000</v>
      </c>
      <c r="M350">
        <f t="shared" si="122"/>
        <v>-66830000</v>
      </c>
      <c r="N350">
        <f t="shared" si="123"/>
        <v>3740000</v>
      </c>
      <c r="P350">
        <f t="shared" si="124"/>
        <v>40440000</v>
      </c>
      <c r="Q350">
        <f>IFERROR(J144+MATCH(P350,J350:N350,0)-1,"")</f>
        <v>2013</v>
      </c>
      <c r="R350">
        <f t="shared" si="125"/>
        <v>-66830000</v>
      </c>
      <c r="S350">
        <f>IFERROR(J144+MATCH(R350,J350:N350,0)-1,"")</f>
        <v>2015</v>
      </c>
      <c r="T350">
        <f t="shared" si="126"/>
        <v>666000</v>
      </c>
      <c r="U350">
        <f t="shared" si="127"/>
        <v>40390459.021902688</v>
      </c>
      <c r="V350">
        <f t="shared" si="128"/>
        <v>0.15384821441693225</v>
      </c>
      <c r="W350">
        <f t="shared" si="129"/>
        <v>0.98473750888623479</v>
      </c>
      <c r="X350">
        <f t="shared" si="130"/>
        <v>0.45639491222428852</v>
      </c>
      <c r="Y350">
        <f t="shared" si="131"/>
        <v>-1.6710877181019084</v>
      </c>
      <c r="Z350">
        <f t="shared" si="132"/>
        <v>7.6107082574452797E-2</v>
      </c>
      <c r="AA350">
        <f t="shared" si="133"/>
        <v>-1.6710877181019084</v>
      </c>
      <c r="AB350">
        <f>IFERROR(V144+MATCH(AA350,V350:Z350,0)-1,"")</f>
        <v>2015</v>
      </c>
      <c r="AC350" t="str">
        <f t="shared" si="134"/>
        <v>Low</v>
      </c>
      <c r="AE350">
        <f>IF(ISNUMBER(MATCH("N/A",J350:N350,0)),"",IFERROR((5 * SUMPRODUCT(J144:N144,J350:N350) - PRODUCT(SUM(J144:N144),SUM(J350:N350))) / ((5 * SUM((J144^2)+(K144^2)+(L144^2)+(M144^2)+(N144^2))) - SUM(J144:N144)^2),""))</f>
        <v>-11355000</v>
      </c>
      <c r="AF350">
        <f>IFERROR(CORREL(J144:N144,J350:N350),"")</f>
        <v>-0.44450674368097876</v>
      </c>
      <c r="AZ350">
        <f t="shared" si="135"/>
        <v>1</v>
      </c>
      <c r="BA350" t="str">
        <f>IF(AZ350=1,IF(Q350="","",IF(Q350=N144,"Yes","No")),"")</f>
        <v>No</v>
      </c>
      <c r="BB350" t="str">
        <f t="shared" si="136"/>
        <v/>
      </c>
      <c r="BC350" t="str">
        <f>IF(AZ350=1,IF(S350="","",IF(S350=N144,"Yes","No")),"")</f>
        <v>No</v>
      </c>
      <c r="BD350" t="str">
        <f t="shared" si="137"/>
        <v/>
      </c>
      <c r="BE350" t="str">
        <f t="shared" si="138"/>
        <v>Decreasing</v>
      </c>
      <c r="BF350" t="str">
        <f t="shared" si="139"/>
        <v>No</v>
      </c>
      <c r="BG350" t="str">
        <f t="shared" si="140"/>
        <v>No</v>
      </c>
      <c r="BH350" t="str">
        <f t="shared" si="141"/>
        <v>No</v>
      </c>
    </row>
    <row r="351" spans="1:60" x14ac:dyDescent="0.3">
      <c r="A351" s="1">
        <v>22</v>
      </c>
      <c r="B351" t="s">
        <v>946</v>
      </c>
      <c r="C351" t="s">
        <v>3110</v>
      </c>
      <c r="D351" t="s">
        <v>3111</v>
      </c>
      <c r="E351" t="s">
        <v>3112</v>
      </c>
      <c r="F351" t="s">
        <v>3113</v>
      </c>
      <c r="G351" t="s">
        <v>3114</v>
      </c>
      <c r="I351" t="str">
        <f t="shared" si="118"/>
        <v>N/A</v>
      </c>
      <c r="J351">
        <f t="shared" si="119"/>
        <v>42350000</v>
      </c>
      <c r="K351">
        <f t="shared" si="120"/>
        <v>54880000</v>
      </c>
      <c r="L351">
        <f t="shared" si="121"/>
        <v>58020000</v>
      </c>
      <c r="M351">
        <f t="shared" si="122"/>
        <v>14430000</v>
      </c>
      <c r="N351">
        <f t="shared" si="123"/>
        <v>44710000</v>
      </c>
      <c r="P351">
        <f t="shared" si="124"/>
        <v>58020000</v>
      </c>
      <c r="Q351">
        <f>IFERROR(J144+MATCH(P351,J351:N351,0)-1,"")</f>
        <v>2014</v>
      </c>
      <c r="R351">
        <f t="shared" si="125"/>
        <v>14430000</v>
      </c>
      <c r="S351">
        <f>IFERROR(J144+MATCH(R351,J351:N351,0)-1,"")</f>
        <v>2015</v>
      </c>
      <c r="T351">
        <f t="shared" si="126"/>
        <v>42878000</v>
      </c>
      <c r="U351">
        <f t="shared" si="127"/>
        <v>17221003.745426688</v>
      </c>
      <c r="V351">
        <f t="shared" si="128"/>
        <v>-3.0660233735807577E-2</v>
      </c>
      <c r="W351">
        <f t="shared" si="129"/>
        <v>0.69693963124462599</v>
      </c>
      <c r="X351">
        <f t="shared" si="130"/>
        <v>0.87927511217348175</v>
      </c>
      <c r="Y351">
        <f t="shared" si="131"/>
        <v>-1.6519362297656326</v>
      </c>
      <c r="Z351">
        <f t="shared" si="132"/>
        <v>0.10638172008333235</v>
      </c>
      <c r="AA351">
        <f t="shared" si="133"/>
        <v>-1.6519362297656326</v>
      </c>
      <c r="AB351">
        <f>IFERROR(V144+MATCH(AA351,V351:Z351,0)-1,"")</f>
        <v>2015</v>
      </c>
      <c r="AC351" t="str">
        <f t="shared" si="134"/>
        <v>Low</v>
      </c>
      <c r="AE351">
        <f>IF(ISNUMBER(MATCH("N/A",J351:N351,0)),"",IFERROR((5 * SUMPRODUCT(J144:N144,J351:N351) - PRODUCT(SUM(J144:N144),SUM(J351:N351))) / ((5 * SUM((J144^2)+(K144^2)+(L144^2)+(M144^2)+(N144^2))) - SUM(J144:N144)^2),""))</f>
        <v>-3573000</v>
      </c>
      <c r="AF351">
        <f>IFERROR(CORREL(J144:N144,J351:N351),"")</f>
        <v>-0.32805341218226614</v>
      </c>
      <c r="AZ351">
        <f t="shared" si="135"/>
        <v>1</v>
      </c>
      <c r="BA351" t="str">
        <f>IF(AZ351=1,IF(Q351="","",IF(Q351=N144,"Yes","No")),"")</f>
        <v>No</v>
      </c>
      <c r="BB351" t="str">
        <f t="shared" si="136"/>
        <v/>
      </c>
      <c r="BC351" t="str">
        <f>IF(AZ351=1,IF(S351="","",IF(S351=N144,"Yes","No")),"")</f>
        <v>No</v>
      </c>
      <c r="BD351" t="str">
        <f t="shared" si="137"/>
        <v/>
      </c>
      <c r="BE351" t="str">
        <f t="shared" si="138"/>
        <v>Decreasing</v>
      </c>
      <c r="BF351" t="str">
        <f t="shared" si="139"/>
        <v>No</v>
      </c>
      <c r="BG351" t="str">
        <f t="shared" si="140"/>
        <v>No</v>
      </c>
      <c r="BH351" t="str">
        <f t="shared" si="141"/>
        <v>No</v>
      </c>
    </row>
    <row r="352" spans="1:60" x14ac:dyDescent="0.3">
      <c r="A352" s="1">
        <v>23</v>
      </c>
      <c r="B352" t="s">
        <v>952</v>
      </c>
      <c r="C352" t="s">
        <v>264</v>
      </c>
      <c r="D352" t="s">
        <v>3115</v>
      </c>
      <c r="E352" t="s">
        <v>3116</v>
      </c>
      <c r="F352" t="s">
        <v>3117</v>
      </c>
      <c r="G352" t="s">
        <v>3118</v>
      </c>
      <c r="I352" t="str">
        <f t="shared" si="118"/>
        <v>N/A</v>
      </c>
      <c r="J352" t="str">
        <f t="shared" si="119"/>
        <v>N/A</v>
      </c>
      <c r="K352">
        <f t="shared" si="120"/>
        <v>0.29570000000000002</v>
      </c>
      <c r="L352">
        <f t="shared" si="121"/>
        <v>5.7200000000000001E-2</v>
      </c>
      <c r="M352">
        <f t="shared" si="122"/>
        <v>-0.75129999999999997</v>
      </c>
      <c r="N352">
        <f t="shared" si="123"/>
        <v>2.0980000000000003</v>
      </c>
      <c r="P352">
        <f t="shared" si="124"/>
        <v>2.0980000000000003</v>
      </c>
      <c r="Q352">
        <f>IFERROR(J144+MATCH(P352,J352:N352,0)-1,"")</f>
        <v>2016</v>
      </c>
      <c r="R352">
        <f t="shared" si="125"/>
        <v>-0.75129999999999997</v>
      </c>
      <c r="S352">
        <f>IFERROR(J144+MATCH(R352,J352:N352,0)-1,"")</f>
        <v>2015</v>
      </c>
      <c r="T352">
        <f t="shared" si="126"/>
        <v>0.42490000000000006</v>
      </c>
      <c r="U352">
        <f t="shared" si="127"/>
        <v>1.2020268965376775</v>
      </c>
      <c r="V352" t="str">
        <f t="shared" si="128"/>
        <v/>
      </c>
      <c r="W352">
        <f t="shared" si="129"/>
        <v>-0.10748511565934854</v>
      </c>
      <c r="X352">
        <f t="shared" si="130"/>
        <v>-0.3058999769964586</v>
      </c>
      <c r="Y352">
        <f t="shared" si="131"/>
        <v>-0.97851387800716505</v>
      </c>
      <c r="Z352">
        <f t="shared" si="132"/>
        <v>1.3918989706629723</v>
      </c>
      <c r="AA352">
        <f t="shared" si="133"/>
        <v>1.3918989706629723</v>
      </c>
      <c r="AB352">
        <f>IFERROR(V144+MATCH(AA352,V352:Z352,0)-1,"")</f>
        <v>2016</v>
      </c>
      <c r="AC352" t="str">
        <f t="shared" si="134"/>
        <v>High</v>
      </c>
      <c r="AE352" t="str">
        <f>IF(ISNUMBER(MATCH("N/A",J352:N352,0)),"",IFERROR((5 * SUMPRODUCT(J144:N144,J352:N352) - PRODUCT(SUM(J144:N144),SUM(J352:N352))) / ((5 * SUM((J144^2)+(K144^2)+(L144^2)+(M144^2)+(N144^2))) - SUM(J144:N144)^2),""))</f>
        <v/>
      </c>
      <c r="AF352">
        <f>IFERROR(CORREL(J144:N144,J352:N352),"")</f>
        <v>0.49387487835474153</v>
      </c>
      <c r="AZ352">
        <f t="shared" si="135"/>
        <v>1</v>
      </c>
      <c r="BA352" t="str">
        <f>IF(AZ352=1,IF(Q352="","",IF(Q352=N144,"Yes","No")),"")</f>
        <v>Yes</v>
      </c>
      <c r="BB352">
        <f t="shared" si="136"/>
        <v>2.0980000000000003</v>
      </c>
      <c r="BC352" t="str">
        <f>IF(AZ352=1,IF(S352="","",IF(S352=N144,"Yes","No")),"")</f>
        <v>No</v>
      </c>
      <c r="BD352" t="str">
        <f t="shared" si="137"/>
        <v/>
      </c>
      <c r="BE352" t="str">
        <f t="shared" si="138"/>
        <v/>
      </c>
      <c r="BF352" t="str">
        <f t="shared" si="139"/>
        <v>No</v>
      </c>
      <c r="BG352" t="str">
        <f t="shared" si="140"/>
        <v>No</v>
      </c>
      <c r="BH352" t="str">
        <f t="shared" si="141"/>
        <v>No</v>
      </c>
    </row>
    <row r="353" spans="1:29" x14ac:dyDescent="0.3">
      <c r="A353" s="1">
        <v>24</v>
      </c>
      <c r="B353" t="s">
        <v>957</v>
      </c>
      <c r="C353" t="s">
        <v>264</v>
      </c>
      <c r="D353" t="s">
        <v>264</v>
      </c>
      <c r="E353" t="s">
        <v>264</v>
      </c>
      <c r="F353" t="s">
        <v>264</v>
      </c>
      <c r="G353" t="s">
        <v>3119</v>
      </c>
      <c r="I353" t="str">
        <f t="shared" si="118"/>
        <v>N/A</v>
      </c>
      <c r="J353" t="str">
        <f t="shared" si="119"/>
        <v>N/A</v>
      </c>
      <c r="K353" t="str">
        <f t="shared" si="120"/>
        <v>N/A</v>
      </c>
      <c r="L353" t="str">
        <f t="shared" si="121"/>
        <v>N/A</v>
      </c>
      <c r="M353" t="str">
        <f t="shared" si="122"/>
        <v>N/A</v>
      </c>
      <c r="N353">
        <f t="shared" si="123"/>
        <v>3.9300000000000002E-2</v>
      </c>
      <c r="P353">
        <f t="shared" si="124"/>
        <v>3.9300000000000002E-2</v>
      </c>
      <c r="Q353">
        <f>IFERROR(J144+MATCH(P353,J353:N353,0)-1,"")</f>
        <v>2016</v>
      </c>
      <c r="R353">
        <f t="shared" si="125"/>
        <v>3.9300000000000002E-2</v>
      </c>
      <c r="T353">
        <f t="shared" si="126"/>
        <v>3.9300000000000002E-2</v>
      </c>
      <c r="U353" t="str">
        <f t="shared" si="127"/>
        <v/>
      </c>
      <c r="V353" t="str">
        <f t="shared" si="128"/>
        <v/>
      </c>
      <c r="W353" t="str">
        <f t="shared" si="129"/>
        <v/>
      </c>
      <c r="X353" t="str">
        <f t="shared" si="130"/>
        <v/>
      </c>
      <c r="Y353" t="str">
        <f t="shared" si="131"/>
        <v/>
      </c>
      <c r="Z353" t="str">
        <f t="shared" si="132"/>
        <v/>
      </c>
      <c r="AA353">
        <f t="shared" si="133"/>
        <v>0</v>
      </c>
      <c r="AB353" t="str">
        <f>IFERROR(V144+MATCH(AA353,V353:Z353,0)-1,"")</f>
        <v/>
      </c>
      <c r="AC353" t="str">
        <f>IF(S353=AB353,"Low",IF(AB353=Q353,"High",""))</f>
        <v>Low</v>
      </c>
    </row>
    <row r="354" spans="1:29" x14ac:dyDescent="0.3">
      <c r="I354" t="str">
        <f t="shared" si="118"/>
        <v>N/A</v>
      </c>
      <c r="J354" t="str">
        <f t="shared" si="119"/>
        <v>N/A</v>
      </c>
      <c r="K354" t="str">
        <f t="shared" si="120"/>
        <v>N/A</v>
      </c>
      <c r="L354" t="str">
        <f t="shared" si="121"/>
        <v>N/A</v>
      </c>
      <c r="M354" t="str">
        <f t="shared" si="122"/>
        <v>N/A</v>
      </c>
      <c r="N354" t="str">
        <f t="shared" si="123"/>
        <v>N/A</v>
      </c>
      <c r="V354">
        <f>MAX(V145:V353)</f>
        <v>1.7246222809536145</v>
      </c>
      <c r="W354">
        <f>MAX(W145:W353)</f>
        <v>1.7820032003888444</v>
      </c>
      <c r="X354">
        <f>MAX(X145:X353)</f>
        <v>1.4639494367617603</v>
      </c>
      <c r="Y354">
        <f>MAX(Y145:Y353)</f>
        <v>1.7344686546899903</v>
      </c>
      <c r="Z354">
        <f>MAX(Z145:Z353)</f>
        <v>1.7692987546650687</v>
      </c>
    </row>
    <row r="355" spans="1:29" x14ac:dyDescent="0.3">
      <c r="A355" s="1">
        <v>0</v>
      </c>
      <c r="B355" t="s">
        <v>3120</v>
      </c>
      <c r="C355" t="s">
        <v>3121</v>
      </c>
      <c r="I355" t="str">
        <f t="shared" si="118"/>
        <v>N/A</v>
      </c>
      <c r="J355" t="str">
        <f t="shared" si="119"/>
        <v>N/A</v>
      </c>
      <c r="K355" t="str">
        <f t="shared" si="120"/>
        <v>N/A</v>
      </c>
      <c r="L355" t="str">
        <f t="shared" si="121"/>
        <v>N/A</v>
      </c>
      <c r="M355" t="str">
        <f t="shared" si="122"/>
        <v>N/A</v>
      </c>
      <c r="N355" t="str">
        <f t="shared" si="123"/>
        <v>N/A</v>
      </c>
      <c r="V355">
        <f>MIN(V145:V353)</f>
        <v>-1.6204176394479364</v>
      </c>
      <c r="W355">
        <f>MIN(W145:W353)</f>
        <v>-1.4370823398193073</v>
      </c>
      <c r="X355">
        <f>MIN(X145:X353)</f>
        <v>-1.7326954312264709</v>
      </c>
      <c r="Y355">
        <f>MIN(Y145:Y353)</f>
        <v>-1.7883306724884669</v>
      </c>
      <c r="Z355">
        <f>MIN(Z145:Z353)</f>
        <v>-1.7380330138546307</v>
      </c>
    </row>
    <row r="356" spans="1:29" x14ac:dyDescent="0.3">
      <c r="A356" s="1">
        <v>1</v>
      </c>
      <c r="B356" t="s">
        <v>3122</v>
      </c>
      <c r="C356" t="s">
        <v>3123</v>
      </c>
      <c r="I356" t="str">
        <f t="shared" si="118"/>
        <v>N/A</v>
      </c>
      <c r="J356" t="str">
        <f t="shared" si="119"/>
        <v>N/A</v>
      </c>
      <c r="K356" t="str">
        <f t="shared" si="120"/>
        <v>N/A</v>
      </c>
      <c r="L356" t="str">
        <f t="shared" si="121"/>
        <v>N/A</v>
      </c>
      <c r="M356" t="str">
        <f t="shared" si="122"/>
        <v>N/A</v>
      </c>
      <c r="N356" t="str">
        <f t="shared" si="123"/>
        <v>N/A</v>
      </c>
      <c r="V356">
        <f>COUNTIF(V145:V353,"&gt;1.5")</f>
        <v>3</v>
      </c>
      <c r="W356">
        <f>COUNTIF(W145:W353,"&gt;1.5")</f>
        <v>2</v>
      </c>
      <c r="X356">
        <f>COUNTIF(X145:X353,"&gt;1.5")</f>
        <v>0</v>
      </c>
      <c r="Y356">
        <f>COUNTIF(Y145:Y353,"&gt;1.5")</f>
        <v>1</v>
      </c>
      <c r="Z356">
        <f>COUNTIF(Z145:Z353,"&gt;1.5")</f>
        <v>14</v>
      </c>
    </row>
    <row r="357" spans="1:29" x14ac:dyDescent="0.3">
      <c r="A357" s="1">
        <v>2</v>
      </c>
      <c r="B357" t="s">
        <v>3124</v>
      </c>
      <c r="C357" t="s">
        <v>3125</v>
      </c>
      <c r="I357" t="str">
        <f t="shared" si="118"/>
        <v>N/A</v>
      </c>
      <c r="J357" t="str">
        <f t="shared" si="119"/>
        <v>N/A</v>
      </c>
      <c r="K357" t="str">
        <f t="shared" si="120"/>
        <v>N/A</v>
      </c>
      <c r="L357" t="str">
        <f t="shared" si="121"/>
        <v>N/A</v>
      </c>
      <c r="M357" t="str">
        <f t="shared" si="122"/>
        <v>N/A</v>
      </c>
      <c r="N357" t="str">
        <f t="shared" si="123"/>
        <v>N/A</v>
      </c>
      <c r="V357">
        <f>COUNTIF(V145:V353,"&lt;-1.5")</f>
        <v>3</v>
      </c>
      <c r="W357">
        <f>COUNTIF(W145:W353,"&lt;-1.5")</f>
        <v>0</v>
      </c>
      <c r="X357">
        <f>COUNTIF(X145:X353,"&lt;-1.5")</f>
        <v>1</v>
      </c>
      <c r="Y357">
        <f>COUNTIF(Y145:Y353,"&lt;-1.5")</f>
        <v>8</v>
      </c>
      <c r="Z357">
        <f>COUNTIF(Z145:Z353,"&lt;-1.5")</f>
        <v>11</v>
      </c>
    </row>
    <row r="358" spans="1:29" x14ac:dyDescent="0.3">
      <c r="A358" s="1">
        <v>3</v>
      </c>
      <c r="B358" t="s">
        <v>3126</v>
      </c>
      <c r="C358" t="s">
        <v>3127</v>
      </c>
      <c r="I358" t="str">
        <f t="shared" si="118"/>
        <v>N/A</v>
      </c>
      <c r="J358" t="str">
        <f t="shared" si="119"/>
        <v>N/A</v>
      </c>
      <c r="K358" t="str">
        <f t="shared" si="120"/>
        <v>N/A</v>
      </c>
      <c r="L358" t="str">
        <f t="shared" si="121"/>
        <v>N/A</v>
      </c>
      <c r="M358" t="str">
        <f t="shared" si="122"/>
        <v>N/A</v>
      </c>
      <c r="N358" t="str">
        <f t="shared" si="123"/>
        <v>N/A</v>
      </c>
      <c r="V358">
        <f>SUM(V356:V357)</f>
        <v>6</v>
      </c>
      <c r="W358">
        <f>SUM(W356:W357)</f>
        <v>2</v>
      </c>
      <c r="X358">
        <f>SUM(X356:X357)</f>
        <v>1</v>
      </c>
      <c r="Y358">
        <f>SUM(Y356:Y357)</f>
        <v>9</v>
      </c>
      <c r="Z358">
        <f>SUM(Z356:Z357)</f>
        <v>25</v>
      </c>
    </row>
    <row r="359" spans="1:29" x14ac:dyDescent="0.3">
      <c r="A359" s="1">
        <v>4</v>
      </c>
      <c r="B359" t="s">
        <v>3128</v>
      </c>
      <c r="C359" t="s">
        <v>3129</v>
      </c>
      <c r="I359" t="str">
        <f t="shared" si="118"/>
        <v>N/A</v>
      </c>
      <c r="J359" t="str">
        <f t="shared" si="119"/>
        <v>N/A</v>
      </c>
      <c r="K359" t="str">
        <f t="shared" si="120"/>
        <v>N/A</v>
      </c>
      <c r="L359" t="str">
        <f t="shared" si="121"/>
        <v>N/A</v>
      </c>
      <c r="M359" t="str">
        <f t="shared" si="122"/>
        <v>N/A</v>
      </c>
      <c r="N359" t="str">
        <f t="shared" si="123"/>
        <v>N/A</v>
      </c>
    </row>
    <row r="360" spans="1:29" x14ac:dyDescent="0.3">
      <c r="A360" s="1">
        <v>5</v>
      </c>
      <c r="B360" t="s">
        <v>3130</v>
      </c>
      <c r="C360" t="s">
        <v>3131</v>
      </c>
      <c r="I360" t="str">
        <f t="shared" si="118"/>
        <v>N/A</v>
      </c>
      <c r="J360" t="str">
        <f t="shared" si="119"/>
        <v>N/A</v>
      </c>
      <c r="K360" t="str">
        <f t="shared" si="120"/>
        <v>N/A</v>
      </c>
      <c r="L360" t="str">
        <f t="shared" si="121"/>
        <v>N/A</v>
      </c>
      <c r="M360" t="str">
        <f t="shared" si="122"/>
        <v>N/A</v>
      </c>
      <c r="N360" t="str">
        <f t="shared" si="123"/>
        <v>N/A</v>
      </c>
      <c r="V360" t="str">
        <f>"Most Variable Year"</f>
        <v>Most Variable Year</v>
      </c>
      <c r="X360">
        <f>V144+MATCH(MAX(V358:Z358),V358:Z358,0)-1</f>
        <v>2016</v>
      </c>
    </row>
    <row r="361" spans="1:29" x14ac:dyDescent="0.3">
      <c r="I361" t="str">
        <f t="shared" ref="I361:I392" si="142">IF(AND(K361&gt; J361, L361&gt; K361, M361&gt; L361, N361&gt; M361), "pos_trend", IF(AND(K361&lt; J361, L361&lt; K361, M361&lt; L361, N361&lt; M361), "neg_trend", "N/A"))</f>
        <v>N/A</v>
      </c>
      <c r="J361" t="str">
        <f t="shared" ref="J361:J392" si="143">IFERROR(IF(TRIM(C361)="-", "N/A", IF(RIGHT(C361,1)=")",IF(RIGHT(C361,2)="T)",-1000000000000*VALUE(MID(C361,2,LEN(C361)-3)),IF(RIGHT(C361,2)="M)",-1000000*VALUE(MID(C361,2,LEN(C361)-3)),IF(RIGHT(C361,2)="B)",-1000000000*VALUE(MID(C361,2,LEN(C361)-3)),IF(RIGHT(C361,2)="k)",-1000*VALUE(MID(C361,2,LEN(C361)-3)),VALUE(SUBSTITUTE(C361,",","")))))),IF(RIGHT(C361,1)="T",1000000000000*VALUE(LEFT(C361,LEN(C361)-1)),IF(RIGHT(C361,1)="M",1000000*VALUE(LEFT(C361,LEN(C361)-1)),IF(RIGHT(C361,1)="B",1000000000*VALUE(LEFT(C361,LEN(C361)-1)),IF(RIGHT(C361,1)="%",0.01*VALUE(LEFT(C361,LEN(C361)-1)),IF(RIGHT(C361,1)="k",1000*VALUE(LEFT(C361,LEN(C361)-1)),VALUE(SUBSTITUTE(C361,",",""))))))))),"N/A")</f>
        <v>N/A</v>
      </c>
      <c r="K361" t="str">
        <f t="shared" ref="K361:K392" si="144">IFERROR(IF(TRIM(D361)="-", "N/A", IF(RIGHT(D361,1)=")",IF(RIGHT(D361,2)="T)",-1000000000000*VALUE(MID(D361,2,LEN(D361)-3)),IF(RIGHT(D361,2)="M)",-1000000*VALUE(MID(D361,2,LEN(D361)-3)),IF(RIGHT(D361,2)="B)",-1000000000*VALUE(MID(D361,2,LEN(D361)-3)),IF(RIGHT(D361,2)="k)",-1000*VALUE(MID(D361,2,LEN(D361)-3)),VALUE(SUBSTITUTE(D361,",","")))))),IF(RIGHT(D361,1)="T",1000000000000*VALUE(LEFT(D361,LEN(D361)-1)),IF(RIGHT(D361,1)="M",1000000*VALUE(LEFT(D361,LEN(D361)-1)),IF(RIGHT(D361,1)="B",1000000000*VALUE(LEFT(D361,LEN(D361)-1)),IF(RIGHT(D361,1)="%",0.01*VALUE(LEFT(D361,LEN(D361)-1)),IF(RIGHT(D361,1)="k",1000*VALUE(LEFT(D361,LEN(D361)-1)),VALUE(SUBSTITUTE(D361,",",""))))))))),"N/A")</f>
        <v>N/A</v>
      </c>
      <c r="L361" t="str">
        <f t="shared" ref="L361:L392" si="145">IFERROR(IF(TRIM(E361)="-", "N/A", IF(RIGHT(E361,1)=")",IF(RIGHT(E361,2)="T)",-1000000000000*VALUE(MID(E361,2,LEN(E361)-3)),IF(RIGHT(E361,2)="M)",-1000000*VALUE(MID(E361,2,LEN(E361)-3)),IF(RIGHT(E361,2)="B)",-1000000000*VALUE(MID(E361,2,LEN(E361)-3)),IF(RIGHT(E361,2)="k)",-1000*VALUE(MID(E361,2,LEN(E361)-3)),VALUE(SUBSTITUTE(E361,",","")))))),IF(RIGHT(E361,1)="T",1000000000000*VALUE(LEFT(E361,LEN(E361)-1)),IF(RIGHT(E361,1)="M",1000000*VALUE(LEFT(E361,LEN(E361)-1)),IF(RIGHT(E361,1)="B",1000000000*VALUE(LEFT(E361,LEN(E361)-1)),IF(RIGHT(E361,1)="%",0.01*VALUE(LEFT(E361,LEN(E361)-1)),IF(RIGHT(E361,1)="k",1000*VALUE(LEFT(E361,LEN(E361)-1)),VALUE(SUBSTITUTE(E361,",",""))))))))),"N/A")</f>
        <v>N/A</v>
      </c>
      <c r="M361" t="str">
        <f t="shared" ref="M361:M392" si="146">IFERROR(IF(TRIM(F361)="-", "N/A", IF(RIGHT(F361,1)=")",IF(RIGHT(F361,2)="T)",-1000000000000*VALUE(MID(F361,2,LEN(F361)-3)),IF(RIGHT(F361,2)="M)",-1000000*VALUE(MID(F361,2,LEN(F361)-3)),IF(RIGHT(F361,2)="B)",-1000000000*VALUE(MID(F361,2,LEN(F361)-3)),IF(RIGHT(F361,2)="k)",-1000*VALUE(MID(F361,2,LEN(F361)-3)),VALUE(SUBSTITUTE(F361,",","")))))),IF(RIGHT(F361,1)="T",1000000000000*VALUE(LEFT(F361,LEN(F361)-1)),IF(RIGHT(F361,1)="M",1000000*VALUE(LEFT(F361,LEN(F361)-1)),IF(RIGHT(F361,1)="B",1000000000*VALUE(LEFT(F361,LEN(F361)-1)),IF(RIGHT(F361,1)="%",0.01*VALUE(LEFT(F361,LEN(F361)-1)),IF(RIGHT(F361,1)="k",1000*VALUE(LEFT(F361,LEN(F361)-1)),VALUE(SUBSTITUTE(F361,",",""))))))))),"N/A")</f>
        <v>N/A</v>
      </c>
      <c r="N361" t="str">
        <f t="shared" ref="N361:N392" si="147">IFERROR(IF(TRIM(G361)="-", "N/A", IF(RIGHT(G361,1)=")",IF(RIGHT(G361,2)="T)",-1000000000000*VALUE(MID(G361,2,LEN(G361)-3)),IF(RIGHT(G361,2)="M)",-1000000*VALUE(MID(G361,2,LEN(G361)-3)),IF(RIGHT(G361,2)="B)",-1000000000*VALUE(MID(G361,2,LEN(G361)-3)),IF(RIGHT(G361,2)="k)",-1000*VALUE(MID(G361,2,LEN(G361)-3)),VALUE(SUBSTITUTE(G361,",","")))))),IF(RIGHT(G361,1)="T",1000000000000*VALUE(LEFT(G361,LEN(G361)-1)),IF(RIGHT(G361,1)="M",1000000*VALUE(LEFT(G361,LEN(G361)-1)),IF(RIGHT(G361,1)="B",1000000000*VALUE(LEFT(G361,LEN(G361)-1)),IF(RIGHT(G361,1)="%",0.01*VALUE(LEFT(G361,LEN(G361)-1)),IF(RIGHT(G361,1)="k",1000*VALUE(LEFT(G361,LEN(G361)-1)),VALUE(SUBSTITUTE(G361,",",""))))))))),"N/A")</f>
        <v>N/A</v>
      </c>
    </row>
    <row r="362" spans="1:29" x14ac:dyDescent="0.3">
      <c r="I362" t="str">
        <f t="shared" si="142"/>
        <v>N/A</v>
      </c>
      <c r="J362" t="str">
        <f t="shared" si="143"/>
        <v>N/A</v>
      </c>
      <c r="K362" t="str">
        <f t="shared" si="144"/>
        <v>N/A</v>
      </c>
      <c r="L362" t="str">
        <f t="shared" si="145"/>
        <v>N/A</v>
      </c>
      <c r="M362" t="str">
        <f t="shared" si="146"/>
        <v>N/A</v>
      </c>
      <c r="N362" t="str">
        <f t="shared" si="147"/>
        <v>N/A</v>
      </c>
    </row>
    <row r="363" spans="1:29" x14ac:dyDescent="0.3">
      <c r="A363" s="1">
        <v>0</v>
      </c>
      <c r="B363" t="s">
        <v>123</v>
      </c>
      <c r="C363" t="s">
        <v>3132</v>
      </c>
      <c r="I363" t="str">
        <f t="shared" si="142"/>
        <v>N/A</v>
      </c>
      <c r="J363">
        <f t="shared" si="143"/>
        <v>192890000</v>
      </c>
      <c r="K363" t="str">
        <f t="shared" si="144"/>
        <v>N/A</v>
      </c>
      <c r="L363" t="str">
        <f t="shared" si="145"/>
        <v>N/A</v>
      </c>
      <c r="M363" t="str">
        <f t="shared" si="146"/>
        <v>N/A</v>
      </c>
      <c r="N363" t="str">
        <f t="shared" si="147"/>
        <v>N/A</v>
      </c>
    </row>
    <row r="364" spans="1:29" x14ac:dyDescent="0.3">
      <c r="A364" s="1">
        <v>1</v>
      </c>
      <c r="B364" t="s">
        <v>124</v>
      </c>
      <c r="I364" t="str">
        <f t="shared" si="142"/>
        <v>N/A</v>
      </c>
      <c r="J364" t="str">
        <f t="shared" si="143"/>
        <v>N/A</v>
      </c>
      <c r="K364" t="str">
        <f t="shared" si="144"/>
        <v>N/A</v>
      </c>
      <c r="L364" t="str">
        <f t="shared" si="145"/>
        <v>N/A</v>
      </c>
      <c r="M364" t="str">
        <f t="shared" si="146"/>
        <v>N/A</v>
      </c>
      <c r="N364" t="str">
        <f t="shared" si="147"/>
        <v>N/A</v>
      </c>
    </row>
    <row r="365" spans="1:29" x14ac:dyDescent="0.3">
      <c r="A365" s="1">
        <v>2</v>
      </c>
      <c r="B365" t="s">
        <v>125</v>
      </c>
      <c r="C365" t="s">
        <v>3133</v>
      </c>
      <c r="I365" t="str">
        <f t="shared" si="142"/>
        <v>N/A</v>
      </c>
      <c r="J365">
        <f t="shared" si="143"/>
        <v>-20.37</v>
      </c>
      <c r="K365" t="str">
        <f t="shared" si="144"/>
        <v>N/A</v>
      </c>
      <c r="L365" t="str">
        <f t="shared" si="145"/>
        <v>N/A</v>
      </c>
      <c r="M365" t="str">
        <f t="shared" si="146"/>
        <v>N/A</v>
      </c>
      <c r="N365" t="str">
        <f t="shared" si="147"/>
        <v>N/A</v>
      </c>
    </row>
    <row r="366" spans="1:29" x14ac:dyDescent="0.3">
      <c r="A366" s="1">
        <v>3</v>
      </c>
      <c r="B366" t="s">
        <v>126</v>
      </c>
      <c r="C366" t="s">
        <v>3134</v>
      </c>
      <c r="I366" t="str">
        <f t="shared" si="142"/>
        <v>N/A</v>
      </c>
      <c r="J366">
        <f t="shared" si="143"/>
        <v>17.7</v>
      </c>
      <c r="K366" t="str">
        <f t="shared" si="144"/>
        <v>N/A</v>
      </c>
      <c r="L366" t="str">
        <f t="shared" si="145"/>
        <v>N/A</v>
      </c>
      <c r="M366" t="str">
        <f t="shared" si="146"/>
        <v>N/A</v>
      </c>
      <c r="N366" t="str">
        <f t="shared" si="147"/>
        <v>N/A</v>
      </c>
    </row>
    <row r="367" spans="1:29" x14ac:dyDescent="0.3">
      <c r="A367" s="1">
        <v>4</v>
      </c>
      <c r="B367" t="s">
        <v>128</v>
      </c>
      <c r="C367" t="s">
        <v>3135</v>
      </c>
      <c r="I367" t="str">
        <f t="shared" si="142"/>
        <v>N/A</v>
      </c>
      <c r="J367">
        <f t="shared" si="143"/>
        <v>3.63</v>
      </c>
      <c r="K367" t="str">
        <f t="shared" si="144"/>
        <v>N/A</v>
      </c>
      <c r="L367" t="str">
        <f t="shared" si="145"/>
        <v>N/A</v>
      </c>
      <c r="M367" t="str">
        <f t="shared" si="146"/>
        <v>N/A</v>
      </c>
      <c r="N367" t="str">
        <f t="shared" si="147"/>
        <v>N/A</v>
      </c>
    </row>
    <row r="368" spans="1:29" x14ac:dyDescent="0.3">
      <c r="A368" s="1">
        <v>5</v>
      </c>
      <c r="B368" t="s">
        <v>130</v>
      </c>
      <c r="C368" t="s">
        <v>3136</v>
      </c>
      <c r="I368" t="str">
        <f t="shared" si="142"/>
        <v>N/A</v>
      </c>
      <c r="J368">
        <f t="shared" si="143"/>
        <v>1.23</v>
      </c>
      <c r="K368" t="str">
        <f t="shared" si="144"/>
        <v>N/A</v>
      </c>
      <c r="L368" t="str">
        <f t="shared" si="145"/>
        <v>N/A</v>
      </c>
      <c r="M368" t="str">
        <f t="shared" si="146"/>
        <v>N/A</v>
      </c>
      <c r="N368" t="str">
        <f t="shared" si="147"/>
        <v>N/A</v>
      </c>
    </row>
    <row r="369" spans="1:14" x14ac:dyDescent="0.3">
      <c r="A369" s="1">
        <v>6</v>
      </c>
      <c r="B369" t="s">
        <v>132</v>
      </c>
      <c r="C369" t="s">
        <v>985</v>
      </c>
      <c r="I369" t="str">
        <f t="shared" si="142"/>
        <v>N/A</v>
      </c>
      <c r="J369">
        <f t="shared" si="143"/>
        <v>1.73</v>
      </c>
      <c r="K369" t="str">
        <f t="shared" si="144"/>
        <v>N/A</v>
      </c>
      <c r="L369" t="str">
        <f t="shared" si="145"/>
        <v>N/A</v>
      </c>
      <c r="M369" t="str">
        <f t="shared" si="146"/>
        <v>N/A</v>
      </c>
      <c r="N369" t="str">
        <f t="shared" si="147"/>
        <v>N/A</v>
      </c>
    </row>
    <row r="370" spans="1:14" x14ac:dyDescent="0.3">
      <c r="A370" s="1">
        <v>7</v>
      </c>
      <c r="B370" t="s">
        <v>134</v>
      </c>
      <c r="I370" t="str">
        <f t="shared" si="142"/>
        <v>N/A</v>
      </c>
      <c r="J370" t="str">
        <f t="shared" si="143"/>
        <v>N/A</v>
      </c>
      <c r="K370" t="str">
        <f t="shared" si="144"/>
        <v>N/A</v>
      </c>
      <c r="L370" t="str">
        <f t="shared" si="145"/>
        <v>N/A</v>
      </c>
      <c r="M370" t="str">
        <f t="shared" si="146"/>
        <v>N/A</v>
      </c>
      <c r="N370" t="str">
        <f t="shared" si="147"/>
        <v>N/A</v>
      </c>
    </row>
    <row r="371" spans="1:14" x14ac:dyDescent="0.3">
      <c r="A371" s="1">
        <v>8</v>
      </c>
      <c r="B371" t="s">
        <v>135</v>
      </c>
      <c r="I371" t="str">
        <f t="shared" si="142"/>
        <v>N/A</v>
      </c>
      <c r="J371" t="str">
        <f t="shared" si="143"/>
        <v>N/A</v>
      </c>
      <c r="K371" t="str">
        <f t="shared" si="144"/>
        <v>N/A</v>
      </c>
      <c r="L371" t="str">
        <f t="shared" si="145"/>
        <v>N/A</v>
      </c>
      <c r="M371" t="str">
        <f t="shared" si="146"/>
        <v>N/A</v>
      </c>
      <c r="N371" t="str">
        <f t="shared" si="147"/>
        <v>N/A</v>
      </c>
    </row>
    <row r="372" spans="1:14" x14ac:dyDescent="0.3">
      <c r="I372" t="str">
        <f t="shared" si="142"/>
        <v>N/A</v>
      </c>
      <c r="J372" t="str">
        <f t="shared" si="143"/>
        <v>N/A</v>
      </c>
      <c r="K372" t="str">
        <f t="shared" si="144"/>
        <v>N/A</v>
      </c>
      <c r="L372" t="str">
        <f t="shared" si="145"/>
        <v>N/A</v>
      </c>
      <c r="M372" t="str">
        <f t="shared" si="146"/>
        <v>N/A</v>
      </c>
      <c r="N372" t="str">
        <f t="shared" si="147"/>
        <v>N/A</v>
      </c>
    </row>
    <row r="373" spans="1:14" x14ac:dyDescent="0.3">
      <c r="I373" t="str">
        <f t="shared" si="142"/>
        <v>N/A</v>
      </c>
      <c r="J373" t="str">
        <f t="shared" si="143"/>
        <v>N/A</v>
      </c>
      <c r="K373" t="str">
        <f t="shared" si="144"/>
        <v>N/A</v>
      </c>
      <c r="L373" t="str">
        <f t="shared" si="145"/>
        <v>N/A</v>
      </c>
      <c r="M373" t="str">
        <f t="shared" si="146"/>
        <v>N/A</v>
      </c>
      <c r="N373" t="str">
        <f t="shared" si="147"/>
        <v>N/A</v>
      </c>
    </row>
    <row r="374" spans="1:14" x14ac:dyDescent="0.3">
      <c r="A374" s="1">
        <v>0</v>
      </c>
      <c r="B374" t="s">
        <v>123</v>
      </c>
      <c r="C374" t="s">
        <v>3137</v>
      </c>
      <c r="I374" t="str">
        <f t="shared" si="142"/>
        <v>N/A</v>
      </c>
      <c r="J374">
        <f t="shared" si="143"/>
        <v>764900000</v>
      </c>
      <c r="K374" t="str">
        <f t="shared" si="144"/>
        <v>N/A</v>
      </c>
      <c r="L374" t="str">
        <f t="shared" si="145"/>
        <v>N/A</v>
      </c>
      <c r="M374" t="str">
        <f t="shared" si="146"/>
        <v>N/A</v>
      </c>
      <c r="N374" t="str">
        <f t="shared" si="147"/>
        <v>N/A</v>
      </c>
    </row>
    <row r="375" spans="1:14" x14ac:dyDescent="0.3">
      <c r="A375" s="1">
        <v>1</v>
      </c>
      <c r="B375" t="s">
        <v>124</v>
      </c>
      <c r="I375" t="str">
        <f t="shared" si="142"/>
        <v>N/A</v>
      </c>
      <c r="J375" t="str">
        <f t="shared" si="143"/>
        <v>N/A</v>
      </c>
      <c r="K375" t="str">
        <f t="shared" si="144"/>
        <v>N/A</v>
      </c>
      <c r="L375" t="str">
        <f t="shared" si="145"/>
        <v>N/A</v>
      </c>
      <c r="M375" t="str">
        <f t="shared" si="146"/>
        <v>N/A</v>
      </c>
      <c r="N375" t="str">
        <f t="shared" si="147"/>
        <v>N/A</v>
      </c>
    </row>
    <row r="376" spans="1:14" x14ac:dyDescent="0.3">
      <c r="A376" s="1">
        <v>2</v>
      </c>
      <c r="B376" t="s">
        <v>125</v>
      </c>
      <c r="C376" t="s">
        <v>3138</v>
      </c>
      <c r="I376" t="str">
        <f t="shared" si="142"/>
        <v>N/A</v>
      </c>
      <c r="J376">
        <f t="shared" si="143"/>
        <v>45.66</v>
      </c>
      <c r="K376" t="str">
        <f t="shared" si="144"/>
        <v>N/A</v>
      </c>
      <c r="L376" t="str">
        <f t="shared" si="145"/>
        <v>N/A</v>
      </c>
      <c r="M376" t="str">
        <f t="shared" si="146"/>
        <v>N/A</v>
      </c>
      <c r="N376" t="str">
        <f t="shared" si="147"/>
        <v>N/A</v>
      </c>
    </row>
    <row r="377" spans="1:14" x14ac:dyDescent="0.3">
      <c r="A377" s="1">
        <v>3</v>
      </c>
      <c r="B377" t="s">
        <v>126</v>
      </c>
      <c r="C377" t="s">
        <v>3139</v>
      </c>
      <c r="I377" t="str">
        <f t="shared" si="142"/>
        <v>N/A</v>
      </c>
      <c r="J377">
        <f t="shared" si="143"/>
        <v>15.82</v>
      </c>
      <c r="K377" t="str">
        <f t="shared" si="144"/>
        <v>N/A</v>
      </c>
      <c r="L377" t="str">
        <f t="shared" si="145"/>
        <v>N/A</v>
      </c>
      <c r="M377" t="str">
        <f t="shared" si="146"/>
        <v>N/A</v>
      </c>
      <c r="N377" t="str">
        <f t="shared" si="147"/>
        <v>N/A</v>
      </c>
    </row>
    <row r="378" spans="1:14" x14ac:dyDescent="0.3">
      <c r="A378" s="1">
        <v>4</v>
      </c>
      <c r="B378" t="s">
        <v>128</v>
      </c>
      <c r="C378" t="s">
        <v>3140</v>
      </c>
      <c r="I378" t="str">
        <f t="shared" si="142"/>
        <v>N/A</v>
      </c>
      <c r="J378">
        <f t="shared" si="143"/>
        <v>0.87</v>
      </c>
      <c r="K378" t="str">
        <f t="shared" si="144"/>
        <v>N/A</v>
      </c>
      <c r="L378" t="str">
        <f t="shared" si="145"/>
        <v>N/A</v>
      </c>
      <c r="M378" t="str">
        <f t="shared" si="146"/>
        <v>N/A</v>
      </c>
      <c r="N378" t="str">
        <f t="shared" si="147"/>
        <v>N/A</v>
      </c>
    </row>
    <row r="379" spans="1:14" x14ac:dyDescent="0.3">
      <c r="A379" s="1">
        <v>5</v>
      </c>
      <c r="B379" t="s">
        <v>130</v>
      </c>
      <c r="C379" t="s">
        <v>131</v>
      </c>
      <c r="I379" t="str">
        <f t="shared" si="142"/>
        <v>N/A</v>
      </c>
      <c r="J379">
        <f t="shared" si="143"/>
        <v>0.9</v>
      </c>
      <c r="K379" t="str">
        <f t="shared" si="144"/>
        <v>N/A</v>
      </c>
      <c r="L379" t="str">
        <f t="shared" si="145"/>
        <v>N/A</v>
      </c>
      <c r="M379" t="str">
        <f t="shared" si="146"/>
        <v>N/A</v>
      </c>
      <c r="N379" t="str">
        <f t="shared" si="147"/>
        <v>N/A</v>
      </c>
    </row>
    <row r="380" spans="1:14" x14ac:dyDescent="0.3">
      <c r="A380" s="1">
        <v>6</v>
      </c>
      <c r="B380" t="s">
        <v>132</v>
      </c>
      <c r="C380" t="s">
        <v>3141</v>
      </c>
      <c r="I380" t="str">
        <f t="shared" si="142"/>
        <v>N/A</v>
      </c>
      <c r="J380">
        <f t="shared" si="143"/>
        <v>2.33</v>
      </c>
      <c r="K380" t="str">
        <f t="shared" si="144"/>
        <v>N/A</v>
      </c>
      <c r="L380" t="str">
        <f t="shared" si="145"/>
        <v>N/A</v>
      </c>
      <c r="M380" t="str">
        <f t="shared" si="146"/>
        <v>N/A</v>
      </c>
      <c r="N380" t="str">
        <f t="shared" si="147"/>
        <v>N/A</v>
      </c>
    </row>
    <row r="381" spans="1:14" x14ac:dyDescent="0.3">
      <c r="A381" s="1">
        <v>7</v>
      </c>
      <c r="B381" t="s">
        <v>134</v>
      </c>
      <c r="I381" t="str">
        <f t="shared" si="142"/>
        <v>N/A</v>
      </c>
      <c r="J381" t="str">
        <f t="shared" si="143"/>
        <v>N/A</v>
      </c>
      <c r="K381" t="str">
        <f t="shared" si="144"/>
        <v>N/A</v>
      </c>
      <c r="L381" t="str">
        <f t="shared" si="145"/>
        <v>N/A</v>
      </c>
      <c r="M381" t="str">
        <f t="shared" si="146"/>
        <v>N/A</v>
      </c>
      <c r="N381" t="str">
        <f t="shared" si="147"/>
        <v>N/A</v>
      </c>
    </row>
    <row r="382" spans="1:14" x14ac:dyDescent="0.3">
      <c r="A382" s="1">
        <v>8</v>
      </c>
      <c r="B382" t="s">
        <v>135</v>
      </c>
      <c r="I382" t="str">
        <f t="shared" si="142"/>
        <v>N/A</v>
      </c>
      <c r="J382" t="str">
        <f t="shared" si="143"/>
        <v>N/A</v>
      </c>
      <c r="K382" t="str">
        <f t="shared" si="144"/>
        <v>N/A</v>
      </c>
      <c r="L382" t="str">
        <f t="shared" si="145"/>
        <v>N/A</v>
      </c>
      <c r="M382" t="str">
        <f t="shared" si="146"/>
        <v>N/A</v>
      </c>
      <c r="N382" t="str">
        <f t="shared" si="147"/>
        <v>N/A</v>
      </c>
    </row>
    <row r="383" spans="1:14" x14ac:dyDescent="0.3">
      <c r="I383" t="str">
        <f t="shared" si="142"/>
        <v>N/A</v>
      </c>
      <c r="J383" t="str">
        <f t="shared" si="143"/>
        <v>N/A</v>
      </c>
      <c r="K383" t="str">
        <f t="shared" si="144"/>
        <v>N/A</v>
      </c>
      <c r="L383" t="str">
        <f t="shared" si="145"/>
        <v>N/A</v>
      </c>
      <c r="M383" t="str">
        <f t="shared" si="146"/>
        <v>N/A</v>
      </c>
      <c r="N383" t="str">
        <f t="shared" si="147"/>
        <v>N/A</v>
      </c>
    </row>
    <row r="384" spans="1:14" x14ac:dyDescent="0.3">
      <c r="I384" t="str">
        <f t="shared" si="142"/>
        <v>N/A</v>
      </c>
      <c r="J384" t="str">
        <f t="shared" si="143"/>
        <v>N/A</v>
      </c>
      <c r="K384" t="str">
        <f t="shared" si="144"/>
        <v>N/A</v>
      </c>
      <c r="L384" t="str">
        <f t="shared" si="145"/>
        <v>N/A</v>
      </c>
      <c r="M384" t="str">
        <f t="shared" si="146"/>
        <v>N/A</v>
      </c>
      <c r="N384" t="str">
        <f t="shared" si="147"/>
        <v>N/A</v>
      </c>
    </row>
    <row r="385" spans="1:14" x14ac:dyDescent="0.3">
      <c r="A385" s="1">
        <v>0</v>
      </c>
      <c r="B385" t="s">
        <v>123</v>
      </c>
      <c r="C385" t="s">
        <v>3142</v>
      </c>
      <c r="I385" t="str">
        <f t="shared" si="142"/>
        <v>N/A</v>
      </c>
      <c r="J385">
        <f t="shared" si="143"/>
        <v>791050000</v>
      </c>
      <c r="K385" t="str">
        <f t="shared" si="144"/>
        <v>N/A</v>
      </c>
      <c r="L385" t="str">
        <f t="shared" si="145"/>
        <v>N/A</v>
      </c>
      <c r="M385" t="str">
        <f t="shared" si="146"/>
        <v>N/A</v>
      </c>
      <c r="N385" t="str">
        <f t="shared" si="147"/>
        <v>N/A</v>
      </c>
    </row>
    <row r="386" spans="1:14" x14ac:dyDescent="0.3">
      <c r="A386" s="1">
        <v>1</v>
      </c>
      <c r="B386" t="s">
        <v>124</v>
      </c>
      <c r="I386" t="str">
        <f t="shared" si="142"/>
        <v>N/A</v>
      </c>
      <c r="J386" t="str">
        <f t="shared" si="143"/>
        <v>N/A</v>
      </c>
      <c r="K386" t="str">
        <f t="shared" si="144"/>
        <v>N/A</v>
      </c>
      <c r="L386" t="str">
        <f t="shared" si="145"/>
        <v>N/A</v>
      </c>
      <c r="M386" t="str">
        <f t="shared" si="146"/>
        <v>N/A</v>
      </c>
      <c r="N386" t="str">
        <f t="shared" si="147"/>
        <v>N/A</v>
      </c>
    </row>
    <row r="387" spans="1:14" x14ac:dyDescent="0.3">
      <c r="A387" s="1">
        <v>2</v>
      </c>
      <c r="B387" t="s">
        <v>125</v>
      </c>
      <c r="C387" t="s">
        <v>3143</v>
      </c>
      <c r="I387" t="str">
        <f t="shared" si="142"/>
        <v>N/A</v>
      </c>
      <c r="J387">
        <f t="shared" si="143"/>
        <v>14.27</v>
      </c>
      <c r="K387" t="str">
        <f t="shared" si="144"/>
        <v>N/A</v>
      </c>
      <c r="L387" t="str">
        <f t="shared" si="145"/>
        <v>N/A</v>
      </c>
      <c r="M387" t="str">
        <f t="shared" si="146"/>
        <v>N/A</v>
      </c>
      <c r="N387" t="str">
        <f t="shared" si="147"/>
        <v>N/A</v>
      </c>
    </row>
    <row r="388" spans="1:14" x14ac:dyDescent="0.3">
      <c r="A388" s="1">
        <v>3</v>
      </c>
      <c r="B388" t="s">
        <v>126</v>
      </c>
      <c r="I388" t="str">
        <f t="shared" si="142"/>
        <v>N/A</v>
      </c>
      <c r="J388" t="str">
        <f t="shared" si="143"/>
        <v>N/A</v>
      </c>
      <c r="K388" t="str">
        <f t="shared" si="144"/>
        <v>N/A</v>
      </c>
      <c r="L388" t="str">
        <f t="shared" si="145"/>
        <v>N/A</v>
      </c>
      <c r="M388" t="str">
        <f t="shared" si="146"/>
        <v>N/A</v>
      </c>
      <c r="N388" t="str">
        <f t="shared" si="147"/>
        <v>N/A</v>
      </c>
    </row>
    <row r="389" spans="1:14" x14ac:dyDescent="0.3">
      <c r="A389" s="1">
        <v>4</v>
      </c>
      <c r="B389" t="s">
        <v>128</v>
      </c>
      <c r="I389" t="str">
        <f t="shared" si="142"/>
        <v>N/A</v>
      </c>
      <c r="J389" t="str">
        <f t="shared" si="143"/>
        <v>N/A</v>
      </c>
      <c r="K389" t="str">
        <f t="shared" si="144"/>
        <v>N/A</v>
      </c>
      <c r="L389" t="str">
        <f t="shared" si="145"/>
        <v>N/A</v>
      </c>
      <c r="M389" t="str">
        <f t="shared" si="146"/>
        <v>N/A</v>
      </c>
      <c r="N389" t="str">
        <f t="shared" si="147"/>
        <v>N/A</v>
      </c>
    </row>
    <row r="390" spans="1:14" x14ac:dyDescent="0.3">
      <c r="A390" s="1">
        <v>5</v>
      </c>
      <c r="B390" t="s">
        <v>130</v>
      </c>
      <c r="C390" t="s">
        <v>1748</v>
      </c>
      <c r="I390" t="str">
        <f t="shared" si="142"/>
        <v>N/A</v>
      </c>
      <c r="J390">
        <f t="shared" si="143"/>
        <v>2.27</v>
      </c>
      <c r="K390" t="str">
        <f t="shared" si="144"/>
        <v>N/A</v>
      </c>
      <c r="L390" t="str">
        <f t="shared" si="145"/>
        <v>N/A</v>
      </c>
      <c r="M390" t="str">
        <f t="shared" si="146"/>
        <v>N/A</v>
      </c>
      <c r="N390" t="str">
        <f t="shared" si="147"/>
        <v>N/A</v>
      </c>
    </row>
    <row r="391" spans="1:14" x14ac:dyDescent="0.3">
      <c r="A391" s="1">
        <v>6</v>
      </c>
      <c r="B391" t="s">
        <v>132</v>
      </c>
      <c r="C391" t="s">
        <v>3144</v>
      </c>
      <c r="I391" t="str">
        <f t="shared" si="142"/>
        <v>N/A</v>
      </c>
      <c r="J391">
        <f t="shared" si="143"/>
        <v>2.39</v>
      </c>
      <c r="K391" t="str">
        <f t="shared" si="144"/>
        <v>N/A</v>
      </c>
      <c r="L391" t="str">
        <f t="shared" si="145"/>
        <v>N/A</v>
      </c>
      <c r="M391" t="str">
        <f t="shared" si="146"/>
        <v>N/A</v>
      </c>
      <c r="N391" t="str">
        <f t="shared" si="147"/>
        <v>N/A</v>
      </c>
    </row>
    <row r="392" spans="1:14" x14ac:dyDescent="0.3">
      <c r="A392" s="1">
        <v>7</v>
      </c>
      <c r="B392" t="s">
        <v>134</v>
      </c>
      <c r="I392" t="str">
        <f t="shared" si="142"/>
        <v>N/A</v>
      </c>
      <c r="J392" t="str">
        <f t="shared" si="143"/>
        <v>N/A</v>
      </c>
      <c r="K392" t="str">
        <f t="shared" si="144"/>
        <v>N/A</v>
      </c>
      <c r="L392" t="str">
        <f t="shared" si="145"/>
        <v>N/A</v>
      </c>
      <c r="M392" t="str">
        <f t="shared" si="146"/>
        <v>N/A</v>
      </c>
      <c r="N392" t="str">
        <f t="shared" si="147"/>
        <v>N/A</v>
      </c>
    </row>
    <row r="393" spans="1:14" x14ac:dyDescent="0.3">
      <c r="A393" s="1">
        <v>8</v>
      </c>
      <c r="B393" t="s">
        <v>135</v>
      </c>
      <c r="I393" t="str">
        <f t="shared" ref="I393:I424" si="148">IF(AND(K393&gt; J393, L393&gt; K393, M393&gt; L393, N393&gt; M393), "pos_trend", IF(AND(K393&lt; J393, L393&lt; K393, M393&lt; L393, N393&lt; M393), "neg_trend", "N/A"))</f>
        <v>N/A</v>
      </c>
      <c r="J393" t="str">
        <f t="shared" ref="J393:J399" si="149">IFERROR(IF(TRIM(C393)="-", "N/A", IF(RIGHT(C393,1)=")",IF(RIGHT(C393,2)="T)",-1000000000000*VALUE(MID(C393,2,LEN(C393)-3)),IF(RIGHT(C393,2)="M)",-1000000*VALUE(MID(C393,2,LEN(C393)-3)),IF(RIGHT(C393,2)="B)",-1000000000*VALUE(MID(C393,2,LEN(C393)-3)),IF(RIGHT(C393,2)="k)",-1000*VALUE(MID(C393,2,LEN(C393)-3)),VALUE(SUBSTITUTE(C393,",","")))))),IF(RIGHT(C393,1)="T",1000000000000*VALUE(LEFT(C393,LEN(C393)-1)),IF(RIGHT(C393,1)="M",1000000*VALUE(LEFT(C393,LEN(C393)-1)),IF(RIGHT(C393,1)="B",1000000000*VALUE(LEFT(C393,LEN(C393)-1)),IF(RIGHT(C393,1)="%",0.01*VALUE(LEFT(C393,LEN(C393)-1)),IF(RIGHT(C393,1)="k",1000*VALUE(LEFT(C393,LEN(C393)-1)),VALUE(SUBSTITUTE(C393,",",""))))))))),"N/A")</f>
        <v>N/A</v>
      </c>
      <c r="K393" t="str">
        <f t="shared" ref="K393:K399" si="150">IFERROR(IF(TRIM(D393)="-", "N/A", IF(RIGHT(D393,1)=")",IF(RIGHT(D393,2)="T)",-1000000000000*VALUE(MID(D393,2,LEN(D393)-3)),IF(RIGHT(D393,2)="M)",-1000000*VALUE(MID(D393,2,LEN(D393)-3)),IF(RIGHT(D393,2)="B)",-1000000000*VALUE(MID(D393,2,LEN(D393)-3)),IF(RIGHT(D393,2)="k)",-1000*VALUE(MID(D393,2,LEN(D393)-3)),VALUE(SUBSTITUTE(D393,",","")))))),IF(RIGHT(D393,1)="T",1000000000000*VALUE(LEFT(D393,LEN(D393)-1)),IF(RIGHT(D393,1)="M",1000000*VALUE(LEFT(D393,LEN(D393)-1)),IF(RIGHT(D393,1)="B",1000000000*VALUE(LEFT(D393,LEN(D393)-1)),IF(RIGHT(D393,1)="%",0.01*VALUE(LEFT(D393,LEN(D393)-1)),IF(RIGHT(D393,1)="k",1000*VALUE(LEFT(D393,LEN(D393)-1)),VALUE(SUBSTITUTE(D393,",",""))))))))),"N/A")</f>
        <v>N/A</v>
      </c>
      <c r="L393" t="str">
        <f t="shared" ref="L393:L399" si="151">IFERROR(IF(TRIM(E393)="-", "N/A", IF(RIGHT(E393,1)=")",IF(RIGHT(E393,2)="T)",-1000000000000*VALUE(MID(E393,2,LEN(E393)-3)),IF(RIGHT(E393,2)="M)",-1000000*VALUE(MID(E393,2,LEN(E393)-3)),IF(RIGHT(E393,2)="B)",-1000000000*VALUE(MID(E393,2,LEN(E393)-3)),IF(RIGHT(E393,2)="k)",-1000*VALUE(MID(E393,2,LEN(E393)-3)),VALUE(SUBSTITUTE(E393,",","")))))),IF(RIGHT(E393,1)="T",1000000000000*VALUE(LEFT(E393,LEN(E393)-1)),IF(RIGHT(E393,1)="M",1000000*VALUE(LEFT(E393,LEN(E393)-1)),IF(RIGHT(E393,1)="B",1000000000*VALUE(LEFT(E393,LEN(E393)-1)),IF(RIGHT(E393,1)="%",0.01*VALUE(LEFT(E393,LEN(E393)-1)),IF(RIGHT(E393,1)="k",1000*VALUE(LEFT(E393,LEN(E393)-1)),VALUE(SUBSTITUTE(E393,",",""))))))))),"N/A")</f>
        <v>N/A</v>
      </c>
      <c r="M393" t="str">
        <f t="shared" ref="M393:M399" si="152">IFERROR(IF(TRIM(F393)="-", "N/A", IF(RIGHT(F393,1)=")",IF(RIGHT(F393,2)="T)",-1000000000000*VALUE(MID(F393,2,LEN(F393)-3)),IF(RIGHT(F393,2)="M)",-1000000*VALUE(MID(F393,2,LEN(F393)-3)),IF(RIGHT(F393,2)="B)",-1000000000*VALUE(MID(F393,2,LEN(F393)-3)),IF(RIGHT(F393,2)="k)",-1000*VALUE(MID(F393,2,LEN(F393)-3)),VALUE(SUBSTITUTE(F393,",","")))))),IF(RIGHT(F393,1)="T",1000000000000*VALUE(LEFT(F393,LEN(F393)-1)),IF(RIGHT(F393,1)="M",1000000*VALUE(LEFT(F393,LEN(F393)-1)),IF(RIGHT(F393,1)="B",1000000000*VALUE(LEFT(F393,LEN(F393)-1)),IF(RIGHT(F393,1)="%",0.01*VALUE(LEFT(F393,LEN(F393)-1)),IF(RIGHT(F393,1)="k",1000*VALUE(LEFT(F393,LEN(F393)-1)),VALUE(SUBSTITUTE(F393,",",""))))))))),"N/A")</f>
        <v>N/A</v>
      </c>
      <c r="N393" t="str">
        <f t="shared" ref="N393:N399" si="153">IFERROR(IF(TRIM(G393)="-", "N/A", IF(RIGHT(G393,1)=")",IF(RIGHT(G393,2)="T)",-1000000000000*VALUE(MID(G393,2,LEN(G393)-3)),IF(RIGHT(G393,2)="M)",-1000000*VALUE(MID(G393,2,LEN(G393)-3)),IF(RIGHT(G393,2)="B)",-1000000000*VALUE(MID(G393,2,LEN(G393)-3)),IF(RIGHT(G393,2)="k)",-1000*VALUE(MID(G393,2,LEN(G393)-3)),VALUE(SUBSTITUTE(G393,",","")))))),IF(RIGHT(G393,1)="T",1000000000000*VALUE(LEFT(G393,LEN(G393)-1)),IF(RIGHT(G393,1)="M",1000000*VALUE(LEFT(G393,LEN(G393)-1)),IF(RIGHT(G393,1)="B",1000000000*VALUE(LEFT(G393,LEN(G393)-1)),IF(RIGHT(G393,1)="%",0.01*VALUE(LEFT(G393,LEN(G393)-1)),IF(RIGHT(G393,1)="k",1000*VALUE(LEFT(G393,LEN(G393)-1)),VALUE(SUBSTITUTE(G393,",",""))))))))),"N/A")</f>
        <v>N/A</v>
      </c>
    </row>
    <row r="394" spans="1:14" x14ac:dyDescent="0.3">
      <c r="I394" t="str">
        <f t="shared" si="148"/>
        <v>N/A</v>
      </c>
      <c r="J394" t="str">
        <f t="shared" si="149"/>
        <v>N/A</v>
      </c>
      <c r="K394" t="str">
        <f t="shared" si="150"/>
        <v>N/A</v>
      </c>
      <c r="L394" t="str">
        <f t="shared" si="151"/>
        <v>N/A</v>
      </c>
      <c r="M394" t="str">
        <f t="shared" si="152"/>
        <v>N/A</v>
      </c>
      <c r="N394" t="str">
        <f t="shared" si="153"/>
        <v>N/A</v>
      </c>
    </row>
    <row r="395" spans="1:14" x14ac:dyDescent="0.3">
      <c r="I395" t="str">
        <f t="shared" si="148"/>
        <v>N/A</v>
      </c>
      <c r="J395" t="str">
        <f t="shared" si="149"/>
        <v>N/A</v>
      </c>
      <c r="K395" t="str">
        <f t="shared" si="150"/>
        <v>N/A</v>
      </c>
      <c r="L395" t="str">
        <f t="shared" si="151"/>
        <v>N/A</v>
      </c>
      <c r="M395" t="str">
        <f t="shared" si="152"/>
        <v>N/A</v>
      </c>
      <c r="N395" t="str">
        <f t="shared" si="153"/>
        <v>N/A</v>
      </c>
    </row>
    <row r="396" spans="1:14" x14ac:dyDescent="0.3">
      <c r="A396" s="1">
        <v>0</v>
      </c>
      <c r="B396" t="s">
        <v>123</v>
      </c>
      <c r="C396" t="s">
        <v>3145</v>
      </c>
      <c r="I396" t="str">
        <f t="shared" si="148"/>
        <v>N/A</v>
      </c>
      <c r="J396">
        <f t="shared" si="149"/>
        <v>610250000</v>
      </c>
      <c r="K396" t="str">
        <f t="shared" si="150"/>
        <v>N/A</v>
      </c>
      <c r="L396" t="str">
        <f t="shared" si="151"/>
        <v>N/A</v>
      </c>
      <c r="M396" t="str">
        <f t="shared" si="152"/>
        <v>N/A</v>
      </c>
      <c r="N396" t="str">
        <f t="shared" si="153"/>
        <v>N/A</v>
      </c>
    </row>
    <row r="397" spans="1:14" x14ac:dyDescent="0.3">
      <c r="A397" s="1">
        <v>1</v>
      </c>
      <c r="B397" t="s">
        <v>124</v>
      </c>
      <c r="I397" t="str">
        <f t="shared" si="148"/>
        <v>N/A</v>
      </c>
      <c r="J397" t="str">
        <f t="shared" si="149"/>
        <v>N/A</v>
      </c>
      <c r="K397" t="str">
        <f t="shared" si="150"/>
        <v>N/A</v>
      </c>
      <c r="L397" t="str">
        <f t="shared" si="151"/>
        <v>N/A</v>
      </c>
      <c r="M397" t="str">
        <f t="shared" si="152"/>
        <v>N/A</v>
      </c>
      <c r="N397" t="str">
        <f t="shared" si="153"/>
        <v>N/A</v>
      </c>
    </row>
    <row r="398" spans="1:14" x14ac:dyDescent="0.3">
      <c r="A398" s="1">
        <v>2</v>
      </c>
      <c r="B398" t="s">
        <v>125</v>
      </c>
      <c r="C398" t="s">
        <v>3146</v>
      </c>
      <c r="I398" t="str">
        <f t="shared" si="148"/>
        <v>N/A</v>
      </c>
      <c r="J398">
        <f t="shared" si="149"/>
        <v>38.44</v>
      </c>
      <c r="K398" t="str">
        <f t="shared" si="150"/>
        <v>N/A</v>
      </c>
      <c r="L398" t="str">
        <f t="shared" si="151"/>
        <v>N/A</v>
      </c>
      <c r="M398" t="str">
        <f t="shared" si="152"/>
        <v>N/A</v>
      </c>
      <c r="N398" t="str">
        <f t="shared" si="153"/>
        <v>N/A</v>
      </c>
    </row>
    <row r="399" spans="1:14" x14ac:dyDescent="0.3">
      <c r="A399" s="1">
        <v>3</v>
      </c>
      <c r="B399" t="s">
        <v>126</v>
      </c>
      <c r="I399" t="str">
        <f t="shared" si="148"/>
        <v>N/A</v>
      </c>
      <c r="J399" t="str">
        <f t="shared" si="149"/>
        <v>N/A</v>
      </c>
      <c r="K399" t="str">
        <f t="shared" si="150"/>
        <v>N/A</v>
      </c>
      <c r="L399" t="str">
        <f t="shared" si="151"/>
        <v>N/A</v>
      </c>
      <c r="M399" t="str">
        <f t="shared" si="152"/>
        <v>N/A</v>
      </c>
      <c r="N399" t="str">
        <f t="shared" si="153"/>
        <v>N/A</v>
      </c>
    </row>
    <row r="400" spans="1:14" x14ac:dyDescent="0.3">
      <c r="A400" s="1">
        <v>4</v>
      </c>
      <c r="B400" t="s">
        <v>128</v>
      </c>
    </row>
    <row r="401" spans="1:3" x14ac:dyDescent="0.3">
      <c r="A401" s="1">
        <v>5</v>
      </c>
      <c r="B401" t="s">
        <v>130</v>
      </c>
      <c r="C401" t="s">
        <v>3147</v>
      </c>
    </row>
    <row r="402" spans="1:3" x14ac:dyDescent="0.3">
      <c r="A402" s="1">
        <v>6</v>
      </c>
      <c r="B402" t="s">
        <v>132</v>
      </c>
      <c r="C402" t="s">
        <v>3148</v>
      </c>
    </row>
    <row r="403" spans="1:3" x14ac:dyDescent="0.3">
      <c r="A403" s="1">
        <v>7</v>
      </c>
      <c r="B403" t="s">
        <v>134</v>
      </c>
    </row>
    <row r="404" spans="1:3" x14ac:dyDescent="0.3">
      <c r="A404" s="1">
        <v>8</v>
      </c>
      <c r="B404" t="s">
        <v>135</v>
      </c>
    </row>
    <row r="448" spans="52:52" x14ac:dyDescent="0.3">
      <c r="AZ448" t="str">
        <f>"Compile Facts"</f>
        <v>Compile Facts</v>
      </c>
    </row>
    <row r="450" spans="2:53" x14ac:dyDescent="0.3">
      <c r="B450" t="str">
        <f>"ROIC Super Tree"</f>
        <v>ROIC Super Tree</v>
      </c>
      <c r="AZ450" t="str">
        <f t="shared" ref="AZ450:BA453" si="154">I519</f>
        <v>Max SD</v>
      </c>
      <c r="BA450">
        <f t="shared" ca="1" si="154"/>
        <v>0.24863374974172139</v>
      </c>
    </row>
    <row r="451" spans="2:53" x14ac:dyDescent="0.3">
      <c r="AZ451" t="str">
        <f t="shared" si="154"/>
        <v>Max SD Item</v>
      </c>
      <c r="BA451" t="str">
        <f t="shared" ca="1" si="154"/>
        <v>Invested Capital / Sales</v>
      </c>
    </row>
    <row r="452" spans="2:53" x14ac:dyDescent="0.3">
      <c r="AK452" t="str">
        <f>"Change in Gross Margin / Sales"</f>
        <v>Change in Gross Margin / Sales</v>
      </c>
      <c r="AZ452" t="str">
        <f t="shared" si="154"/>
        <v>Min SD</v>
      </c>
      <c r="BA452">
        <f t="shared" ca="1" si="154"/>
        <v>9.7207591813924521E-3</v>
      </c>
    </row>
    <row r="453" spans="2:53" x14ac:dyDescent="0.3">
      <c r="X453" t="str">
        <f>"Gross Margin"</f>
        <v>Gross Margin</v>
      </c>
      <c r="AK453" t="str">
        <f>K476</f>
        <v>12-13</v>
      </c>
      <c r="AL453" t="str">
        <f>L476</f>
        <v>13-14</v>
      </c>
      <c r="AM453" t="str">
        <f>M476</f>
        <v>14-15</v>
      </c>
      <c r="AN453" t="str">
        <f>N476</f>
        <v>15-16</v>
      </c>
      <c r="AZ453" t="str">
        <f t="shared" si="154"/>
        <v>Min SD Item</v>
      </c>
      <c r="BA453" t="str">
        <f t="shared" ca="1" si="154"/>
        <v>Depreciation / Sales</v>
      </c>
    </row>
    <row r="454" spans="2:53" x14ac:dyDescent="0.3">
      <c r="X454" t="str">
        <f>D476</f>
        <v>2012</v>
      </c>
      <c r="Y454" t="str">
        <f>E476</f>
        <v>2013</v>
      </c>
      <c r="Z454" t="str">
        <f>F476</f>
        <v>2014</v>
      </c>
      <c r="AA454" t="str">
        <f>G476</f>
        <v>2015</v>
      </c>
      <c r="AB454" t="str">
        <f>H476</f>
        <v>2016</v>
      </c>
      <c r="AK454">
        <f ca="1">Y455-X455</f>
        <v>2.7054715716306743E-2</v>
      </c>
      <c r="AL454">
        <f ca="1">Z455-Y455</f>
        <v>2.2295042691315992E-3</v>
      </c>
      <c r="AM454">
        <f ca="1">AA455-Z455</f>
        <v>3.0953900237855603E-3</v>
      </c>
      <c r="AN454">
        <f ca="1">AB455-AA455</f>
        <v>-1.3658231028072509E-3</v>
      </c>
    </row>
    <row r="455" spans="2:53" x14ac:dyDescent="0.3">
      <c r="X455">
        <f ca="1">IFERROR((INDIRECT("J" &amp; MATCH("Gross Income",B145:B403,0) +144))/(INDIRECT("J" &amp; MATCH("Sales/Revenue",B145:B403,0) +144)), IFERROR((1 - (INDIRECT("J" &amp; MATCH("Cost of Goods Sold*",B145:B403,0) +144))/(INDIRECT("J" &amp; MATCH("Sales/Revenue",B145:B403,0) +144))),(INDIRECT("J" &amp; MATCH("Operating Income",B145:B403,0) +144))/(INDIRECT("J" &amp; MATCH("Sales/Revenue",B145:B403,0) +144))))</f>
        <v>0.28566022115782624</v>
      </c>
      <c r="Y455">
        <f ca="1">IFERROR((INDIRECT("K" &amp; MATCH("Gross Income",B145:B403,0) +144))/(INDIRECT("K" &amp; MATCH("Sales/Revenue",B145:B403,0) +144)), IFERROR((1 - (INDIRECT("K" &amp; MATCH("Cost of Goods Sold*",B145:B403,0) +144))/(INDIRECT("K" &amp; MATCH("Sales/Revenue",B145:B403,0) +144))),(INDIRECT("K" &amp; MATCH("Operating Income",B145:B403,0) +144))/(INDIRECT("K" &amp; MATCH("Sales/Revenue",B145:B403,0) +144))))</f>
        <v>0.31271493687413299</v>
      </c>
      <c r="Z455">
        <f ca="1">IFERROR((INDIRECT("L" &amp; MATCH("Gross Income",B145:B403,0) +144))/(INDIRECT("L" &amp; MATCH("Sales/Revenue",B145:B403,0) +144)), IFERROR((1 - (INDIRECT("L" &amp; MATCH("Cost of Goods Sold*",B145:B403,0) +144))/(INDIRECT("L" &amp; MATCH("Sales/Revenue",B145:B403,0) +144))),(INDIRECT("L" &amp; MATCH("Operating Income",B145:B403,0) +144))/(INDIRECT("L" &amp; MATCH("Sales/Revenue",B145:B403,0) +144))))</f>
        <v>0.31494444114326459</v>
      </c>
      <c r="AA455">
        <f ca="1">IFERROR((INDIRECT("M" &amp; MATCH("Gross Income",B145:B403,0) +144))/(INDIRECT("M" &amp; MATCH("Sales/Revenue",B145:B403,0) +144)), IFERROR((1 - (INDIRECT("M" &amp; MATCH("Cost of Goods Sold*",B145:B403,0) +144))/(INDIRECT("M" &amp; MATCH("Sales/Revenue",B145:B403,0) +144))),(INDIRECT("M" &amp; MATCH("Operating Income",B145:B403,0) +144))/(INDIRECT("M" &amp; MATCH("Sales/Revenue",B145:B403,0) +144))))</f>
        <v>0.31803983116705015</v>
      </c>
      <c r="AB455">
        <f ca="1">IFERROR((INDIRECT("N" &amp; MATCH("Gross Income",B145:B403,0) +144))/(INDIRECT("N" &amp; MATCH("Sales/Revenue",B145:B403,0) +144)), IFERROR((1 - (INDIRECT("N" &amp; MATCH("Cost of Goods Sold*",B145:B403,0) +144))/(INDIRECT("N" &amp; MATCH("Sales/Revenue",B145:B403,0) +144))),(INDIRECT("N" &amp; MATCH("Operating Income",B145:B403,0) +144))/(INDIRECT("N" &amp; MATCH("Sales/Revenue",B145:B403,0) +144))))</f>
        <v>0.3166740080642429</v>
      </c>
      <c r="AK455" t="str">
        <f>"Max " &amp; AK452</f>
        <v>Max Change in Gross Margin / Sales</v>
      </c>
      <c r="AL455">
        <f ca="1">MAX(AK454:AN454)</f>
        <v>2.7054715716306743E-2</v>
      </c>
      <c r="AZ455" t="str">
        <f>"Item"</f>
        <v>Item</v>
      </c>
      <c r="BA455" t="str">
        <f>"Key Driver"</f>
        <v>Key Driver</v>
      </c>
    </row>
    <row r="456" spans="2:53" x14ac:dyDescent="0.3">
      <c r="X456" t="str">
        <f>"Max " &amp; X453</f>
        <v>Max Gross Margin</v>
      </c>
      <c r="Y456">
        <f ca="1">MAX(X455:AB455)</f>
        <v>0.31803983116705015</v>
      </c>
      <c r="AK456" t="str">
        <f>AK455 &amp; " Year"</f>
        <v>Max Change in Gross Margin / Sales Year</v>
      </c>
      <c r="AL456" t="str">
        <f ca="1">IF(MATCH(AL455,AK454:AN454,0)=1,AK453,IF(MATCH(AL455,AK454:AN454,0)=2,AL453,IF(MATCH(AL455,AK454:AN454,0)=3,AM453,AN453)))</f>
        <v>12-13</v>
      </c>
      <c r="AZ456" t="str">
        <f>C528</f>
        <v>Operating Margin</v>
      </c>
      <c r="BA456" t="str">
        <f ca="1">L528</f>
        <v>SGA / Sales</v>
      </c>
    </row>
    <row r="457" spans="2:53" x14ac:dyDescent="0.3">
      <c r="X457" t="str">
        <f>X456 &amp; " Year"</f>
        <v>Max Gross Margin Year</v>
      </c>
      <c r="Y457">
        <f ca="1">VALUE(X454)+MATCH(Y456,X455:AB455,0)-1</f>
        <v>2015</v>
      </c>
      <c r="AK457" t="str">
        <f>"Min " &amp; AK452</f>
        <v>Min Change in Gross Margin / Sales</v>
      </c>
      <c r="AL457">
        <f ca="1">MIN(AK454:AN454)</f>
        <v>-1.3658231028072509E-3</v>
      </c>
      <c r="AZ457" t="str">
        <f>C529</f>
        <v>Invested Capital / Sales</v>
      </c>
      <c r="BA457" t="str">
        <f ca="1">L529</f>
        <v>Intangibles / Sales</v>
      </c>
    </row>
    <row r="458" spans="2:53" x14ac:dyDescent="0.3">
      <c r="X458" t="str">
        <f>"Min " &amp; X453</f>
        <v>Min Gross Margin</v>
      </c>
      <c r="Y458">
        <f ca="1">MIN(X455:AB455)</f>
        <v>0.28566022115782624</v>
      </c>
      <c r="AK458" t="str">
        <f>AK457 &amp; " Year"</f>
        <v>Min Change in Gross Margin / Sales Year</v>
      </c>
      <c r="AL458" t="str">
        <f ca="1">IF(MATCH(AL457,AK454:AN454,0)=1,AK453,IF(MATCH(AL457,AK454:AN454,0)=2,AL453,IF(MATCH(AL457,AK454:AN454,0)=3,AM453,AN453)))</f>
        <v>15-16</v>
      </c>
    </row>
    <row r="459" spans="2:53" x14ac:dyDescent="0.3">
      <c r="X459" t="str">
        <f>X458 &amp; " Year"</f>
        <v>Min Gross Margin Year</v>
      </c>
      <c r="Y459">
        <f ca="1">VALUE(X454)+MATCH(Y458,X455:AB455,0)-1</f>
        <v>2012</v>
      </c>
      <c r="AZ459" t="e">
        <f ca="1">C540</f>
        <v>#NAME?</v>
      </c>
    </row>
    <row r="460" spans="2:53" x14ac:dyDescent="0.3">
      <c r="Q460" t="str">
        <f>"Operating Margin"</f>
        <v>Operating Margin</v>
      </c>
    </row>
    <row r="461" spans="2:53" x14ac:dyDescent="0.3">
      <c r="Q461" t="str">
        <f>D476</f>
        <v>2012</v>
      </c>
      <c r="R461" t="str">
        <f>E476</f>
        <v>2013</v>
      </c>
      <c r="S461" t="str">
        <f>F476</f>
        <v>2014</v>
      </c>
      <c r="T461" t="str">
        <f>G476</f>
        <v>2015</v>
      </c>
      <c r="U461" t="str">
        <f>H476</f>
        <v>2016</v>
      </c>
      <c r="X461" t="str">
        <f>"SGA / Sales"</f>
        <v>SGA / Sales</v>
      </c>
      <c r="AE461" t="str">
        <f>"Change in Operating Margin"</f>
        <v>Change in Operating Margin</v>
      </c>
      <c r="AK461" t="str">
        <f>"Change in SGA / Sales"</f>
        <v>Change in SGA / Sales</v>
      </c>
    </row>
    <row r="462" spans="2:53" x14ac:dyDescent="0.3">
      <c r="Q462">
        <f ca="1">X455-X463-X471</f>
        <v>5.0653420850334065E-2</v>
      </c>
      <c r="R462">
        <f ca="1">Y455-Y463-Y471</f>
        <v>7.7208239586854924E-2</v>
      </c>
      <c r="S462">
        <f ca="1">Z455-Z463-Z471</f>
        <v>7.920850912115987E-2</v>
      </c>
      <c r="T462">
        <f ca="1">AA455-AA463-AA471</f>
        <v>4.339677266978529E-2</v>
      </c>
      <c r="U462">
        <f ca="1">AB455-AB463-AB471</f>
        <v>1.097821299088541E-2</v>
      </c>
      <c r="X462" t="str">
        <f>D476</f>
        <v>2012</v>
      </c>
      <c r="Y462" t="str">
        <f>E476</f>
        <v>2013</v>
      </c>
      <c r="Z462" t="str">
        <f>F476</f>
        <v>2014</v>
      </c>
      <c r="AA462" t="str">
        <f>G476</f>
        <v>2015</v>
      </c>
      <c r="AB462" t="str">
        <f>H476</f>
        <v>2016</v>
      </c>
      <c r="AE462" t="str">
        <f>K476</f>
        <v>12-13</v>
      </c>
      <c r="AF462" t="str">
        <f>L476</f>
        <v>13-14</v>
      </c>
      <c r="AG462" t="str">
        <f>M476</f>
        <v>14-15</v>
      </c>
      <c r="AH462" t="str">
        <f>N476</f>
        <v>15-16</v>
      </c>
      <c r="AK462" t="str">
        <f>K476</f>
        <v>12-13</v>
      </c>
      <c r="AL462" t="str">
        <f>L476</f>
        <v>13-14</v>
      </c>
      <c r="AM462" t="str">
        <f>M476</f>
        <v>14-15</v>
      </c>
      <c r="AN462" t="str">
        <f>N476</f>
        <v>15-16</v>
      </c>
    </row>
    <row r="463" spans="2:53" x14ac:dyDescent="0.3">
      <c r="Q463" t="str">
        <f>"Max " &amp; Q460</f>
        <v>Max Operating Margin</v>
      </c>
      <c r="R463">
        <f ca="1">MAX(Q462:U462)</f>
        <v>7.920850912115987E-2</v>
      </c>
      <c r="S463" t="str">
        <f>"GM Effect on Max"</f>
        <v>GM Effect on Max</v>
      </c>
      <c r="T463" t="str">
        <f ca="1">IF(R464=Y457,"Max OM in same year as Max GM","Inconclusive Effect")</f>
        <v>Inconclusive Effect</v>
      </c>
      <c r="U463" t="str">
        <f>"Correlation with GM"</f>
        <v>Correlation with GM</v>
      </c>
      <c r="V463">
        <f ca="1">CORREL(Q462:U462,X455:AB455)</f>
        <v>-7.0372613972086842E-2</v>
      </c>
      <c r="X463">
        <f ca="1">(INDIRECT("J" &amp; MATCH("SG&amp;A Expense",B145:B403,0) +144))/(INDIRECT("J" &amp; MATCH("Sales/Revenue",B145:B403,0) +144))</f>
        <v>0.21214594051209273</v>
      </c>
      <c r="Y463">
        <f ca="1">(INDIRECT("K" &amp; MATCH("SG&amp;A Expense",B145:B403,0) +144))/(INDIRECT("K" &amp; MATCH("Sales/Revenue",B145:B403,0) +144))</f>
        <v>0.21327566710576934</v>
      </c>
      <c r="Z463">
        <f ca="1">(INDIRECT("L" &amp; MATCH("SG&amp;A Expense",B145:B403,0) +144))/(INDIRECT("L" &amp; MATCH("Sales/Revenue",B145:B403,0) +144))</f>
        <v>0.21249034404896311</v>
      </c>
      <c r="AA463">
        <f ca="1">(INDIRECT("M" &amp; MATCH("SG&amp;A Expense",B145:B403,0) +144))/(INDIRECT("M" &amp; MATCH("Sales/Revenue",B145:B403,0) +144))</f>
        <v>0.2381641702348119</v>
      </c>
      <c r="AB463">
        <f ca="1">(INDIRECT("N" &amp; MATCH("SG&amp;A Expense",B145:B403,0) +144))/(INDIRECT("N" &amp; MATCH("Sales/Revenue",B145:B403,0) +144))</f>
        <v>0.26229119371124587</v>
      </c>
      <c r="AE463">
        <f ca="1">R462-Q462</f>
        <v>2.6554818736520859E-2</v>
      </c>
      <c r="AF463">
        <f ca="1">S462-R462</f>
        <v>2.0002695343049465E-3</v>
      </c>
      <c r="AG463">
        <f ca="1">T462-S462</f>
        <v>-3.581173645137458E-2</v>
      </c>
      <c r="AH463">
        <f ca="1">U462-T462</f>
        <v>-3.241855967889988E-2</v>
      </c>
      <c r="AK463">
        <f ca="1">Y463-X463</f>
        <v>1.1297265936766054E-3</v>
      </c>
      <c r="AL463">
        <f ca="1">Z463-Y463</f>
        <v>-7.8532305680623082E-4</v>
      </c>
      <c r="AM463">
        <f ca="1">AA463-Z463</f>
        <v>2.5673826185848792E-2</v>
      </c>
      <c r="AN463">
        <f ca="1">AB463-AA463</f>
        <v>2.4127023476433973E-2</v>
      </c>
    </row>
    <row r="464" spans="2:53" x14ac:dyDescent="0.3">
      <c r="Q464" t="str">
        <f>Q463 &amp; " Year"</f>
        <v>Max Operating Margin Year</v>
      </c>
      <c r="R464">
        <f ca="1">VALUE(Q461)+MATCH(R463,Q462:U462,0)-1</f>
        <v>2014</v>
      </c>
      <c r="S464" t="str">
        <f>"SGA Effect on Max"</f>
        <v>SGA Effect on Max</v>
      </c>
      <c r="T464" t="str">
        <f ca="1">IF(R464=Y467,"Max OM in same year as Min SGA","Inconclusive Effect")</f>
        <v>Inconclusive Effect</v>
      </c>
      <c r="U464" t="str">
        <f>"Correlation with SGA"</f>
        <v>Correlation with SGA</v>
      </c>
      <c r="V464">
        <f ca="1">CORREL(Q462:U462,X463:AB463)</f>
        <v>-0.90776672396582969</v>
      </c>
      <c r="X464" t="str">
        <f>"Max " &amp; X461</f>
        <v>Max SGA / Sales</v>
      </c>
      <c r="Y464">
        <f ca="1">MAX(X463:AB463)</f>
        <v>0.26229119371124587</v>
      </c>
      <c r="AE464" t="str">
        <f>"Max " &amp; AE461</f>
        <v>Max Change in Operating Margin</v>
      </c>
      <c r="AF464">
        <f ca="1">MAX(AE463:AH463)</f>
        <v>2.6554818736520859E-2</v>
      </c>
      <c r="AK464" t="str">
        <f>"Max " &amp; AK461</f>
        <v>Max Change in SGA / Sales</v>
      </c>
      <c r="AL464">
        <f ca="1">MAX(AK463:AN463)</f>
        <v>2.5673826185848792E-2</v>
      </c>
    </row>
    <row r="465" spans="4:40" x14ac:dyDescent="0.3">
      <c r="J465" t="str">
        <f>"EOY Pretax ROIC"</f>
        <v>EOY Pretax ROIC</v>
      </c>
      <c r="Q465" t="str">
        <f>"Min " &amp; Q460</f>
        <v>Min Operating Margin</v>
      </c>
      <c r="R465">
        <f ca="1">MIN(Q462:U462)</f>
        <v>1.097821299088541E-2</v>
      </c>
      <c r="S465" t="str">
        <f>"Dep Effect on Max"</f>
        <v>Dep Effect on Max</v>
      </c>
      <c r="T465" t="str">
        <f ca="1">IF(R464=Y475,"Max OM in same year as Min Depr","Inconclusive Effect")</f>
        <v>Inconclusive Effect</v>
      </c>
      <c r="U465" t="str">
        <f>"Correlation with Dep"</f>
        <v>Correlation with Dep</v>
      </c>
      <c r="V465">
        <f ca="1">CORREL(Q462:U462,X471:AB471)</f>
        <v>-0.89593774165441364</v>
      </c>
      <c r="X465" t="str">
        <f>X464 &amp; " Year"</f>
        <v>Max SGA / Sales Year</v>
      </c>
      <c r="Y465">
        <f ca="1">VALUE(X462)+MATCH(Y464,X463:AB463,0)-1</f>
        <v>2016</v>
      </c>
      <c r="AE465" t="str">
        <f>AE464 &amp; " Year"</f>
        <v>Max Change in Operating Margin Year</v>
      </c>
      <c r="AF465" t="str">
        <f ca="1">IF(MATCH(AF464,AE463:AH463,0)=1,AE462,IF(MATCH(AF464,AE463:AH463,0)=2,AF462,IF(MATCH(AF464,AE463:AH463,0)=3,AG462,AH462)))</f>
        <v>12-13</v>
      </c>
      <c r="AK465" t="str">
        <f>AK464 &amp; " Year"</f>
        <v>Max Change in SGA / Sales Year</v>
      </c>
      <c r="AL465" t="str">
        <f ca="1">IF(MATCH(AL464,AK463:AN463,0)=1,AK462,IF(MATCH(AL464,AK463:AN463,0)=2,AL462,IF(MATCH(AL464,AK463:AN463,0)=3,AM462,AN462)))</f>
        <v>14-15</v>
      </c>
    </row>
    <row r="466" spans="4:40" x14ac:dyDescent="0.3">
      <c r="J466" t="str">
        <f>D476</f>
        <v>2012</v>
      </c>
      <c r="K466" t="str">
        <f>E476</f>
        <v>2013</v>
      </c>
      <c r="L466" t="str">
        <f>F476</f>
        <v>2014</v>
      </c>
      <c r="M466" t="str">
        <f>G476</f>
        <v>2015</v>
      </c>
      <c r="N466" t="str">
        <f>H476</f>
        <v>2016</v>
      </c>
      <c r="Q466" t="str">
        <f>Q465 &amp; " Year"</f>
        <v>Min Operating Margin Year</v>
      </c>
      <c r="R466">
        <f ca="1">VALUE(Q461)+MATCH(R465,Q462:U462,0)-1</f>
        <v>2016</v>
      </c>
      <c r="S466" t="str">
        <f>"GM Effect on Min"</f>
        <v>GM Effect on Min</v>
      </c>
      <c r="T466" t="str">
        <f ca="1">IF(R466=Y459,"Min OM in same year as Min GM","Inconclusive Effect")</f>
        <v>Inconclusive Effect</v>
      </c>
      <c r="X466" t="str">
        <f>"Min " &amp; X461</f>
        <v>Min SGA / Sales</v>
      </c>
      <c r="Y466">
        <f ca="1">MIN(X463:AB463)</f>
        <v>0.21214594051209273</v>
      </c>
      <c r="AE466" t="str">
        <f>"Min " &amp; AE461</f>
        <v>Min Change in Operating Margin</v>
      </c>
      <c r="AF466">
        <f ca="1">MIN(AE463:AH463)</f>
        <v>-3.581173645137458E-2</v>
      </c>
      <c r="AK466" t="str">
        <f>"Min " &amp; AK461</f>
        <v>Min Change in SGA / Sales</v>
      </c>
      <c r="AL466">
        <f ca="1">MIN(AK463:AN463)</f>
        <v>-7.8532305680623082E-4</v>
      </c>
    </row>
    <row r="467" spans="4:40" x14ac:dyDescent="0.3">
      <c r="J467">
        <f ca="1">Q462*(1/Q490)</f>
        <v>8.7508172605426551E-2</v>
      </c>
      <c r="K467">
        <f ca="1">R462*(1/R490)</f>
        <v>0.124347564868011</v>
      </c>
      <c r="L467">
        <f ca="1">S462*(1/S490)</f>
        <v>0.1291491464336233</v>
      </c>
      <c r="M467">
        <f ca="1">T462*(1/T490)</f>
        <v>5.8874602058957268E-2</v>
      </c>
      <c r="N467">
        <f ca="1">U462*(1/U490)</f>
        <v>9.3250827457188393E-3</v>
      </c>
      <c r="S467" t="str">
        <f>"SGA Effect on Min"</f>
        <v>SGA Effect on Min</v>
      </c>
      <c r="T467" t="str">
        <f ca="1">IF(R466=Y465,"Min OM in same year as Max SGA","Inconclusive Effect")</f>
        <v>Min OM in same year as Max SGA</v>
      </c>
      <c r="X467" t="str">
        <f>X466 &amp; " Year"</f>
        <v>Min SGA / Sales Year</v>
      </c>
      <c r="Y467">
        <f ca="1">VALUE(X462)+MATCH(Y466,X463:AB463,0)-1</f>
        <v>2012</v>
      </c>
      <c r="AE467" t="str">
        <f>AE466 &amp; " Year"</f>
        <v>Min Change in Operating Margin Year</v>
      </c>
      <c r="AF467" t="str">
        <f ca="1">IF(MATCH(AF466,AE463:AH463,0)=1,AE462,IF(MATCH(AF466,AE463:AH463,0)=2,AF462,IF(MATCH(AF466,AE463:AH463,0)=3,AG462,AH462)))</f>
        <v>14-15</v>
      </c>
      <c r="AK467" t="str">
        <f>AK466 &amp; " Year"</f>
        <v>Min Change in SGA / Sales Year</v>
      </c>
      <c r="AL467" t="str">
        <f ca="1">IF(MATCH(AL466,AK463:AN463,0)=1,AK462,IF(MATCH(AL466,AK463:AN463,0)=2,AL462,IF(MATCH(AL466,AK463:AN463,0)=3,AM462,AN462)))</f>
        <v>13-14</v>
      </c>
    </row>
    <row r="468" spans="4:40" x14ac:dyDescent="0.3">
      <c r="J468" t="str">
        <f>"Max " &amp; J465</f>
        <v>Max EOY Pretax ROIC</v>
      </c>
      <c r="K468">
        <f ca="1">MAX(J467:N467)</f>
        <v>0.1291491464336233</v>
      </c>
      <c r="L468" t="str">
        <f>"OM Effect on Max"</f>
        <v>OM Effect on Max</v>
      </c>
      <c r="M468" t="str">
        <f ca="1">IF(K469=R464,"Max ROIC in same year as Max OM","Inconclusive Effect")</f>
        <v>Max ROIC in same year as Max OM</v>
      </c>
      <c r="N468" t="str">
        <f>"Correlation with OM"</f>
        <v>Correlation with OM</v>
      </c>
      <c r="O468">
        <f ca="1">CORREL(J467:N467,Q462:U462)</f>
        <v>0.99346927311351363</v>
      </c>
      <c r="S468" t="str">
        <f>"Dep Effect on Min"</f>
        <v>Dep Effect on Min</v>
      </c>
      <c r="T468" t="str">
        <f ca="1">IF(R466=Y473,"Min OM in same year as Max Dep","Inconclusive Effect")</f>
        <v>Min OM in same year as Max Dep</v>
      </c>
    </row>
    <row r="469" spans="4:40" x14ac:dyDescent="0.3">
      <c r="J469" t="str">
        <f>J468 &amp; " Year"</f>
        <v>Max EOY Pretax ROIC Year</v>
      </c>
      <c r="K469">
        <f ca="1">VALUE(J466)+MATCH(K468,J467:N467,0)-1</f>
        <v>2014</v>
      </c>
      <c r="L469" t="str">
        <f>"IC Effect on Max"</f>
        <v>IC Effect on Max</v>
      </c>
      <c r="M469" t="str">
        <f ca="1">IF(K469=R494,"Max ROIC in same year as Min IC","Inconclusive Effect")</f>
        <v>Inconclusive Effect</v>
      </c>
      <c r="N469" t="str">
        <f>"Correlation with IC"</f>
        <v>Correlation with IC</v>
      </c>
      <c r="O469">
        <f ca="1">CORREL(J467:N467,Q490:U490)</f>
        <v>-0.88310561045716907</v>
      </c>
      <c r="X469" t="str">
        <f>"Depreciation / Sales"</f>
        <v>Depreciation / Sales</v>
      </c>
    </row>
    <row r="470" spans="4:40" x14ac:dyDescent="0.3">
      <c r="J470" t="str">
        <f>"Min " &amp; J465</f>
        <v>Min EOY Pretax ROIC</v>
      </c>
      <c r="K470">
        <f ca="1">MIN(J467:N467)</f>
        <v>9.3250827457188393E-3</v>
      </c>
      <c r="L470" t="str">
        <f>"OM Effect on Min"</f>
        <v>OM Effect on Min</v>
      </c>
      <c r="M470" t="str">
        <f ca="1">IF(K471=R466,"Min ROIC in same year as Min OM","Inconclusive Effect")</f>
        <v>Min ROIC in same year as Min OM</v>
      </c>
      <c r="Q470" t="str">
        <f>"Change in EOY Pretax ROIC"</f>
        <v>Change in EOY Pretax ROIC</v>
      </c>
      <c r="X470" t="str">
        <f>D476</f>
        <v>2012</v>
      </c>
      <c r="Y470" t="str">
        <f>E476</f>
        <v>2013</v>
      </c>
      <c r="Z470" t="str">
        <f>F476</f>
        <v>2014</v>
      </c>
      <c r="AA470" t="str">
        <f>G476</f>
        <v>2015</v>
      </c>
      <c r="AB470" t="str">
        <f>H476</f>
        <v>2016</v>
      </c>
    </row>
    <row r="471" spans="4:40" x14ac:dyDescent="0.3">
      <c r="J471" t="str">
        <f>J470 &amp; " Year"</f>
        <v>Min EOY Pretax ROIC Year</v>
      </c>
      <c r="K471">
        <f ca="1">VALUE(J466)+MATCH(K470,J467:N467,0)-1</f>
        <v>2016</v>
      </c>
      <c r="L471" t="str">
        <f>"IC Effect on Min"</f>
        <v>IC Effect on Min</v>
      </c>
      <c r="M471" t="str">
        <f ca="1">IF(K471=R492,"Min ROIC in same year as Max IC","Inconclusive Effect")</f>
        <v>Min ROIC in same year as Max IC</v>
      </c>
      <c r="Q471" t="str">
        <f>K476</f>
        <v>12-13</v>
      </c>
      <c r="R471" t="str">
        <f>L476</f>
        <v>13-14</v>
      </c>
      <c r="S471" t="str">
        <f>M476</f>
        <v>14-15</v>
      </c>
      <c r="T471" t="str">
        <f>N476</f>
        <v>15-16</v>
      </c>
      <c r="X471">
        <f ca="1">(INDIRECT("J" &amp; MATCH("Depreciation &amp; Amortization Expense",B145:B403,0) +144))/(INDIRECT("J" &amp; MATCH("Sales/Revenue",B145:B403,0) +144))</f>
        <v>2.2860859795399445E-2</v>
      </c>
      <c r="Y471">
        <f ca="1">(INDIRECT("K" &amp; MATCH("Depreciation &amp; Amortization Expense",B145:B403,0) +144))/(INDIRECT("K" &amp; MATCH("Sales/Revenue",B145:B403,0) +144))</f>
        <v>2.2231030181508727E-2</v>
      </c>
      <c r="Z471">
        <f ca="1">(INDIRECT("L" &amp; MATCH("Depreciation &amp; Amortization Expense",B145:B403,0) +144))/(INDIRECT("L" &amp; MATCH("Sales/Revenue",B145:B403,0) +144))</f>
        <v>2.32455879731416E-2</v>
      </c>
      <c r="AA471">
        <f ca="1">(INDIRECT("M" &amp; MATCH("Depreciation &amp; Amortization Expense",B145:B403,0) +144))/(INDIRECT("M" &amp; MATCH("Sales/Revenue",B145:B403,0) +144))</f>
        <v>3.6478888262452956E-2</v>
      </c>
      <c r="AB471">
        <f ca="1">(INDIRECT("N" &amp; MATCH("Depreciation &amp; Amortization Expense",B145:B403,0) +144))/(INDIRECT("N" &amp; MATCH("Sales/Revenue",B145:B403,0) +144))</f>
        <v>4.3404601362111613E-2</v>
      </c>
    </row>
    <row r="472" spans="4:40" x14ac:dyDescent="0.3">
      <c r="Q472">
        <f ca="1">K467-J467</f>
        <v>3.6839392262584453E-2</v>
      </c>
      <c r="R472">
        <f ca="1">L467-K467</f>
        <v>4.8015815656122923E-3</v>
      </c>
      <c r="S472">
        <f ca="1">M467-L467</f>
        <v>-7.0274544374666029E-2</v>
      </c>
      <c r="T472">
        <f ca="1">N467-M467</f>
        <v>-4.9549519313238428E-2</v>
      </c>
      <c r="X472" t="str">
        <f>"Max " &amp; X469</f>
        <v>Max Depreciation / Sales</v>
      </c>
      <c r="Y472">
        <f ca="1">MAX(X471:AB471)</f>
        <v>4.3404601362111613E-2</v>
      </c>
      <c r="AK472" t="str">
        <f>"Change in Depreciation / Sales"</f>
        <v>Change in Depreciation / Sales</v>
      </c>
    </row>
    <row r="473" spans="4:40" x14ac:dyDescent="0.3">
      <c r="Q473" t="str">
        <f>"Max " &amp; Q470</f>
        <v>Max Change in EOY Pretax ROIC</v>
      </c>
      <c r="R473">
        <f ca="1">MAX(Q472:T472)</f>
        <v>3.6839392262584453E-2</v>
      </c>
      <c r="X473" t="str">
        <f>X472 &amp; " Year"</f>
        <v>Max Depreciation / Sales Year</v>
      </c>
      <c r="Y473">
        <f ca="1">VALUE(X470)+MATCH(Y472,X471:AB471,0)-1</f>
        <v>2016</v>
      </c>
      <c r="AK473" t="str">
        <f>K476</f>
        <v>12-13</v>
      </c>
      <c r="AL473" t="str">
        <f>L476</f>
        <v>13-14</v>
      </c>
      <c r="AM473" t="str">
        <f>M476</f>
        <v>14-15</v>
      </c>
      <c r="AN473" t="str">
        <f>N476</f>
        <v>15-16</v>
      </c>
    </row>
    <row r="474" spans="4:40" x14ac:dyDescent="0.3">
      <c r="Q474" t="str">
        <f>Q473 &amp; " Year"</f>
        <v>Max Change in EOY Pretax ROIC Year</v>
      </c>
      <c r="R474" t="str">
        <f ca="1">IF(MATCH(R473,Q472:T472,0)=1,Q471,IF(MATCH(R473,Q472:T472,0)=2,R471,IF(MATCH(R473,Q472:T472,0)=3,S471,T471)))</f>
        <v>12-13</v>
      </c>
      <c r="X474" t="str">
        <f>"Min " &amp; X469</f>
        <v>Min Depreciation / Sales</v>
      </c>
      <c r="Y474">
        <f ca="1">MIN(X471:AB471)</f>
        <v>2.2231030181508727E-2</v>
      </c>
      <c r="AK474">
        <f ca="1">Y471-X471</f>
        <v>-6.2982961389071793E-4</v>
      </c>
      <c r="AL474">
        <f ca="1">Z471-Y471</f>
        <v>1.0145577916328731E-3</v>
      </c>
      <c r="AM474">
        <f ca="1">AA471-Z471</f>
        <v>1.3233300289311356E-2</v>
      </c>
      <c r="AN474">
        <f ca="1">AB471-AA471</f>
        <v>6.9257130996586563E-3</v>
      </c>
    </row>
    <row r="475" spans="4:40" x14ac:dyDescent="0.3">
      <c r="D475" t="str">
        <f>"EOY ROIC"</f>
        <v>EOY ROIC</v>
      </c>
      <c r="K475" t="str">
        <f>"Change in EOY ROIC"</f>
        <v>Change in EOY ROIC</v>
      </c>
      <c r="Q475" t="str">
        <f>"Min " &amp; Q470</f>
        <v>Min Change in EOY Pretax ROIC</v>
      </c>
      <c r="R475">
        <f ca="1">MIN(Q472:T472)</f>
        <v>-7.0274544374666029E-2</v>
      </c>
      <c r="X475" t="str">
        <f>X474 &amp; " Year"</f>
        <v>Min Depreciation / Sales Year</v>
      </c>
      <c r="Y475">
        <f ca="1">VALUE(X470)+MATCH(Y474,X471:AB471,0)-1</f>
        <v>2013</v>
      </c>
      <c r="AK475" t="str">
        <f>"Max " &amp; AK472</f>
        <v>Max Change in Depreciation / Sales</v>
      </c>
      <c r="AL475">
        <f ca="1">MAX(AK474:AN474)</f>
        <v>1.3233300289311356E-2</v>
      </c>
    </row>
    <row r="476" spans="4:40" x14ac:dyDescent="0.3">
      <c r="D476" t="str">
        <f>C144</f>
        <v>2012</v>
      </c>
      <c r="E476" t="str">
        <f>D144</f>
        <v>2013</v>
      </c>
      <c r="F476" t="str">
        <f>E144</f>
        <v>2014</v>
      </c>
      <c r="G476" t="str">
        <f>F144</f>
        <v>2015</v>
      </c>
      <c r="H476" t="str">
        <f>G144</f>
        <v>2016</v>
      </c>
      <c r="K476" t="str">
        <f>RIGHT(D476,2) &amp; "-" &amp; RIGHT(E476,2)</f>
        <v>12-13</v>
      </c>
      <c r="L476" t="str">
        <f>RIGHT(E476,2) &amp; "-" &amp; RIGHT(F476,2)</f>
        <v>13-14</v>
      </c>
      <c r="M476" t="str">
        <f>RIGHT(F476,2) &amp; "-" &amp; RIGHT(G476,2)</f>
        <v>14-15</v>
      </c>
      <c r="N476" t="str">
        <f>RIGHT(G476,2) &amp; "-" &amp; RIGHT(H476,2)</f>
        <v>15-16</v>
      </c>
      <c r="Q476" t="str">
        <f>Q475 &amp; " Year"</f>
        <v>Min Change in EOY Pretax ROIC Year</v>
      </c>
      <c r="R476" t="str">
        <f ca="1">IF(MATCH(R475,Q472:T472,0)=1,Q471,IF(MATCH(R475,Q472:T472,0)=2,R471,IF(MATCH(R475,Q472:T472,0)=3,S471,T471)))</f>
        <v>14-15</v>
      </c>
      <c r="AK476" t="str">
        <f>AK475 &amp; " Year"</f>
        <v>Max Change in Depreciation / Sales Year</v>
      </c>
      <c r="AL476" t="str">
        <f ca="1">IF(MATCH(AL475,AK474:AN474,0)=1,AK473,IF(MATCH(AL475,AK474:AN474,0)=2,AL473,IF(MATCH(AL475,AK474:AN474,0)=3,AM473,AN473)))</f>
        <v>14-15</v>
      </c>
    </row>
    <row r="477" spans="4:40" x14ac:dyDescent="0.3">
      <c r="D477">
        <f ca="1">J467*(1-J487)</f>
        <v>6.454146830093721E-2</v>
      </c>
      <c r="E477">
        <f ca="1">K467*(1-K487)</f>
        <v>9.1493711064657687E-2</v>
      </c>
      <c r="F477">
        <f ca="1">L467*(1-L487)</f>
        <v>0.10285384124764373</v>
      </c>
      <c r="G477">
        <f ca="1">M467*(1-M487)</f>
        <v>2.5880676607281258E-2</v>
      </c>
      <c r="H477">
        <f ca="1">N467*(1-N487)</f>
        <v>9.7306467783580559E-3</v>
      </c>
      <c r="K477">
        <f ca="1">E477-D477</f>
        <v>2.6952242763720477E-2</v>
      </c>
      <c r="L477">
        <f ca="1">F477-E477</f>
        <v>1.1360130182986039E-2</v>
      </c>
      <c r="M477">
        <f ca="1">G477-F477</f>
        <v>-7.6973164640362468E-2</v>
      </c>
      <c r="N477">
        <f ca="1">H477-G477</f>
        <v>-1.6150029828923204E-2</v>
      </c>
      <c r="AK477" t="str">
        <f>"Min " &amp; AK472</f>
        <v>Min Change in Depreciation / Sales</v>
      </c>
      <c r="AL477">
        <f ca="1">MIN(AK474:AN474)</f>
        <v>-6.2982961389071793E-4</v>
      </c>
    </row>
    <row r="478" spans="4:40" x14ac:dyDescent="0.3">
      <c r="D478" t="str">
        <f>"Max " &amp; D475</f>
        <v>Max EOY ROIC</v>
      </c>
      <c r="E478">
        <f ca="1">MAX(D477:H477)</f>
        <v>0.10285384124764373</v>
      </c>
      <c r="F478" t="str">
        <f>"Cash Tax  Effect on Max"</f>
        <v>Cash Tax  Effect on Max</v>
      </c>
      <c r="G478" t="str">
        <f ca="1">IF(E479=K491,"Max ROIC in same year as Min Cash Tax","Inconclusive Effect")</f>
        <v>Inconclusive Effect</v>
      </c>
      <c r="K478" t="str">
        <f>"Max " &amp; K475</f>
        <v>Max Change in EOY ROIC</v>
      </c>
      <c r="L478">
        <f ca="1">MAX(K477:N477)</f>
        <v>2.6952242763720477E-2</v>
      </c>
      <c r="AK478" t="str">
        <f>AK477 &amp; " Year"</f>
        <v>Min Change in Depreciation / Sales Year</v>
      </c>
      <c r="AL478" t="str">
        <f ca="1">IF(MATCH(AL477,AK474:AN474,0)=1,AK473,IF(MATCH(AL477,AK474:AN474,0)=2,AL473,IF(MATCH(AL477,AK474:AN474,0)=3,AM473,AN473)))</f>
        <v>12-13</v>
      </c>
    </row>
    <row r="479" spans="4:40" x14ac:dyDescent="0.3">
      <c r="D479" t="str">
        <f>D478 &amp; " Year"</f>
        <v>Max EOY ROIC Year</v>
      </c>
      <c r="E479">
        <f ca="1">VALUE(D476)+MATCH(E478,D477:H477,0)-1</f>
        <v>2014</v>
      </c>
      <c r="K479" t="str">
        <f>K478 &amp; " Year"</f>
        <v>Max Change in EOY ROIC Year</v>
      </c>
      <c r="L479" t="str">
        <f ca="1">IF(MATCH(L478,K477:N477,0)=1,K476,IF(MATCH(L478,K477:N477,0)=2,L476,IF(MATCH(L478,K477:N477,0)=3,M476,N476)))</f>
        <v>12-13</v>
      </c>
      <c r="Q479" t="str">
        <f>"Change in Cash Tax Rate"</f>
        <v>Change in Cash Tax Rate</v>
      </c>
    </row>
    <row r="480" spans="4:40" x14ac:dyDescent="0.3">
      <c r="D480" t="str">
        <f>"Min " &amp; D475</f>
        <v>Min EOY ROIC</v>
      </c>
      <c r="E480">
        <f ca="1">MIN(D477:H477)</f>
        <v>9.7306467783580559E-3</v>
      </c>
      <c r="F480" t="str">
        <f>"Cash Tax  Effect on Min"</f>
        <v>Cash Tax  Effect on Min</v>
      </c>
      <c r="G480" t="str">
        <f ca="1">IF(E481=K489,"Min ROIC in same year as Max Cash Tax","Inconclusive Effect")</f>
        <v>Inconclusive Effect</v>
      </c>
      <c r="K480" t="str">
        <f>"Min " &amp; K475</f>
        <v>Min Change in EOY ROIC</v>
      </c>
      <c r="L480">
        <f ca="1">MIN(K477:N477)</f>
        <v>-7.6973164640362468E-2</v>
      </c>
      <c r="Q480" t="str">
        <f>K476</f>
        <v>12-13</v>
      </c>
      <c r="R480" t="str">
        <f>L476</f>
        <v>13-14</v>
      </c>
      <c r="S480" t="str">
        <f>M476</f>
        <v>14-15</v>
      </c>
      <c r="T480" t="str">
        <f>N476</f>
        <v>15-16</v>
      </c>
    </row>
    <row r="481" spans="4:40" x14ac:dyDescent="0.3">
      <c r="D481" t="str">
        <f>D480 &amp; " Year"</f>
        <v>Min EOY ROIC Year</v>
      </c>
      <c r="E481">
        <f ca="1">VALUE(D476)+MATCH(E480,D477:H477,0)-1</f>
        <v>2016</v>
      </c>
      <c r="K481" t="str">
        <f>K480 &amp; " Year"</f>
        <v>Min Change in EOY ROIC Year</v>
      </c>
      <c r="L481" t="str">
        <f ca="1">IF(MATCH(L480,K477:N477,0)=1,K476,IF(MATCH(L480,K477:N477,0)=2,L476,IF(MATCH(L480,K477:N477,0)=3,M476,N476)))</f>
        <v>14-15</v>
      </c>
      <c r="Q481">
        <f ca="1">K487-J487</f>
        <v>1.7577615522865186E-3</v>
      </c>
      <c r="R481">
        <f ca="1">L487-K487</f>
        <v>-6.0605695578739405E-2</v>
      </c>
      <c r="S481">
        <f ca="1">M487-L487</f>
        <v>0.35680599170440547</v>
      </c>
      <c r="T481">
        <f ca="1">N487-M487</f>
        <v>-0.60390190049483616</v>
      </c>
      <c r="X481" t="str">
        <f>"Op WC / Sales"</f>
        <v>Op WC / Sales</v>
      </c>
    </row>
    <row r="482" spans="4:40" x14ac:dyDescent="0.3">
      <c r="D482" t="str">
        <f>"Correlation with OM"</f>
        <v>Correlation with OM</v>
      </c>
      <c r="E482">
        <f ca="1">CORREL(D477:H477,Q462:U462)</f>
        <v>0.95267629834868939</v>
      </c>
      <c r="Q482" t="str">
        <f>"Max " &amp; Q479</f>
        <v>Max Change in Cash Tax Rate</v>
      </c>
      <c r="R482">
        <f ca="1">MAX(Q481:T481)</f>
        <v>0.35680599170440547</v>
      </c>
      <c r="X482" t="str">
        <f>D476</f>
        <v>2012</v>
      </c>
      <c r="Y482" t="str">
        <f>E476</f>
        <v>2013</v>
      </c>
      <c r="Z482" t="str">
        <f>F476</f>
        <v>2014</v>
      </c>
      <c r="AA482" t="str">
        <f>G476</f>
        <v>2015</v>
      </c>
      <c r="AB482" t="str">
        <f>H476</f>
        <v>2016</v>
      </c>
      <c r="AK482" t="str">
        <f>"Change in Op WC / Sales"</f>
        <v>Change in Op WC / Sales</v>
      </c>
    </row>
    <row r="483" spans="4:40" x14ac:dyDescent="0.3">
      <c r="D483" t="str">
        <f>"Correlation with IC"</f>
        <v>Correlation with IC</v>
      </c>
      <c r="E483">
        <f ca="1">CORREL(D477:H477,Q490:U490)</f>
        <v>-0.79024355063777818</v>
      </c>
      <c r="Q483" t="str">
        <f>Q482 &amp; " Year"</f>
        <v>Max Change in Cash Tax Rate Year</v>
      </c>
      <c r="R483" t="str">
        <f ca="1">IF(MATCH(R482,Q481:T481,0)=1,Q480,IF(MATCH(R482,Q481:T481,0)=2,R480,IF(MATCH(R482,Q481:T481,0)=3,S480,T480)))</f>
        <v>14-15</v>
      </c>
      <c r="X483">
        <f ca="1">(INDIRECT("J" &amp; MATCH("Total Current Assets",B145:B403,0) +144) - INDIRECT("J" &amp; MATCH("Total Current Liabilities",B145:B403,0) +144))/(INDIRECT("J" &amp; MATCH("Sales/Revenue",B145:B403,0) +144))</f>
        <v>0.30861569392702976</v>
      </c>
      <c r="Y483">
        <f ca="1">(INDIRECT("K" &amp; MATCH("Total Current Assets",B145:B403,0) +144) - INDIRECT("K" &amp; MATCH("Total Current Liabilities",B145:B403,0) +144))/(INDIRECT("K" &amp; MATCH("Sales/Revenue",B145:B403,0) +144))</f>
        <v>0.36531399727212321</v>
      </c>
      <c r="Z483">
        <f ca="1">(INDIRECT("L" &amp; MATCH("Total Current Assets",B145:B403,0) +144) - INDIRECT("L" &amp; MATCH("Total Current Liabilities",B145:B403,0) +144))/(INDIRECT("L" &amp; MATCH("Sales/Revenue",B145:B403,0) +144))</f>
        <v>0.38093766712222948</v>
      </c>
      <c r="AA483">
        <f ca="1">(INDIRECT("M" &amp; MATCH("Total Current Assets",B145:B403,0) +144) - INDIRECT("M" &amp; MATCH("Total Current Liabilities",B145:B403,0) +144))/(INDIRECT("M" &amp; MATCH("Sales/Revenue",B145:B403,0) +144))</f>
        <v>0.35393968945708321</v>
      </c>
      <c r="AB483">
        <f ca="1">(INDIRECT("N" &amp; MATCH("Total Current Assets",B145:B403,0) +144) - INDIRECT("N" &amp; MATCH("Total Current Liabilities",B145:B403,0) +144))/(INDIRECT("N" &amp; MATCH("Sales/Revenue",B145:B403,0) +144))</f>
        <v>0.4282011317046725</v>
      </c>
      <c r="AK483" t="str">
        <f>K476</f>
        <v>12-13</v>
      </c>
      <c r="AL483" t="str">
        <f>L476</f>
        <v>13-14</v>
      </c>
      <c r="AM483" t="str">
        <f>M476</f>
        <v>14-15</v>
      </c>
      <c r="AN483" t="str">
        <f>N476</f>
        <v>15-16</v>
      </c>
    </row>
    <row r="484" spans="4:40" x14ac:dyDescent="0.3">
      <c r="D484" t="str">
        <f>"Correlation with GM"</f>
        <v>Correlation with GM</v>
      </c>
      <c r="E484">
        <f ca="1">CORREL(D477:H477,X455:AB455)</f>
        <v>-0.1943006261181216</v>
      </c>
      <c r="Q484" t="str">
        <f>"Min " &amp; Q479</f>
        <v>Min Change in Cash Tax Rate</v>
      </c>
      <c r="R484">
        <f ca="1">MIN(Q481:T481)</f>
        <v>-0.60390190049483616</v>
      </c>
      <c r="X484" t="str">
        <f>"Max " &amp; X481</f>
        <v>Max Op WC / Sales</v>
      </c>
      <c r="Y484">
        <f ca="1">MAX(X483:AB483)</f>
        <v>0.4282011317046725</v>
      </c>
      <c r="AK484">
        <f ca="1">Y483-X483</f>
        <v>5.6698303345093459E-2</v>
      </c>
      <c r="AL484">
        <f ca="1">Z483-Y483</f>
        <v>1.562366985010627E-2</v>
      </c>
      <c r="AM484">
        <f ca="1">AA483-Z483</f>
        <v>-2.6997977665146278E-2</v>
      </c>
      <c r="AN484">
        <f ca="1">AB483-AA483</f>
        <v>7.4261442247589293E-2</v>
      </c>
    </row>
    <row r="485" spans="4:40" x14ac:dyDescent="0.3">
      <c r="D485" t="str">
        <f>"Correlation with SGA"</f>
        <v>Correlation with SGA</v>
      </c>
      <c r="E485">
        <f ca="1">CORREL(D477:H477,X463:AB463)</f>
        <v>-0.9082065067849644</v>
      </c>
      <c r="J485" t="str">
        <f>"Cash Tax Rate"</f>
        <v>Cash Tax Rate</v>
      </c>
      <c r="Q485" t="str">
        <f>Q484 &amp; " Year"</f>
        <v>Min Change in Cash Tax Rate Year</v>
      </c>
      <c r="R485" t="str">
        <f ca="1">IF(MATCH(R484,Q481:T481,0)=1,Q480,IF(MATCH(R484,Q481:T481,0)=2,R480,IF(MATCH(R484,Q481:T481,0)=3,S480,T480)))</f>
        <v>15-16</v>
      </c>
      <c r="X485" t="str">
        <f>X484 &amp; " Year"</f>
        <v>Max Op WC / Sales Year</v>
      </c>
      <c r="Y485">
        <f ca="1">VALUE(X482)+MATCH(Y484,X483:AB483,0)-1</f>
        <v>2016</v>
      </c>
      <c r="AK485" t="str">
        <f>"Max " &amp; AK482</f>
        <v>Max Change in Op WC / Sales</v>
      </c>
      <c r="AL485">
        <f ca="1">MAX(AK484:AN484)</f>
        <v>7.4261442247589293E-2</v>
      </c>
    </row>
    <row r="486" spans="4:40" x14ac:dyDescent="0.3">
      <c r="D486" t="str">
        <f>"Correlation with Dep"</f>
        <v>Correlation with Dep</v>
      </c>
      <c r="E486">
        <f ca="1">CORREL(D477:H477,X471:AB471)</f>
        <v>-0.93120019527999065</v>
      </c>
      <c r="J486" t="str">
        <f>D476</f>
        <v>2012</v>
      </c>
      <c r="K486" t="str">
        <f>E476</f>
        <v>2013</v>
      </c>
      <c r="L486" t="str">
        <f>F476</f>
        <v>2014</v>
      </c>
      <c r="M486" t="str">
        <f>G476</f>
        <v>2015</v>
      </c>
      <c r="N486" t="str">
        <f>H476</f>
        <v>2016</v>
      </c>
      <c r="X486" t="str">
        <f>"Min " &amp; X481</f>
        <v>Min Op WC / Sales</v>
      </c>
      <c r="Y486">
        <f ca="1">MIN(X483:AB483)</f>
        <v>0.30861569392702976</v>
      </c>
      <c r="AK486" t="str">
        <f>AK485 &amp; " Year"</f>
        <v>Max Change in Op WC / Sales Year</v>
      </c>
      <c r="AL486" t="str">
        <f ca="1">IF(MATCH(AL485,AK484:AN484,0)=1,AK483,IF(MATCH(AL485,AK484:AN484,0)=2,AL483,IF(MATCH(AL485,AK484:AN484,0)=3,AM483,AN483)))</f>
        <v>15-16</v>
      </c>
    </row>
    <row r="487" spans="4:40" x14ac:dyDescent="0.3">
      <c r="D487" t="str">
        <f>"Correlation with Op WC"</f>
        <v>Correlation with Op WC</v>
      </c>
      <c r="E487">
        <f ca="1">CORREL(D477:H477,X483:AB483)</f>
        <v>-0.33517964931865701</v>
      </c>
      <c r="J487">
        <f ca="1">(INDIRECT("J" &amp; MATCH("Income Tax",B145:B403,0) +144))/(INDIRECT("J" &amp; MATCH("Pretax Income",B145:B403,0) +144))</f>
        <v>0.26245210727969348</v>
      </c>
      <c r="K487">
        <f ca="1">(INDIRECT("K" &amp; MATCH("Income Tax",B145:B403,0) +144))/(INDIRECT("K" &amp; MATCH("Pretax Income",B145:B403,0) +144))</f>
        <v>0.26420986883198</v>
      </c>
      <c r="L487">
        <f ca="1">(INDIRECT("L" &amp; MATCH("Income Tax",B145:B403,0) +144))/(INDIRECT("L" &amp; MATCH("Pretax Income",B145:B403,0) +144))</f>
        <v>0.20360417325324059</v>
      </c>
      <c r="M487">
        <f ca="1">(INDIRECT("M" &amp; MATCH("Income Tax",B145:B403,0) +144))/(INDIRECT("M" &amp; MATCH("Pretax Income",B145:B403,0) +144))</f>
        <v>0.56041016495764606</v>
      </c>
      <c r="N487">
        <f ca="1">(INDIRECT("N" &amp; MATCH("Income Tax",B145:B403,0) +144))/(INDIRECT("N" &amp; MATCH("Pretax Income",B145:B403,0) +144))</f>
        <v>-4.3491735537190081E-2</v>
      </c>
      <c r="X487" t="str">
        <f>X486 &amp; " Year"</f>
        <v>Min Op WC / Sales Year</v>
      </c>
      <c r="Y487">
        <f ca="1">VALUE(X482)+MATCH(Y486,X483:AB483,0)-1</f>
        <v>2012</v>
      </c>
      <c r="AK487" t="str">
        <f>"Min " &amp; AK482</f>
        <v>Min Change in Op WC / Sales</v>
      </c>
      <c r="AL487">
        <f ca="1">MIN(AK484:AN484)</f>
        <v>-2.6997977665146278E-2</v>
      </c>
    </row>
    <row r="488" spans="4:40" x14ac:dyDescent="0.3">
      <c r="D488" t="str">
        <f>"Correlation with PPE"</f>
        <v>Correlation with PPE</v>
      </c>
      <c r="E488">
        <f ca="1">CORREL(D477:H477,X491:AB491)</f>
        <v>-0.84477165307526914</v>
      </c>
      <c r="J488" t="str">
        <f>"Max " &amp; J485</f>
        <v>Max Cash Tax Rate</v>
      </c>
      <c r="K488">
        <f ca="1">MAX(J487:N487)</f>
        <v>0.56041016495764606</v>
      </c>
      <c r="Q488" t="str">
        <f>"Invested Capital / Sales"</f>
        <v>Invested Capital / Sales</v>
      </c>
      <c r="AK488" t="str">
        <f>AK487 &amp; " Year"</f>
        <v>Min Change in Op WC / Sales Year</v>
      </c>
      <c r="AL488" t="str">
        <f ca="1">IF(MATCH(AL487,AK484:AN484,0)=1,AK483,IF(MATCH(AL487,AK484:AN484,0)=2,AL483,IF(MATCH(AL487,AK484:AN484,0)=3,AM483,AN483)))</f>
        <v>14-15</v>
      </c>
    </row>
    <row r="489" spans="4:40" x14ac:dyDescent="0.3">
      <c r="D489" t="str">
        <f>"Correlation with Intangibles"</f>
        <v>Correlation with Intangibles</v>
      </c>
      <c r="E489">
        <f ca="1">CORREL(D477:H477,X499:AB499)</f>
        <v>-0.8434562388000133</v>
      </c>
      <c r="J489" t="str">
        <f>J488 &amp; " Year"</f>
        <v>Max Cash Tax Rate Year</v>
      </c>
      <c r="K489">
        <f ca="1">VALUE(J486)+MATCH(K488,J487:N487,0)-1</f>
        <v>2015</v>
      </c>
      <c r="Q489" t="str">
        <f>D476</f>
        <v>2012</v>
      </c>
      <c r="R489" t="str">
        <f>E476</f>
        <v>2013</v>
      </c>
      <c r="S489" t="str">
        <f>F476</f>
        <v>2014</v>
      </c>
      <c r="T489" t="str">
        <f>G476</f>
        <v>2015</v>
      </c>
      <c r="U489" t="str">
        <f>H476</f>
        <v>2016</v>
      </c>
      <c r="X489" t="str">
        <f>"PPE / Sales"</f>
        <v>PPE / Sales</v>
      </c>
    </row>
    <row r="490" spans="4:40" x14ac:dyDescent="0.3">
      <c r="J490" t="str">
        <f>"Min " &amp; J485</f>
        <v>Min Cash Tax Rate</v>
      </c>
      <c r="K490">
        <f ca="1">MIN(J487:N487)</f>
        <v>-4.3491735537190081E-2</v>
      </c>
      <c r="Q490">
        <f ca="1">SUM(X483,X491,X499)</f>
        <v>0.57884217373307312</v>
      </c>
      <c r="R490">
        <f ca="1">SUM(Y483,Y491,Y499)</f>
        <v>0.62090672759702037</v>
      </c>
      <c r="S490">
        <f ca="1">SUM(Z483,Z491,Z499)</f>
        <v>0.61331035712163529</v>
      </c>
      <c r="T490">
        <f ca="1">SUM(AA483,AA491,AA499)</f>
        <v>0.73710515489051764</v>
      </c>
      <c r="U490">
        <f ca="1">SUM(AB483,AB491,AB499)</f>
        <v>1.1772778097787415</v>
      </c>
      <c r="X490" t="str">
        <f>D476</f>
        <v>2012</v>
      </c>
      <c r="Y490" t="str">
        <f>E476</f>
        <v>2013</v>
      </c>
      <c r="Z490" t="str">
        <f>F476</f>
        <v>2014</v>
      </c>
      <c r="AA490" t="str">
        <f>G476</f>
        <v>2015</v>
      </c>
      <c r="AB490" t="str">
        <f>H476</f>
        <v>2016</v>
      </c>
      <c r="AE490" t="str">
        <f>"Change in Invested Capital / Sales"</f>
        <v>Change in Invested Capital / Sales</v>
      </c>
      <c r="AK490" t="str">
        <f>"Change in PPE / Sales"</f>
        <v>Change in PPE / Sales</v>
      </c>
    </row>
    <row r="491" spans="4:40" x14ac:dyDescent="0.3">
      <c r="J491" t="str">
        <f>J490 &amp; " Year"</f>
        <v>Min Cash Tax Rate Year</v>
      </c>
      <c r="K491">
        <f ca="1">VALUE(J486)+MATCH(K490,J487:N487,0)-1</f>
        <v>2016</v>
      </c>
      <c r="Q491" t="str">
        <f>"Max " &amp; Q488</f>
        <v>Max Invested Capital / Sales</v>
      </c>
      <c r="R491">
        <f ca="1">MAX(Q490:U490)</f>
        <v>1.1772778097787415</v>
      </c>
      <c r="S491" t="str">
        <f>"Op WC Effect on Max"</f>
        <v>Op WC Effect on Max</v>
      </c>
      <c r="T491" t="str">
        <f ca="1">IF(R492=Y485,"Max IC in same year as Max Op WC","Inconclusive Effect")</f>
        <v>Max IC in same year as Max Op WC</v>
      </c>
      <c r="U491" t="str">
        <f>"Correlation with Op WC"</f>
        <v>Correlation with Op WC</v>
      </c>
      <c r="V491">
        <f ca="1">CORREL(Q490:U490,X483:AB483)</f>
        <v>0.803072617541568</v>
      </c>
      <c r="X491">
        <f ca="1">(INDIRECT("J" &amp; MATCH("Net Property, Plant &amp; Equipment",B145:B403,0) +144))/(INDIRECT("J" &amp; MATCH("Sales/Revenue",B145:B403,0) +144))</f>
        <v>0.12524392407308851</v>
      </c>
      <c r="Y491">
        <f ca="1">(INDIRECT("K" &amp; MATCH("Net Property, Plant &amp; Equipment",B145:B403,0) +144))/(INDIRECT("K" &amp; MATCH("Sales/Revenue",B145:B403,0) +144))</f>
        <v>0.12557559366293236</v>
      </c>
      <c r="Z491">
        <f ca="1">(INDIRECT("L" &amp; MATCH("Net Property, Plant &amp; Equipment",B145:B403,0) +144))/(INDIRECT("L" &amp; MATCH("Sales/Revenue",B145:B403,0) +144))</f>
        <v>0.114338344524333</v>
      </c>
      <c r="AA491">
        <f ca="1">(INDIRECT("M" &amp; MATCH("Net Property, Plant &amp; Equipment",B145:B403,0) +144))/(INDIRECT("M" &amp; MATCH("Sales/Revenue",B145:B403,0) +144))</f>
        <v>0.13261310131500753</v>
      </c>
      <c r="AB491">
        <f ca="1">(INDIRECT("N" &amp; MATCH("Net Property, Plant &amp; Equipment",B145:B403,0) +144))/(INDIRECT("N" &amp; MATCH("Sales/Revenue",B145:B403,0) +144))</f>
        <v>0.16892555822857724</v>
      </c>
      <c r="AE491" t="str">
        <f>K476</f>
        <v>12-13</v>
      </c>
      <c r="AF491" t="str">
        <f>L476</f>
        <v>13-14</v>
      </c>
      <c r="AG491" t="str">
        <f>M476</f>
        <v>14-15</v>
      </c>
      <c r="AH491" t="str">
        <f>N476</f>
        <v>15-16</v>
      </c>
      <c r="AK491" t="str">
        <f>K476</f>
        <v>12-13</v>
      </c>
      <c r="AL491" t="str">
        <f>L476</f>
        <v>13-14</v>
      </c>
      <c r="AM491" t="str">
        <f>M476</f>
        <v>14-15</v>
      </c>
      <c r="AN491" t="str">
        <f>N476</f>
        <v>15-16</v>
      </c>
    </row>
    <row r="492" spans="4:40" x14ac:dyDescent="0.3">
      <c r="Q492" t="str">
        <f>Q491 &amp; " Year"</f>
        <v>Max Invested Capital / Sales Year</v>
      </c>
      <c r="R492">
        <f ca="1">VALUE(Q489)+MATCH(R491,Q490:U490,0)-1</f>
        <v>2016</v>
      </c>
      <c r="S492" t="str">
        <f>"PPE Effect on Max"</f>
        <v>PPE Effect on Max</v>
      </c>
      <c r="T492" t="str">
        <f ca="1">IF(R492=Y493,"Max IC in same year as Max PPE","Inconclusive Effect")</f>
        <v>Max IC in same year as Max PPE</v>
      </c>
      <c r="U492" t="str">
        <f>"Correlation with PPE"</f>
        <v>Correlation with PPE</v>
      </c>
      <c r="V492">
        <f ca="1">CORREL(Q490:U490,X491:AB491)</f>
        <v>0.96999418733064391</v>
      </c>
      <c r="X492" t="str">
        <f>"Max " &amp; X489</f>
        <v>Max PPE / Sales</v>
      </c>
      <c r="Y492">
        <f ca="1">MAX(X491:AB491)</f>
        <v>0.16892555822857724</v>
      </c>
      <c r="AE492">
        <f ca="1">R490-Q490</f>
        <v>4.2064553863947252E-2</v>
      </c>
      <c r="AF492">
        <f ca="1">S490-R490</f>
        <v>-7.5963704753850836E-3</v>
      </c>
      <c r="AG492">
        <f ca="1">T490-S490</f>
        <v>0.12379479776888236</v>
      </c>
      <c r="AH492">
        <f ca="1">U490-T490</f>
        <v>0.44017265488822388</v>
      </c>
      <c r="AK492">
        <f ca="1">Y491-X491</f>
        <v>3.3166958984384709E-4</v>
      </c>
      <c r="AL492">
        <f ca="1">Z491-Y491</f>
        <v>-1.1237249138599359E-2</v>
      </c>
      <c r="AM492">
        <f ca="1">AA491-Z491</f>
        <v>1.8274756790674529E-2</v>
      </c>
      <c r="AN492">
        <f ca="1">AB491-AA491</f>
        <v>3.6312456913569713E-2</v>
      </c>
    </row>
    <row r="493" spans="4:40" x14ac:dyDescent="0.3">
      <c r="Q493" t="str">
        <f>"Min " &amp; Q488</f>
        <v>Min Invested Capital / Sales</v>
      </c>
      <c r="R493">
        <f ca="1">MIN(Q490:U490)</f>
        <v>0.57884217373307312</v>
      </c>
      <c r="S493" t="str">
        <f>"Intangibles Effect on Max"</f>
        <v>Intangibles Effect on Max</v>
      </c>
      <c r="T493" t="str">
        <f ca="1">IF(R492=Y501,"Max IC in same year as Max Intangibles","Inconclusive Effect")</f>
        <v>Max IC in same year as Max Intangibles</v>
      </c>
      <c r="U493" t="str">
        <f>"Correlation with Intangibles"</f>
        <v>Correlation with Intangibles</v>
      </c>
      <c r="V493">
        <f ca="1">CORREL(Q490:U490,X499:AB499)</f>
        <v>0.99360978196643257</v>
      </c>
      <c r="X493" t="str">
        <f>X492 &amp; " Year"</f>
        <v>Max PPE / Sales Year</v>
      </c>
      <c r="Y493">
        <f ca="1">VALUE(X490)+MATCH(Y492,X491:AB491,0)-1</f>
        <v>2016</v>
      </c>
      <c r="AE493" t="str">
        <f>"Max " &amp; AE490</f>
        <v>Max Change in Invested Capital / Sales</v>
      </c>
      <c r="AF493">
        <f ca="1">MAX(AE492:AH492)</f>
        <v>0.44017265488822388</v>
      </c>
      <c r="AK493" t="str">
        <f>"Max " &amp; AK490</f>
        <v>Max Change in PPE / Sales</v>
      </c>
      <c r="AL493">
        <f ca="1">MAX(AK492:AN492)</f>
        <v>3.6312456913569713E-2</v>
      </c>
    </row>
    <row r="494" spans="4:40" x14ac:dyDescent="0.3">
      <c r="Q494" t="str">
        <f>Q493 &amp; " Year"</f>
        <v>Min Invested Capital / Sales Year</v>
      </c>
      <c r="R494">
        <f ca="1">VALUE(Q489)+MATCH(R493,Q490:U490,0)-1</f>
        <v>2012</v>
      </c>
      <c r="S494" t="str">
        <f>"Op WC Effect on Min"</f>
        <v>Op WC Effect on Min</v>
      </c>
      <c r="T494" t="str">
        <f ca="1">IF(R494=Y487,"Min IC in same year as Min Op WC","Inconclusive Effect")</f>
        <v>Min IC in same year as Min Op WC</v>
      </c>
      <c r="X494" t="str">
        <f>"Min " &amp; X489</f>
        <v>Min PPE / Sales</v>
      </c>
      <c r="Y494">
        <f ca="1">MIN(X491:AB491)</f>
        <v>0.114338344524333</v>
      </c>
      <c r="AE494" t="str">
        <f>AE493 &amp; " Year"</f>
        <v>Max Change in Invested Capital / Sales Year</v>
      </c>
      <c r="AF494" t="str">
        <f ca="1">IF(MATCH(AF493,AE492:AH492,0)=1,AE491,IF(MATCH(AF493,AE492:AH492,0)=2,AF491,IF(MATCH(AF493,AE492:AH492,0)=3,AG491,AH491)))</f>
        <v>15-16</v>
      </c>
      <c r="AK494" t="str">
        <f>AK493 &amp; " Year"</f>
        <v>Max Change in PPE / Sales Year</v>
      </c>
      <c r="AL494" t="str">
        <f ca="1">IF(MATCH(AL493,AK492:AN492,0)=1,AK491,IF(MATCH(AL493,AK492:AN492,0)=2,AL491,IF(MATCH(AL493,AK492:AN492,0)=3,AM491,AN491)))</f>
        <v>15-16</v>
      </c>
    </row>
    <row r="495" spans="4:40" x14ac:dyDescent="0.3">
      <c r="S495" t="str">
        <f>"PPE Effect on Min"</f>
        <v>PPE Effect on Min</v>
      </c>
      <c r="T495" t="str">
        <f ca="1">IF(R494=Y495,"Min IC in same year as Min PPE","Inconclusive Effect")</f>
        <v>Inconclusive Effect</v>
      </c>
      <c r="X495" t="str">
        <f>X494 &amp; " Year"</f>
        <v>Min PPE / Sales Year</v>
      </c>
      <c r="Y495">
        <f ca="1">VALUE(X490)+MATCH(Y494,X491:AB491,0)-1</f>
        <v>2014</v>
      </c>
      <c r="AE495" t="str">
        <f>"Min " &amp; AE490</f>
        <v>Min Change in Invested Capital / Sales</v>
      </c>
      <c r="AF495">
        <f ca="1">MIN(AE492:AH492)</f>
        <v>-7.5963704753850836E-3</v>
      </c>
      <c r="AK495" t="str">
        <f>"Min " &amp; AK490</f>
        <v>Min Change in PPE / Sales</v>
      </c>
      <c r="AL495">
        <f ca="1">MIN(AK492:AN492)</f>
        <v>-1.1237249138599359E-2</v>
      </c>
    </row>
    <row r="496" spans="4:40" x14ac:dyDescent="0.3">
      <c r="S496" t="str">
        <f>"Intangibles Effect on Min"</f>
        <v>Intangibles Effect on Min</v>
      </c>
      <c r="T496" t="str">
        <f ca="1">IF(R494=Y503,"Min IC in same year as Min Intangibles","Inconclusive Effect")</f>
        <v>Inconclusive Effect</v>
      </c>
      <c r="AE496" t="str">
        <f>AE495 &amp; " Year"</f>
        <v>Min Change in Invested Capital / Sales Year</v>
      </c>
      <c r="AF496" t="str">
        <f ca="1">IF(MATCH(AF495,AE492:AH492,0)=1,AE491,IF(MATCH(AF495,AE492:AH492,0)=2,AF491,IF(MATCH(AF495,AE492:AH492,0)=3,AG491,AH491)))</f>
        <v>13-14</v>
      </c>
      <c r="AK496" t="str">
        <f>AK495 &amp; " Year"</f>
        <v>Min Change in PPE / Sales Year</v>
      </c>
      <c r="AL496" t="str">
        <f ca="1">IF(MATCH(AL495,AK492:AN492,0)=1,AK491,IF(MATCH(AL495,AK492:AN492,0)=2,AL491,IF(MATCH(AL495,AK492:AN492,0)=3,AM491,AN491)))</f>
        <v>13-14</v>
      </c>
    </row>
    <row r="497" spans="3:40" x14ac:dyDescent="0.3">
      <c r="X497" t="str">
        <f>"Intangibles / Sales"</f>
        <v>Intangibles / Sales</v>
      </c>
    </row>
    <row r="498" spans="3:40" x14ac:dyDescent="0.3">
      <c r="X498" t="str">
        <f>D476</f>
        <v>2012</v>
      </c>
      <c r="Y498" t="str">
        <f>E476</f>
        <v>2013</v>
      </c>
      <c r="Z498" t="str">
        <f>F476</f>
        <v>2014</v>
      </c>
      <c r="AA498" t="str">
        <f>G476</f>
        <v>2015</v>
      </c>
      <c r="AB498" t="str">
        <f>H476</f>
        <v>2016</v>
      </c>
      <c r="AK498" t="str">
        <f>"Change in Intagibles / Sales"</f>
        <v>Change in Intagibles / Sales</v>
      </c>
    </row>
    <row r="499" spans="3:40" x14ac:dyDescent="0.3">
      <c r="X499">
        <f ca="1">(INDIRECT("J" &amp; MATCH("Intangible Assets",B145:B403,0) +144))/(INDIRECT("J" &amp; MATCH("Sales/Revenue",B145:B403,0) +144))</f>
        <v>0.14498255573295488</v>
      </c>
      <c r="Y499">
        <f ca="1">(INDIRECT("K" &amp; MATCH("Intangible Assets",B145:B403,0) +144))/(INDIRECT("K" &amp; MATCH("Sales/Revenue",B145:B403,0) +144))</f>
        <v>0.13001713666196477</v>
      </c>
      <c r="Z499">
        <f ca="1">(INDIRECT("L" &amp; MATCH("Intangible Assets",B145:B403,0) +144))/(INDIRECT("L" &amp; MATCH("Sales/Revenue",B145:B403,0) +144))</f>
        <v>0.11803434547507279</v>
      </c>
      <c r="AA499">
        <f ca="1">(INDIRECT("M" &amp; MATCH("Intangible Assets",B145:B403,0) +144))/(INDIRECT("M" &amp; MATCH("Sales/Revenue",B145:B403,0) +144))</f>
        <v>0.25055236411842685</v>
      </c>
      <c r="AB499">
        <f ca="1">(INDIRECT("N" &amp; MATCH("Intangible Assets",B145:B403,0) +144))/(INDIRECT("N" &amp; MATCH("Sales/Revenue",B145:B403,0) +144))</f>
        <v>0.58015111984549184</v>
      </c>
      <c r="AK499" t="str">
        <f>K476</f>
        <v>12-13</v>
      </c>
      <c r="AL499" t="str">
        <f>L476</f>
        <v>13-14</v>
      </c>
      <c r="AM499" t="str">
        <f>M476</f>
        <v>14-15</v>
      </c>
      <c r="AN499" t="str">
        <f>N476</f>
        <v>15-16</v>
      </c>
    </row>
    <row r="500" spans="3:40" x14ac:dyDescent="0.3">
      <c r="X500" t="str">
        <f>"Max " &amp; X497</f>
        <v>Max Intangibles / Sales</v>
      </c>
      <c r="Y500">
        <f ca="1">MAX(X499:AB499)</f>
        <v>0.58015111984549184</v>
      </c>
      <c r="AK500">
        <f ca="1">Y499-X499</f>
        <v>-1.496541907099011E-2</v>
      </c>
      <c r="AL500">
        <f ca="1">Z499-Y499</f>
        <v>-1.1982791186891981E-2</v>
      </c>
      <c r="AM500">
        <f ca="1">AA499-Z499</f>
        <v>0.13251801864335405</v>
      </c>
      <c r="AN500">
        <f ca="1">AB499-AA499</f>
        <v>0.32959875572706498</v>
      </c>
    </row>
    <row r="501" spans="3:40" x14ac:dyDescent="0.3">
      <c r="X501" t="str">
        <f>X500 &amp; " Year"</f>
        <v>Max Intangibles / Sales Year</v>
      </c>
      <c r="Y501">
        <f ca="1">VALUE(X498)+MATCH(Y500,X499:AB499,0)-1</f>
        <v>2016</v>
      </c>
      <c r="AK501" t="str">
        <f>"Max " &amp; AK498</f>
        <v>Max Change in Intagibles / Sales</v>
      </c>
      <c r="AL501">
        <f ca="1">MAX(AK500:AN500)</f>
        <v>0.32959875572706498</v>
      </c>
    </row>
    <row r="502" spans="3:40" x14ac:dyDescent="0.3">
      <c r="X502" t="str">
        <f>"Min " &amp; X497</f>
        <v>Min Intangibles / Sales</v>
      </c>
      <c r="Y502">
        <f ca="1">MIN(X499:AB499)</f>
        <v>0.11803434547507279</v>
      </c>
      <c r="AK502" t="str">
        <f>AK501 &amp; " Year"</f>
        <v>Max Change in Intagibles / Sales Year</v>
      </c>
      <c r="AL502" t="str">
        <f ca="1">IF(MATCH(AL501,AK500:AN500,0)=1,AK499,IF(MATCH(AL501,AK500:AN500,0)=2,AL499,IF(MATCH(AL501,AK500:AN500,0)=3,AM499,AN499)))</f>
        <v>15-16</v>
      </c>
    </row>
    <row r="503" spans="3:40" x14ac:dyDescent="0.3">
      <c r="X503" t="str">
        <f>X502 &amp; " Year"</f>
        <v>Min Intangibles / Sales Year</v>
      </c>
      <c r="Y503">
        <f ca="1">VALUE(X498)+MATCH(Y502,X499:AB499,0)-1</f>
        <v>2014</v>
      </c>
      <c r="AK503" t="str">
        <f>"Min " &amp; AK498</f>
        <v>Min Change in Intagibles / Sales</v>
      </c>
      <c r="AL503">
        <f ca="1">MIN(AK500:AN500)</f>
        <v>-1.496541907099011E-2</v>
      </c>
    </row>
    <row r="504" spans="3:40" x14ac:dyDescent="0.3">
      <c r="AK504" t="str">
        <f>AK503 &amp; " Year"</f>
        <v>Min Change in Intagibles / Sales Year</v>
      </c>
      <c r="AL504" t="str">
        <f ca="1">IF(MATCH(AL503,AK500:AN500,0)=1,AK499,IF(MATCH(AL503,AK500:AN500,0)=2,AL499,IF(MATCH(AL503,AK500:AN500,0)=3,AM499,AN499)))</f>
        <v>12-13</v>
      </c>
    </row>
    <row r="507" spans="3:40" x14ac:dyDescent="0.3">
      <c r="D507" t="str">
        <f t="shared" ref="D507:H508" si="155">D476</f>
        <v>2012</v>
      </c>
      <c r="E507" t="str">
        <f t="shared" si="155"/>
        <v>2013</v>
      </c>
      <c r="F507" t="str">
        <f t="shared" si="155"/>
        <v>2014</v>
      </c>
      <c r="G507" t="str">
        <f t="shared" si="155"/>
        <v>2015</v>
      </c>
      <c r="H507" t="str">
        <f t="shared" si="155"/>
        <v>2016</v>
      </c>
      <c r="I507" t="str">
        <f>"Average"</f>
        <v>Average</v>
      </c>
      <c r="J507" t="str">
        <f>"SD"</f>
        <v>SD</v>
      </c>
      <c r="K507" t="str">
        <f>D507</f>
        <v>2012</v>
      </c>
      <c r="L507" t="str">
        <f>E507</f>
        <v>2013</v>
      </c>
      <c r="M507" t="str">
        <f>F507</f>
        <v>2014</v>
      </c>
      <c r="N507" t="str">
        <f>G507</f>
        <v>2015</v>
      </c>
      <c r="O507" t="str">
        <f>H507</f>
        <v>2016</v>
      </c>
      <c r="P507" t="str">
        <f>"Max z Year"</f>
        <v>Max z Year</v>
      </c>
    </row>
    <row r="508" spans="3:40" x14ac:dyDescent="0.3">
      <c r="C508" t="str">
        <f>D475</f>
        <v>EOY ROIC</v>
      </c>
      <c r="D508">
        <f t="shared" ca="1" si="155"/>
        <v>6.454146830093721E-2</v>
      </c>
      <c r="E508">
        <f t="shared" ca="1" si="155"/>
        <v>9.1493711064657687E-2</v>
      </c>
      <c r="F508">
        <f t="shared" ca="1" si="155"/>
        <v>0.10285384124764373</v>
      </c>
      <c r="G508">
        <f t="shared" ca="1" si="155"/>
        <v>2.5880676607281258E-2</v>
      </c>
      <c r="H508">
        <f t="shared" ca="1" si="155"/>
        <v>9.7306467783580559E-3</v>
      </c>
      <c r="I508">
        <f t="shared" ref="I508:I518" ca="1" si="156">AVERAGE(D508:H508)</f>
        <v>5.8900068799775593E-2</v>
      </c>
      <c r="J508">
        <f t="shared" ref="J508:J518" ca="1" si="157">STDEV(D508:H508)</f>
        <v>4.0416634383332199E-2</v>
      </c>
      <c r="K508">
        <f t="shared" ref="K508:K518" ca="1" si="158">(D508-I508)/J508</f>
        <v>0.13958113007767237</v>
      </c>
      <c r="L508">
        <f t="shared" ref="L508:L518" ca="1" si="159">(E508-I508)/J508</f>
        <v>0.80644127751329286</v>
      </c>
      <c r="M508">
        <f t="shared" ref="M508:M518" ca="1" si="160">(F508-I508)/J508</f>
        <v>1.0875168879968553</v>
      </c>
      <c r="N508">
        <f t="shared" ref="N508:N518" ca="1" si="161">(G508-I508)/J508</f>
        <v>-0.81697530475500246</v>
      </c>
      <c r="O508">
        <f t="shared" ref="O508:O518" ca="1" si="162">(H508-I508)/J508</f>
        <v>-1.2165639908328187</v>
      </c>
      <c r="P508">
        <f ca="1">K507 + MATCH(IF(MAX(MAX(K508:O508),ABS(MIN(K508:O508)))=ABS(MIN(K508:O508)), MIN(K508:O508),MAX(K508:O508)),K508:O508,0) - 1</f>
        <v>2016</v>
      </c>
    </row>
    <row r="509" spans="3:40" x14ac:dyDescent="0.3">
      <c r="C509" t="str">
        <f>J465</f>
        <v>EOY Pretax ROIC</v>
      </c>
      <c r="D509">
        <f ca="1">J467</f>
        <v>8.7508172605426551E-2</v>
      </c>
      <c r="E509">
        <f ca="1">K467</f>
        <v>0.124347564868011</v>
      </c>
      <c r="F509">
        <f ca="1">L467</f>
        <v>0.1291491464336233</v>
      </c>
      <c r="G509">
        <f ca="1">M467</f>
        <v>5.8874602058957268E-2</v>
      </c>
      <c r="H509">
        <f ca="1">N467</f>
        <v>9.3250827457188393E-3</v>
      </c>
      <c r="I509">
        <f t="shared" ca="1" si="156"/>
        <v>8.1840913742347393E-2</v>
      </c>
      <c r="J509">
        <f t="shared" ca="1" si="157"/>
        <v>4.9656317097581198E-2</v>
      </c>
      <c r="K509">
        <f t="shared" ca="1" si="158"/>
        <v>0.11412966555578918</v>
      </c>
      <c r="L509">
        <f t="shared" ca="1" si="159"/>
        <v>0.8560169905901891</v>
      </c>
      <c r="M509">
        <f t="shared" ca="1" si="160"/>
        <v>0.95271327912436599</v>
      </c>
      <c r="N509">
        <f t="shared" ca="1" si="161"/>
        <v>-0.4625053372012729</v>
      </c>
      <c r="O509">
        <f t="shared" ca="1" si="162"/>
        <v>-1.4603545980690715</v>
      </c>
      <c r="P509">
        <f ca="1">K507 + MATCH(IF(MAX(MAX(K509:O509),ABS(MIN(K509:O509)))=ABS(MIN(K509:O509)), MIN(K509:O509),MAX(K509:O509)),K509:O509,0) - 1</f>
        <v>2016</v>
      </c>
    </row>
    <row r="510" spans="3:40" x14ac:dyDescent="0.3">
      <c r="C510" t="str">
        <f>J485</f>
        <v>Cash Tax Rate</v>
      </c>
      <c r="D510">
        <f ca="1">J487</f>
        <v>0.26245210727969348</v>
      </c>
      <c r="E510">
        <f ca="1">K487</f>
        <v>0.26420986883198</v>
      </c>
      <c r="F510">
        <f ca="1">L487</f>
        <v>0.20360417325324059</v>
      </c>
      <c r="G510">
        <f ca="1">M487</f>
        <v>0.56041016495764606</v>
      </c>
      <c r="H510">
        <f ca="1">N487</f>
        <v>-4.3491735537190081E-2</v>
      </c>
      <c r="I510">
        <f t="shared" ca="1" si="156"/>
        <v>0.24943691575707402</v>
      </c>
      <c r="J510">
        <f t="shared" ca="1" si="157"/>
        <v>0.2150580340895128</v>
      </c>
      <c r="K510">
        <f t="shared" ca="1" si="158"/>
        <v>6.0519438753923481E-2</v>
      </c>
      <c r="L510">
        <f t="shared" ca="1" si="159"/>
        <v>6.8692867659885165E-2</v>
      </c>
      <c r="M510">
        <f t="shared" ca="1" si="160"/>
        <v>-0.21311802043515676</v>
      </c>
      <c r="N510">
        <f t="shared" ca="1" si="161"/>
        <v>1.4459968934298766</v>
      </c>
      <c r="O510">
        <f t="shared" ca="1" si="162"/>
        <v>-1.3620911794085289</v>
      </c>
      <c r="P510">
        <f ca="1">K507 + MATCH(IF(MAX(MAX(K510:O510),ABS(MIN(K510:O510)))=ABS(MIN(K510:O510)), MIN(K510:O510),MAX(K510:O510)),K510:O510,0) - 1</f>
        <v>2015</v>
      </c>
    </row>
    <row r="511" spans="3:40" x14ac:dyDescent="0.3">
      <c r="C511" t="str">
        <f>Q460</f>
        <v>Operating Margin</v>
      </c>
      <c r="D511">
        <f ca="1">Q462</f>
        <v>5.0653420850334065E-2</v>
      </c>
      <c r="E511">
        <f ca="1">R462</f>
        <v>7.7208239586854924E-2</v>
      </c>
      <c r="F511">
        <f ca="1">S462</f>
        <v>7.920850912115987E-2</v>
      </c>
      <c r="G511">
        <f ca="1">T462</f>
        <v>4.339677266978529E-2</v>
      </c>
      <c r="H511">
        <f ca="1">U462</f>
        <v>1.097821299088541E-2</v>
      </c>
      <c r="I511">
        <f t="shared" ca="1" si="156"/>
        <v>5.2289031043803912E-2</v>
      </c>
      <c r="J511">
        <f t="shared" ca="1" si="157"/>
        <v>2.7990875398359451E-2</v>
      </c>
      <c r="K511">
        <f t="shared" ca="1" si="158"/>
        <v>-5.843369205829519E-2</v>
      </c>
      <c r="L511">
        <f t="shared" ca="1" si="159"/>
        <v>0.89026185099275357</v>
      </c>
      <c r="M511">
        <f t="shared" ca="1" si="160"/>
        <v>0.96172333641747099</v>
      </c>
      <c r="N511">
        <f t="shared" ca="1" si="161"/>
        <v>-0.31768418270118831</v>
      </c>
      <c r="O511">
        <f t="shared" ca="1" si="162"/>
        <v>-1.4758673126507409</v>
      </c>
      <c r="P511">
        <f ca="1">K507 + MATCH(IF(MAX(MAX(K511:O511),ABS(MIN(K511:O511)))=ABS(MIN(K511:O511)), MIN(K511:O511),MAX(K511:O511)),K511:O511,0) - 1</f>
        <v>2016</v>
      </c>
    </row>
    <row r="512" spans="3:40" x14ac:dyDescent="0.3">
      <c r="C512" t="str">
        <f>Q488</f>
        <v>Invested Capital / Sales</v>
      </c>
      <c r="D512">
        <f ca="1">Q490</f>
        <v>0.57884217373307312</v>
      </c>
      <c r="E512">
        <f ca="1">R490</f>
        <v>0.62090672759702037</v>
      </c>
      <c r="F512">
        <f ca="1">S490</f>
        <v>0.61331035712163529</v>
      </c>
      <c r="G512">
        <f ca="1">T490</f>
        <v>0.73710515489051764</v>
      </c>
      <c r="H512">
        <f ca="1">U490</f>
        <v>1.1772778097787415</v>
      </c>
      <c r="I512">
        <f t="shared" ca="1" si="156"/>
        <v>0.74548844462419761</v>
      </c>
      <c r="J512">
        <f t="shared" ca="1" si="157"/>
        <v>0.24863374974172139</v>
      </c>
      <c r="K512">
        <f t="shared" ca="1" si="158"/>
        <v>-0.6702479895196658</v>
      </c>
      <c r="L512">
        <f t="shared" ca="1" si="159"/>
        <v>-0.50106518988911064</v>
      </c>
      <c r="M512">
        <f t="shared" ca="1" si="160"/>
        <v>-0.53161764096735775</v>
      </c>
      <c r="N512">
        <f t="shared" ca="1" si="161"/>
        <v>-3.3717424695514808E-2</v>
      </c>
      <c r="O512">
        <f t="shared" ca="1" si="162"/>
        <v>1.7366482450716485</v>
      </c>
      <c r="P512">
        <f ca="1">K507 + MATCH(IF(MAX(MAX(K512:O512),ABS(MIN(K512:O512)))=ABS(MIN(K512:O512)), MIN(K512:O512),MAX(K512:O512)),K512:O512,0) - 1</f>
        <v>2016</v>
      </c>
    </row>
    <row r="513" spans="3:16" x14ac:dyDescent="0.3">
      <c r="C513" t="str">
        <f>X453</f>
        <v>Gross Margin</v>
      </c>
      <c r="D513">
        <f ca="1">X455</f>
        <v>0.28566022115782624</v>
      </c>
      <c r="E513">
        <f ca="1">Y455</f>
        <v>0.31271493687413299</v>
      </c>
      <c r="F513">
        <f ca="1">Z455</f>
        <v>0.31494444114326459</v>
      </c>
      <c r="G513">
        <f ca="1">AA455</f>
        <v>0.31803983116705015</v>
      </c>
      <c r="H513">
        <f ca="1">AB455</f>
        <v>0.3166740080642429</v>
      </c>
      <c r="I513">
        <f t="shared" ca="1" si="156"/>
        <v>0.30960668768130339</v>
      </c>
      <c r="J513">
        <f t="shared" ca="1" si="157"/>
        <v>1.353376343143068E-2</v>
      </c>
      <c r="K513">
        <f t="shared" ca="1" si="158"/>
        <v>-1.7693871069050986</v>
      </c>
      <c r="L513">
        <f t="shared" ca="1" si="159"/>
        <v>0.22966628673374218</v>
      </c>
      <c r="M513">
        <f t="shared" ca="1" si="160"/>
        <v>0.39440274606580206</v>
      </c>
      <c r="N513">
        <f t="shared" ca="1" si="161"/>
        <v>0.6231188780913447</v>
      </c>
      <c r="O513">
        <f t="shared" ca="1" si="162"/>
        <v>0.52219919601420151</v>
      </c>
      <c r="P513">
        <f ca="1">K507 + MATCH(IF(MAX(MAX(K513:O513),ABS(MIN(K513:O513)))=ABS(MIN(K513:O513)), MIN(K513:O513),MAX(K513:O513)),K513:O513,0) - 1</f>
        <v>2012</v>
      </c>
    </row>
    <row r="514" spans="3:16" x14ac:dyDescent="0.3">
      <c r="C514" t="str">
        <f>X461</f>
        <v>SGA / Sales</v>
      </c>
      <c r="D514">
        <f ca="1">X463</f>
        <v>0.21214594051209273</v>
      </c>
      <c r="E514">
        <f ca="1">Y463</f>
        <v>0.21327566710576934</v>
      </c>
      <c r="F514">
        <f ca="1">Z463</f>
        <v>0.21249034404896311</v>
      </c>
      <c r="G514">
        <f ca="1">AA463</f>
        <v>0.2381641702348119</v>
      </c>
      <c r="H514">
        <f ca="1">AB463</f>
        <v>0.26229119371124587</v>
      </c>
      <c r="I514">
        <f t="shared" ca="1" si="156"/>
        <v>0.22767346312257661</v>
      </c>
      <c r="J514">
        <f t="shared" ca="1" si="157"/>
        <v>2.228996298891385E-2</v>
      </c>
      <c r="K514">
        <f t="shared" ca="1" si="158"/>
        <v>-0.696615001927399</v>
      </c>
      <c r="L514">
        <f t="shared" ca="1" si="159"/>
        <v>-0.64593180455114108</v>
      </c>
      <c r="M514">
        <f t="shared" ca="1" si="160"/>
        <v>-0.68116394276495595</v>
      </c>
      <c r="N514">
        <f t="shared" ca="1" si="161"/>
        <v>0.47064713016584897</v>
      </c>
      <c r="O514">
        <f t="shared" ca="1" si="162"/>
        <v>1.5530636190776432</v>
      </c>
      <c r="P514">
        <f ca="1">K507 + MATCH(IF(MAX(MAX(K514:O514),ABS(MIN(K514:O514)))=ABS(MIN(K514:O514)), MIN(K514:O514),MAX(K514:O514)),K514:O514,0) - 1</f>
        <v>2016</v>
      </c>
    </row>
    <row r="515" spans="3:16" x14ac:dyDescent="0.3">
      <c r="C515" t="str">
        <f>X469</f>
        <v>Depreciation / Sales</v>
      </c>
      <c r="D515">
        <f ca="1">X471</f>
        <v>2.2860859795399445E-2</v>
      </c>
      <c r="E515">
        <f ca="1">Y471</f>
        <v>2.2231030181508727E-2</v>
      </c>
      <c r="F515">
        <f ca="1">Z471</f>
        <v>2.32455879731416E-2</v>
      </c>
      <c r="G515">
        <f ca="1">AA471</f>
        <v>3.6478888262452956E-2</v>
      </c>
      <c r="H515">
        <f ca="1">AB471</f>
        <v>4.3404601362111613E-2</v>
      </c>
      <c r="I515">
        <f t="shared" ca="1" si="156"/>
        <v>2.9644193514922867E-2</v>
      </c>
      <c r="J515">
        <f t="shared" ca="1" si="157"/>
        <v>9.7207591813924521E-3</v>
      </c>
      <c r="K515">
        <f t="shared" ca="1" si="158"/>
        <v>-0.6978193362209949</v>
      </c>
      <c r="L515">
        <f t="shared" ca="1" si="159"/>
        <v>-0.76261156099869976</v>
      </c>
      <c r="M515">
        <f t="shared" ca="1" si="160"/>
        <v>-0.65824133921859973</v>
      </c>
      <c r="N515">
        <f t="shared" ca="1" si="161"/>
        <v>0.70310297992085957</v>
      </c>
      <c r="O515">
        <f t="shared" ca="1" si="162"/>
        <v>1.4155692565174351</v>
      </c>
      <c r="P515">
        <f ca="1">K507 + MATCH(IF(MAX(MAX(K515:O515),ABS(MIN(K515:O515)))=ABS(MIN(K515:O515)), MIN(K515:O515),MAX(K515:O515)),K515:O515,0) - 1</f>
        <v>2016</v>
      </c>
    </row>
    <row r="516" spans="3:16" x14ac:dyDescent="0.3">
      <c r="C516" t="str">
        <f>X481</f>
        <v>Op WC / Sales</v>
      </c>
      <c r="D516">
        <f ca="1">X483</f>
        <v>0.30861569392702976</v>
      </c>
      <c r="E516">
        <f ca="1">Y483</f>
        <v>0.36531399727212321</v>
      </c>
      <c r="F516">
        <f ca="1">Z483</f>
        <v>0.38093766712222948</v>
      </c>
      <c r="G516">
        <f ca="1">AA483</f>
        <v>0.35393968945708321</v>
      </c>
      <c r="H516">
        <f ca="1">AB483</f>
        <v>0.4282011317046725</v>
      </c>
      <c r="I516">
        <f t="shared" ca="1" si="156"/>
        <v>0.36740163589662767</v>
      </c>
      <c r="J516">
        <f t="shared" ca="1" si="157"/>
        <v>4.3362345537555615E-2</v>
      </c>
      <c r="K516">
        <f t="shared" ca="1" si="158"/>
        <v>-1.3556910088889012</v>
      </c>
      <c r="L516">
        <f t="shared" ca="1" si="159"/>
        <v>-4.8144042916137268E-2</v>
      </c>
      <c r="M516">
        <f t="shared" ca="1" si="160"/>
        <v>0.31216095572778513</v>
      </c>
      <c r="N516">
        <f t="shared" ca="1" si="161"/>
        <v>-0.31045245068409011</v>
      </c>
      <c r="O516">
        <f t="shared" ca="1" si="162"/>
        <v>1.4021265467613395</v>
      </c>
      <c r="P516">
        <f ca="1">K507 + MATCH(IF(MAX(MAX(K516:O516),ABS(MIN(K516:O516)))=ABS(MIN(K516:O516)), MIN(K516:O516),MAX(K516:O516)),K516:O516,0) - 1</f>
        <v>2016</v>
      </c>
    </row>
    <row r="517" spans="3:16" x14ac:dyDescent="0.3">
      <c r="C517" t="str">
        <f>X489</f>
        <v>PPE / Sales</v>
      </c>
      <c r="D517">
        <f ca="1">X491</f>
        <v>0.12524392407308851</v>
      </c>
      <c r="E517">
        <f ca="1">Y491</f>
        <v>0.12557559366293236</v>
      </c>
      <c r="F517">
        <f ca="1">Z491</f>
        <v>0.114338344524333</v>
      </c>
      <c r="G517">
        <f ca="1">AA491</f>
        <v>0.13261310131500753</v>
      </c>
      <c r="H517">
        <f ca="1">AB491</f>
        <v>0.16892555822857724</v>
      </c>
      <c r="I517">
        <f t="shared" ca="1" si="156"/>
        <v>0.13333930436078772</v>
      </c>
      <c r="J517">
        <f t="shared" ca="1" si="157"/>
        <v>2.0938933208950111E-2</v>
      </c>
      <c r="K517">
        <f t="shared" ca="1" si="158"/>
        <v>-0.38661856394092381</v>
      </c>
      <c r="L517">
        <f t="shared" ca="1" si="159"/>
        <v>-0.37077871257246542</v>
      </c>
      <c r="M517">
        <f t="shared" ca="1" si="160"/>
        <v>-0.90744641318847019</v>
      </c>
      <c r="N517">
        <f t="shared" ca="1" si="161"/>
        <v>-3.4681950533649274E-2</v>
      </c>
      <c r="O517">
        <f t="shared" ca="1" si="162"/>
        <v>1.6995256402355101</v>
      </c>
      <c r="P517">
        <f ca="1">K507 + MATCH(IF(MAX(MAX(K517:O517),ABS(MIN(K517:O517)))=ABS(MIN(K517:O517)), MIN(K517:O517),MAX(K517:O517)),K517:O517,0) - 1</f>
        <v>2016</v>
      </c>
    </row>
    <row r="518" spans="3:16" x14ac:dyDescent="0.3">
      <c r="C518" t="str">
        <f>X497</f>
        <v>Intangibles / Sales</v>
      </c>
      <c r="D518">
        <f ca="1">X499</f>
        <v>0.14498255573295488</v>
      </c>
      <c r="E518">
        <f ca="1">Y499</f>
        <v>0.13001713666196477</v>
      </c>
      <c r="F518">
        <f ca="1">Z499</f>
        <v>0.11803434547507279</v>
      </c>
      <c r="G518">
        <f ca="1">AA499</f>
        <v>0.25055236411842685</v>
      </c>
      <c r="H518">
        <f ca="1">AB499</f>
        <v>0.58015111984549184</v>
      </c>
      <c r="I518">
        <f t="shared" ca="1" si="156"/>
        <v>0.24474750436678222</v>
      </c>
      <c r="J518">
        <f t="shared" ca="1" si="157"/>
        <v>0.19474445342476046</v>
      </c>
      <c r="K518">
        <f t="shared" ca="1" si="158"/>
        <v>-0.51228647018884954</v>
      </c>
      <c r="L518">
        <f t="shared" ca="1" si="159"/>
        <v>-0.58913291591713313</v>
      </c>
      <c r="M518">
        <f t="shared" ca="1" si="160"/>
        <v>-0.65066376301528439</v>
      </c>
      <c r="N518">
        <f t="shared" ca="1" si="161"/>
        <v>2.9807574231567727E-2</v>
      </c>
      <c r="O518">
        <f t="shared" ca="1" si="162"/>
        <v>1.7222755748896994</v>
      </c>
      <c r="P518">
        <f ca="1">K507 + MATCH(IF(MAX(MAX(K518:O518),ABS(MIN(K518:O518)))=ABS(MIN(K518:O518)), MIN(K518:O518),MAX(K518:O518)),K518:O518,0) - 1</f>
        <v>2016</v>
      </c>
    </row>
    <row r="519" spans="3:16" x14ac:dyDescent="0.3">
      <c r="I519" t="str">
        <f>"Max SD"</f>
        <v>Max SD</v>
      </c>
      <c r="J519">
        <f ca="1">MAX(J508:J518)</f>
        <v>0.24863374974172139</v>
      </c>
    </row>
    <row r="520" spans="3:16" x14ac:dyDescent="0.3">
      <c r="I520" t="str">
        <f>"Max SD Item"</f>
        <v>Max SD Item</v>
      </c>
      <c r="J520" t="str">
        <f ca="1">INDIRECT("C" &amp; 507 + MATCH(J519,J508:J518,0))</f>
        <v>Invested Capital / Sales</v>
      </c>
    </row>
    <row r="521" spans="3:16" x14ac:dyDescent="0.3">
      <c r="I521" t="str">
        <f>"Min SD"</f>
        <v>Min SD</v>
      </c>
      <c r="J521">
        <f ca="1">MIN(J508:J518)</f>
        <v>9.7207591813924521E-3</v>
      </c>
    </row>
    <row r="522" spans="3:16" x14ac:dyDescent="0.3">
      <c r="I522" t="str">
        <f>"Min SD Item"</f>
        <v>Min SD Item</v>
      </c>
      <c r="J522" t="str">
        <f ca="1">INDIRECT("C" &amp; 507 + MATCH(J521,J508:J518,0))</f>
        <v>Depreciation / Sales</v>
      </c>
    </row>
    <row r="523" spans="3:16" x14ac:dyDescent="0.3">
      <c r="C523" t="str">
        <f>"Correlation Analysis"</f>
        <v>Correlation Analysis</v>
      </c>
    </row>
    <row r="524" spans="3:16" x14ac:dyDescent="0.3">
      <c r="D524" t="str">
        <f>C528</f>
        <v>Operating Margin</v>
      </c>
      <c r="E524" t="str">
        <f>C529</f>
        <v>Invested Capital / Sales</v>
      </c>
      <c r="F524" t="str">
        <f>X453</f>
        <v>Gross Margin</v>
      </c>
      <c r="G524" t="str">
        <f>X461</f>
        <v>SGA / Sales</v>
      </c>
      <c r="H524" t="str">
        <f>X469</f>
        <v>Depreciation / Sales</v>
      </c>
      <c r="I524" t="str">
        <f>X481</f>
        <v>Op WC / Sales</v>
      </c>
      <c r="J524" t="str">
        <f>X489</f>
        <v>PPE / Sales</v>
      </c>
      <c r="K524" t="str">
        <f>X497</f>
        <v>Intangibles / Sales</v>
      </c>
      <c r="L524" t="str">
        <f>"Key Driver on correlation basis"</f>
        <v>Key Driver on correlation basis</v>
      </c>
    </row>
    <row r="525" spans="3:16" x14ac:dyDescent="0.3">
      <c r="C525" t="str">
        <f>C508</f>
        <v>EOY ROIC</v>
      </c>
      <c r="D525">
        <f ca="1">E482</f>
        <v>0.95267629834868939</v>
      </c>
      <c r="E525">
        <f ca="1">E483</f>
        <v>-0.79024355063777818</v>
      </c>
      <c r="F525">
        <f ca="1">E484</f>
        <v>-0.1943006261181216</v>
      </c>
      <c r="G525">
        <f ca="1">E485</f>
        <v>-0.9082065067849644</v>
      </c>
      <c r="H525">
        <f ca="1">E486</f>
        <v>-0.93120019527999065</v>
      </c>
      <c r="I525">
        <f ca="1">E487</f>
        <v>-0.33517964931865701</v>
      </c>
      <c r="J525">
        <f ca="1">E488</f>
        <v>-0.84477165307526914</v>
      </c>
      <c r="K525">
        <f ca="1">E489</f>
        <v>-0.8434562388000133</v>
      </c>
    </row>
    <row r="526" spans="3:16" x14ac:dyDescent="0.3">
      <c r="C526" t="str">
        <f>C509</f>
        <v>EOY Pretax ROIC</v>
      </c>
      <c r="D526">
        <f ca="1">O468</f>
        <v>0.99346927311351363</v>
      </c>
      <c r="E526">
        <f ca="1">O469</f>
        <v>-0.88310561045716907</v>
      </c>
    </row>
    <row r="527" spans="3:16" x14ac:dyDescent="0.3">
      <c r="C527" t="str">
        <f>C510</f>
        <v>Cash Tax Rate</v>
      </c>
    </row>
    <row r="528" spans="3:16" x14ac:dyDescent="0.3">
      <c r="C528" t="str">
        <f>C511</f>
        <v>Operating Margin</v>
      </c>
      <c r="F528">
        <f ca="1">V463</f>
        <v>-7.0372613972086842E-2</v>
      </c>
      <c r="G528">
        <f ca="1">V464</f>
        <v>-0.90776672396582969</v>
      </c>
      <c r="H528">
        <f ca="1">V465</f>
        <v>-0.89593774165441364</v>
      </c>
      <c r="L528" t="str">
        <f ca="1">INDIRECT(ADDRESS(524,5+MATCH(IF(ABS(MAX(F528:H528))&gt;ABS(MIN(F528:H528)),MAX(F528:H528),MIN(F528:H528)),F528:H528,0)))</f>
        <v>SGA / Sales</v>
      </c>
    </row>
    <row r="529" spans="3:12" x14ac:dyDescent="0.3">
      <c r="C529" t="str">
        <f>C512</f>
        <v>Invested Capital / Sales</v>
      </c>
      <c r="I529">
        <f ca="1">V491</f>
        <v>0.803072617541568</v>
      </c>
      <c r="J529">
        <f ca="1">V492</f>
        <v>0.96999418733064391</v>
      </c>
      <c r="K529">
        <f ca="1">V493</f>
        <v>0.99360978196643257</v>
      </c>
      <c r="L529" t="str">
        <f ca="1">INDIRECT(ADDRESS(524,8+MATCH(IF(ABS(MAX(I529:K529))&gt;ABS(MIN(I529:K529)),MAX(I529:K529),MIN(I529:K529)),I529:K529,0)))</f>
        <v>Intangibles / Sales</v>
      </c>
    </row>
    <row r="532" spans="3:12" x14ac:dyDescent="0.3">
      <c r="C532" t="str">
        <f>"Causation Analysis"</f>
        <v>Causation Analysis</v>
      </c>
    </row>
    <row r="533" spans="3:12" x14ac:dyDescent="0.3">
      <c r="D533" t="str">
        <f>C527</f>
        <v>Cash Tax Rate</v>
      </c>
      <c r="E533" t="str">
        <f>C536</f>
        <v>Operating Margin</v>
      </c>
      <c r="F533" t="str">
        <f>C537</f>
        <v>Invested Capital / Sales</v>
      </c>
      <c r="G533" t="str">
        <f t="shared" ref="G533:L533" si="163">F524</f>
        <v>Gross Margin</v>
      </c>
      <c r="H533" t="str">
        <f t="shared" si="163"/>
        <v>SGA / Sales</v>
      </c>
      <c r="I533" t="str">
        <f t="shared" si="163"/>
        <v>Depreciation / Sales</v>
      </c>
      <c r="J533" t="str">
        <f t="shared" si="163"/>
        <v>Op WC / Sales</v>
      </c>
      <c r="K533" t="str">
        <f t="shared" si="163"/>
        <v>PPE / Sales</v>
      </c>
      <c r="L533" t="str">
        <f t="shared" si="163"/>
        <v>Intangibles / Sales</v>
      </c>
    </row>
    <row r="534" spans="3:12" x14ac:dyDescent="0.3">
      <c r="C534" t="str">
        <f>C508</f>
        <v>EOY ROIC</v>
      </c>
      <c r="D534" t="str">
        <f ca="1">IF(AND(G478&lt;&gt;"Inconclusive Effect",G480&lt;&gt;"Inconclusive Effect"),G478 &amp; CHAR(10) &amp; ". " &amp;G480,IF(G478&lt;&gt;"Inconclusive Effect",G478,IF(G480&lt;&gt;"Inconclusive Effect",G480,"Inconclusive Effect")))</f>
        <v>Inconclusive Effect</v>
      </c>
    </row>
    <row r="535" spans="3:12" x14ac:dyDescent="0.3">
      <c r="C535" t="str">
        <f>C509</f>
        <v>EOY Pretax ROIC</v>
      </c>
      <c r="E535" t="str">
        <f ca="1">IF(AND(M468&lt;&gt;"Inconclusive Effect",M470&lt;&gt;"Inconclusive Effect"),M468 &amp; CHAR(10) &amp; ". " &amp;M470,IF(M468&lt;&gt;"Inconclusive Effect",M468,IF(M470&lt;&gt;"Inconclusive Effect",M470,"Inconclusive Effect")))</f>
        <v>Max ROIC in same year as Max OM
. Min ROIC in same year as Min OM</v>
      </c>
      <c r="F535" t="str">
        <f ca="1">IF(AND(M469&lt;&gt;"Inconclusive Effect",M471&lt;&gt;"Inconclusive Effect"),M469 &amp; CHAR(10) &amp; ". " &amp;M471,IF(M469&lt;&gt;"Inconclusive Effect",M469,IF(M471&lt;&gt;"Inconclusive Effect",M471,"Inconclusive Effect")))</f>
        <v>Min ROIC in same year as Max IC</v>
      </c>
    </row>
    <row r="536" spans="3:12" x14ac:dyDescent="0.3">
      <c r="C536" t="str">
        <f>C511</f>
        <v>Operating Margin</v>
      </c>
      <c r="G536" t="str">
        <f ca="1">IF(AND(T463&lt;&gt;"Inconclusive Effect",T466&lt;&gt;"Inconclusive Effect"),T463 &amp; CHAR(10) &amp; ". " &amp;T466,IF(T463&lt;&gt;"Inconclusive Effect",T463,IF(T466&lt;&gt;"Inconclusive Effect",T466,"Inconclusive Effect")))</f>
        <v>Inconclusive Effect</v>
      </c>
      <c r="H536" t="str">
        <f ca="1">IF(AND(T464&lt;&gt;"Inconclusive Effect",T467&lt;&gt;"Inconclusive Effect"),T464 &amp; CHAR(10) &amp; ". " &amp;T467,IF(T464&lt;&gt;"Inconclusive Effect",T464,IF(T467&lt;&gt;"Inconclusive Effect",T467,"Inconclusive Effect")))</f>
        <v>Min OM in same year as Max SGA</v>
      </c>
      <c r="I536" t="str">
        <f ca="1">IF(AND(T465&lt;&gt;"Inconclusive Effect",T468&lt;&gt;"Inconclusive Effect"),T465 &amp; CHAR(10) &amp; ". " &amp;T468,IF(T465&lt;&gt;"Inconclusive Effect",T465,IF(T468&lt;&gt;"Inconclusive Effect",T468,"Inconclusive Effect")))</f>
        <v>Min OM in same year as Max Dep</v>
      </c>
    </row>
    <row r="537" spans="3:12" x14ac:dyDescent="0.3">
      <c r="C537" t="str">
        <f>C512</f>
        <v>Invested Capital / Sales</v>
      </c>
      <c r="J537" t="str">
        <f ca="1">IF(AND(T491&lt;&gt;"Inconclusive Effect",T494&lt;&gt;"Inconclusive Effect"),T491 &amp; CHAR(10) &amp; ". " &amp;T494,IF(T491&lt;&gt;"Inconclusive Effect",T491,IF(T494&lt;&gt;"Inconclusive Effect",T494,"Inconclusive Effect")))</f>
        <v>Max IC in same year as Max Op WC
. Min IC in same year as Min Op WC</v>
      </c>
      <c r="K537" t="str">
        <f ca="1">IF(AND(T492&lt;&gt;"Inconclusive Effect",T495&lt;&gt;"Inconclusive Effect"),T492 &amp; CHAR(10) &amp; ". " &amp;T495,IF(T492&lt;&gt;"Inconclusive Effect",T492,IF(T495&lt;&gt;"Inconclusive Effect",T495,"Inconclusive Effect")))</f>
        <v>Max IC in same year as Max PPE</v>
      </c>
      <c r="L537" t="str">
        <f ca="1">IF(AND(T493&lt;&gt;"Inconclusive Effect",T496&lt;&gt;"Inconclusive Effect"),T493 &amp; CHAR(10) &amp; ". " &amp;T496,IF(T493&lt;&gt;"Inconclusive Effect",T493,IF(T496&lt;&gt;"Inconclusive Effect",T496,"Inconclusive Effect")))</f>
        <v>Max IC in same year as Max Intangibles</v>
      </c>
    </row>
    <row r="538" spans="3:12" x14ac:dyDescent="0.3">
      <c r="C538" t="str">
        <f>"Summary"</f>
        <v>Summary</v>
      </c>
      <c r="D538" t="str">
        <f ca="1">IF(D534&lt;&gt;"Inconclusive Effect",D534,"")</f>
        <v/>
      </c>
      <c r="E538" t="str">
        <f ca="1">IF(E535&lt;&gt;"Inconclusive Effect",E535,"")</f>
        <v>Max ROIC in same year as Max OM
. Min ROIC in same year as Min OM</v>
      </c>
      <c r="F538" t="str">
        <f ca="1">IF(F535&lt;&gt;"Inconclusive Effect",F535,"")</f>
        <v>Min ROIC in same year as Max IC</v>
      </c>
      <c r="G538" t="str">
        <f ca="1">IF(G536&lt;&gt;"Inconclusive Effect",G536,"")</f>
        <v/>
      </c>
      <c r="H538" t="str">
        <f ca="1">IF(H536&lt;&gt;"Inconclusive Effect",H536,"")</f>
        <v>Min OM in same year as Max SGA</v>
      </c>
      <c r="I538" t="str">
        <f ca="1">IF(I536&lt;&gt;"Inconclusive Effect",I536,"")</f>
        <v>Min OM in same year as Max Dep</v>
      </c>
      <c r="J538" t="str">
        <f ca="1">IF(J537&lt;&gt;"Inconclusive Effect",J537,"")</f>
        <v>Max IC in same year as Max Op WC
. Min IC in same year as Min Op WC</v>
      </c>
      <c r="K538" t="str">
        <f ca="1">IF(K537&lt;&gt;"Inconclusive Effect",K537,"")</f>
        <v>Max IC in same year as Max PPE</v>
      </c>
      <c r="L538" t="str">
        <f ca="1">IF(L537&lt;&gt;"Inconclusive Effect",L537,"")</f>
        <v>Max IC in same year as Max Intangibles</v>
      </c>
    </row>
    <row r="540" spans="3:12" x14ac:dyDescent="0.3">
      <c r="C540" t="e">
        <f ca="1">_xludf.TEXTJOIN(". ",TRUE,D538:L538)</f>
        <v>#NAME?</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H540"/>
  <sheetViews>
    <sheetView topLeftCell="B1" workbookViewId="0"/>
  </sheetViews>
  <sheetFormatPr defaultRowHeight="14.4" x14ac:dyDescent="0.3"/>
  <cols>
    <col min="1" max="1" width="0" hidden="1" customWidth="1"/>
    <col min="2" max="7" width="20.6640625" customWidth="1"/>
  </cols>
  <sheetData>
    <row r="1" spans="1:16" x14ac:dyDescent="0.3">
      <c r="B1" t="s">
        <v>0</v>
      </c>
      <c r="C1" t="s">
        <v>3149</v>
      </c>
      <c r="D1" t="str">
        <f>TRIM(IFERROR(IFERROR(IFERROR(IFERROR(IFERROR(IFERROR(IFERROR(REPLACE(LEFT(C1,FIND("(",C1) - 2), FIND("PLC",UPPER(LEFT(C1,FIND("(",C1) - 2))),3,"" ), REPLACE(LEFT(C1,FIND("(",C1) - 2), FIND(", INC.",UPPER(LEFT(C1,FIND("(",C1) - 2))),6,"" )), REPLACE(LEFT(C1,FIND("(",C1) - 2), FIND("CORPORATION",UPPER(LEFT(C1,FIND("(",C1) - 2))),11,"" )),REPLACE(LEFT(C1,FIND("(",C1) - 2), FIND("CORP.",UPPER(LEFT(C1,FIND("(",C1) - 2))),5,"" )), REPLACE(LEFT(C1,FIND("(",C1) - 2), FIND("COMPANY",UPPER(LEFT(C1,FIND("(",C1) - 2))),7,"" )),REPLACE(LEFT(C1,FIND("(",C1) - 2), FIND("INC.",UPPER(LEFT(C1,FIND("(",C1) - 2))),4,"" )),REPLACE(LEFT(C1,FIND("(",C1) - 2), FIND("CORP",UPPER(LEFT(C1,FIND("(",C1) - 2))),4,"" )),LEFT(C1,FIND("(",C1) - 2)))</f>
        <v>FULING POWER</v>
      </c>
    </row>
    <row r="2" spans="1:16" x14ac:dyDescent="0.3">
      <c r="B2" t="s">
        <v>2</v>
      </c>
      <c r="C2" t="s">
        <v>3150</v>
      </c>
      <c r="K2" t="str">
        <f>LEFT(C1,FIND("(",C1) - 2)</f>
        <v>FULING POWER</v>
      </c>
    </row>
    <row r="3" spans="1:16" x14ac:dyDescent="0.3">
      <c r="J3">
        <f ca="1">RANDBETWEEN(1,6)</f>
        <v>5</v>
      </c>
      <c r="K3" t="str">
        <f>" is scheduled to report earnings "&amp;IFERROR("between "&amp;LEFT(C20,FIND("-",C20)-2)&amp;" and "&amp;RIGHT(C20,FIND("-",C20)-2),"on "&amp;C20)</f>
        <v xml:space="preserve"> is scheduled to report earnings on </v>
      </c>
      <c r="L3" t="str">
        <f>" is slated to report earnings "&amp;IFERROR("between "&amp;LEFT(C20,FIND("-",C20)-2)&amp;" and "&amp;RIGHT(C20,FIND("-",C20)-2),"on "&amp;C20)</f>
        <v xml:space="preserve"> is slated to report earnings on </v>
      </c>
      <c r="M3" t="str">
        <f>" will report earnings "&amp;IFERROR("between "&amp;LEFT(C20,FIND("-",C20)-2)&amp;" and "&amp;RIGHT(C20,FIND("-",C20)-2),"on "&amp;C20)</f>
        <v xml:space="preserve"> will report earnings on </v>
      </c>
      <c r="N3" t="str">
        <f>" reports earnings "&amp;IFERROR("between "&amp;LEFT(C20,FIND("-",C20)-2)&amp;" and "&amp;RIGHT(C20,FIND("-",C20)-2),"on "&amp;C20)</f>
        <v xml:space="preserve"> reports earnings on </v>
      </c>
      <c r="O3" t="str">
        <f>" plans to report earnings "&amp;IFERROR("between "&amp;LEFT(C20,FIND("-",C20)-2)&amp;" and "&amp;RIGHT(C20,FIND("-",C20)-2),"on "&amp;C20)</f>
        <v xml:space="preserve"> plans to report earnings on </v>
      </c>
      <c r="P3" t="str">
        <f>" is going to report earnings "&amp;IFERROR("between "&amp;LEFT(C20,FIND("-",C20)-2)&amp;" and "&amp;RIGHT(C20,FIND("-",C20)-2),"on "&amp;C20)</f>
        <v xml:space="preserve"> is going to report earnings on </v>
      </c>
    </row>
    <row r="4" spans="1:16" x14ac:dyDescent="0.3">
      <c r="B4" t="s">
        <v>4</v>
      </c>
      <c r="J4">
        <f ca="1">RANDBETWEEN(1,2)</f>
        <v>2</v>
      </c>
      <c r="K4" t="str">
        <f>"The stock is currently trading at " &amp; TEXT(C2,"$####.00") &amp; ", " &amp; IF(C2-C7=0, "at the same price" &amp; " after opening " &amp; IF(C8-C7=0, "at the same price as yesterday's close", IF(C8-C7&gt;0, "up " &amp; IF((C7-C8)/C7*-1 &lt;0.01, "slightly", TEXT((C7-C8)/C7*-1,"##.##%")) &amp; " over yesterday's close", IF((C7-C8)/C7 &lt;0.01, "slightly below", "down " &amp; TEXT((C7-C8)/C7*1,"##.##%") &amp; " from") &amp; " yesterday's close")), IF(C2-C7&gt;0, "up " &amp; TEXT((C7-C2)/C7*-1,"##.##%") &amp; " after opening " &amp; IF(C8-C7=0, "at the same price as yesterday's close", IF(C8-C7&gt;0, "up " &amp; IF((C7-C8)/C7*-1 &lt;0.01, "slightly", TEXT((C7-C8)/C7*-1,"##.##%")) &amp; " over yesterday's close", IF((C7-C8)/C7 &lt;0.01, "slightly below", "down " &amp; TEXT((C7-C8)/C7*1,"##.##%") &amp; " from") &amp; " yesterday's close")), "down " &amp; TEXT((C7-C2)/C7*1,"##.##%") &amp; " after opening " &amp; IF(C8-C7=0, "at the same price as yesterday's close", IF(C8-C7&gt;0, "up " &amp; IF((C7-C8)/C7*-1 &lt;0.01, "slightly", TEXT((C7-C8)/C7*-1,"##.##%")) &amp; " over yesterday's close", IF((C7-C8)/C7 &lt;0.01, "slightly below", "down " &amp; TEXT((C7-C8)/C7*1,"##.##%") &amp; " from") &amp; " yesterday's close")) ))</f>
        <v>The stock is currently trading at $41.97, up .12% after opening up slightly over yesterday's close</v>
      </c>
      <c r="L4" t="str">
        <f>"The current stock price is " &amp; TEXT(C2,"$####.00") &amp; ", " &amp; IF(C2-C7=0, "at the same price" &amp; " after opening " &amp; IF(C8-C7=0, "at the same price as yesterday's closing price", IF(C8-C7&gt;0, "up " &amp; IF((C7-C8)/C7*-1 &lt;0.01, "a fraction", TEXT((C7-C8)/C7*-1,"##.##%")) &amp; " over yesterday's closing price", IF((C7-C8)/C7 &lt;0.01, "a bit below", "down " &amp; TEXT((C7-C8)/C7*1,"##.##%") &amp; " from") &amp; " yesterday's closing price")), IF(C2-C7&gt;0, "up " &amp; TEXT((C7-C2)/C7*-1,"##.##%") &amp; " after opening " &amp; IF(C8-C7=0, "at yesterday's closing price", IF(C8-C7&gt;0, "up " &amp; IF((C7-C8)/C7*-1 &lt;0.01, "a fraction", TEXT((C7-C8)/C7*-1,"##.##%")) &amp; " over yesterday's closing price", IF((C7-C8)/C7 &lt;0.01, "a bit below", "down " &amp; TEXT((C7-C8)/C7*1,"##.##%") &amp; " from") &amp; " yesterday's closing price")), "down " &amp; TEXT((C7-C2)/C7*1,"##.##%") &amp; " after opening " &amp; IF(C8-C7=0, "at yesterday's closing price", IF(C8-C7&gt;0, "up " &amp; IF((C7-C8)/C7*-1 &lt;0.01, "a fraction", TEXT((C7-C8)/C7*-1,"##.##%")) &amp; " over yesterday's closing price", IF((C7-C8)/C7 &lt;0.01, "a bit below", "down " &amp; TEXT((C7-C8)/C7*1,"##.##%") &amp; " from") &amp; " yesterday's closing price")) ))</f>
        <v>The current stock price is $41.97, up .12% after opening up a fraction over yesterday's closing price</v>
      </c>
    </row>
    <row r="5" spans="1:16" x14ac:dyDescent="0.3">
      <c r="J5">
        <f ca="1">RANDBETWEEN(1,2)</f>
        <v>2</v>
      </c>
      <c r="K5" t="str">
        <f>"The one year target estimate for " &amp; D1 &amp; " is " &amp; TEXT(C23,"$####.00")</f>
        <v>The one year target estimate for FULING POWER is $56.10</v>
      </c>
      <c r="L5" t="str">
        <f>D1 &amp; " is expected to be trading at " &amp; TEXT(C23, "$####.00") &amp; ", based on target estimates"</f>
        <v>FULING POWER is expected to be trading at $56.10, based on target estimates</v>
      </c>
    </row>
    <row r="6" spans="1:16" x14ac:dyDescent="0.3">
      <c r="K6" t="str">
        <f>" which would be " &amp; IF(OR(LEFT(ABS((C23-C2)/C2*100),1)="8",LEFT(ABS((C23-C2)/C2*100),2)="18"), "an ", "a ")  &amp;TEXT(ABS((C23-C2)/C2),"####.00%")&amp;IF((C23-C2)&gt;0," increase over"," decrease from")&amp;" the current price"</f>
        <v xml:space="preserve"> which would be a 33.67% increase over the current price</v>
      </c>
    </row>
    <row r="7" spans="1:16" x14ac:dyDescent="0.3">
      <c r="A7" s="1">
        <v>0</v>
      </c>
      <c r="B7" t="s">
        <v>5</v>
      </c>
      <c r="C7" t="s">
        <v>3151</v>
      </c>
      <c r="K7" t="str">
        <f>"Earnings are expected to " &amp; IF(C28=D28, "remain constant over the next quarter", IF( D28&gt;C28,  "increase by " &amp; TEXT((D28-C28)/C28*100,"##.##") &amp; "% over last quarter", "decrease by " &amp; TEXT((D28-C28)/C28*-100,"##.##") &amp; "% from last quarter")) &amp; " based on the average of " &amp; $C$27 &amp; " analyst estimates (Yahoo Finance)"</f>
        <v>Earnings are expected to remain constant over the next quarter based on the average of  analyst estimates (Yahoo Finance)</v>
      </c>
    </row>
    <row r="8" spans="1:16" x14ac:dyDescent="0.3">
      <c r="A8" s="1">
        <v>1</v>
      </c>
      <c r="B8" t="s">
        <v>7</v>
      </c>
      <c r="C8" t="s">
        <v>3152</v>
      </c>
      <c r="K8" t="str">
        <f>IF(VALUE(C2)=D12, "The stock is trading at an all-time low",IF(VALUE(C2) =E12,"The stock is trading at an all-time high",IF(VALUE(C2)&lt;D12+(E12-D12)/3, "The stock is trading in the low end of its 52-week range",IF(VALUE(C2)&lt;D12+2*(E12-D12)/3, "The stock is trading near the middle of its 52 week range", "The stock is trading in the high end of its 52-week range"))) )</f>
        <v>The stock is trading near the middle of its 52 week range</v>
      </c>
    </row>
    <row r="9" spans="1:16" x14ac:dyDescent="0.3">
      <c r="A9" s="1">
        <v>2</v>
      </c>
      <c r="B9" t="s">
        <v>9</v>
      </c>
      <c r="C9" t="s">
        <v>10</v>
      </c>
      <c r="K9" t="str">
        <f>"Over the last 4 quarters, there" &amp; IF(4 - COUNTIF(C45:F45,"-*")=1, " has"," have") &amp; " been" &amp; IF(4 - COUNTIF(C45:F45,"-*")=1, " a,","") &amp; " positive earnings surprise" &amp; IF(4 - COUNTIF(C45:F45,"-*")=1, " ","s ") &amp; 4 -COUNTIF(C45:F45,"-*") &amp; IF(4 - COUNTIF(C45:F45,"-*")=1, " time,"," times,") &amp; " and a negative earnings surprise " &amp; COUNTIF(C45:F45,"-*") &amp; IF(COUNTIF(C45:F45,"-*")=1, " time", " times")</f>
        <v>Over the last 4 quarters, there have been positive earnings surprises 4 times, and a negative earnings surprise 0 times</v>
      </c>
    </row>
    <row r="10" spans="1:16" x14ac:dyDescent="0.3">
      <c r="A10" s="1">
        <v>3</v>
      </c>
      <c r="B10" t="s">
        <v>11</v>
      </c>
      <c r="C10" t="s">
        <v>10</v>
      </c>
      <c r="K10" t="str">
        <f>IF(F48=F52,"",IF(F48&gt;F52, "EPS estimates have increased by " &amp; TEXT(F48-F52,"$0.00") &amp; " in the 2 months leading up to the earnings report", "EPS estimates have decreased by " &amp; TEXT(ABS(F48-F52),"$0.00") &amp; " in the 2 months leading up to the earnings report"))</f>
        <v>EPS estimates have increased by $0.12 in the 2 months leading up to the earnings report</v>
      </c>
    </row>
    <row r="11" spans="1:16" x14ac:dyDescent="0.3">
      <c r="A11" s="1">
        <v>4</v>
      </c>
      <c r="B11" t="s">
        <v>12</v>
      </c>
      <c r="C11" t="s">
        <v>3153</v>
      </c>
      <c r="K11" t="str">
        <f>IF(B145="Interest Income",U42, K42)</f>
        <v>No positive trends</v>
      </c>
    </row>
    <row r="12" spans="1:16" x14ac:dyDescent="0.3">
      <c r="A12" s="1">
        <v>5</v>
      </c>
      <c r="B12" t="s">
        <v>14</v>
      </c>
      <c r="C12" t="s">
        <v>3154</v>
      </c>
      <c r="D12" t="str">
        <f>LEFT(C12,FIND("-",C12)-2)</f>
        <v>31.03</v>
      </c>
      <c r="E12" t="str">
        <f>TRIM(RIGHT(C12,FIND("-",C12)-1))</f>
        <v>55.55</v>
      </c>
      <c r="K12" t="str">
        <f ca="1">D78</f>
        <v>Inconclusive</v>
      </c>
    </row>
    <row r="13" spans="1:16" x14ac:dyDescent="0.3">
      <c r="A13" s="1">
        <v>6</v>
      </c>
      <c r="B13" t="s">
        <v>16</v>
      </c>
      <c r="C13" t="s">
        <v>3155</v>
      </c>
      <c r="K13" t="str">
        <f ca="1">D89</f>
        <v>Inconclusive</v>
      </c>
    </row>
    <row r="14" spans="1:16" x14ac:dyDescent="0.3">
      <c r="A14" s="1">
        <v>7</v>
      </c>
      <c r="B14" t="s">
        <v>18</v>
      </c>
      <c r="C14" t="s">
        <v>3156</v>
      </c>
    </row>
    <row r="16" spans="1:16" x14ac:dyDescent="0.3">
      <c r="A16" s="1">
        <v>0</v>
      </c>
      <c r="B16" t="s">
        <v>20</v>
      </c>
      <c r="C16" t="s">
        <v>3157</v>
      </c>
    </row>
    <row r="17" spans="1:23" x14ac:dyDescent="0.3">
      <c r="A17" s="1">
        <v>1</v>
      </c>
      <c r="B17" t="s">
        <v>22</v>
      </c>
      <c r="K17" t="str">
        <f ca="1">K2 &amp; IF(J3=1, K3,IF(J3=2,L3,IF(J3=3,M3,IF(J3=4,N3,IF(J3=5,O3,IF(J3=6,P3)))))) &amp; ". " &amp; IF(J4=1,K4,IF(J4=2,L4)) &amp; ". " &amp; IF(J5=1,K5,IF(J5=2,L5)) &amp; K6 &amp; ". " &amp; K7 &amp; ". " &amp; K8 &amp; ". " &amp; K9 &amp; "."</f>
        <v>FULING POWER plans to report earnings on . The current stock price is $41.97, up .12% after opening up a fraction over yesterday's closing price. FULING POWER is expected to be trading at $56.10, based on target estimates which would be a 33.67% increase over the current price. Earnings are expected to remain constant over the next quarter based on the average of  analyst estimates (Yahoo Finance). The stock is trading near the middle of its 52 week range. Over the last 4 quarters, there have been positive earnings surprises 4 times, and a negative earnings surprise 0 times.</v>
      </c>
    </row>
    <row r="18" spans="1:23" x14ac:dyDescent="0.3">
      <c r="A18" s="1">
        <v>2</v>
      </c>
      <c r="B18" t="s">
        <v>24</v>
      </c>
    </row>
    <row r="19" spans="1:23" x14ac:dyDescent="0.3">
      <c r="A19" s="1">
        <v>3</v>
      </c>
      <c r="B19" t="s">
        <v>26</v>
      </c>
    </row>
    <row r="20" spans="1:23" x14ac:dyDescent="0.3">
      <c r="A20" s="1">
        <v>4</v>
      </c>
      <c r="B20" t="s">
        <v>28</v>
      </c>
    </row>
    <row r="21" spans="1:23" x14ac:dyDescent="0.3">
      <c r="A21" s="1">
        <v>5</v>
      </c>
      <c r="B21" t="s">
        <v>30</v>
      </c>
      <c r="C21" t="s">
        <v>3158</v>
      </c>
    </row>
    <row r="22" spans="1:23" x14ac:dyDescent="0.3">
      <c r="A22" s="1">
        <v>6</v>
      </c>
      <c r="B22" t="s">
        <v>32</v>
      </c>
      <c r="J22">
        <f>IF(K22 &lt;&gt; "",1, 0)</f>
        <v>0</v>
      </c>
      <c r="K22" t="str">
        <f>IF(I145="pos_trend","Revenue","")</f>
        <v/>
      </c>
      <c r="L22" t="str">
        <f t="shared" ref="L22:L38" si="0">IF(EXACT(K22,UPPER(K22)),K22,LOWER(K22))</f>
        <v/>
      </c>
      <c r="M22" t="str">
        <f>L22</f>
        <v/>
      </c>
      <c r="T22">
        <f>IF(U22 &lt;&gt; "",1, 0)</f>
        <v>0</v>
      </c>
      <c r="U22" t="str">
        <f>IF(AND(B145 = "Interest Income",I145="pos_trend"), "Interest Income","")</f>
        <v/>
      </c>
      <c r="V22" t="str">
        <f t="shared" ref="V22:V38" si="1">IF(EXACT(U22,UPPER(U22)),U22,LOWER(U22))</f>
        <v/>
      </c>
      <c r="W22" t="str">
        <f>V22</f>
        <v/>
      </c>
    </row>
    <row r="23" spans="1:23" x14ac:dyDescent="0.3">
      <c r="A23" s="1">
        <v>7</v>
      </c>
      <c r="B23" t="s">
        <v>34</v>
      </c>
      <c r="C23" t="s">
        <v>3159</v>
      </c>
      <c r="J23">
        <f>IF(K23 &lt;&gt; "",2, 0)</f>
        <v>0</v>
      </c>
      <c r="K23" t="str">
        <f>IF(I146="pos_trend",B146,"")</f>
        <v/>
      </c>
      <c r="L23" t="str">
        <f t="shared" si="0"/>
        <v/>
      </c>
      <c r="M23" t="str">
        <f t="shared" ref="M23:M39" si="2">IF(L23&lt;&gt;"", M22 &amp; ", " &amp; L23,M22)</f>
        <v/>
      </c>
      <c r="T23">
        <f>IF(U23 &lt;&gt; "",2, 0)</f>
        <v>0</v>
      </c>
      <c r="U23" t="str">
        <f>IF(I151="pos_trend",B151,"")</f>
        <v/>
      </c>
      <c r="V23" t="str">
        <f t="shared" si="1"/>
        <v/>
      </c>
      <c r="W23" t="str">
        <f t="shared" ref="W23:W39" si="3">IF(V23&lt;&gt;"", W22 &amp; ", " &amp; V23,W22)</f>
        <v/>
      </c>
    </row>
    <row r="24" spans="1:23" x14ac:dyDescent="0.3">
      <c r="J24">
        <f>IF(K24 &lt;&gt; "",3, 0)</f>
        <v>0</v>
      </c>
      <c r="K24" t="str">
        <f>IF(I153="pos_trend",B153,"")</f>
        <v/>
      </c>
      <c r="L24" t="str">
        <f t="shared" si="0"/>
        <v/>
      </c>
      <c r="M24" t="str">
        <f t="shared" si="2"/>
        <v/>
      </c>
      <c r="T24">
        <f>IF(U24 &lt;&gt; "",3, 0)</f>
        <v>0</v>
      </c>
      <c r="U24" t="str">
        <f>IF(I161="pos_trend",B161,"")</f>
        <v/>
      </c>
      <c r="V24" t="str">
        <f t="shared" si="1"/>
        <v/>
      </c>
      <c r="W24" t="str">
        <f t="shared" si="3"/>
        <v/>
      </c>
    </row>
    <row r="25" spans="1:23" x14ac:dyDescent="0.3">
      <c r="J25">
        <f>IF(K25 &lt;&gt; "",4, 0)</f>
        <v>0</v>
      </c>
      <c r="K25" t="str">
        <f>IF(I154="pos_trend",B154,"")</f>
        <v/>
      </c>
      <c r="L25" t="str">
        <f t="shared" si="0"/>
        <v/>
      </c>
      <c r="M25" t="str">
        <f t="shared" si="2"/>
        <v/>
      </c>
      <c r="T25">
        <f>IF(U25 &lt;&gt; "",4, 0)</f>
        <v>0</v>
      </c>
      <c r="U25" t="str">
        <f>IF(I162="pos_trend",B162,"")</f>
        <v/>
      </c>
      <c r="V25" t="str">
        <f t="shared" si="1"/>
        <v/>
      </c>
      <c r="W25" t="str">
        <f t="shared" si="3"/>
        <v/>
      </c>
    </row>
    <row r="26" spans="1:23" x14ac:dyDescent="0.3">
      <c r="B26" s="1" t="s">
        <v>36</v>
      </c>
      <c r="C26" s="1" t="s">
        <v>37</v>
      </c>
      <c r="D26" s="1" t="s">
        <v>38</v>
      </c>
      <c r="E26" s="1" t="s">
        <v>39</v>
      </c>
      <c r="F26" s="1" t="s">
        <v>40</v>
      </c>
      <c r="J26">
        <f>IF(K26 &lt;&gt; "",5, 0)</f>
        <v>0</v>
      </c>
      <c r="K26" t="str">
        <f>IF(I155="pos_trend",B155,"")</f>
        <v/>
      </c>
      <c r="L26" t="str">
        <f t="shared" si="0"/>
        <v/>
      </c>
      <c r="M26" t="str">
        <f t="shared" si="2"/>
        <v/>
      </c>
      <c r="T26">
        <f>IF(U26 &lt;&gt; "",5, 0)</f>
        <v>0</v>
      </c>
      <c r="U26" t="str">
        <f>IF(I167="pos_trend",B167,"")</f>
        <v/>
      </c>
      <c r="V26" t="str">
        <f t="shared" si="1"/>
        <v/>
      </c>
      <c r="W26" t="str">
        <f t="shared" si="3"/>
        <v/>
      </c>
    </row>
    <row r="27" spans="1:23" x14ac:dyDescent="0.3">
      <c r="A27" s="1">
        <v>0</v>
      </c>
      <c r="B27" t="s">
        <v>41</v>
      </c>
      <c r="E27">
        <v>6</v>
      </c>
      <c r="F27">
        <v>6</v>
      </c>
      <c r="J27">
        <f>IF(K27 &lt;&gt; "",6, 0)</f>
        <v>0</v>
      </c>
      <c r="K27" t="str">
        <f>IF(I172="pos_trend",B172,"")</f>
        <v/>
      </c>
      <c r="L27" t="str">
        <f t="shared" si="0"/>
        <v/>
      </c>
      <c r="M27" t="str">
        <f t="shared" si="2"/>
        <v/>
      </c>
      <c r="T27">
        <f>IF(U27 &lt;&gt; "",6, 0)</f>
        <v>0</v>
      </c>
      <c r="U27" t="str">
        <f>IF(I170="pos_trend",B170,"")</f>
        <v/>
      </c>
      <c r="V27" t="str">
        <f t="shared" si="1"/>
        <v/>
      </c>
      <c r="W27" t="str">
        <f t="shared" si="3"/>
        <v/>
      </c>
    </row>
    <row r="28" spans="1:23" x14ac:dyDescent="0.3">
      <c r="A28" s="1">
        <v>1</v>
      </c>
      <c r="B28" t="s">
        <v>42</v>
      </c>
      <c r="E28">
        <v>1.55</v>
      </c>
      <c r="F28">
        <v>2</v>
      </c>
      <c r="J28">
        <f>IF(K28 &lt;&gt; "",7, 0)</f>
        <v>0</v>
      </c>
      <c r="K28" t="str">
        <f>IF(I173="pos_trend",B173,"")</f>
        <v/>
      </c>
      <c r="L28" t="str">
        <f t="shared" si="0"/>
        <v/>
      </c>
      <c r="M28" t="str">
        <f t="shared" si="2"/>
        <v/>
      </c>
      <c r="T28">
        <f>IF(U28 &lt;&gt; "",7, 0)</f>
        <v>0</v>
      </c>
      <c r="U28" t="str">
        <f>IF(I171="pos_trend",B171,"")</f>
        <v/>
      </c>
      <c r="V28" t="str">
        <f t="shared" si="1"/>
        <v/>
      </c>
      <c r="W28" t="str">
        <f t="shared" si="3"/>
        <v/>
      </c>
    </row>
    <row r="29" spans="1:23" x14ac:dyDescent="0.3">
      <c r="A29" s="1">
        <v>2</v>
      </c>
      <c r="B29" t="s">
        <v>43</v>
      </c>
      <c r="E29">
        <v>1.38</v>
      </c>
      <c r="F29">
        <v>1.85</v>
      </c>
      <c r="J29">
        <f>IF(K29 &lt;&gt; "",8, 0)</f>
        <v>0</v>
      </c>
      <c r="K29" t="str">
        <f>IF(I174="pos_trend",B174,"")</f>
        <v/>
      </c>
      <c r="L29" t="str">
        <f t="shared" si="0"/>
        <v/>
      </c>
      <c r="M29" t="str">
        <f t="shared" si="2"/>
        <v/>
      </c>
      <c r="T29">
        <f>IF(U29 &lt;&gt; "",8, 0)</f>
        <v>0</v>
      </c>
      <c r="U29" t="str">
        <f>IF(I172="pos_trend",B172,"")</f>
        <v/>
      </c>
      <c r="V29" t="str">
        <f t="shared" si="1"/>
        <v/>
      </c>
      <c r="W29" t="str">
        <f t="shared" si="3"/>
        <v/>
      </c>
    </row>
    <row r="30" spans="1:23" x14ac:dyDescent="0.3">
      <c r="A30" s="1">
        <v>3</v>
      </c>
      <c r="B30" t="s">
        <v>44</v>
      </c>
      <c r="E30">
        <v>1.85</v>
      </c>
      <c r="F30">
        <v>2.2799999999999998</v>
      </c>
      <c r="J30">
        <f>IF(K30 &lt;&gt; "",9, 0)</f>
        <v>0</v>
      </c>
      <c r="K30" t="str">
        <f>IF(I185="pos_trend",B185,"")</f>
        <v/>
      </c>
      <c r="L30" t="str">
        <f t="shared" si="0"/>
        <v/>
      </c>
      <c r="M30" t="str">
        <f t="shared" si="2"/>
        <v/>
      </c>
      <c r="T30">
        <f>IF(U30 &lt;&gt; "",9, 0)</f>
        <v>0</v>
      </c>
      <c r="U30" t="str">
        <f>IF(I178="pos_trend",B178,"")</f>
        <v/>
      </c>
      <c r="V30" t="str">
        <f t="shared" si="1"/>
        <v/>
      </c>
      <c r="W30" t="str">
        <f t="shared" si="3"/>
        <v/>
      </c>
    </row>
    <row r="31" spans="1:23" x14ac:dyDescent="0.3">
      <c r="A31" s="1">
        <v>4</v>
      </c>
      <c r="B31" t="s">
        <v>45</v>
      </c>
      <c r="E31">
        <v>1.05</v>
      </c>
      <c r="F31">
        <v>1.55</v>
      </c>
      <c r="J31">
        <f>IF(K31 &lt;&gt; "",10, 0)</f>
        <v>0</v>
      </c>
      <c r="K31" t="str">
        <f>IF(I186="pos_trend",B186,"")</f>
        <v/>
      </c>
      <c r="L31" t="str">
        <f t="shared" si="0"/>
        <v/>
      </c>
      <c r="M31" t="str">
        <f t="shared" si="2"/>
        <v/>
      </c>
      <c r="T31">
        <f>IF(U31 &lt;&gt; "",10, 0)</f>
        <v>0</v>
      </c>
      <c r="U31" t="str">
        <f>IF(I199="pos_trend",B199,"")</f>
        <v/>
      </c>
      <c r="V31" t="str">
        <f t="shared" si="1"/>
        <v/>
      </c>
      <c r="W31" t="str">
        <f t="shared" si="3"/>
        <v/>
      </c>
    </row>
    <row r="32" spans="1:23" x14ac:dyDescent="0.3">
      <c r="J32">
        <f>IF(K32 &lt;&gt; "",11, 0)</f>
        <v>0</v>
      </c>
      <c r="K32" t="str">
        <f>IF(I187="pos_trend",B187,"")</f>
        <v/>
      </c>
      <c r="L32" t="str">
        <f t="shared" si="0"/>
        <v/>
      </c>
      <c r="M32" t="str">
        <f t="shared" si="2"/>
        <v/>
      </c>
      <c r="T32">
        <f>IF(U32 &lt;&gt; "",11, 0)</f>
        <v>0</v>
      </c>
      <c r="U32" t="str">
        <f>IF(I209="pos_trend",B209,"")</f>
        <v/>
      </c>
      <c r="V32" t="str">
        <f t="shared" si="1"/>
        <v/>
      </c>
      <c r="W32" t="str">
        <f t="shared" si="3"/>
        <v/>
      </c>
    </row>
    <row r="33" spans="1:23" x14ac:dyDescent="0.3">
      <c r="B33" s="1" t="s">
        <v>46</v>
      </c>
      <c r="C33" s="1" t="s">
        <v>37</v>
      </c>
      <c r="D33" s="1" t="s">
        <v>38</v>
      </c>
      <c r="E33" s="1" t="s">
        <v>39</v>
      </c>
      <c r="F33" s="1" t="s">
        <v>40</v>
      </c>
      <c r="J33">
        <f>IF(K33 &lt;&gt; "",12, 0)</f>
        <v>0</v>
      </c>
      <c r="K33" t="str">
        <f>IF(I195="pos_trend",B195,"")</f>
        <v/>
      </c>
      <c r="L33" t="str">
        <f t="shared" si="0"/>
        <v/>
      </c>
      <c r="M33" t="str">
        <f t="shared" si="2"/>
        <v/>
      </c>
      <c r="T33">
        <f>IF(U33 &lt;&gt; "",12, 0)</f>
        <v>0</v>
      </c>
      <c r="U33" t="str">
        <f>IF(I231="pos_trend",B231,"")</f>
        <v/>
      </c>
      <c r="V33" t="str">
        <f t="shared" si="1"/>
        <v/>
      </c>
      <c r="W33" t="str">
        <f t="shared" si="3"/>
        <v/>
      </c>
    </row>
    <row r="34" spans="1:23" x14ac:dyDescent="0.3">
      <c r="A34" s="1">
        <v>0</v>
      </c>
      <c r="B34" t="s">
        <v>41</v>
      </c>
      <c r="E34" t="s">
        <v>2506</v>
      </c>
      <c r="F34" t="s">
        <v>2506</v>
      </c>
      <c r="J34">
        <f>IF(K34 &lt;&gt; "",13, 0)</f>
        <v>0</v>
      </c>
      <c r="K34" t="str">
        <f>IF(I196="pos_trend",B196,"")</f>
        <v/>
      </c>
      <c r="L34" t="str">
        <f t="shared" si="0"/>
        <v/>
      </c>
      <c r="M34" t="str">
        <f t="shared" si="2"/>
        <v/>
      </c>
      <c r="T34">
        <f>IF(U34 &lt;&gt; "",13, 0)</f>
        <v>0</v>
      </c>
      <c r="U34" t="str">
        <f>IF(I251="pos_trend",B251,"")</f>
        <v/>
      </c>
      <c r="V34" t="str">
        <f t="shared" si="1"/>
        <v/>
      </c>
      <c r="W34" t="str">
        <f t="shared" si="3"/>
        <v/>
      </c>
    </row>
    <row r="35" spans="1:23" x14ac:dyDescent="0.3">
      <c r="A35" s="1">
        <v>1</v>
      </c>
      <c r="B35" t="s">
        <v>42</v>
      </c>
      <c r="E35" t="s">
        <v>3160</v>
      </c>
      <c r="F35" t="s">
        <v>3161</v>
      </c>
      <c r="J35">
        <f>IF(K35 &lt;&gt; "",14, 0)</f>
        <v>0</v>
      </c>
      <c r="K35" t="str">
        <f>IF(I201="pos_trend",B201,"")</f>
        <v/>
      </c>
      <c r="L35" t="str">
        <f t="shared" si="0"/>
        <v/>
      </c>
      <c r="M35" t="str">
        <f t="shared" si="2"/>
        <v/>
      </c>
      <c r="T35">
        <f>IF(U35 &lt;&gt; "",14, 0)</f>
        <v>0</v>
      </c>
      <c r="U35" t="str">
        <f>IF(I279="pos_trend",B279,"")</f>
        <v/>
      </c>
      <c r="V35" t="str">
        <f t="shared" si="1"/>
        <v/>
      </c>
      <c r="W35" t="str">
        <f t="shared" si="3"/>
        <v/>
      </c>
    </row>
    <row r="36" spans="1:23" x14ac:dyDescent="0.3">
      <c r="A36" s="1">
        <v>2</v>
      </c>
      <c r="B36" t="s">
        <v>43</v>
      </c>
      <c r="E36" t="s">
        <v>1108</v>
      </c>
      <c r="F36" t="s">
        <v>3162</v>
      </c>
      <c r="J36">
        <f>IF(K36 &lt;&gt; "",15, 0)</f>
        <v>0</v>
      </c>
      <c r="K36" t="str">
        <f>IF(I202="pos_trend",B202,"")</f>
        <v/>
      </c>
      <c r="L36" t="str">
        <f t="shared" si="0"/>
        <v/>
      </c>
      <c r="M36" t="str">
        <f t="shared" si="2"/>
        <v/>
      </c>
      <c r="T36">
        <f>IF(U36 &lt;&gt; "",15, 0)</f>
        <v>0</v>
      </c>
      <c r="U36" t="str">
        <f>IF(I336="pos_trend",B336,"")</f>
        <v/>
      </c>
      <c r="V36" t="str">
        <f t="shared" si="1"/>
        <v/>
      </c>
      <c r="W36" t="str">
        <f t="shared" si="3"/>
        <v/>
      </c>
    </row>
    <row r="37" spans="1:23" x14ac:dyDescent="0.3">
      <c r="A37" s="1">
        <v>3</v>
      </c>
      <c r="B37" t="s">
        <v>44</v>
      </c>
      <c r="E37" t="s">
        <v>3163</v>
      </c>
      <c r="F37" t="s">
        <v>3164</v>
      </c>
      <c r="J37">
        <f>IF(K37 &lt;&gt; "",16, 0)</f>
        <v>0</v>
      </c>
      <c r="K37" t="str">
        <f>IF(I203="pos_trend",B203,"")</f>
        <v/>
      </c>
      <c r="L37" t="str">
        <f t="shared" si="0"/>
        <v/>
      </c>
      <c r="M37" t="str">
        <f t="shared" si="2"/>
        <v/>
      </c>
      <c r="T37">
        <f>IF(U37 &lt;&gt; "",16, 0)</f>
        <v>0</v>
      </c>
      <c r="U37" t="str">
        <f>IF(I235="pos_trend",B235,"")</f>
        <v/>
      </c>
      <c r="V37" t="str">
        <f t="shared" si="1"/>
        <v/>
      </c>
      <c r="W37" t="str">
        <f t="shared" si="3"/>
        <v/>
      </c>
    </row>
    <row r="38" spans="1:23" x14ac:dyDescent="0.3">
      <c r="A38" s="1">
        <v>4</v>
      </c>
      <c r="B38" t="s">
        <v>61</v>
      </c>
      <c r="E38" t="s">
        <v>273</v>
      </c>
      <c r="F38" t="s">
        <v>3160</v>
      </c>
      <c r="J38">
        <f>IF(K38 &lt;&gt; "",17, 0)</f>
        <v>0</v>
      </c>
      <c r="K38" t="str">
        <f>IF(I351="pos_trend",B351,"")</f>
        <v/>
      </c>
      <c r="L38" t="str">
        <f t="shared" si="0"/>
        <v/>
      </c>
      <c r="M38" t="str">
        <f t="shared" si="2"/>
        <v/>
      </c>
      <c r="T38">
        <f>IF(U38 &lt;&gt; "",17, 0)</f>
        <v>0</v>
      </c>
      <c r="U38" t="str">
        <f>IF(I236="pos_trend",B236,"")</f>
        <v/>
      </c>
      <c r="V38" t="str">
        <f t="shared" si="1"/>
        <v/>
      </c>
      <c r="W38" t="str">
        <f t="shared" si="3"/>
        <v/>
      </c>
    </row>
    <row r="39" spans="1:23" x14ac:dyDescent="0.3">
      <c r="A39" s="1">
        <v>5</v>
      </c>
      <c r="B39" t="s">
        <v>65</v>
      </c>
      <c r="E39" t="s">
        <v>3165</v>
      </c>
      <c r="F39" t="s">
        <v>2534</v>
      </c>
      <c r="K39" t="str">
        <f>IF(I352="pos_trend",B352,"")</f>
        <v/>
      </c>
      <c r="M39" t="str">
        <f t="shared" si="2"/>
        <v/>
      </c>
      <c r="W39" t="str">
        <f t="shared" si="3"/>
        <v/>
      </c>
    </row>
    <row r="40" spans="1:23" x14ac:dyDescent="0.3">
      <c r="J40">
        <f>MAX(J22:J39)</f>
        <v>0</v>
      </c>
      <c r="K40" t="str">
        <f>VLOOKUP(J40,J22:K39,2,FALSE)</f>
        <v/>
      </c>
      <c r="M40" t="str">
        <f>IF(IFERROR(FIND(",",M39),TRUE)=TRUE,M39,IF(NOT(EXACT(K40,UPPER(K40))),SUBSTITUTE(M39,LOWER(K40),"and "&amp;LOWER(K40)),SUBSTITUTE(M39,K40,"and "&amp;K40)))</f>
        <v/>
      </c>
      <c r="T40">
        <f>MAX(T22:T39)</f>
        <v>0</v>
      </c>
      <c r="U40" t="str">
        <f>VLOOKUP(T40,T22:U39,2,FALSE)</f>
        <v/>
      </c>
      <c r="W40" t="str">
        <f>IF(IFERROR(FIND(",",W39),TRUE)=TRUE,W39,IF(NOT(EXACT(U40,UPPER(U40))),SUBSTITUTE(W39,LOWER(U40),"and "&amp;LOWER(U40)),SUBSTITUTE(W39,U40,"and "&amp;U40)))</f>
        <v/>
      </c>
    </row>
    <row r="41" spans="1:23" x14ac:dyDescent="0.3">
      <c r="B41" s="1" t="s">
        <v>70</v>
      </c>
      <c r="C41" s="1" t="s">
        <v>2438</v>
      </c>
      <c r="D41" s="1" t="s">
        <v>2439</v>
      </c>
      <c r="E41" s="1" t="s">
        <v>2440</v>
      </c>
      <c r="F41" s="1" t="s">
        <v>2441</v>
      </c>
    </row>
    <row r="42" spans="1:23" x14ac:dyDescent="0.3">
      <c r="A42" s="1">
        <v>0</v>
      </c>
      <c r="B42" t="s">
        <v>75</v>
      </c>
      <c r="K42" t="str">
        <f>SUBSTITUTE(IF(M40&lt;&gt;"", D1 &amp; " has managed to increase " &amp; M40 &amp; " each year since " &amp; C144, "No positive trends")," , "," ")</f>
        <v>No positive trends</v>
      </c>
      <c r="U42" t="str">
        <f>SUBSTITUTE(IF(W40&lt;&gt;"", D1 &amp; " has managed to increase " &amp; W40 &amp; " each year since " &amp; C144, "No positive trends")," , "," ")</f>
        <v>No positive trends</v>
      </c>
    </row>
    <row r="43" spans="1:23" x14ac:dyDescent="0.3">
      <c r="A43" s="1">
        <v>1</v>
      </c>
      <c r="B43" t="s">
        <v>80</v>
      </c>
    </row>
    <row r="44" spans="1:23" x14ac:dyDescent="0.3">
      <c r="A44" s="1">
        <v>2</v>
      </c>
      <c r="B44" t="s">
        <v>84</v>
      </c>
    </row>
    <row r="45" spans="1:23" x14ac:dyDescent="0.3">
      <c r="A45" s="1">
        <v>3</v>
      </c>
      <c r="B45" t="s">
        <v>89</v>
      </c>
    </row>
    <row r="47" spans="1:23" x14ac:dyDescent="0.3">
      <c r="B47" s="1" t="s">
        <v>94</v>
      </c>
      <c r="C47" s="1" t="s">
        <v>37</v>
      </c>
      <c r="D47" s="1" t="s">
        <v>38</v>
      </c>
      <c r="E47" s="1" t="s">
        <v>39</v>
      </c>
      <c r="F47" s="1" t="s">
        <v>40</v>
      </c>
    </row>
    <row r="48" spans="1:23" x14ac:dyDescent="0.3">
      <c r="A48" s="1">
        <v>0</v>
      </c>
      <c r="B48" t="s">
        <v>95</v>
      </c>
      <c r="E48">
        <v>1.55</v>
      </c>
      <c r="F48">
        <v>2</v>
      </c>
    </row>
    <row r="49" spans="1:14" x14ac:dyDescent="0.3">
      <c r="A49" s="1">
        <v>1</v>
      </c>
      <c r="B49" t="s">
        <v>96</v>
      </c>
      <c r="E49">
        <v>1.55</v>
      </c>
      <c r="F49">
        <v>2</v>
      </c>
    </row>
    <row r="50" spans="1:14" x14ac:dyDescent="0.3">
      <c r="A50" s="1">
        <v>2</v>
      </c>
      <c r="B50" t="s">
        <v>97</v>
      </c>
      <c r="E50">
        <v>1.55</v>
      </c>
      <c r="F50">
        <v>1.97</v>
      </c>
    </row>
    <row r="51" spans="1:14" x14ac:dyDescent="0.3">
      <c r="A51" s="1">
        <v>3</v>
      </c>
      <c r="B51" t="s">
        <v>98</v>
      </c>
      <c r="E51">
        <v>1.51</v>
      </c>
      <c r="F51">
        <v>1.94</v>
      </c>
    </row>
    <row r="52" spans="1:14" x14ac:dyDescent="0.3">
      <c r="A52" s="1">
        <v>4</v>
      </c>
      <c r="B52" t="s">
        <v>99</v>
      </c>
      <c r="E52">
        <v>1.54</v>
      </c>
      <c r="F52">
        <v>1.88</v>
      </c>
    </row>
    <row r="54" spans="1:14" x14ac:dyDescent="0.3">
      <c r="B54" s="1" t="s">
        <v>100</v>
      </c>
      <c r="C54" s="1" t="s">
        <v>37</v>
      </c>
      <c r="D54" s="1" t="s">
        <v>38</v>
      </c>
      <c r="E54" s="1" t="s">
        <v>39</v>
      </c>
      <c r="F54" s="1" t="s">
        <v>40</v>
      </c>
    </row>
    <row r="55" spans="1:14" x14ac:dyDescent="0.3">
      <c r="A55" s="1">
        <v>0</v>
      </c>
      <c r="B55" t="s">
        <v>101</v>
      </c>
    </row>
    <row r="56" spans="1:14" x14ac:dyDescent="0.3">
      <c r="A56" s="1">
        <v>1</v>
      </c>
      <c r="B56" t="s">
        <v>102</v>
      </c>
      <c r="E56">
        <v>1</v>
      </c>
      <c r="F56">
        <v>2</v>
      </c>
    </row>
    <row r="57" spans="1:14" x14ac:dyDescent="0.3">
      <c r="A57" s="1">
        <v>2</v>
      </c>
      <c r="B57" t="s">
        <v>103</v>
      </c>
    </row>
    <row r="58" spans="1:14" x14ac:dyDescent="0.3">
      <c r="A58" s="1">
        <v>3</v>
      </c>
      <c r="B58" t="s">
        <v>104</v>
      </c>
    </row>
    <row r="60" spans="1:14" x14ac:dyDescent="0.3">
      <c r="B60" s="1" t="s">
        <v>105</v>
      </c>
      <c r="C60" s="1" t="s">
        <v>3166</v>
      </c>
      <c r="D60" s="1" t="s">
        <v>107</v>
      </c>
      <c r="E60" s="1" t="s">
        <v>108</v>
      </c>
      <c r="F60" s="1" t="s">
        <v>109</v>
      </c>
      <c r="I60" t="str">
        <f t="shared" ref="I60:I91" si="4">IF(AND(K60&gt; J60, L60&gt; K60, M60&gt; L60, N60&gt; M60), "pos_trend", IF(AND(K60&lt; J60, L60&lt; K60, M60&lt; L60, N60&lt; M60), "neg_trend", "N/A"))</f>
        <v>N/A</v>
      </c>
      <c r="J60" t="str">
        <f t="shared" ref="J60:J91" si="5">IFERROR(IF(TRIM(C60)="-", "N/A", IF(RIGHT(C60,1)=")",IF(RIGHT(C60,2)="T)",-1000000000000*VALUE(MID(C60,2,LEN(C60)-3)),IF(RIGHT(C60,2)="M)",-1000000*VALUE(MID(C60,2,LEN(C60)-3)),IF(RIGHT(C60,2)="B)",-1000000000*VALUE(MID(C60,2,LEN(C60)-3)),IF(RIGHT(C60,2)="k)",-1000*VALUE(MID(C60,2,LEN(C60)-3)),VALUE(SUBSTITUTE(C60,",","")))))),IF(RIGHT(C60,1)="T",1000000000000*VALUE(LEFT(C60,LEN(C60)-1)),IF(RIGHT(C60,1)="M",1000000*VALUE(LEFT(C60,LEN(C60)-1)),IF(RIGHT(C60,1)="B",1000000000*VALUE(LEFT(C60,LEN(C60)-1)),IF(RIGHT(C60,1)="%",0.01*VALUE(LEFT(C60,LEN(C60)-1)),IF(RIGHT(C60,1)="k",1000*VALUE(LEFT(C60,LEN(C60)-1)),VALUE(SUBSTITUTE(C60,",",""))))))))),"N/A")</f>
        <v>N/A</v>
      </c>
      <c r="K60" t="str">
        <f t="shared" ref="K60:K91" si="6">IFERROR(IF(TRIM(D60)="-", "N/A", IF(RIGHT(D60,1)=")",IF(RIGHT(D60,2)="T)",-1000000000000*VALUE(MID(D60,2,LEN(D60)-3)),IF(RIGHT(D60,2)="M)",-1000000*VALUE(MID(D60,2,LEN(D60)-3)),IF(RIGHT(D60,2)="B)",-1000000000*VALUE(MID(D60,2,LEN(D60)-3)),IF(RIGHT(D60,2)="k)",-1000*VALUE(MID(D60,2,LEN(D60)-3)),VALUE(SUBSTITUTE(D60,",","")))))),IF(RIGHT(D60,1)="T",1000000000000*VALUE(LEFT(D60,LEN(D60)-1)),IF(RIGHT(D60,1)="M",1000000*VALUE(LEFT(D60,LEN(D60)-1)),IF(RIGHT(D60,1)="B",1000000000*VALUE(LEFT(D60,LEN(D60)-1)),IF(RIGHT(D60,1)="%",0.01*VALUE(LEFT(D60,LEN(D60)-1)),IF(RIGHT(D60,1)="k",1000*VALUE(LEFT(D60,LEN(D60)-1)),VALUE(SUBSTITUTE(D60,",",""))))))))),"N/A")</f>
        <v>N/A</v>
      </c>
      <c r="L60" t="str">
        <f t="shared" ref="L60:L91" si="7">IFERROR(IF(TRIM(E60)="-", "N/A", IF(RIGHT(E60,1)=")",IF(RIGHT(E60,2)="T)",-1000000000000*VALUE(MID(E60,2,LEN(E60)-3)),IF(RIGHT(E60,2)="M)",-1000000*VALUE(MID(E60,2,LEN(E60)-3)),IF(RIGHT(E60,2)="B)",-1000000000*VALUE(MID(E60,2,LEN(E60)-3)),IF(RIGHT(E60,2)="k)",-1000*VALUE(MID(E60,2,LEN(E60)-3)),VALUE(SUBSTITUTE(E60,",","")))))),IF(RIGHT(E60,1)="T",1000000000000*VALUE(LEFT(E60,LEN(E60)-1)),IF(RIGHT(E60,1)="M",1000000*VALUE(LEFT(E60,LEN(E60)-1)),IF(RIGHT(E60,1)="B",1000000000*VALUE(LEFT(E60,LEN(E60)-1)),IF(RIGHT(E60,1)="%",0.01*VALUE(LEFT(E60,LEN(E60)-1)),IF(RIGHT(E60,1)="k",1000*VALUE(LEFT(E60,LEN(E60)-1)),VALUE(SUBSTITUTE(E60,",",""))))))))),"N/A")</f>
        <v>N/A</v>
      </c>
      <c r="M60" t="str">
        <f t="shared" ref="M60:M91" si="8">IFERROR(IF(TRIM(F60)="-", "N/A", IF(RIGHT(F60,1)=")",IF(RIGHT(F60,2)="T)",-1000000000000*VALUE(MID(F60,2,LEN(F60)-3)),IF(RIGHT(F60,2)="M)",-1000000*VALUE(MID(F60,2,LEN(F60)-3)),IF(RIGHT(F60,2)="B)",-1000000000*VALUE(MID(F60,2,LEN(F60)-3)),IF(RIGHT(F60,2)="k)",-1000*VALUE(MID(F60,2,LEN(F60)-3)),VALUE(SUBSTITUTE(F60,",","")))))),IF(RIGHT(F60,1)="T",1000000000000*VALUE(LEFT(F60,LEN(F60)-1)),IF(RIGHT(F60,1)="M",1000000*VALUE(LEFT(F60,LEN(F60)-1)),IF(RIGHT(F60,1)="B",1000000000*VALUE(LEFT(F60,LEN(F60)-1)),IF(RIGHT(F60,1)="%",0.01*VALUE(LEFT(F60,LEN(F60)-1)),IF(RIGHT(F60,1)="k",1000*VALUE(LEFT(F60,LEN(F60)-1)),VALUE(SUBSTITUTE(F60,",",""))))))))),"N/A")</f>
        <v>N/A</v>
      </c>
      <c r="N60" t="str">
        <f t="shared" ref="N60:N91" si="9">IFERROR(IF(TRIM(G60)="-", "N/A", IF(RIGHT(G60,1)=")",IF(RIGHT(G60,2)="T)",-1000000000000*VALUE(MID(G60,2,LEN(G60)-3)),IF(RIGHT(G60,2)="M)",-1000000*VALUE(MID(G60,2,LEN(G60)-3)),IF(RIGHT(G60,2)="B)",-1000000000*VALUE(MID(G60,2,LEN(G60)-3)),IF(RIGHT(G60,2)="k)",-1000*VALUE(MID(G60,2,LEN(G60)-3)),VALUE(SUBSTITUTE(G60,",","")))))),IF(RIGHT(G60,1)="T",1000000000000*VALUE(LEFT(G60,LEN(G60)-1)),IF(RIGHT(G60,1)="M",1000000*VALUE(LEFT(G60,LEN(G60)-1)),IF(RIGHT(G60,1)="B",1000000000*VALUE(LEFT(G60,LEN(G60)-1)),IF(RIGHT(G60,1)="%",0.01*VALUE(LEFT(G60,LEN(G60)-1)),IF(RIGHT(G60,1)="k",1000*VALUE(LEFT(G60,LEN(G60)-1)),VALUE(SUBSTITUTE(G60,",",""))))))))),"N/A")</f>
        <v>N/A</v>
      </c>
    </row>
    <row r="61" spans="1:14" x14ac:dyDescent="0.3">
      <c r="A61" s="1">
        <v>0</v>
      </c>
      <c r="B61" t="s">
        <v>110</v>
      </c>
      <c r="F61">
        <v>0.18</v>
      </c>
      <c r="I61" t="str">
        <f t="shared" si="4"/>
        <v>N/A</v>
      </c>
      <c r="J61" t="str">
        <f t="shared" si="5"/>
        <v>N/A</v>
      </c>
      <c r="K61" t="str">
        <f t="shared" si="6"/>
        <v>N/A</v>
      </c>
      <c r="L61" t="str">
        <f t="shared" si="7"/>
        <v>N/A</v>
      </c>
      <c r="M61">
        <f t="shared" si="8"/>
        <v>0.18</v>
      </c>
      <c r="N61" t="str">
        <f t="shared" si="9"/>
        <v>N/A</v>
      </c>
    </row>
    <row r="62" spans="1:14" x14ac:dyDescent="0.3">
      <c r="A62" s="1">
        <v>1</v>
      </c>
      <c r="B62" t="s">
        <v>112</v>
      </c>
      <c r="F62">
        <v>0.24</v>
      </c>
      <c r="I62" t="str">
        <f t="shared" si="4"/>
        <v>N/A</v>
      </c>
      <c r="J62" t="str">
        <f t="shared" si="5"/>
        <v>N/A</v>
      </c>
      <c r="K62" t="str">
        <f t="shared" si="6"/>
        <v>N/A</v>
      </c>
      <c r="L62" t="str">
        <f t="shared" si="7"/>
        <v>N/A</v>
      </c>
      <c r="M62">
        <f t="shared" si="8"/>
        <v>0.24</v>
      </c>
      <c r="N62" t="str">
        <f t="shared" si="9"/>
        <v>N/A</v>
      </c>
    </row>
    <row r="63" spans="1:14" x14ac:dyDescent="0.3">
      <c r="A63" s="1">
        <v>2</v>
      </c>
      <c r="B63" t="s">
        <v>114</v>
      </c>
      <c r="C63" t="s">
        <v>3167</v>
      </c>
      <c r="F63">
        <v>0.08</v>
      </c>
      <c r="I63" t="str">
        <f t="shared" si="4"/>
        <v>N/A</v>
      </c>
      <c r="J63">
        <f t="shared" si="5"/>
        <v>0.47600000000000003</v>
      </c>
      <c r="K63" t="str">
        <f t="shared" si="6"/>
        <v>N/A</v>
      </c>
      <c r="L63" t="str">
        <f t="shared" si="7"/>
        <v>N/A</v>
      </c>
      <c r="M63">
        <f t="shared" si="8"/>
        <v>0.08</v>
      </c>
      <c r="N63" t="str">
        <f t="shared" si="9"/>
        <v>N/A</v>
      </c>
    </row>
    <row r="64" spans="1:14" x14ac:dyDescent="0.3">
      <c r="A64" s="1">
        <v>3</v>
      </c>
      <c r="B64" t="s">
        <v>116</v>
      </c>
      <c r="C64" t="s">
        <v>3168</v>
      </c>
      <c r="F64">
        <v>0.12</v>
      </c>
      <c r="I64" t="str">
        <f t="shared" si="4"/>
        <v>N/A</v>
      </c>
      <c r="J64">
        <f t="shared" si="5"/>
        <v>0.28999999999999998</v>
      </c>
      <c r="K64" t="str">
        <f t="shared" si="6"/>
        <v>N/A</v>
      </c>
      <c r="L64" t="str">
        <f t="shared" si="7"/>
        <v>N/A</v>
      </c>
      <c r="M64">
        <f t="shared" si="8"/>
        <v>0.12</v>
      </c>
      <c r="N64" t="str">
        <f t="shared" si="9"/>
        <v>N/A</v>
      </c>
    </row>
    <row r="65" spans="1:14" x14ac:dyDescent="0.3">
      <c r="A65" s="1">
        <v>4</v>
      </c>
      <c r="B65" t="s">
        <v>118</v>
      </c>
      <c r="F65">
        <v>0.1</v>
      </c>
      <c r="I65" t="str">
        <f t="shared" si="4"/>
        <v>N/A</v>
      </c>
      <c r="J65" t="str">
        <f t="shared" si="5"/>
        <v>N/A</v>
      </c>
      <c r="K65" t="str">
        <f t="shared" si="6"/>
        <v>N/A</v>
      </c>
      <c r="L65" t="str">
        <f t="shared" si="7"/>
        <v>N/A</v>
      </c>
      <c r="M65">
        <f t="shared" si="8"/>
        <v>0.1</v>
      </c>
      <c r="N65" t="str">
        <f t="shared" si="9"/>
        <v>N/A</v>
      </c>
    </row>
    <row r="66" spans="1:14" x14ac:dyDescent="0.3">
      <c r="A66" s="1">
        <v>5</v>
      </c>
      <c r="B66" t="s">
        <v>120</v>
      </c>
      <c r="C66" t="s">
        <v>3169</v>
      </c>
      <c r="I66" t="str">
        <f t="shared" si="4"/>
        <v>N/A</v>
      </c>
      <c r="J66">
        <f t="shared" si="5"/>
        <v>0.46409999999999996</v>
      </c>
      <c r="K66" t="str">
        <f t="shared" si="6"/>
        <v>N/A</v>
      </c>
      <c r="L66" t="str">
        <f t="shared" si="7"/>
        <v>N/A</v>
      </c>
      <c r="M66" t="str">
        <f t="shared" si="8"/>
        <v>N/A</v>
      </c>
      <c r="N66" t="str">
        <f t="shared" si="9"/>
        <v>N/A</v>
      </c>
    </row>
    <row r="67" spans="1:14" x14ac:dyDescent="0.3">
      <c r="D67" t="s">
        <v>122</v>
      </c>
      <c r="E67" t="str">
        <f>C1</f>
        <v>FULING POWER (600452.SS)</v>
      </c>
      <c r="I67" t="str">
        <f t="shared" si="4"/>
        <v>N/A</v>
      </c>
      <c r="J67" t="str">
        <f t="shared" si="5"/>
        <v>N/A</v>
      </c>
      <c r="K67" t="str">
        <f t="shared" si="6"/>
        <v>N/A</v>
      </c>
      <c r="L67" t="str">
        <f t="shared" si="7"/>
        <v>N/A</v>
      </c>
      <c r="M67" t="str">
        <f t="shared" si="8"/>
        <v>N/A</v>
      </c>
      <c r="N67" t="str">
        <f t="shared" si="9"/>
        <v>N/A</v>
      </c>
    </row>
    <row r="68" spans="1:14" x14ac:dyDescent="0.3">
      <c r="A68" s="1">
        <v>0</v>
      </c>
      <c r="B68" t="s">
        <v>123</v>
      </c>
      <c r="C68" t="s">
        <v>3157</v>
      </c>
      <c r="D68" t="str">
        <f ca="1">IFERROR(AVERAGE(VALUE(INDIRECT("J"&amp;(MATCH(B68,B69:B500,0)+68))),VALUE(INDIRECT("J"&amp;(MATCH(B68,B69:B500,0)+79))),VALUE(INDIRECT("J"&amp;(MATCH(B68,B69:B500,0)+90))),VALUE(INDIRECT("J"&amp;(MATCH(B68,B69:B500,0)+101)))),"")</f>
        <v/>
      </c>
      <c r="E68" t="str">
        <f t="shared" ref="E68:E76" ca="1" si="10">IFERROR(IF(AND(C68&lt;&gt;"",D68&lt;&gt;0),IF(VALUE(J68)&gt;VALUE(K68),"above average","below average"),"no data"),"no data")</f>
        <v>no data</v>
      </c>
      <c r="I68" t="str">
        <f t="shared" ca="1" si="4"/>
        <v>N/A</v>
      </c>
      <c r="J68">
        <f t="shared" si="5"/>
        <v>6720000000</v>
      </c>
      <c r="K68" t="str">
        <f t="shared" ca="1" si="6"/>
        <v>N/A</v>
      </c>
      <c r="L68" t="str">
        <f t="shared" ca="1" si="7"/>
        <v>N/A</v>
      </c>
      <c r="M68" t="str">
        <f t="shared" si="8"/>
        <v>N/A</v>
      </c>
      <c r="N68" t="str">
        <f t="shared" si="9"/>
        <v>N/A</v>
      </c>
    </row>
    <row r="69" spans="1:14" x14ac:dyDescent="0.3">
      <c r="A69" s="1">
        <v>1</v>
      </c>
      <c r="B69" t="s">
        <v>124</v>
      </c>
      <c r="D69" t="str">
        <f ca="1">IFERROR(AVERAGE(VALUE(INDIRECT("J"&amp;(MATCH(B69,B70:B501,0)+69))),VALUE(INDIRECT("J"&amp;(MATCH(B69,B70:B501,0)+80))),VALUE(INDIRECT("J"&amp;(MATCH(B69,B70:B501,0)+91))),VALUE(INDIRECT("J"&amp;(MATCH(B69,B70:B501,0)+102)))),"")</f>
        <v/>
      </c>
      <c r="E69" t="str">
        <f t="shared" ca="1" si="10"/>
        <v>no data</v>
      </c>
      <c r="I69" t="str">
        <f t="shared" ca="1" si="4"/>
        <v>N/A</v>
      </c>
      <c r="J69" t="str">
        <f t="shared" si="5"/>
        <v>N/A</v>
      </c>
      <c r="K69" t="str">
        <f t="shared" ca="1" si="6"/>
        <v>N/A</v>
      </c>
      <c r="L69" t="str">
        <f t="shared" ca="1" si="7"/>
        <v>N/A</v>
      </c>
      <c r="M69" t="str">
        <f t="shared" si="8"/>
        <v>N/A</v>
      </c>
      <c r="N69" t="str">
        <f t="shared" si="9"/>
        <v>N/A</v>
      </c>
    </row>
    <row r="70" spans="1:14" x14ac:dyDescent="0.3">
      <c r="A70" s="1">
        <v>2</v>
      </c>
      <c r="B70" t="s">
        <v>125</v>
      </c>
      <c r="D70" t="str">
        <f ca="1">IFERROR(AVERAGE(VALUE(INDIRECT("J"&amp;(MATCH(B70,B71:B502,0)+70))),VALUE(INDIRECT("J"&amp;(MATCH(B70,B71:B502,0)+81))),VALUE(INDIRECT("J"&amp;(MATCH(B70,B71:B502,0)+92))),VALUE(INDIRECT("J"&amp;(MATCH(B70,B71:B502,0)+103)))),"")</f>
        <v/>
      </c>
      <c r="E70" t="str">
        <f t="shared" ca="1" si="10"/>
        <v>no data</v>
      </c>
      <c r="F70" t="str">
        <f t="shared" ref="F70:F76" ca="1" si="11">IF(E70="above average",LOWER(TRIM(IF(ISNUMBER(VALUE(RIGHT(B70,1))),REPLACE(B70,LEN(B70),1,""),B70))),"")</f>
        <v/>
      </c>
      <c r="G70" t="str">
        <f ca="1">IFERROR(LEFT(F70,FIND("(",F70) - 2),F70)</f>
        <v/>
      </c>
      <c r="I70" t="str">
        <f t="shared" ca="1" si="4"/>
        <v>N/A</v>
      </c>
      <c r="J70" t="str">
        <f t="shared" si="5"/>
        <v>N/A</v>
      </c>
      <c r="K70" t="str">
        <f t="shared" ca="1" si="6"/>
        <v>N/A</v>
      </c>
      <c r="L70" t="str">
        <f t="shared" ca="1" si="7"/>
        <v>N/A</v>
      </c>
      <c r="M70" t="str">
        <f t="shared" ca="1" si="8"/>
        <v>N/A</v>
      </c>
      <c r="N70" t="str">
        <f t="shared" ca="1" si="9"/>
        <v>N/A</v>
      </c>
    </row>
    <row r="71" spans="1:14" x14ac:dyDescent="0.3">
      <c r="A71" s="1">
        <v>3</v>
      </c>
      <c r="B71" t="s">
        <v>126</v>
      </c>
      <c r="D71" t="str">
        <f ca="1">IFERROR(AVERAGE(VALUE(INDIRECT("J"&amp;(MATCH(B71,B72:B503,0)+71))),VALUE(INDIRECT("J"&amp;(MATCH(B71,B72:B503,0)+82))),VALUE(INDIRECT("J"&amp;(MATCH(B71,B72:B503,0)+93))),VALUE(INDIRECT("J"&amp;(MATCH(B71,B72:B503,0)+104)))),"")</f>
        <v/>
      </c>
      <c r="E71" t="str">
        <f t="shared" ca="1" si="10"/>
        <v>no data</v>
      </c>
      <c r="F71" t="str">
        <f t="shared" ca="1" si="11"/>
        <v/>
      </c>
      <c r="G71" t="str">
        <f t="shared" ref="G71:G76" ca="1" si="12">IF(F71&lt;&gt;"", G70 &amp; ", " &amp; IFERROR(LEFT(F71,FIND("(",F71) - 2),F71),G70)</f>
        <v/>
      </c>
      <c r="I71" t="str">
        <f t="shared" ca="1" si="4"/>
        <v>N/A</v>
      </c>
      <c r="J71" t="str">
        <f t="shared" si="5"/>
        <v>N/A</v>
      </c>
      <c r="K71" t="str">
        <f t="shared" ca="1" si="6"/>
        <v>N/A</v>
      </c>
      <c r="L71" t="str">
        <f t="shared" ca="1" si="7"/>
        <v>N/A</v>
      </c>
      <c r="M71" t="str">
        <f t="shared" ca="1" si="8"/>
        <v>N/A</v>
      </c>
      <c r="N71" t="str">
        <f t="shared" ca="1" si="9"/>
        <v>N/A</v>
      </c>
    </row>
    <row r="72" spans="1:14" x14ac:dyDescent="0.3">
      <c r="A72" s="1">
        <v>4</v>
      </c>
      <c r="B72" t="s">
        <v>128</v>
      </c>
      <c r="D72" t="str">
        <f ca="1">IFERROR(AVERAGE(VALUE(INDIRECT("J"&amp;(MATCH(B72,B73:B504,0)+72))),VALUE(INDIRECT("J"&amp;(MATCH(B72,B73:B504,0)+83))),VALUE(INDIRECT("J"&amp;(MATCH(B72,B73:B504,0)+94))),VALUE(INDIRECT("J"&amp;(MATCH(B72,B73:B504,0)+105)))),"")</f>
        <v/>
      </c>
      <c r="E72" t="str">
        <f t="shared" ca="1" si="10"/>
        <v>no data</v>
      </c>
      <c r="F72" t="str">
        <f t="shared" ca="1" si="11"/>
        <v/>
      </c>
      <c r="G72" t="str">
        <f t="shared" ca="1" si="12"/>
        <v/>
      </c>
      <c r="I72" t="str">
        <f t="shared" ca="1" si="4"/>
        <v>N/A</v>
      </c>
      <c r="J72" t="str">
        <f t="shared" si="5"/>
        <v>N/A</v>
      </c>
      <c r="K72" t="str">
        <f t="shared" ca="1" si="6"/>
        <v>N/A</v>
      </c>
      <c r="L72" t="str">
        <f t="shared" ca="1" si="7"/>
        <v>N/A</v>
      </c>
      <c r="M72" t="str">
        <f t="shared" ca="1" si="8"/>
        <v>N/A</v>
      </c>
      <c r="N72" t="str">
        <f t="shared" ca="1" si="9"/>
        <v>N/A</v>
      </c>
    </row>
    <row r="73" spans="1:14" x14ac:dyDescent="0.3">
      <c r="A73" s="1">
        <v>5</v>
      </c>
      <c r="B73" t="s">
        <v>130</v>
      </c>
      <c r="D73" t="str">
        <f ca="1">IFERROR(AVERAGE(VALUE(INDIRECT("J"&amp;(MATCH(B73,B74:B505,0)+73))),VALUE(INDIRECT("J"&amp;(MATCH(B73,B74:B505,0)+84))),VALUE(INDIRECT("J"&amp;(MATCH(B73,B74:B505,0)+95))),VALUE(INDIRECT("J"&amp;(MATCH(B73,B74:B505,0)+106)))),"")</f>
        <v/>
      </c>
      <c r="E73" t="str">
        <f t="shared" ca="1" si="10"/>
        <v>no data</v>
      </c>
      <c r="F73" t="str">
        <f t="shared" ca="1" si="11"/>
        <v/>
      </c>
      <c r="G73" t="str">
        <f t="shared" ca="1" si="12"/>
        <v/>
      </c>
      <c r="I73" t="str">
        <f t="shared" ca="1" si="4"/>
        <v>N/A</v>
      </c>
      <c r="J73" t="str">
        <f t="shared" si="5"/>
        <v>N/A</v>
      </c>
      <c r="K73" t="str">
        <f t="shared" ca="1" si="6"/>
        <v>N/A</v>
      </c>
      <c r="L73" t="str">
        <f t="shared" ca="1" si="7"/>
        <v>N/A</v>
      </c>
      <c r="M73" t="str">
        <f t="shared" ca="1" si="8"/>
        <v>N/A</v>
      </c>
      <c r="N73" t="str">
        <f t="shared" ca="1" si="9"/>
        <v>N/A</v>
      </c>
    </row>
    <row r="74" spans="1:14" x14ac:dyDescent="0.3">
      <c r="A74" s="1">
        <v>6</v>
      </c>
      <c r="B74" t="s">
        <v>132</v>
      </c>
      <c r="D74" t="str">
        <f ca="1">IFERROR(AVERAGE(VALUE(INDIRECT("J"&amp;(MATCH(B74,B75:B506,0)+74))),VALUE(INDIRECT("J"&amp;(MATCH(B74,B75:B506,0)+85))),VALUE(INDIRECT("J"&amp;(MATCH(B74,B75:B506,0)+96))),VALUE(INDIRECT("J"&amp;(MATCH(B74,B75:B506,0)+107)))),"")</f>
        <v/>
      </c>
      <c r="E74" t="str">
        <f t="shared" ca="1" si="10"/>
        <v>no data</v>
      </c>
      <c r="F74" t="str">
        <f t="shared" ca="1" si="11"/>
        <v/>
      </c>
      <c r="G74" t="str">
        <f t="shared" ca="1" si="12"/>
        <v/>
      </c>
      <c r="I74" t="str">
        <f t="shared" ca="1" si="4"/>
        <v>N/A</v>
      </c>
      <c r="J74" t="str">
        <f t="shared" si="5"/>
        <v>N/A</v>
      </c>
      <c r="K74" t="str">
        <f t="shared" ca="1" si="6"/>
        <v>N/A</v>
      </c>
      <c r="L74" t="str">
        <f t="shared" ca="1" si="7"/>
        <v>N/A</v>
      </c>
      <c r="M74" t="str">
        <f t="shared" ca="1" si="8"/>
        <v>N/A</v>
      </c>
      <c r="N74" t="str">
        <f t="shared" ca="1" si="9"/>
        <v>N/A</v>
      </c>
    </row>
    <row r="75" spans="1:14" x14ac:dyDescent="0.3">
      <c r="A75" s="1">
        <v>7</v>
      </c>
      <c r="B75" t="s">
        <v>134</v>
      </c>
      <c r="D75" t="str">
        <f ca="1">IFERROR(AVERAGE(VALUE(INDIRECT("J"&amp;(MATCH(B75,B76:B507,0)+75))),VALUE(INDIRECT("J"&amp;(MATCH(B75,B76:B507,0)+86))),VALUE(INDIRECT("J"&amp;(MATCH(B75,B76:B507,0)+97))),VALUE(INDIRECT("J"&amp;(MATCH(B75,B76:B507,0)+108)))),"")</f>
        <v/>
      </c>
      <c r="E75" t="str">
        <f t="shared" ca="1" si="10"/>
        <v>no data</v>
      </c>
      <c r="F75" t="str">
        <f t="shared" ca="1" si="11"/>
        <v/>
      </c>
      <c r="G75" t="str">
        <f t="shared" ca="1" si="12"/>
        <v/>
      </c>
      <c r="I75" t="str">
        <f t="shared" ca="1" si="4"/>
        <v>N/A</v>
      </c>
      <c r="J75" t="str">
        <f t="shared" si="5"/>
        <v>N/A</v>
      </c>
      <c r="K75" t="str">
        <f t="shared" ca="1" si="6"/>
        <v>N/A</v>
      </c>
      <c r="L75" t="str">
        <f t="shared" ca="1" si="7"/>
        <v>N/A</v>
      </c>
      <c r="M75" t="str">
        <f t="shared" ca="1" si="8"/>
        <v>N/A</v>
      </c>
      <c r="N75" t="str">
        <f t="shared" ca="1" si="9"/>
        <v>N/A</v>
      </c>
    </row>
    <row r="76" spans="1:14" x14ac:dyDescent="0.3">
      <c r="A76" s="1">
        <v>8</v>
      </c>
      <c r="B76" t="s">
        <v>135</v>
      </c>
      <c r="D76" t="str">
        <f ca="1">IFERROR(AVERAGE(VALUE(INDIRECT("J"&amp;(MATCH(B76,B77:B508,0)+76))),VALUE(INDIRECT("J"&amp;(MATCH(B76,B77:B508,0)+87))),VALUE(INDIRECT("J"&amp;(MATCH(B76,B77:B508,0)+98))),VALUE(INDIRECT("J"&amp;(MATCH(B76,B77:B508,0)+109)))),"")</f>
        <v/>
      </c>
      <c r="E76" t="str">
        <f t="shared" ca="1" si="10"/>
        <v>no data</v>
      </c>
      <c r="F76" t="str">
        <f t="shared" ca="1" si="11"/>
        <v/>
      </c>
      <c r="G76" t="str">
        <f t="shared" ca="1" si="12"/>
        <v/>
      </c>
      <c r="I76" t="str">
        <f t="shared" ca="1" si="4"/>
        <v>N/A</v>
      </c>
      <c r="J76" t="str">
        <f t="shared" si="5"/>
        <v>N/A</v>
      </c>
      <c r="K76" t="str">
        <f t="shared" ca="1" si="6"/>
        <v>N/A</v>
      </c>
      <c r="L76" t="str">
        <f t="shared" ca="1" si="7"/>
        <v>N/A</v>
      </c>
      <c r="M76" t="str">
        <f t="shared" ca="1" si="8"/>
        <v>N/A</v>
      </c>
      <c r="N76" t="str">
        <f t="shared" ca="1" si="9"/>
        <v>N/A</v>
      </c>
    </row>
    <row r="77" spans="1:14" x14ac:dyDescent="0.3">
      <c r="F77" t="str">
        <f ca="1">IF(F76="",IF(F75="",IF(F74="",IF(F73="",IF(F72="",IF(F71="",IFERROR(LEFT(F70,FIND("(",F70) - 2),F70),IFERROR(LEFT(F71,FIND("(",F71) - 2),F71)),IFERROR(LEFT(F72,FIND("(",F72) - 2),F72)),IFERROR(LEFT(F73,FIND("(",F73) - 2),F73)),IFERROR(LEFT(F74,FIND("(",F74) - 2),F74)),IFERROR(LEFT(F75,FIND("(",F75) - 2),F75)),IFERROR(LEFT(F76,FIND("(",F76) - 2),F76))</f>
        <v/>
      </c>
      <c r="G77" t="str">
        <f ca="1">TRIM(IF(LEFT(G76,1)=",",REPLACE(G76,1,1,""),SUBSTITUTE(G76,F77, "and " &amp; F77)))</f>
        <v/>
      </c>
      <c r="I77" t="str">
        <f t="shared" ca="1" si="4"/>
        <v>N/A</v>
      </c>
      <c r="J77" t="str">
        <f t="shared" si="5"/>
        <v>N/A</v>
      </c>
      <c r="K77" t="str">
        <f t="shared" si="6"/>
        <v>N/A</v>
      </c>
      <c r="L77" t="str">
        <f t="shared" si="7"/>
        <v>N/A</v>
      </c>
      <c r="M77" t="str">
        <f t="shared" ca="1" si="8"/>
        <v>N/A</v>
      </c>
      <c r="N77" t="str">
        <f t="shared" ca="1" si="9"/>
        <v>N/A</v>
      </c>
    </row>
    <row r="78" spans="1:14" x14ac:dyDescent="0.3">
      <c r="A78" s="1">
        <v>0</v>
      </c>
      <c r="B78" t="s">
        <v>136</v>
      </c>
      <c r="D78" t="str">
        <f ca="1">IF(COUNTIF(E70:E76,"=above average")&gt;0,"There are some indications that "&amp;D1&amp;" may be overvalued. The company has a higher " &amp; G77 &amp; " than the comparable average", "Inconclusive")</f>
        <v>Inconclusive</v>
      </c>
      <c r="I78" t="str">
        <f t="shared" ca="1" si="4"/>
        <v>N/A</v>
      </c>
      <c r="J78" t="str">
        <f t="shared" si="5"/>
        <v>N/A</v>
      </c>
      <c r="K78" t="str">
        <f t="shared" ca="1" si="6"/>
        <v>N/A</v>
      </c>
      <c r="L78" t="str">
        <f t="shared" si="7"/>
        <v>N/A</v>
      </c>
      <c r="M78" t="str">
        <f t="shared" si="8"/>
        <v>N/A</v>
      </c>
      <c r="N78" t="str">
        <f t="shared" si="9"/>
        <v>N/A</v>
      </c>
    </row>
    <row r="79" spans="1:14" x14ac:dyDescent="0.3">
      <c r="A79" s="1">
        <v>1</v>
      </c>
      <c r="B79" t="s">
        <v>138</v>
      </c>
      <c r="I79" t="str">
        <f t="shared" si="4"/>
        <v>N/A</v>
      </c>
      <c r="J79" t="str">
        <f t="shared" si="5"/>
        <v>N/A</v>
      </c>
      <c r="K79" t="str">
        <f t="shared" si="6"/>
        <v>N/A</v>
      </c>
      <c r="L79" t="str">
        <f t="shared" si="7"/>
        <v>N/A</v>
      </c>
      <c r="M79" t="str">
        <f t="shared" si="8"/>
        <v>N/A</v>
      </c>
      <c r="N79" t="str">
        <f t="shared" si="9"/>
        <v>N/A</v>
      </c>
    </row>
    <row r="80" spans="1:14" x14ac:dyDescent="0.3">
      <c r="I80" t="str">
        <f t="shared" si="4"/>
        <v>N/A</v>
      </c>
      <c r="J80" t="str">
        <f t="shared" si="5"/>
        <v>N/A</v>
      </c>
      <c r="K80" t="str">
        <f t="shared" si="6"/>
        <v>N/A</v>
      </c>
      <c r="L80" t="str">
        <f t="shared" si="7"/>
        <v>N/A</v>
      </c>
      <c r="M80" t="str">
        <f t="shared" si="8"/>
        <v>N/A</v>
      </c>
      <c r="N80" t="str">
        <f t="shared" si="9"/>
        <v>N/A</v>
      </c>
    </row>
    <row r="81" spans="1:14" x14ac:dyDescent="0.3">
      <c r="A81" s="1">
        <v>0</v>
      </c>
      <c r="B81" t="s">
        <v>140</v>
      </c>
      <c r="F81" t="str">
        <f t="shared" ref="F81:F87" ca="1" si="13">IF(E70="below average",LOWER(TRIM(IF(ISNUMBER(VALUE(RIGHT(B70,1))),REPLACE(B70,LEN(B70),1,""),B70))),"")</f>
        <v/>
      </c>
      <c r="G81" t="str">
        <f ca="1">IFERROR(LEFT(F81,FIND("(",F81) - 2),F81)</f>
        <v/>
      </c>
      <c r="I81" t="str">
        <f t="shared" ca="1" si="4"/>
        <v>N/A</v>
      </c>
      <c r="J81" t="str">
        <f t="shared" si="5"/>
        <v>N/A</v>
      </c>
      <c r="K81" t="str">
        <f t="shared" si="6"/>
        <v>N/A</v>
      </c>
      <c r="L81" t="str">
        <f t="shared" si="7"/>
        <v>N/A</v>
      </c>
      <c r="M81" t="str">
        <f t="shared" ca="1" si="8"/>
        <v>N/A</v>
      </c>
      <c r="N81" t="str">
        <f t="shared" ca="1" si="9"/>
        <v>N/A</v>
      </c>
    </row>
    <row r="82" spans="1:14" x14ac:dyDescent="0.3">
      <c r="A82" s="1">
        <v>1</v>
      </c>
      <c r="B82" t="s">
        <v>142</v>
      </c>
      <c r="F82" t="str">
        <f t="shared" ca="1" si="13"/>
        <v/>
      </c>
      <c r="G82" t="str">
        <f t="shared" ref="G82:G87" ca="1" si="14">IF(F82&lt;&gt;"", G81 &amp; ", " &amp; IFERROR(LEFT(F82,FIND("(",F82) - 2),F82),G81)</f>
        <v/>
      </c>
      <c r="I82" t="str">
        <f t="shared" ca="1" si="4"/>
        <v>N/A</v>
      </c>
      <c r="J82" t="str">
        <f t="shared" si="5"/>
        <v>N/A</v>
      </c>
      <c r="K82" t="str">
        <f t="shared" si="6"/>
        <v>N/A</v>
      </c>
      <c r="L82" t="str">
        <f t="shared" si="7"/>
        <v>N/A</v>
      </c>
      <c r="M82" t="str">
        <f t="shared" ca="1" si="8"/>
        <v>N/A</v>
      </c>
      <c r="N82" t="str">
        <f t="shared" ca="1" si="9"/>
        <v>N/A</v>
      </c>
    </row>
    <row r="83" spans="1:14" x14ac:dyDescent="0.3">
      <c r="F83" t="str">
        <f t="shared" ca="1" si="13"/>
        <v/>
      </c>
      <c r="G83" t="str">
        <f t="shared" ca="1" si="14"/>
        <v/>
      </c>
      <c r="I83" t="str">
        <f t="shared" ca="1" si="4"/>
        <v>N/A</v>
      </c>
      <c r="J83" t="str">
        <f t="shared" si="5"/>
        <v>N/A</v>
      </c>
      <c r="K83" t="str">
        <f t="shared" si="6"/>
        <v>N/A</v>
      </c>
      <c r="L83" t="str">
        <f t="shared" si="7"/>
        <v>N/A</v>
      </c>
      <c r="M83" t="str">
        <f t="shared" ca="1" si="8"/>
        <v>N/A</v>
      </c>
      <c r="N83" t="str">
        <f t="shared" ca="1" si="9"/>
        <v>N/A</v>
      </c>
    </row>
    <row r="84" spans="1:14" x14ac:dyDescent="0.3">
      <c r="A84" s="1">
        <v>0</v>
      </c>
      <c r="B84" t="s">
        <v>144</v>
      </c>
      <c r="F84" t="str">
        <f t="shared" ca="1" si="13"/>
        <v/>
      </c>
      <c r="G84" t="str">
        <f t="shared" ca="1" si="14"/>
        <v/>
      </c>
      <c r="I84" t="str">
        <f t="shared" ca="1" si="4"/>
        <v>N/A</v>
      </c>
      <c r="J84" t="str">
        <f t="shared" si="5"/>
        <v>N/A</v>
      </c>
      <c r="K84" t="str">
        <f t="shared" si="6"/>
        <v>N/A</v>
      </c>
      <c r="L84" t="str">
        <f t="shared" si="7"/>
        <v>N/A</v>
      </c>
      <c r="M84" t="str">
        <f t="shared" ca="1" si="8"/>
        <v>N/A</v>
      </c>
      <c r="N84" t="str">
        <f t="shared" ca="1" si="9"/>
        <v>N/A</v>
      </c>
    </row>
    <row r="85" spans="1:14" x14ac:dyDescent="0.3">
      <c r="A85" s="1">
        <v>1</v>
      </c>
      <c r="B85" t="s">
        <v>146</v>
      </c>
      <c r="F85" t="str">
        <f t="shared" ca="1" si="13"/>
        <v/>
      </c>
      <c r="G85" t="str">
        <f t="shared" ca="1" si="14"/>
        <v/>
      </c>
      <c r="I85" t="str">
        <f t="shared" ca="1" si="4"/>
        <v>N/A</v>
      </c>
      <c r="J85" t="str">
        <f t="shared" si="5"/>
        <v>N/A</v>
      </c>
      <c r="K85" t="str">
        <f t="shared" si="6"/>
        <v>N/A</v>
      </c>
      <c r="L85" t="str">
        <f t="shared" si="7"/>
        <v>N/A</v>
      </c>
      <c r="M85" t="str">
        <f t="shared" ca="1" si="8"/>
        <v>N/A</v>
      </c>
      <c r="N85" t="str">
        <f t="shared" ca="1" si="9"/>
        <v>N/A</v>
      </c>
    </row>
    <row r="86" spans="1:14" x14ac:dyDescent="0.3">
      <c r="F86" t="str">
        <f t="shared" ca="1" si="13"/>
        <v/>
      </c>
      <c r="G86" t="str">
        <f t="shared" ca="1" si="14"/>
        <v/>
      </c>
      <c r="I86" t="str">
        <f t="shared" ca="1" si="4"/>
        <v>N/A</v>
      </c>
      <c r="J86" t="str">
        <f t="shared" si="5"/>
        <v>N/A</v>
      </c>
      <c r="K86" t="str">
        <f t="shared" si="6"/>
        <v>N/A</v>
      </c>
      <c r="L86" t="str">
        <f t="shared" si="7"/>
        <v>N/A</v>
      </c>
      <c r="M86" t="str">
        <f t="shared" ca="1" si="8"/>
        <v>N/A</v>
      </c>
      <c r="N86" t="str">
        <f t="shared" ca="1" si="9"/>
        <v>N/A</v>
      </c>
    </row>
    <row r="87" spans="1:14" x14ac:dyDescent="0.3">
      <c r="A87" s="1">
        <v>0</v>
      </c>
      <c r="B87" t="s">
        <v>148</v>
      </c>
      <c r="F87" t="str">
        <f t="shared" ca="1" si="13"/>
        <v/>
      </c>
      <c r="G87" t="str">
        <f t="shared" ca="1" si="14"/>
        <v/>
      </c>
      <c r="I87" t="str">
        <f t="shared" ca="1" si="4"/>
        <v>N/A</v>
      </c>
      <c r="J87" t="str">
        <f t="shared" si="5"/>
        <v>N/A</v>
      </c>
      <c r="K87" t="str">
        <f t="shared" si="6"/>
        <v>N/A</v>
      </c>
      <c r="L87" t="str">
        <f t="shared" si="7"/>
        <v>N/A</v>
      </c>
      <c r="M87" t="str">
        <f t="shared" ca="1" si="8"/>
        <v>N/A</v>
      </c>
      <c r="N87" t="str">
        <f t="shared" ca="1" si="9"/>
        <v>N/A</v>
      </c>
    </row>
    <row r="88" spans="1:14" x14ac:dyDescent="0.3">
      <c r="A88" s="1">
        <v>1</v>
      </c>
      <c r="B88" t="s">
        <v>150</v>
      </c>
      <c r="F88" t="str">
        <f ca="1">IF(F87="",IF(F86="",IF(F85="",IF(F84="",IF(F83="",IF(F82="",IFERROR(LEFT(F81,FIND("(",F81) - 2),F81),IFERROR(LEFT(F82,FIND("(",F82) - 2),F82)),IFERROR(LEFT(F83,FIND("(",F83) - 2),F83)),IFERROR(LEFT(F84,FIND("(",F84) - 2),F84)),IFERROR(LEFT(F85,FIND("(",F85) - 2),F85)),IFERROR(LEFT(F86,FIND("(",F86) - 2),F86)),IFERROR(LEFT(F87,FIND("(",F87) - 2),F87))</f>
        <v/>
      </c>
      <c r="G88" t="str">
        <f ca="1">TRIM(IF(LEFT(G87,1)=",",REPLACE(G87,1,1,""),SUBSTITUTE(G87,F88, "and " &amp; F88)))</f>
        <v/>
      </c>
      <c r="I88" t="str">
        <f t="shared" ca="1" si="4"/>
        <v>N/A</v>
      </c>
      <c r="J88" t="str">
        <f t="shared" si="5"/>
        <v>N/A</v>
      </c>
      <c r="K88" t="str">
        <f t="shared" si="6"/>
        <v>N/A</v>
      </c>
      <c r="L88" t="str">
        <f t="shared" si="7"/>
        <v>N/A</v>
      </c>
      <c r="M88" t="str">
        <f t="shared" ca="1" si="8"/>
        <v>N/A</v>
      </c>
      <c r="N88" t="str">
        <f t="shared" ca="1" si="9"/>
        <v>N/A</v>
      </c>
    </row>
    <row r="89" spans="1:14" x14ac:dyDescent="0.3">
      <c r="A89" s="1">
        <v>2</v>
      </c>
      <c r="B89" t="s">
        <v>152</v>
      </c>
      <c r="D89" t="str">
        <f ca="1">IF(COUNTIF(E70:E76,"=below average")&gt;0,"There are some indications that "&amp;D1&amp;" may be undervalued. The company has a lower " &amp; G88 &amp; " than the comparable average", "Inconclusive")</f>
        <v>Inconclusive</v>
      </c>
      <c r="I89" t="str">
        <f t="shared" ca="1" si="4"/>
        <v>N/A</v>
      </c>
      <c r="J89" t="str">
        <f t="shared" si="5"/>
        <v>N/A</v>
      </c>
      <c r="K89" t="str">
        <f t="shared" ca="1" si="6"/>
        <v>N/A</v>
      </c>
      <c r="L89" t="str">
        <f t="shared" si="7"/>
        <v>N/A</v>
      </c>
      <c r="M89" t="str">
        <f t="shared" si="8"/>
        <v>N/A</v>
      </c>
      <c r="N89" t="str">
        <f t="shared" si="9"/>
        <v>N/A</v>
      </c>
    </row>
    <row r="90" spans="1:14" x14ac:dyDescent="0.3">
      <c r="A90" s="1">
        <v>3</v>
      </c>
      <c r="B90" t="s">
        <v>154</v>
      </c>
      <c r="I90" t="str">
        <f t="shared" si="4"/>
        <v>N/A</v>
      </c>
      <c r="J90" t="str">
        <f t="shared" si="5"/>
        <v>N/A</v>
      </c>
      <c r="K90" t="str">
        <f t="shared" si="6"/>
        <v>N/A</v>
      </c>
      <c r="L90" t="str">
        <f t="shared" si="7"/>
        <v>N/A</v>
      </c>
      <c r="M90" t="str">
        <f t="shared" si="8"/>
        <v>N/A</v>
      </c>
      <c r="N90" t="str">
        <f t="shared" si="9"/>
        <v>N/A</v>
      </c>
    </row>
    <row r="91" spans="1:14" x14ac:dyDescent="0.3">
      <c r="A91" s="1">
        <v>4</v>
      </c>
      <c r="B91" t="s">
        <v>156</v>
      </c>
      <c r="I91" t="str">
        <f t="shared" si="4"/>
        <v>N/A</v>
      </c>
      <c r="J91" t="str">
        <f t="shared" si="5"/>
        <v>N/A</v>
      </c>
      <c r="K91" t="str">
        <f t="shared" si="6"/>
        <v>N/A</v>
      </c>
      <c r="L91" t="str">
        <f t="shared" si="7"/>
        <v>N/A</v>
      </c>
      <c r="M91" t="str">
        <f t="shared" si="8"/>
        <v>N/A</v>
      </c>
      <c r="N91" t="str">
        <f t="shared" si="9"/>
        <v>N/A</v>
      </c>
    </row>
    <row r="92" spans="1:14" x14ac:dyDescent="0.3">
      <c r="A92" s="1">
        <v>5</v>
      </c>
      <c r="B92" t="s">
        <v>158</v>
      </c>
      <c r="I92" t="str">
        <f t="shared" ref="I92:I123" si="15">IF(AND(K92&gt; J92, L92&gt; K92, M92&gt; L92, N92&gt; M92), "pos_trend", IF(AND(K92&lt; J92, L92&lt; K92, M92&lt; L92, N92&lt; M92), "neg_trend", "N/A"))</f>
        <v>N/A</v>
      </c>
      <c r="J92" t="str">
        <f t="shared" ref="J92:J123" si="16">IFERROR(IF(TRIM(C92)="-", "N/A", IF(RIGHT(C92,1)=")",IF(RIGHT(C92,2)="T)",-1000000000000*VALUE(MID(C92,2,LEN(C92)-3)),IF(RIGHT(C92,2)="M)",-1000000*VALUE(MID(C92,2,LEN(C92)-3)),IF(RIGHT(C92,2)="B)",-1000000000*VALUE(MID(C92,2,LEN(C92)-3)),IF(RIGHT(C92,2)="k)",-1000*VALUE(MID(C92,2,LEN(C92)-3)),VALUE(SUBSTITUTE(C92,",","")))))),IF(RIGHT(C92,1)="T",1000000000000*VALUE(LEFT(C92,LEN(C92)-1)),IF(RIGHT(C92,1)="M",1000000*VALUE(LEFT(C92,LEN(C92)-1)),IF(RIGHT(C92,1)="B",1000000000*VALUE(LEFT(C92,LEN(C92)-1)),IF(RIGHT(C92,1)="%",0.01*VALUE(LEFT(C92,LEN(C92)-1)),IF(RIGHT(C92,1)="k",1000*VALUE(LEFT(C92,LEN(C92)-1)),VALUE(SUBSTITUTE(C92,",",""))))))))),"N/A")</f>
        <v>N/A</v>
      </c>
      <c r="K92" t="str">
        <f t="shared" ref="K92:K123" si="17">IFERROR(IF(TRIM(D92)="-", "N/A", IF(RIGHT(D92,1)=")",IF(RIGHT(D92,2)="T)",-1000000000000*VALUE(MID(D92,2,LEN(D92)-3)),IF(RIGHT(D92,2)="M)",-1000000*VALUE(MID(D92,2,LEN(D92)-3)),IF(RIGHT(D92,2)="B)",-1000000000*VALUE(MID(D92,2,LEN(D92)-3)),IF(RIGHT(D92,2)="k)",-1000*VALUE(MID(D92,2,LEN(D92)-3)),VALUE(SUBSTITUTE(D92,",","")))))),IF(RIGHT(D92,1)="T",1000000000000*VALUE(LEFT(D92,LEN(D92)-1)),IF(RIGHT(D92,1)="M",1000000*VALUE(LEFT(D92,LEN(D92)-1)),IF(RIGHT(D92,1)="B",1000000000*VALUE(LEFT(D92,LEN(D92)-1)),IF(RIGHT(D92,1)="%",0.01*VALUE(LEFT(D92,LEN(D92)-1)),IF(RIGHT(D92,1)="k",1000*VALUE(LEFT(D92,LEN(D92)-1)),VALUE(SUBSTITUTE(D92,",",""))))))))),"N/A")</f>
        <v>N/A</v>
      </c>
      <c r="L92" t="str">
        <f t="shared" ref="L92:L123" si="18">IFERROR(IF(TRIM(E92)="-", "N/A", IF(RIGHT(E92,1)=")",IF(RIGHT(E92,2)="T)",-1000000000000*VALUE(MID(E92,2,LEN(E92)-3)),IF(RIGHT(E92,2)="M)",-1000000*VALUE(MID(E92,2,LEN(E92)-3)),IF(RIGHT(E92,2)="B)",-1000000000*VALUE(MID(E92,2,LEN(E92)-3)),IF(RIGHT(E92,2)="k)",-1000*VALUE(MID(E92,2,LEN(E92)-3)),VALUE(SUBSTITUTE(E92,",","")))))),IF(RIGHT(E92,1)="T",1000000000000*VALUE(LEFT(E92,LEN(E92)-1)),IF(RIGHT(E92,1)="M",1000000*VALUE(LEFT(E92,LEN(E92)-1)),IF(RIGHT(E92,1)="B",1000000000*VALUE(LEFT(E92,LEN(E92)-1)),IF(RIGHT(E92,1)="%",0.01*VALUE(LEFT(E92,LEN(E92)-1)),IF(RIGHT(E92,1)="k",1000*VALUE(LEFT(E92,LEN(E92)-1)),VALUE(SUBSTITUTE(E92,",",""))))))))),"N/A")</f>
        <v>N/A</v>
      </c>
      <c r="M92" t="str">
        <f t="shared" ref="M92:M123" si="19">IFERROR(IF(TRIM(F92)="-", "N/A", IF(RIGHT(F92,1)=")",IF(RIGHT(F92,2)="T)",-1000000000000*VALUE(MID(F92,2,LEN(F92)-3)),IF(RIGHT(F92,2)="M)",-1000000*VALUE(MID(F92,2,LEN(F92)-3)),IF(RIGHT(F92,2)="B)",-1000000000*VALUE(MID(F92,2,LEN(F92)-3)),IF(RIGHT(F92,2)="k)",-1000*VALUE(MID(F92,2,LEN(F92)-3)),VALUE(SUBSTITUTE(F92,",","")))))),IF(RIGHT(F92,1)="T",1000000000000*VALUE(LEFT(F92,LEN(F92)-1)),IF(RIGHT(F92,1)="M",1000000*VALUE(LEFT(F92,LEN(F92)-1)),IF(RIGHT(F92,1)="B",1000000000*VALUE(LEFT(F92,LEN(F92)-1)),IF(RIGHT(F92,1)="%",0.01*VALUE(LEFT(F92,LEN(F92)-1)),IF(RIGHT(F92,1)="k",1000*VALUE(LEFT(F92,LEN(F92)-1)),VALUE(SUBSTITUTE(F92,",",""))))))))),"N/A")</f>
        <v>N/A</v>
      </c>
      <c r="N92" t="str">
        <f t="shared" ref="N92:N123" si="20">IFERROR(IF(TRIM(G92)="-", "N/A", IF(RIGHT(G92,1)=")",IF(RIGHT(G92,2)="T)",-1000000000000*VALUE(MID(G92,2,LEN(G92)-3)),IF(RIGHT(G92,2)="M)",-1000000*VALUE(MID(G92,2,LEN(G92)-3)),IF(RIGHT(G92,2)="B)",-1000000000*VALUE(MID(G92,2,LEN(G92)-3)),IF(RIGHT(G92,2)="k)",-1000*VALUE(MID(G92,2,LEN(G92)-3)),VALUE(SUBSTITUTE(G92,",","")))))),IF(RIGHT(G92,1)="T",1000000000000*VALUE(LEFT(G92,LEN(G92)-1)),IF(RIGHT(G92,1)="M",1000000*VALUE(LEFT(G92,LEN(G92)-1)),IF(RIGHT(G92,1)="B",1000000000*VALUE(LEFT(G92,LEN(G92)-1)),IF(RIGHT(G92,1)="%",0.01*VALUE(LEFT(G92,LEN(G92)-1)),IF(RIGHT(G92,1)="k",1000*VALUE(LEFT(G92,LEN(G92)-1)),VALUE(SUBSTITUTE(G92,",",""))))))))),"N/A")</f>
        <v>N/A</v>
      </c>
    </row>
    <row r="93" spans="1:14" x14ac:dyDescent="0.3">
      <c r="A93" s="1">
        <v>6</v>
      </c>
      <c r="B93" t="s">
        <v>160</v>
      </c>
      <c r="I93" t="str">
        <f t="shared" si="15"/>
        <v>N/A</v>
      </c>
      <c r="J93" t="str">
        <f t="shared" si="16"/>
        <v>N/A</v>
      </c>
      <c r="K93" t="str">
        <f t="shared" si="17"/>
        <v>N/A</v>
      </c>
      <c r="L93" t="str">
        <f t="shared" si="18"/>
        <v>N/A</v>
      </c>
      <c r="M93" t="str">
        <f t="shared" si="19"/>
        <v>N/A</v>
      </c>
      <c r="N93" t="str">
        <f t="shared" si="20"/>
        <v>N/A</v>
      </c>
    </row>
    <row r="94" spans="1:14" x14ac:dyDescent="0.3">
      <c r="A94" s="1">
        <v>7</v>
      </c>
      <c r="B94" t="s">
        <v>161</v>
      </c>
      <c r="I94" t="str">
        <f t="shared" si="15"/>
        <v>N/A</v>
      </c>
      <c r="J94" t="str">
        <f t="shared" si="16"/>
        <v>N/A</v>
      </c>
      <c r="K94" t="str">
        <f t="shared" si="17"/>
        <v>N/A</v>
      </c>
      <c r="L94" t="str">
        <f t="shared" si="18"/>
        <v>N/A</v>
      </c>
      <c r="M94" t="str">
        <f t="shared" si="19"/>
        <v>N/A</v>
      </c>
      <c r="N94" t="str">
        <f t="shared" si="20"/>
        <v>N/A</v>
      </c>
    </row>
    <row r="95" spans="1:14" x14ac:dyDescent="0.3">
      <c r="I95" t="str">
        <f t="shared" si="15"/>
        <v>N/A</v>
      </c>
      <c r="J95" t="str">
        <f t="shared" si="16"/>
        <v>N/A</v>
      </c>
      <c r="K95" t="str">
        <f t="shared" si="17"/>
        <v>N/A</v>
      </c>
      <c r="L95" t="str">
        <f t="shared" si="18"/>
        <v>N/A</v>
      </c>
      <c r="M95" t="str">
        <f t="shared" si="19"/>
        <v>N/A</v>
      </c>
      <c r="N95" t="str">
        <f t="shared" si="20"/>
        <v>N/A</v>
      </c>
    </row>
    <row r="96" spans="1:14" x14ac:dyDescent="0.3">
      <c r="A96" s="1">
        <v>0</v>
      </c>
      <c r="B96" t="s">
        <v>163</v>
      </c>
      <c r="I96" t="str">
        <f t="shared" si="15"/>
        <v>N/A</v>
      </c>
      <c r="J96" t="str">
        <f t="shared" si="16"/>
        <v>N/A</v>
      </c>
      <c r="K96" t="str">
        <f t="shared" si="17"/>
        <v>N/A</v>
      </c>
      <c r="L96" t="str">
        <f t="shared" si="18"/>
        <v>N/A</v>
      </c>
      <c r="M96" t="str">
        <f t="shared" si="19"/>
        <v>N/A</v>
      </c>
      <c r="N96" t="str">
        <f t="shared" si="20"/>
        <v>N/A</v>
      </c>
    </row>
    <row r="97" spans="1:14" x14ac:dyDescent="0.3">
      <c r="A97" s="1">
        <v>1</v>
      </c>
      <c r="B97" t="s">
        <v>165</v>
      </c>
      <c r="I97" t="str">
        <f t="shared" si="15"/>
        <v>N/A</v>
      </c>
      <c r="J97" t="str">
        <f t="shared" si="16"/>
        <v>N/A</v>
      </c>
      <c r="K97" t="str">
        <f t="shared" si="17"/>
        <v>N/A</v>
      </c>
      <c r="L97" t="str">
        <f t="shared" si="18"/>
        <v>N/A</v>
      </c>
      <c r="M97" t="str">
        <f t="shared" si="19"/>
        <v>N/A</v>
      </c>
      <c r="N97" t="str">
        <f t="shared" si="20"/>
        <v>N/A</v>
      </c>
    </row>
    <row r="98" spans="1:14" x14ac:dyDescent="0.3">
      <c r="A98" s="1">
        <v>2</v>
      </c>
      <c r="B98" t="s">
        <v>167</v>
      </c>
      <c r="I98" t="str">
        <f t="shared" si="15"/>
        <v>N/A</v>
      </c>
      <c r="J98" t="str">
        <f t="shared" si="16"/>
        <v>N/A</v>
      </c>
      <c r="K98" t="str">
        <f t="shared" si="17"/>
        <v>N/A</v>
      </c>
      <c r="L98" t="str">
        <f t="shared" si="18"/>
        <v>N/A</v>
      </c>
      <c r="M98" t="str">
        <f t="shared" si="19"/>
        <v>N/A</v>
      </c>
      <c r="N98" t="str">
        <f t="shared" si="20"/>
        <v>N/A</v>
      </c>
    </row>
    <row r="99" spans="1:14" x14ac:dyDescent="0.3">
      <c r="A99" s="1">
        <v>3</v>
      </c>
      <c r="B99" t="s">
        <v>169</v>
      </c>
      <c r="I99" t="str">
        <f t="shared" si="15"/>
        <v>N/A</v>
      </c>
      <c r="J99" t="str">
        <f t="shared" si="16"/>
        <v>N/A</v>
      </c>
      <c r="K99" t="str">
        <f t="shared" si="17"/>
        <v>N/A</v>
      </c>
      <c r="L99" t="str">
        <f t="shared" si="18"/>
        <v>N/A</v>
      </c>
      <c r="M99" t="str">
        <f t="shared" si="19"/>
        <v>N/A</v>
      </c>
      <c r="N99" t="str">
        <f t="shared" si="20"/>
        <v>N/A</v>
      </c>
    </row>
    <row r="100" spans="1:14" x14ac:dyDescent="0.3">
      <c r="A100" s="1">
        <v>4</v>
      </c>
      <c r="B100" t="s">
        <v>171</v>
      </c>
      <c r="I100" t="str">
        <f t="shared" si="15"/>
        <v>N/A</v>
      </c>
      <c r="J100" t="str">
        <f t="shared" si="16"/>
        <v>N/A</v>
      </c>
      <c r="K100" t="str">
        <f t="shared" si="17"/>
        <v>N/A</v>
      </c>
      <c r="L100" t="str">
        <f t="shared" si="18"/>
        <v>N/A</v>
      </c>
      <c r="M100" t="str">
        <f t="shared" si="19"/>
        <v>N/A</v>
      </c>
      <c r="N100" t="str">
        <f t="shared" si="20"/>
        <v>N/A</v>
      </c>
    </row>
    <row r="101" spans="1:14" x14ac:dyDescent="0.3">
      <c r="A101" s="1">
        <v>5</v>
      </c>
      <c r="B101" t="s">
        <v>173</v>
      </c>
      <c r="I101" t="str">
        <f t="shared" si="15"/>
        <v>N/A</v>
      </c>
      <c r="J101" t="str">
        <f t="shared" si="16"/>
        <v>N/A</v>
      </c>
      <c r="K101" t="str">
        <f t="shared" si="17"/>
        <v>N/A</v>
      </c>
      <c r="L101" t="str">
        <f t="shared" si="18"/>
        <v>N/A</v>
      </c>
      <c r="M101" t="str">
        <f t="shared" si="19"/>
        <v>N/A</v>
      </c>
      <c r="N101" t="str">
        <f t="shared" si="20"/>
        <v>N/A</v>
      </c>
    </row>
    <row r="102" spans="1:14" x14ac:dyDescent="0.3">
      <c r="I102" t="str">
        <f t="shared" si="15"/>
        <v>N/A</v>
      </c>
      <c r="J102" t="str">
        <f t="shared" si="16"/>
        <v>N/A</v>
      </c>
      <c r="K102" t="str">
        <f t="shared" si="17"/>
        <v>N/A</v>
      </c>
      <c r="L102" t="str">
        <f t="shared" si="18"/>
        <v>N/A</v>
      </c>
      <c r="M102" t="str">
        <f t="shared" si="19"/>
        <v>N/A</v>
      </c>
      <c r="N102" t="str">
        <f t="shared" si="20"/>
        <v>N/A</v>
      </c>
    </row>
    <row r="103" spans="1:14" x14ac:dyDescent="0.3">
      <c r="A103" s="1">
        <v>0</v>
      </c>
      <c r="B103" t="s">
        <v>175</v>
      </c>
      <c r="I103" t="str">
        <f t="shared" si="15"/>
        <v>N/A</v>
      </c>
      <c r="J103" t="str">
        <f t="shared" si="16"/>
        <v>N/A</v>
      </c>
      <c r="K103" t="str">
        <f t="shared" si="17"/>
        <v>N/A</v>
      </c>
      <c r="L103" t="str">
        <f t="shared" si="18"/>
        <v>N/A</v>
      </c>
      <c r="M103" t="str">
        <f t="shared" si="19"/>
        <v>N/A</v>
      </c>
      <c r="N103" t="str">
        <f t="shared" si="20"/>
        <v>N/A</v>
      </c>
    </row>
    <row r="104" spans="1:14" x14ac:dyDescent="0.3">
      <c r="A104" s="1">
        <v>1</v>
      </c>
      <c r="B104" t="s">
        <v>177</v>
      </c>
      <c r="I104" t="str">
        <f t="shared" si="15"/>
        <v>N/A</v>
      </c>
      <c r="J104" t="str">
        <f t="shared" si="16"/>
        <v>N/A</v>
      </c>
      <c r="K104" t="str">
        <f t="shared" si="17"/>
        <v>N/A</v>
      </c>
      <c r="L104" t="str">
        <f t="shared" si="18"/>
        <v>N/A</v>
      </c>
      <c r="M104" t="str">
        <f t="shared" si="19"/>
        <v>N/A</v>
      </c>
      <c r="N104" t="str">
        <f t="shared" si="20"/>
        <v>N/A</v>
      </c>
    </row>
    <row r="105" spans="1:14" x14ac:dyDescent="0.3">
      <c r="I105" t="str">
        <f t="shared" si="15"/>
        <v>N/A</v>
      </c>
      <c r="J105" t="str">
        <f t="shared" si="16"/>
        <v>N/A</v>
      </c>
      <c r="K105" t="str">
        <f t="shared" si="17"/>
        <v>N/A</v>
      </c>
      <c r="L105" t="str">
        <f t="shared" si="18"/>
        <v>N/A</v>
      </c>
      <c r="M105" t="str">
        <f t="shared" si="19"/>
        <v>N/A</v>
      </c>
      <c r="N105" t="str">
        <f t="shared" si="20"/>
        <v>N/A</v>
      </c>
    </row>
    <row r="106" spans="1:14" x14ac:dyDescent="0.3">
      <c r="A106" s="1">
        <v>0</v>
      </c>
      <c r="B106" t="s">
        <v>22</v>
      </c>
      <c r="I106" t="str">
        <f t="shared" si="15"/>
        <v>N/A</v>
      </c>
      <c r="J106" t="str">
        <f t="shared" si="16"/>
        <v>N/A</v>
      </c>
      <c r="K106" t="str">
        <f t="shared" si="17"/>
        <v>N/A</v>
      </c>
      <c r="L106" t="str">
        <f t="shared" si="18"/>
        <v>N/A</v>
      </c>
      <c r="M106" t="str">
        <f t="shared" si="19"/>
        <v>N/A</v>
      </c>
      <c r="N106" t="str">
        <f t="shared" si="20"/>
        <v>N/A</v>
      </c>
    </row>
    <row r="107" spans="1:14" x14ac:dyDescent="0.3">
      <c r="A107" s="1">
        <v>1</v>
      </c>
      <c r="B107" t="s">
        <v>179</v>
      </c>
      <c r="I107" t="str">
        <f t="shared" si="15"/>
        <v>N/A</v>
      </c>
      <c r="J107" t="str">
        <f t="shared" si="16"/>
        <v>N/A</v>
      </c>
      <c r="K107" t="str">
        <f t="shared" si="17"/>
        <v>N/A</v>
      </c>
      <c r="L107" t="str">
        <f t="shared" si="18"/>
        <v>N/A</v>
      </c>
      <c r="M107" t="str">
        <f t="shared" si="19"/>
        <v>N/A</v>
      </c>
      <c r="N107" t="str">
        <f t="shared" si="20"/>
        <v>N/A</v>
      </c>
    </row>
    <row r="108" spans="1:14" x14ac:dyDescent="0.3">
      <c r="A108" s="1">
        <v>2</v>
      </c>
      <c r="B108" t="s">
        <v>181</v>
      </c>
      <c r="I108" t="str">
        <f t="shared" si="15"/>
        <v>N/A</v>
      </c>
      <c r="J108" t="str">
        <f t="shared" si="16"/>
        <v>N/A</v>
      </c>
      <c r="K108" t="str">
        <f t="shared" si="17"/>
        <v>N/A</v>
      </c>
      <c r="L108" t="str">
        <f t="shared" si="18"/>
        <v>N/A</v>
      </c>
      <c r="M108" t="str">
        <f t="shared" si="19"/>
        <v>N/A</v>
      </c>
      <c r="N108" t="str">
        <f t="shared" si="20"/>
        <v>N/A</v>
      </c>
    </row>
    <row r="109" spans="1:14" x14ac:dyDescent="0.3">
      <c r="A109" s="1">
        <v>3</v>
      </c>
      <c r="B109" t="s">
        <v>183</v>
      </c>
      <c r="C109">
        <v>55.55</v>
      </c>
      <c r="I109" t="str">
        <f t="shared" si="15"/>
        <v>N/A</v>
      </c>
      <c r="J109">
        <f t="shared" si="16"/>
        <v>55.55</v>
      </c>
      <c r="K109" t="str">
        <f t="shared" si="17"/>
        <v>N/A</v>
      </c>
      <c r="L109" t="str">
        <f t="shared" si="18"/>
        <v>N/A</v>
      </c>
      <c r="M109" t="str">
        <f t="shared" si="19"/>
        <v>N/A</v>
      </c>
      <c r="N109" t="str">
        <f t="shared" si="20"/>
        <v>N/A</v>
      </c>
    </row>
    <row r="110" spans="1:14" x14ac:dyDescent="0.3">
      <c r="A110" s="1">
        <v>4</v>
      </c>
      <c r="B110" t="s">
        <v>185</v>
      </c>
      <c r="C110">
        <v>31.03</v>
      </c>
      <c r="I110" t="str">
        <f t="shared" si="15"/>
        <v>N/A</v>
      </c>
      <c r="J110">
        <f t="shared" si="16"/>
        <v>31.03</v>
      </c>
      <c r="K110" t="str">
        <f t="shared" si="17"/>
        <v>N/A</v>
      </c>
      <c r="L110" t="str">
        <f t="shared" si="18"/>
        <v>N/A</v>
      </c>
      <c r="M110" t="str">
        <f t="shared" si="19"/>
        <v>N/A</v>
      </c>
      <c r="N110" t="str">
        <f t="shared" si="20"/>
        <v>N/A</v>
      </c>
    </row>
    <row r="111" spans="1:14" x14ac:dyDescent="0.3">
      <c r="A111" s="1">
        <v>5</v>
      </c>
      <c r="B111" t="s">
        <v>187</v>
      </c>
      <c r="C111">
        <v>44.54</v>
      </c>
      <c r="I111" t="str">
        <f t="shared" si="15"/>
        <v>N/A</v>
      </c>
      <c r="J111">
        <f t="shared" si="16"/>
        <v>44.54</v>
      </c>
      <c r="K111" t="str">
        <f t="shared" si="17"/>
        <v>N/A</v>
      </c>
      <c r="L111" t="str">
        <f t="shared" si="18"/>
        <v>N/A</v>
      </c>
      <c r="M111" t="str">
        <f t="shared" si="19"/>
        <v>N/A</v>
      </c>
      <c r="N111" t="str">
        <f t="shared" si="20"/>
        <v>N/A</v>
      </c>
    </row>
    <row r="112" spans="1:14" x14ac:dyDescent="0.3">
      <c r="A112" s="1">
        <v>6</v>
      </c>
      <c r="B112" t="s">
        <v>189</v>
      </c>
      <c r="C112">
        <v>45.78</v>
      </c>
      <c r="I112" t="str">
        <f t="shared" si="15"/>
        <v>N/A</v>
      </c>
      <c r="J112">
        <f t="shared" si="16"/>
        <v>45.78</v>
      </c>
      <c r="K112" t="str">
        <f t="shared" si="17"/>
        <v>N/A</v>
      </c>
      <c r="L112" t="str">
        <f t="shared" si="18"/>
        <v>N/A</v>
      </c>
      <c r="M112" t="str">
        <f t="shared" si="19"/>
        <v>N/A</v>
      </c>
      <c r="N112" t="str">
        <f t="shared" si="20"/>
        <v>N/A</v>
      </c>
    </row>
    <row r="113" spans="1:14" x14ac:dyDescent="0.3">
      <c r="I113" t="str">
        <f t="shared" si="15"/>
        <v>N/A</v>
      </c>
      <c r="J113" t="str">
        <f t="shared" si="16"/>
        <v>N/A</v>
      </c>
      <c r="K113" t="str">
        <f t="shared" si="17"/>
        <v>N/A</v>
      </c>
      <c r="L113" t="str">
        <f t="shared" si="18"/>
        <v>N/A</v>
      </c>
      <c r="M113" t="str">
        <f t="shared" si="19"/>
        <v>N/A</v>
      </c>
      <c r="N113" t="str">
        <f t="shared" si="20"/>
        <v>N/A</v>
      </c>
    </row>
    <row r="114" spans="1:14" x14ac:dyDescent="0.3">
      <c r="A114" s="1">
        <v>0</v>
      </c>
      <c r="B114" t="s">
        <v>191</v>
      </c>
      <c r="C114" t="s">
        <v>3170</v>
      </c>
      <c r="I114" t="str">
        <f t="shared" si="15"/>
        <v>N/A</v>
      </c>
      <c r="J114">
        <f t="shared" si="16"/>
        <v>867370</v>
      </c>
      <c r="K114" t="str">
        <f t="shared" si="17"/>
        <v>N/A</v>
      </c>
      <c r="L114" t="str">
        <f t="shared" si="18"/>
        <v>N/A</v>
      </c>
      <c r="M114" t="str">
        <f t="shared" si="19"/>
        <v>N/A</v>
      </c>
      <c r="N114" t="str">
        <f t="shared" si="20"/>
        <v>N/A</v>
      </c>
    </row>
    <row r="115" spans="1:14" x14ac:dyDescent="0.3">
      <c r="A115" s="1">
        <v>1</v>
      </c>
      <c r="B115" t="s">
        <v>193</v>
      </c>
      <c r="C115" t="s">
        <v>3171</v>
      </c>
      <c r="I115" t="str">
        <f t="shared" si="15"/>
        <v>N/A</v>
      </c>
      <c r="J115">
        <f t="shared" si="16"/>
        <v>999500</v>
      </c>
      <c r="K115" t="str">
        <f t="shared" si="17"/>
        <v>N/A</v>
      </c>
      <c r="L115" t="str">
        <f t="shared" si="18"/>
        <v>N/A</v>
      </c>
      <c r="M115" t="str">
        <f t="shared" si="19"/>
        <v>N/A</v>
      </c>
      <c r="N115" t="str">
        <f t="shared" si="20"/>
        <v>N/A</v>
      </c>
    </row>
    <row r="116" spans="1:14" x14ac:dyDescent="0.3">
      <c r="A116" s="1">
        <v>2</v>
      </c>
      <c r="B116" t="s">
        <v>195</v>
      </c>
      <c r="I116" t="str">
        <f t="shared" si="15"/>
        <v>N/A</v>
      </c>
      <c r="J116" t="str">
        <f t="shared" si="16"/>
        <v>N/A</v>
      </c>
      <c r="K116" t="str">
        <f t="shared" si="17"/>
        <v>N/A</v>
      </c>
      <c r="L116" t="str">
        <f t="shared" si="18"/>
        <v>N/A</v>
      </c>
      <c r="M116" t="str">
        <f t="shared" si="19"/>
        <v>N/A</v>
      </c>
      <c r="N116" t="str">
        <f t="shared" si="20"/>
        <v>N/A</v>
      </c>
    </row>
    <row r="117" spans="1:14" x14ac:dyDescent="0.3">
      <c r="A117" s="1">
        <v>3</v>
      </c>
      <c r="B117" t="s">
        <v>197</v>
      </c>
      <c r="I117" t="str">
        <f t="shared" si="15"/>
        <v>N/A</v>
      </c>
      <c r="J117" t="str">
        <f t="shared" si="16"/>
        <v>N/A</v>
      </c>
      <c r="K117" t="str">
        <f t="shared" si="17"/>
        <v>N/A</v>
      </c>
      <c r="L117" t="str">
        <f t="shared" si="18"/>
        <v>N/A</v>
      </c>
      <c r="M117" t="str">
        <f t="shared" si="19"/>
        <v>N/A</v>
      </c>
      <c r="N117" t="str">
        <f t="shared" si="20"/>
        <v>N/A</v>
      </c>
    </row>
    <row r="118" spans="1:14" x14ac:dyDescent="0.3">
      <c r="A118" s="1">
        <v>4</v>
      </c>
      <c r="B118" t="s">
        <v>199</v>
      </c>
      <c r="I118" t="str">
        <f t="shared" si="15"/>
        <v>N/A</v>
      </c>
      <c r="J118" t="str">
        <f t="shared" si="16"/>
        <v>N/A</v>
      </c>
      <c r="K118" t="str">
        <f t="shared" si="17"/>
        <v>N/A</v>
      </c>
      <c r="L118" t="str">
        <f t="shared" si="18"/>
        <v>N/A</v>
      </c>
      <c r="M118" t="str">
        <f t="shared" si="19"/>
        <v>N/A</v>
      </c>
      <c r="N118" t="str">
        <f t="shared" si="20"/>
        <v>N/A</v>
      </c>
    </row>
    <row r="119" spans="1:14" x14ac:dyDescent="0.3">
      <c r="A119" s="1">
        <v>5</v>
      </c>
      <c r="B119" t="s">
        <v>201</v>
      </c>
      <c r="I119" t="str">
        <f t="shared" si="15"/>
        <v>N/A</v>
      </c>
      <c r="J119" t="str">
        <f t="shared" si="16"/>
        <v>N/A</v>
      </c>
      <c r="K119" t="str">
        <f t="shared" si="17"/>
        <v>N/A</v>
      </c>
      <c r="L119" t="str">
        <f t="shared" si="18"/>
        <v>N/A</v>
      </c>
      <c r="M119" t="str">
        <f t="shared" si="19"/>
        <v>N/A</v>
      </c>
      <c r="N119" t="str">
        <f t="shared" si="20"/>
        <v>N/A</v>
      </c>
    </row>
    <row r="120" spans="1:14" x14ac:dyDescent="0.3">
      <c r="A120" s="1">
        <v>6</v>
      </c>
      <c r="B120" t="s">
        <v>203</v>
      </c>
      <c r="I120" t="str">
        <f t="shared" si="15"/>
        <v>N/A</v>
      </c>
      <c r="J120" t="str">
        <f t="shared" si="16"/>
        <v>N/A</v>
      </c>
      <c r="K120" t="str">
        <f t="shared" si="17"/>
        <v>N/A</v>
      </c>
      <c r="L120" t="str">
        <f t="shared" si="18"/>
        <v>N/A</v>
      </c>
      <c r="M120" t="str">
        <f t="shared" si="19"/>
        <v>N/A</v>
      </c>
      <c r="N120" t="str">
        <f t="shared" si="20"/>
        <v>N/A</v>
      </c>
    </row>
    <row r="121" spans="1:14" x14ac:dyDescent="0.3">
      <c r="A121" s="1">
        <v>7</v>
      </c>
      <c r="B121" t="s">
        <v>205</v>
      </c>
      <c r="I121" t="str">
        <f t="shared" si="15"/>
        <v>N/A</v>
      </c>
      <c r="J121" t="str">
        <f t="shared" si="16"/>
        <v>N/A</v>
      </c>
      <c r="K121" t="str">
        <f t="shared" si="17"/>
        <v>N/A</v>
      </c>
      <c r="L121" t="str">
        <f t="shared" si="18"/>
        <v>N/A</v>
      </c>
      <c r="M121" t="str">
        <f t="shared" si="19"/>
        <v>N/A</v>
      </c>
      <c r="N121" t="str">
        <f t="shared" si="20"/>
        <v>N/A</v>
      </c>
    </row>
    <row r="122" spans="1:14" x14ac:dyDescent="0.3">
      <c r="A122" s="1">
        <v>8</v>
      </c>
      <c r="B122" t="s">
        <v>207</v>
      </c>
      <c r="I122" t="str">
        <f t="shared" si="15"/>
        <v>N/A</v>
      </c>
      <c r="J122" t="str">
        <f t="shared" si="16"/>
        <v>N/A</v>
      </c>
      <c r="K122" t="str">
        <f t="shared" si="17"/>
        <v>N/A</v>
      </c>
      <c r="L122" t="str">
        <f t="shared" si="18"/>
        <v>N/A</v>
      </c>
      <c r="M122" t="str">
        <f t="shared" si="19"/>
        <v>N/A</v>
      </c>
      <c r="N122" t="str">
        <f t="shared" si="20"/>
        <v>N/A</v>
      </c>
    </row>
    <row r="123" spans="1:14" x14ac:dyDescent="0.3">
      <c r="A123" s="1">
        <v>9</v>
      </c>
      <c r="B123" t="s">
        <v>209</v>
      </c>
      <c r="I123" t="str">
        <f t="shared" si="15"/>
        <v>N/A</v>
      </c>
      <c r="J123" t="str">
        <f t="shared" si="16"/>
        <v>N/A</v>
      </c>
      <c r="K123" t="str">
        <f t="shared" si="17"/>
        <v>N/A</v>
      </c>
      <c r="L123" t="str">
        <f t="shared" si="18"/>
        <v>N/A</v>
      </c>
      <c r="M123" t="str">
        <f t="shared" si="19"/>
        <v>N/A</v>
      </c>
      <c r="N123" t="str">
        <f t="shared" si="20"/>
        <v>N/A</v>
      </c>
    </row>
    <row r="124" spans="1:14" x14ac:dyDescent="0.3">
      <c r="I124" t="str">
        <f t="shared" ref="I124:I155" si="21">IF(AND(K124&gt; J124, L124&gt; K124, M124&gt; L124, N124&gt; M124), "pos_trend", IF(AND(K124&lt; J124, L124&lt; K124, M124&lt; L124, N124&lt; M124), "neg_trend", "N/A"))</f>
        <v>N/A</v>
      </c>
      <c r="J124" t="str">
        <f t="shared" ref="J124:J156" si="22">IFERROR(IF(TRIM(C124)="-", "N/A", IF(RIGHT(C124,1)=")",IF(RIGHT(C124,2)="T)",-1000000000000*VALUE(MID(C124,2,LEN(C124)-3)),IF(RIGHT(C124,2)="M)",-1000000*VALUE(MID(C124,2,LEN(C124)-3)),IF(RIGHT(C124,2)="B)",-1000000000*VALUE(MID(C124,2,LEN(C124)-3)),IF(RIGHT(C124,2)="k)",-1000*VALUE(MID(C124,2,LEN(C124)-3)),VALUE(SUBSTITUTE(C124,",","")))))),IF(RIGHT(C124,1)="T",1000000000000*VALUE(LEFT(C124,LEN(C124)-1)),IF(RIGHT(C124,1)="M",1000000*VALUE(LEFT(C124,LEN(C124)-1)),IF(RIGHT(C124,1)="B",1000000000*VALUE(LEFT(C124,LEN(C124)-1)),IF(RIGHT(C124,1)="%",0.01*VALUE(LEFT(C124,LEN(C124)-1)),IF(RIGHT(C124,1)="k",1000*VALUE(LEFT(C124,LEN(C124)-1)),VALUE(SUBSTITUTE(C124,",",""))))))))),"N/A")</f>
        <v>N/A</v>
      </c>
      <c r="K124" t="str">
        <f t="shared" ref="K124:K156" si="23">IFERROR(IF(TRIM(D124)="-", "N/A", IF(RIGHT(D124,1)=")",IF(RIGHT(D124,2)="T)",-1000000000000*VALUE(MID(D124,2,LEN(D124)-3)),IF(RIGHT(D124,2)="M)",-1000000*VALUE(MID(D124,2,LEN(D124)-3)),IF(RIGHT(D124,2)="B)",-1000000000*VALUE(MID(D124,2,LEN(D124)-3)),IF(RIGHT(D124,2)="k)",-1000*VALUE(MID(D124,2,LEN(D124)-3)),VALUE(SUBSTITUTE(D124,",","")))))),IF(RIGHT(D124,1)="T",1000000000000*VALUE(LEFT(D124,LEN(D124)-1)),IF(RIGHT(D124,1)="M",1000000*VALUE(LEFT(D124,LEN(D124)-1)),IF(RIGHT(D124,1)="B",1000000000*VALUE(LEFT(D124,LEN(D124)-1)),IF(RIGHT(D124,1)="%",0.01*VALUE(LEFT(D124,LEN(D124)-1)),IF(RIGHT(D124,1)="k",1000*VALUE(LEFT(D124,LEN(D124)-1)),VALUE(SUBSTITUTE(D124,",",""))))))))),"N/A")</f>
        <v>N/A</v>
      </c>
      <c r="L124" t="str">
        <f t="shared" ref="L124:L156" si="24">IFERROR(IF(TRIM(E124)="-", "N/A", IF(RIGHT(E124,1)=")",IF(RIGHT(E124,2)="T)",-1000000000000*VALUE(MID(E124,2,LEN(E124)-3)),IF(RIGHT(E124,2)="M)",-1000000*VALUE(MID(E124,2,LEN(E124)-3)),IF(RIGHT(E124,2)="B)",-1000000000*VALUE(MID(E124,2,LEN(E124)-3)),IF(RIGHT(E124,2)="k)",-1000*VALUE(MID(E124,2,LEN(E124)-3)),VALUE(SUBSTITUTE(E124,",","")))))),IF(RIGHT(E124,1)="T",1000000000000*VALUE(LEFT(E124,LEN(E124)-1)),IF(RIGHT(E124,1)="M",1000000*VALUE(LEFT(E124,LEN(E124)-1)),IF(RIGHT(E124,1)="B",1000000000*VALUE(LEFT(E124,LEN(E124)-1)),IF(RIGHT(E124,1)="%",0.01*VALUE(LEFT(E124,LEN(E124)-1)),IF(RIGHT(E124,1)="k",1000*VALUE(LEFT(E124,LEN(E124)-1)),VALUE(SUBSTITUTE(E124,",",""))))))))),"N/A")</f>
        <v>N/A</v>
      </c>
      <c r="M124" t="str">
        <f t="shared" ref="M124:M156" si="25">IFERROR(IF(TRIM(F124)="-", "N/A", IF(RIGHT(F124,1)=")",IF(RIGHT(F124,2)="T)",-1000000000000*VALUE(MID(F124,2,LEN(F124)-3)),IF(RIGHT(F124,2)="M)",-1000000*VALUE(MID(F124,2,LEN(F124)-3)),IF(RIGHT(F124,2)="B)",-1000000000*VALUE(MID(F124,2,LEN(F124)-3)),IF(RIGHT(F124,2)="k)",-1000*VALUE(MID(F124,2,LEN(F124)-3)),VALUE(SUBSTITUTE(F124,",","")))))),IF(RIGHT(F124,1)="T",1000000000000*VALUE(LEFT(F124,LEN(F124)-1)),IF(RIGHT(F124,1)="M",1000000*VALUE(LEFT(F124,LEN(F124)-1)),IF(RIGHT(F124,1)="B",1000000000*VALUE(LEFT(F124,LEN(F124)-1)),IF(RIGHT(F124,1)="%",0.01*VALUE(LEFT(F124,LEN(F124)-1)),IF(RIGHT(F124,1)="k",1000*VALUE(LEFT(F124,LEN(F124)-1)),VALUE(SUBSTITUTE(F124,",",""))))))))),"N/A")</f>
        <v>N/A</v>
      </c>
      <c r="N124" t="str">
        <f t="shared" ref="N124:N156" si="26">IFERROR(IF(TRIM(G124)="-", "N/A", IF(RIGHT(G124,1)=")",IF(RIGHT(G124,2)="T)",-1000000000000*VALUE(MID(G124,2,LEN(G124)-3)),IF(RIGHT(G124,2)="M)",-1000000*VALUE(MID(G124,2,LEN(G124)-3)),IF(RIGHT(G124,2)="B)",-1000000000*VALUE(MID(G124,2,LEN(G124)-3)),IF(RIGHT(G124,2)="k)",-1000*VALUE(MID(G124,2,LEN(G124)-3)),VALUE(SUBSTITUTE(G124,",","")))))),IF(RIGHT(G124,1)="T",1000000000000*VALUE(LEFT(G124,LEN(G124)-1)),IF(RIGHT(G124,1)="M",1000000*VALUE(LEFT(G124,LEN(G124)-1)),IF(RIGHT(G124,1)="B",1000000000*VALUE(LEFT(G124,LEN(G124)-1)),IF(RIGHT(G124,1)="%",0.01*VALUE(LEFT(G124,LEN(G124)-1)),IF(RIGHT(G124,1)="k",1000*VALUE(LEFT(G124,LEN(G124)-1)),VALUE(SUBSTITUTE(G124,",",""))))))))),"N/A")</f>
        <v>N/A</v>
      </c>
    </row>
    <row r="125" spans="1:14" x14ac:dyDescent="0.3">
      <c r="A125" s="1">
        <v>0</v>
      </c>
      <c r="B125" t="s">
        <v>211</v>
      </c>
      <c r="I125" t="str">
        <f t="shared" si="21"/>
        <v>N/A</v>
      </c>
      <c r="J125" t="str">
        <f t="shared" si="22"/>
        <v>N/A</v>
      </c>
      <c r="K125" t="str">
        <f t="shared" si="23"/>
        <v>N/A</v>
      </c>
      <c r="L125" t="str">
        <f t="shared" si="24"/>
        <v>N/A</v>
      </c>
      <c r="M125" t="str">
        <f t="shared" si="25"/>
        <v>N/A</v>
      </c>
      <c r="N125" t="str">
        <f t="shared" si="26"/>
        <v>N/A</v>
      </c>
    </row>
    <row r="126" spans="1:14" x14ac:dyDescent="0.3">
      <c r="A126" s="1">
        <v>1</v>
      </c>
      <c r="B126" t="s">
        <v>213</v>
      </c>
      <c r="I126" t="str">
        <f t="shared" si="21"/>
        <v>N/A</v>
      </c>
      <c r="J126" t="str">
        <f t="shared" si="22"/>
        <v>N/A</v>
      </c>
      <c r="K126" t="str">
        <f t="shared" si="23"/>
        <v>N/A</v>
      </c>
      <c r="L126" t="str">
        <f t="shared" si="24"/>
        <v>N/A</v>
      </c>
      <c r="M126" t="str">
        <f t="shared" si="25"/>
        <v>N/A</v>
      </c>
      <c r="N126" t="str">
        <f t="shared" si="26"/>
        <v>N/A</v>
      </c>
    </row>
    <row r="127" spans="1:14" x14ac:dyDescent="0.3">
      <c r="A127" s="1">
        <v>2</v>
      </c>
      <c r="B127" t="s">
        <v>215</v>
      </c>
      <c r="I127" t="str">
        <f t="shared" si="21"/>
        <v>N/A</v>
      </c>
      <c r="J127" t="str">
        <f t="shared" si="22"/>
        <v>N/A</v>
      </c>
      <c r="K127" t="str">
        <f t="shared" si="23"/>
        <v>N/A</v>
      </c>
      <c r="L127" t="str">
        <f t="shared" si="24"/>
        <v>N/A</v>
      </c>
      <c r="M127" t="str">
        <f t="shared" si="25"/>
        <v>N/A</v>
      </c>
      <c r="N127" t="str">
        <f t="shared" si="26"/>
        <v>N/A</v>
      </c>
    </row>
    <row r="128" spans="1:14" x14ac:dyDescent="0.3">
      <c r="A128" s="1">
        <v>3</v>
      </c>
      <c r="B128" t="s">
        <v>217</v>
      </c>
      <c r="I128" t="str">
        <f t="shared" si="21"/>
        <v>N/A</v>
      </c>
      <c r="J128" t="str">
        <f t="shared" si="22"/>
        <v>N/A</v>
      </c>
      <c r="K128" t="str">
        <f t="shared" si="23"/>
        <v>N/A</v>
      </c>
      <c r="L128" t="str">
        <f t="shared" si="24"/>
        <v>N/A</v>
      </c>
      <c r="M128" t="str">
        <f t="shared" si="25"/>
        <v>N/A</v>
      </c>
      <c r="N128" t="str">
        <f t="shared" si="26"/>
        <v>N/A</v>
      </c>
    </row>
    <row r="129" spans="1:60" x14ac:dyDescent="0.3">
      <c r="A129" s="1">
        <v>4</v>
      </c>
      <c r="B129" t="s">
        <v>219</v>
      </c>
      <c r="I129" t="str">
        <f t="shared" si="21"/>
        <v>N/A</v>
      </c>
      <c r="J129" t="str">
        <f t="shared" si="22"/>
        <v>N/A</v>
      </c>
      <c r="K129" t="str">
        <f t="shared" si="23"/>
        <v>N/A</v>
      </c>
      <c r="L129" t="str">
        <f t="shared" si="24"/>
        <v>N/A</v>
      </c>
      <c r="M129" t="str">
        <f t="shared" si="25"/>
        <v>N/A</v>
      </c>
      <c r="N129" t="str">
        <f t="shared" si="26"/>
        <v>N/A</v>
      </c>
    </row>
    <row r="130" spans="1:60" x14ac:dyDescent="0.3">
      <c r="A130" s="1">
        <v>5</v>
      </c>
      <c r="B130" t="s">
        <v>221</v>
      </c>
      <c r="I130" t="str">
        <f t="shared" si="21"/>
        <v>N/A</v>
      </c>
      <c r="J130" t="str">
        <f t="shared" si="22"/>
        <v>N/A</v>
      </c>
      <c r="K130" t="str">
        <f t="shared" si="23"/>
        <v>N/A</v>
      </c>
      <c r="L130" t="str">
        <f t="shared" si="24"/>
        <v>N/A</v>
      </c>
      <c r="M130" t="str">
        <f t="shared" si="25"/>
        <v>N/A</v>
      </c>
      <c r="N130" t="str">
        <f t="shared" si="26"/>
        <v>N/A</v>
      </c>
    </row>
    <row r="131" spans="1:60" x14ac:dyDescent="0.3">
      <c r="A131" s="1">
        <v>6</v>
      </c>
      <c r="B131" t="s">
        <v>223</v>
      </c>
      <c r="I131" t="str">
        <f t="shared" si="21"/>
        <v>N/A</v>
      </c>
      <c r="J131" t="str">
        <f t="shared" si="22"/>
        <v>N/A</v>
      </c>
      <c r="K131" t="str">
        <f t="shared" si="23"/>
        <v>N/A</v>
      </c>
      <c r="L131" t="str">
        <f t="shared" si="24"/>
        <v>N/A</v>
      </c>
      <c r="M131" t="str">
        <f t="shared" si="25"/>
        <v>N/A</v>
      </c>
      <c r="N131" t="str">
        <f t="shared" si="26"/>
        <v>N/A</v>
      </c>
    </row>
    <row r="132" spans="1:60" x14ac:dyDescent="0.3">
      <c r="A132" s="1">
        <v>7</v>
      </c>
      <c r="B132" t="s">
        <v>225</v>
      </c>
      <c r="I132" t="str">
        <f t="shared" si="21"/>
        <v>N/A</v>
      </c>
      <c r="J132" t="str">
        <f t="shared" si="22"/>
        <v>N/A</v>
      </c>
      <c r="K132" t="str">
        <f t="shared" si="23"/>
        <v>N/A</v>
      </c>
      <c r="L132" t="str">
        <f t="shared" si="24"/>
        <v>N/A</v>
      </c>
      <c r="M132" t="str">
        <f t="shared" si="25"/>
        <v>N/A</v>
      </c>
      <c r="N132" t="str">
        <f t="shared" si="26"/>
        <v>N/A</v>
      </c>
    </row>
    <row r="133" spans="1:60" x14ac:dyDescent="0.3">
      <c r="A133" s="1">
        <v>8</v>
      </c>
      <c r="B133" t="s">
        <v>227</v>
      </c>
      <c r="I133" t="str">
        <f t="shared" si="21"/>
        <v>N/A</v>
      </c>
      <c r="J133" t="str">
        <f t="shared" si="22"/>
        <v>N/A</v>
      </c>
      <c r="K133" t="str">
        <f t="shared" si="23"/>
        <v>N/A</v>
      </c>
      <c r="L133" t="str">
        <f t="shared" si="24"/>
        <v>N/A</v>
      </c>
      <c r="M133" t="str">
        <f t="shared" si="25"/>
        <v>N/A</v>
      </c>
      <c r="N133" t="str">
        <f t="shared" si="26"/>
        <v>N/A</v>
      </c>
    </row>
    <row r="134" spans="1:60" x14ac:dyDescent="0.3">
      <c r="A134" s="1">
        <v>9</v>
      </c>
      <c r="B134" t="s">
        <v>229</v>
      </c>
      <c r="I134" t="str">
        <f t="shared" si="21"/>
        <v>N/A</v>
      </c>
      <c r="J134" t="str">
        <f t="shared" si="22"/>
        <v>N/A</v>
      </c>
      <c r="K134" t="str">
        <f t="shared" si="23"/>
        <v>N/A</v>
      </c>
      <c r="L134" t="str">
        <f t="shared" si="24"/>
        <v>N/A</v>
      </c>
      <c r="M134" t="str">
        <f t="shared" si="25"/>
        <v>N/A</v>
      </c>
      <c r="N134" t="str">
        <f t="shared" si="26"/>
        <v>N/A</v>
      </c>
    </row>
    <row r="135" spans="1:60" x14ac:dyDescent="0.3">
      <c r="I135" t="str">
        <f t="shared" si="21"/>
        <v>N/A</v>
      </c>
      <c r="J135" t="str">
        <f t="shared" si="22"/>
        <v>N/A</v>
      </c>
      <c r="K135" t="str">
        <f t="shared" si="23"/>
        <v>N/A</v>
      </c>
      <c r="L135" t="str">
        <f t="shared" si="24"/>
        <v>N/A</v>
      </c>
      <c r="M135" t="str">
        <f t="shared" si="25"/>
        <v>N/A</v>
      </c>
      <c r="N135" t="str">
        <f t="shared" si="26"/>
        <v>N/A</v>
      </c>
    </row>
    <row r="136" spans="1:60" x14ac:dyDescent="0.3">
      <c r="I136" t="str">
        <f t="shared" si="21"/>
        <v>N/A</v>
      </c>
      <c r="J136" t="str">
        <f t="shared" si="22"/>
        <v>N/A</v>
      </c>
      <c r="K136" t="str">
        <f t="shared" si="23"/>
        <v>N/A</v>
      </c>
      <c r="L136" t="str">
        <f t="shared" si="24"/>
        <v>N/A</v>
      </c>
      <c r="M136" t="str">
        <f t="shared" si="25"/>
        <v>N/A</v>
      </c>
      <c r="N136" t="str">
        <f t="shared" si="26"/>
        <v>N/A</v>
      </c>
    </row>
    <row r="137" spans="1:60" x14ac:dyDescent="0.3">
      <c r="I137" t="str">
        <f t="shared" si="21"/>
        <v>N/A</v>
      </c>
      <c r="J137" t="str">
        <f t="shared" si="22"/>
        <v>N/A</v>
      </c>
      <c r="K137" t="str">
        <f t="shared" si="23"/>
        <v>N/A</v>
      </c>
      <c r="L137" t="str">
        <f t="shared" si="24"/>
        <v>N/A</v>
      </c>
      <c r="M137" t="str">
        <f t="shared" si="25"/>
        <v>N/A</v>
      </c>
      <c r="N137" t="str">
        <f t="shared" si="26"/>
        <v>N/A</v>
      </c>
    </row>
    <row r="138" spans="1:60" x14ac:dyDescent="0.3">
      <c r="I138" t="str">
        <f t="shared" si="21"/>
        <v>N/A</v>
      </c>
      <c r="J138" t="str">
        <f t="shared" si="22"/>
        <v>N/A</v>
      </c>
      <c r="K138" t="str">
        <f t="shared" si="23"/>
        <v>N/A</v>
      </c>
      <c r="L138" t="str">
        <f t="shared" si="24"/>
        <v>N/A</v>
      </c>
      <c r="M138" t="str">
        <f t="shared" si="25"/>
        <v>N/A</v>
      </c>
      <c r="N138" t="str">
        <f t="shared" si="26"/>
        <v>N/A</v>
      </c>
    </row>
    <row r="139" spans="1:60" x14ac:dyDescent="0.3">
      <c r="I139" t="str">
        <f t="shared" si="21"/>
        <v>N/A</v>
      </c>
      <c r="J139" t="str">
        <f t="shared" si="22"/>
        <v>N/A</v>
      </c>
      <c r="K139" t="str">
        <f t="shared" si="23"/>
        <v>N/A</v>
      </c>
      <c r="L139" t="str">
        <f t="shared" si="24"/>
        <v>N/A</v>
      </c>
      <c r="M139" t="str">
        <f t="shared" si="25"/>
        <v>N/A</v>
      </c>
      <c r="N139" t="str">
        <f t="shared" si="26"/>
        <v>N/A</v>
      </c>
    </row>
    <row r="140" spans="1:60" x14ac:dyDescent="0.3">
      <c r="I140" t="str">
        <f t="shared" si="21"/>
        <v>N/A</v>
      </c>
      <c r="J140" t="str">
        <f t="shared" si="22"/>
        <v>N/A</v>
      </c>
      <c r="K140" t="str">
        <f t="shared" si="23"/>
        <v>N/A</v>
      </c>
      <c r="L140" t="str">
        <f t="shared" si="24"/>
        <v>N/A</v>
      </c>
      <c r="M140" t="str">
        <f t="shared" si="25"/>
        <v>N/A</v>
      </c>
      <c r="N140" t="str">
        <f t="shared" si="26"/>
        <v>N/A</v>
      </c>
    </row>
    <row r="141" spans="1:60" x14ac:dyDescent="0.3">
      <c r="I141" t="str">
        <f t="shared" si="21"/>
        <v>N/A</v>
      </c>
      <c r="J141" t="str">
        <f t="shared" si="22"/>
        <v>N/A</v>
      </c>
      <c r="K141" t="str">
        <f t="shared" si="23"/>
        <v>N/A</v>
      </c>
      <c r="L141" t="str">
        <f t="shared" si="24"/>
        <v>N/A</v>
      </c>
      <c r="M141" t="str">
        <f t="shared" si="25"/>
        <v>N/A</v>
      </c>
      <c r="N141" t="str">
        <f t="shared" si="26"/>
        <v>N/A</v>
      </c>
    </row>
    <row r="142" spans="1:60" x14ac:dyDescent="0.3">
      <c r="I142" t="str">
        <f t="shared" si="21"/>
        <v>N/A</v>
      </c>
      <c r="J142" t="str">
        <f t="shared" si="22"/>
        <v>N/A</v>
      </c>
      <c r="K142" t="str">
        <f t="shared" si="23"/>
        <v>N/A</v>
      </c>
      <c r="L142" t="str">
        <f t="shared" si="24"/>
        <v>N/A</v>
      </c>
      <c r="M142" t="str">
        <f t="shared" si="25"/>
        <v>N/A</v>
      </c>
      <c r="N142" t="str">
        <f t="shared" si="26"/>
        <v>N/A</v>
      </c>
    </row>
    <row r="143" spans="1:60" x14ac:dyDescent="0.3">
      <c r="I143" t="str">
        <f t="shared" si="21"/>
        <v>N/A</v>
      </c>
      <c r="J143" t="str">
        <f t="shared" si="22"/>
        <v>N/A</v>
      </c>
      <c r="K143" t="str">
        <f t="shared" si="23"/>
        <v>N/A</v>
      </c>
      <c r="L143" t="str">
        <f t="shared" si="24"/>
        <v>N/A</v>
      </c>
      <c r="M143" t="str">
        <f t="shared" si="25"/>
        <v>N/A</v>
      </c>
      <c r="N143" t="str">
        <f t="shared" si="26"/>
        <v>N/A</v>
      </c>
      <c r="V143" t="str">
        <f>"z-score"</f>
        <v>z-score</v>
      </c>
    </row>
    <row r="144" spans="1:60" x14ac:dyDescent="0.3">
      <c r="I144" t="str">
        <f t="shared" si="21"/>
        <v>N/A</v>
      </c>
      <c r="J144" t="str">
        <f t="shared" si="22"/>
        <v>N/A</v>
      </c>
      <c r="K144" t="str">
        <f t="shared" si="23"/>
        <v>N/A</v>
      </c>
      <c r="L144" t="str">
        <f t="shared" si="24"/>
        <v>N/A</v>
      </c>
      <c r="M144" t="str">
        <f t="shared" si="25"/>
        <v>N/A</v>
      </c>
      <c r="N144" t="str">
        <f t="shared" si="26"/>
        <v>N/A</v>
      </c>
      <c r="P144" t="str">
        <f>"Max"</f>
        <v>Max</v>
      </c>
      <c r="Q144" t="str">
        <f>"Max Year"</f>
        <v>Max Year</v>
      </c>
      <c r="R144" t="str">
        <f>"Min"</f>
        <v>Min</v>
      </c>
      <c r="S144" t="str">
        <f>"Min Year"</f>
        <v>Min Year</v>
      </c>
      <c r="T144" t="str">
        <f>"Average"</f>
        <v>Average</v>
      </c>
      <c r="U144" t="str">
        <f>"SD"</f>
        <v>SD</v>
      </c>
      <c r="V144" t="str">
        <f>J144</f>
        <v>N/A</v>
      </c>
      <c r="W144" t="str">
        <f>K144</f>
        <v>N/A</v>
      </c>
      <c r="X144" t="str">
        <f>L144</f>
        <v>N/A</v>
      </c>
      <c r="Y144" t="str">
        <f>M144</f>
        <v>N/A</v>
      </c>
      <c r="Z144" t="str">
        <f>N144</f>
        <v>N/A</v>
      </c>
      <c r="AA144" t="str">
        <f>"Max z"</f>
        <v>Max z</v>
      </c>
      <c r="AB144" t="str">
        <f>"Max z Year"</f>
        <v>Max z Year</v>
      </c>
      <c r="AC144" t="str">
        <f>"Direction"</f>
        <v>Direction</v>
      </c>
      <c r="AE144" t="str">
        <f>"Trendline"</f>
        <v>Trendline</v>
      </c>
      <c r="AF144" t="str">
        <f>"Correlation"</f>
        <v>Correlation</v>
      </c>
      <c r="AZ144" t="str">
        <f>"Max/Min inequality check"</f>
        <v>Max/Min inequality check</v>
      </c>
      <c r="BA144" t="str">
        <f>"If most recent year is max"</f>
        <v>If most recent year is max</v>
      </c>
      <c r="BC144" t="str">
        <f>"If most recent year is min"</f>
        <v>If most recent year is min</v>
      </c>
      <c r="BE144" t="str">
        <f>"Trend direction"</f>
        <v>Trend direction</v>
      </c>
      <c r="BF144" t="str">
        <f>"If trend matched by max or min in most recent year"</f>
        <v>If trend matched by max or min in most recent year</v>
      </c>
      <c r="BG144" t="str">
        <f>"If 5 years of increasing"</f>
        <v>If 5 years of increasing</v>
      </c>
      <c r="BH144" t="str">
        <f>"If correlation &gt; .8"</f>
        <v>If correlation &gt; .8</v>
      </c>
    </row>
    <row r="145" spans="9:60" x14ac:dyDescent="0.3">
      <c r="I145" t="str">
        <f t="shared" si="21"/>
        <v>N/A</v>
      </c>
      <c r="J145" t="str">
        <f t="shared" si="22"/>
        <v>N/A</v>
      </c>
      <c r="K145" t="str">
        <f t="shared" si="23"/>
        <v>N/A</v>
      </c>
      <c r="L145" t="str">
        <f t="shared" si="24"/>
        <v>N/A</v>
      </c>
      <c r="M145" t="str">
        <f t="shared" si="25"/>
        <v>N/A</v>
      </c>
      <c r="N145" t="str">
        <f t="shared" si="26"/>
        <v>N/A</v>
      </c>
      <c r="P145">
        <f t="shared" ref="P145:P208" si="27">MAX(J145:N145)</f>
        <v>0</v>
      </c>
      <c r="Q145" t="str">
        <f>IFERROR(J144+MATCH(P145,J145:N145,0)-1,"")</f>
        <v/>
      </c>
      <c r="R145" t="str">
        <f t="shared" ref="R145:R208" si="28">IF(Q145="","",MIN(J145:N145))</f>
        <v/>
      </c>
      <c r="S145" t="str">
        <f>IFERROR(J144+MATCH(R145,J145:N145,0)-1,"")</f>
        <v/>
      </c>
      <c r="T145" t="str">
        <f t="shared" ref="T145:T208" si="29">IFERROR(AVERAGE(J145:N145),"")</f>
        <v/>
      </c>
      <c r="U145" t="str">
        <f t="shared" ref="U145:U208" si="30">IFERROR(STDEV(J145:N145),"")</f>
        <v/>
      </c>
      <c r="V145" t="str">
        <f t="shared" ref="V145:V208" si="31">IFERROR(IF(C145="-","",IF(ISBLANK(B145),"",IF(OR(ISNUMBER(FIND("Growth",B145)),ISNUMBER(FIND("Margin",B145))),"",(J145-T145)/U145))),"")</f>
        <v/>
      </c>
      <c r="W145" t="str">
        <f t="shared" ref="W145:W208" si="32">IFERROR(IF(OR(D145="-",ISBLANK(D145)),"",(K145-T145)/U145),"")</f>
        <v/>
      </c>
      <c r="X145" t="str">
        <f t="shared" ref="X145:X208" si="33">IFERROR(IF(OR(E145="-",ISBLANK(E145)),"",(L145-T145)/U145),"")</f>
        <v/>
      </c>
      <c r="Y145" t="str">
        <f t="shared" ref="Y145:Y208" si="34">IFERROR(IF(OR(F145="-",ISBLANK(F145)),"",(M145-T145)/U145),"")</f>
        <v/>
      </c>
      <c r="Z145" t="str">
        <f t="shared" ref="Z145:Z208" si="35">IFERROR(IF(OR(G145="-",ISBLANK(G145)),"",(N145-T145)/U145),"")</f>
        <v/>
      </c>
      <c r="AA145">
        <f t="shared" ref="AA145:AA208" si="36">IF(MAX(MAX(V145:Z145),ABS(MIN(V145:Z145)))=ABS(MIN(V145:Z145)),MIN(V145:Z145),MAX(V145:Z145))</f>
        <v>0</v>
      </c>
      <c r="AB145" t="str">
        <f>IFERROR(V144+MATCH(AA145,V145:Z145,0)-1,"")</f>
        <v/>
      </c>
      <c r="AC145" t="str">
        <f t="shared" ref="AC145:AC208" si="37">IF(AB145&lt;&gt;"",IF(S145=AB145,"Low",IF(AB145=Q145,"High","")),"")</f>
        <v/>
      </c>
      <c r="AE145" t="str">
        <f>IF(ISNUMBER(MATCH("N/A",J145:N145,0)),"",IFERROR((5 * SUMPRODUCT(J144:N144,J145:N145) - PRODUCT(SUM(J144:N144),SUM(J145:N145))) / ((5 * SUM((J144^2)+(K144^2)+(L144^2)+(M144^2)+(N144^2))) - SUM(J144:N144)^2),""))</f>
        <v/>
      </c>
      <c r="AF145" t="str">
        <f>IFERROR(CORREL(J144:N144,J145:N145),"")</f>
        <v/>
      </c>
      <c r="AZ145">
        <f t="shared" ref="AZ145:AZ208" si="38">IF(Q145=S145,0,1)</f>
        <v>0</v>
      </c>
      <c r="BA145" t="str">
        <f>IF(AZ145=1,IF(Q145="","",IF(Q145=N144,"Yes","No")),"")</f>
        <v/>
      </c>
      <c r="BB145" t="str">
        <f t="shared" ref="BB145:BB208" si="39">IF(BA145="Yes",P145,"")</f>
        <v/>
      </c>
      <c r="BC145" t="str">
        <f>IF(AZ145=1,IF(S145="","",IF(S145=N144,"Yes","No")),"")</f>
        <v/>
      </c>
      <c r="BD145" t="str">
        <f t="shared" ref="BD145:BD208" si="40">IF(BC145="Yes",R145,"")</f>
        <v/>
      </c>
      <c r="BE145" t="str">
        <f t="shared" ref="BE145:BE208" si="41">IFERROR(IF(SIGN(AE145)=1,"Increasing",IF(SIGN(AE145)=-1,"Decreasing","")),"")</f>
        <v/>
      </c>
      <c r="BF145" t="str">
        <f t="shared" ref="BF145:BF208" si="42">IF(OR(AND(BE145="Increasing",BA145="Yes"),AND(BE145="Decreasing",BC145="Yes")),"Yes","No")</f>
        <v>No</v>
      </c>
      <c r="BG145" t="str">
        <f t="shared" ref="BG145:BG208" si="43">IF(I145="pos_trend","Yes","No")</f>
        <v>No</v>
      </c>
      <c r="BH145" t="str">
        <f t="shared" ref="BH145:BH208" si="44">IF(AF145&lt;&gt;"",IF(ABS(AF145)&gt;0.8,"Yes","No"),"")</f>
        <v/>
      </c>
    </row>
    <row r="146" spans="9:60" x14ac:dyDescent="0.3">
      <c r="I146" t="str">
        <f t="shared" si="21"/>
        <v>N/A</v>
      </c>
      <c r="J146" t="str">
        <f t="shared" si="22"/>
        <v>N/A</v>
      </c>
      <c r="K146" t="str">
        <f t="shared" si="23"/>
        <v>N/A</v>
      </c>
      <c r="L146" t="str">
        <f t="shared" si="24"/>
        <v>N/A</v>
      </c>
      <c r="M146" t="str">
        <f t="shared" si="25"/>
        <v>N/A</v>
      </c>
      <c r="N146" t="str">
        <f t="shared" si="26"/>
        <v>N/A</v>
      </c>
      <c r="P146">
        <f t="shared" si="27"/>
        <v>0</v>
      </c>
      <c r="Q146" t="str">
        <f>IFERROR(J144+MATCH(P146,J146:N146,0)-1,"")</f>
        <v/>
      </c>
      <c r="R146" t="str">
        <f t="shared" si="28"/>
        <v/>
      </c>
      <c r="S146" t="str">
        <f>IFERROR(J144+MATCH(R146,J146:N146,0)-1,"")</f>
        <v/>
      </c>
      <c r="T146" t="str">
        <f t="shared" si="29"/>
        <v/>
      </c>
      <c r="U146" t="str">
        <f t="shared" si="30"/>
        <v/>
      </c>
      <c r="V146" t="str">
        <f t="shared" si="31"/>
        <v/>
      </c>
      <c r="W146" t="str">
        <f t="shared" si="32"/>
        <v/>
      </c>
      <c r="X146" t="str">
        <f t="shared" si="33"/>
        <v/>
      </c>
      <c r="Y146" t="str">
        <f t="shared" si="34"/>
        <v/>
      </c>
      <c r="Z146" t="str">
        <f t="shared" si="35"/>
        <v/>
      </c>
      <c r="AA146">
        <f t="shared" si="36"/>
        <v>0</v>
      </c>
      <c r="AB146" t="str">
        <f>IFERROR(V144+MATCH(AA146,V146:Z146,0)-1,"")</f>
        <v/>
      </c>
      <c r="AC146" t="str">
        <f t="shared" si="37"/>
        <v/>
      </c>
      <c r="AE146" t="str">
        <f>IF(ISNUMBER(MATCH("N/A",J146:N146,0)),"",IFERROR((5 * SUMPRODUCT(J144:N144,J146:N146) - PRODUCT(SUM(J144:N144),SUM(J146:N146))) / ((5 * SUM((J144^2)+(K144^2)+(L144^2)+(M144^2)+(N144^2))) - SUM(J144:N144)^2),""))</f>
        <v/>
      </c>
      <c r="AF146" t="str">
        <f>IFERROR(CORREL(J144:N144,J146:N146),"")</f>
        <v/>
      </c>
      <c r="AZ146">
        <f t="shared" si="38"/>
        <v>0</v>
      </c>
      <c r="BA146" t="str">
        <f>IF(AZ146=1,IF(Q146="","",IF(Q146=N144,"Yes","No")),"")</f>
        <v/>
      </c>
      <c r="BB146" t="str">
        <f t="shared" si="39"/>
        <v/>
      </c>
      <c r="BC146" t="str">
        <f>IF(AZ146=1,IF(S146="","",IF(S146=N144,"Yes","No")),"")</f>
        <v/>
      </c>
      <c r="BD146" t="str">
        <f t="shared" si="40"/>
        <v/>
      </c>
      <c r="BE146" t="str">
        <f t="shared" si="41"/>
        <v/>
      </c>
      <c r="BF146" t="str">
        <f t="shared" si="42"/>
        <v>No</v>
      </c>
      <c r="BG146" t="str">
        <f t="shared" si="43"/>
        <v>No</v>
      </c>
      <c r="BH146" t="str">
        <f t="shared" si="44"/>
        <v/>
      </c>
    </row>
    <row r="147" spans="9:60" x14ac:dyDescent="0.3">
      <c r="I147" t="str">
        <f t="shared" si="21"/>
        <v>N/A</v>
      </c>
      <c r="J147" t="str">
        <f t="shared" si="22"/>
        <v>N/A</v>
      </c>
      <c r="K147" t="str">
        <f t="shared" si="23"/>
        <v>N/A</v>
      </c>
      <c r="L147" t="str">
        <f t="shared" si="24"/>
        <v>N/A</v>
      </c>
      <c r="M147" t="str">
        <f t="shared" si="25"/>
        <v>N/A</v>
      </c>
      <c r="N147" t="str">
        <f t="shared" si="26"/>
        <v>N/A</v>
      </c>
      <c r="P147">
        <f t="shared" si="27"/>
        <v>0</v>
      </c>
      <c r="Q147" t="str">
        <f>IFERROR(J144+MATCH(P147,J147:N147,0)-1,"")</f>
        <v/>
      </c>
      <c r="R147" t="str">
        <f t="shared" si="28"/>
        <v/>
      </c>
      <c r="S147" t="str">
        <f>IFERROR(J144+MATCH(R147,J147:N147,0)-1,"")</f>
        <v/>
      </c>
      <c r="T147" t="str">
        <f t="shared" si="29"/>
        <v/>
      </c>
      <c r="U147" t="str">
        <f t="shared" si="30"/>
        <v/>
      </c>
      <c r="V147" t="str">
        <f t="shared" si="31"/>
        <v/>
      </c>
      <c r="W147" t="str">
        <f t="shared" si="32"/>
        <v/>
      </c>
      <c r="X147" t="str">
        <f t="shared" si="33"/>
        <v/>
      </c>
      <c r="Y147" t="str">
        <f t="shared" si="34"/>
        <v/>
      </c>
      <c r="Z147" t="str">
        <f t="shared" si="35"/>
        <v/>
      </c>
      <c r="AA147">
        <f t="shared" si="36"/>
        <v>0</v>
      </c>
      <c r="AB147" t="str">
        <f>IFERROR(V144+MATCH(AA147,V147:Z147,0)-1,"")</f>
        <v/>
      </c>
      <c r="AC147" t="str">
        <f t="shared" si="37"/>
        <v/>
      </c>
      <c r="AE147" t="str">
        <f>IF(ISNUMBER(MATCH("N/A",J147:N147,0)),"",IFERROR((5 * SUMPRODUCT(J144:N144,J147:N147) - PRODUCT(SUM(J144:N144),SUM(J147:N147))) / ((5 * SUM((J144^2)+(K144^2)+(L144^2)+(M144^2)+(N144^2))) - SUM(J144:N144)^2),""))</f>
        <v/>
      </c>
      <c r="AF147" t="str">
        <f>IFERROR(CORREL(J144:N144,J147:N147),"")</f>
        <v/>
      </c>
      <c r="AZ147">
        <f t="shared" si="38"/>
        <v>0</v>
      </c>
      <c r="BA147" t="str">
        <f>IF(AZ147=1,IF(Q147="","",IF(Q147=N144,"Yes","No")),"")</f>
        <v/>
      </c>
      <c r="BB147" t="str">
        <f t="shared" si="39"/>
        <v/>
      </c>
      <c r="BC147" t="str">
        <f>IF(AZ147=1,IF(S147="","",IF(S147=N144,"Yes","No")),"")</f>
        <v/>
      </c>
      <c r="BD147" t="str">
        <f t="shared" si="40"/>
        <v/>
      </c>
      <c r="BE147" t="str">
        <f t="shared" si="41"/>
        <v/>
      </c>
      <c r="BF147" t="str">
        <f t="shared" si="42"/>
        <v>No</v>
      </c>
      <c r="BG147" t="str">
        <f t="shared" si="43"/>
        <v>No</v>
      </c>
      <c r="BH147" t="str">
        <f t="shared" si="44"/>
        <v/>
      </c>
    </row>
    <row r="148" spans="9:60" x14ac:dyDescent="0.3">
      <c r="I148" t="str">
        <f t="shared" si="21"/>
        <v>N/A</v>
      </c>
      <c r="J148" t="str">
        <f t="shared" si="22"/>
        <v>N/A</v>
      </c>
      <c r="K148" t="str">
        <f t="shared" si="23"/>
        <v>N/A</v>
      </c>
      <c r="L148" t="str">
        <f t="shared" si="24"/>
        <v>N/A</v>
      </c>
      <c r="M148" t="str">
        <f t="shared" si="25"/>
        <v>N/A</v>
      </c>
      <c r="N148" t="str">
        <f t="shared" si="26"/>
        <v>N/A</v>
      </c>
      <c r="P148">
        <f t="shared" si="27"/>
        <v>0</v>
      </c>
      <c r="Q148" t="str">
        <f>IFERROR(J144+MATCH(P148,J148:N148,0)-1,"")</f>
        <v/>
      </c>
      <c r="R148" t="str">
        <f t="shared" si="28"/>
        <v/>
      </c>
      <c r="S148" t="str">
        <f>IFERROR(J144+MATCH(R148,J148:N148,0)-1,"")</f>
        <v/>
      </c>
      <c r="T148" t="str">
        <f t="shared" si="29"/>
        <v/>
      </c>
      <c r="U148" t="str">
        <f t="shared" si="30"/>
        <v/>
      </c>
      <c r="V148" t="str">
        <f t="shared" si="31"/>
        <v/>
      </c>
      <c r="W148" t="str">
        <f t="shared" si="32"/>
        <v/>
      </c>
      <c r="X148" t="str">
        <f t="shared" si="33"/>
        <v/>
      </c>
      <c r="Y148" t="str">
        <f t="shared" si="34"/>
        <v/>
      </c>
      <c r="Z148" t="str">
        <f t="shared" si="35"/>
        <v/>
      </c>
      <c r="AA148">
        <f t="shared" si="36"/>
        <v>0</v>
      </c>
      <c r="AB148" t="str">
        <f>IFERROR(V144+MATCH(AA148,V148:Z148,0)-1,"")</f>
        <v/>
      </c>
      <c r="AC148" t="str">
        <f t="shared" si="37"/>
        <v/>
      </c>
      <c r="AE148" t="str">
        <f>IF(ISNUMBER(MATCH("N/A",J148:N148,0)),"",IFERROR((5 * SUMPRODUCT(J144:N144,J148:N148) - PRODUCT(SUM(J144:N144),SUM(J148:N148))) / ((5 * SUM((J144^2)+(K144^2)+(L144^2)+(M144^2)+(N144^2))) - SUM(J144:N144)^2),""))</f>
        <v/>
      </c>
      <c r="AF148" t="str">
        <f>IFERROR(CORREL(J144:N144,J148:N148),"")</f>
        <v/>
      </c>
      <c r="AZ148">
        <f t="shared" si="38"/>
        <v>0</v>
      </c>
      <c r="BA148" t="str">
        <f>IF(AZ148=1,IF(Q148="","",IF(Q148=N144,"Yes","No")),"")</f>
        <v/>
      </c>
      <c r="BB148" t="str">
        <f t="shared" si="39"/>
        <v/>
      </c>
      <c r="BC148" t="str">
        <f>IF(AZ148=1,IF(S148="","",IF(S148=N144,"Yes","No")),"")</f>
        <v/>
      </c>
      <c r="BD148" t="str">
        <f t="shared" si="40"/>
        <v/>
      </c>
      <c r="BE148" t="str">
        <f t="shared" si="41"/>
        <v/>
      </c>
      <c r="BF148" t="str">
        <f t="shared" si="42"/>
        <v>No</v>
      </c>
      <c r="BG148" t="str">
        <f t="shared" si="43"/>
        <v>No</v>
      </c>
      <c r="BH148" t="str">
        <f t="shared" si="44"/>
        <v/>
      </c>
    </row>
    <row r="149" spans="9:60" x14ac:dyDescent="0.3">
      <c r="I149" t="str">
        <f t="shared" si="21"/>
        <v>N/A</v>
      </c>
      <c r="J149" t="str">
        <f t="shared" si="22"/>
        <v>N/A</v>
      </c>
      <c r="K149" t="str">
        <f t="shared" si="23"/>
        <v>N/A</v>
      </c>
      <c r="L149" t="str">
        <f t="shared" si="24"/>
        <v>N/A</v>
      </c>
      <c r="M149" t="str">
        <f t="shared" si="25"/>
        <v>N/A</v>
      </c>
      <c r="N149" t="str">
        <f t="shared" si="26"/>
        <v>N/A</v>
      </c>
      <c r="P149">
        <f t="shared" si="27"/>
        <v>0</v>
      </c>
      <c r="Q149" t="str">
        <f>IFERROR(J144+MATCH(P149,J149:N149,0)-1,"")</f>
        <v/>
      </c>
      <c r="R149" t="str">
        <f t="shared" si="28"/>
        <v/>
      </c>
      <c r="S149" t="str">
        <f>IFERROR(J144+MATCH(R149,J149:N149,0)-1,"")</f>
        <v/>
      </c>
      <c r="T149" t="str">
        <f t="shared" si="29"/>
        <v/>
      </c>
      <c r="U149" t="str">
        <f t="shared" si="30"/>
        <v/>
      </c>
      <c r="V149" t="str">
        <f t="shared" si="31"/>
        <v/>
      </c>
      <c r="W149" t="str">
        <f t="shared" si="32"/>
        <v/>
      </c>
      <c r="X149" t="str">
        <f t="shared" si="33"/>
        <v/>
      </c>
      <c r="Y149" t="str">
        <f t="shared" si="34"/>
        <v/>
      </c>
      <c r="Z149" t="str">
        <f t="shared" si="35"/>
        <v/>
      </c>
      <c r="AA149">
        <f t="shared" si="36"/>
        <v>0</v>
      </c>
      <c r="AB149" t="str">
        <f>IFERROR(V144+MATCH(AA149,V149:Z149,0)-1,"")</f>
        <v/>
      </c>
      <c r="AC149" t="str">
        <f t="shared" si="37"/>
        <v/>
      </c>
      <c r="AE149" t="str">
        <f>IF(ISNUMBER(MATCH("N/A",J149:N149,0)),"",IFERROR((5 * SUMPRODUCT(J144:N144,J149:N149) - PRODUCT(SUM(J144:N144),SUM(J149:N149))) / ((5 * SUM((J144^2)+(K144^2)+(L144^2)+(M144^2)+(N144^2))) - SUM(J144:N144)^2),""))</f>
        <v/>
      </c>
      <c r="AF149" t="str">
        <f>IFERROR(CORREL(J144:N144,J149:N149),"")</f>
        <v/>
      </c>
      <c r="AZ149">
        <f t="shared" si="38"/>
        <v>0</v>
      </c>
      <c r="BA149" t="str">
        <f>IF(AZ149=1,IF(Q149="","",IF(Q149=N144,"Yes","No")),"")</f>
        <v/>
      </c>
      <c r="BB149" t="str">
        <f t="shared" si="39"/>
        <v/>
      </c>
      <c r="BC149" t="str">
        <f>IF(AZ149=1,IF(S149="","",IF(S149=N144,"Yes","No")),"")</f>
        <v/>
      </c>
      <c r="BD149" t="str">
        <f t="shared" si="40"/>
        <v/>
      </c>
      <c r="BE149" t="str">
        <f t="shared" si="41"/>
        <v/>
      </c>
      <c r="BF149" t="str">
        <f t="shared" si="42"/>
        <v>No</v>
      </c>
      <c r="BG149" t="str">
        <f t="shared" si="43"/>
        <v>No</v>
      </c>
      <c r="BH149" t="str">
        <f t="shared" si="44"/>
        <v/>
      </c>
    </row>
    <row r="150" spans="9:60" x14ac:dyDescent="0.3">
      <c r="I150" t="str">
        <f t="shared" si="21"/>
        <v>N/A</v>
      </c>
      <c r="J150" t="str">
        <f t="shared" si="22"/>
        <v>N/A</v>
      </c>
      <c r="K150" t="str">
        <f t="shared" si="23"/>
        <v>N/A</v>
      </c>
      <c r="L150" t="str">
        <f t="shared" si="24"/>
        <v>N/A</v>
      </c>
      <c r="M150" t="str">
        <f t="shared" si="25"/>
        <v>N/A</v>
      </c>
      <c r="N150" t="str">
        <f t="shared" si="26"/>
        <v>N/A</v>
      </c>
      <c r="P150">
        <f t="shared" si="27"/>
        <v>0</v>
      </c>
      <c r="Q150" t="str">
        <f>IFERROR(J144+MATCH(P150,J150:N150,0)-1,"")</f>
        <v/>
      </c>
      <c r="R150" t="str">
        <f t="shared" si="28"/>
        <v/>
      </c>
      <c r="S150" t="str">
        <f>IFERROR(J144+MATCH(R150,J150:N150,0)-1,"")</f>
        <v/>
      </c>
      <c r="T150" t="str">
        <f t="shared" si="29"/>
        <v/>
      </c>
      <c r="U150" t="str">
        <f t="shared" si="30"/>
        <v/>
      </c>
      <c r="V150" t="str">
        <f t="shared" si="31"/>
        <v/>
      </c>
      <c r="W150" t="str">
        <f t="shared" si="32"/>
        <v/>
      </c>
      <c r="X150" t="str">
        <f t="shared" si="33"/>
        <v/>
      </c>
      <c r="Y150" t="str">
        <f t="shared" si="34"/>
        <v/>
      </c>
      <c r="Z150" t="str">
        <f t="shared" si="35"/>
        <v/>
      </c>
      <c r="AA150">
        <f t="shared" si="36"/>
        <v>0</v>
      </c>
      <c r="AB150" t="str">
        <f>IFERROR(V144+MATCH(AA150,V150:Z150,0)-1,"")</f>
        <v/>
      </c>
      <c r="AC150" t="str">
        <f t="shared" si="37"/>
        <v/>
      </c>
      <c r="AE150" t="str">
        <f>IF(ISNUMBER(MATCH("N/A",J150:N150,0)),"",IFERROR((5 * SUMPRODUCT(J144:N144,J150:N150) - PRODUCT(SUM(J144:N144),SUM(J150:N150))) / ((5 * SUM((J144^2)+(K144^2)+(L144^2)+(M144^2)+(N144^2))) - SUM(J144:N144)^2),""))</f>
        <v/>
      </c>
      <c r="AF150" t="str">
        <f>IFERROR(CORREL(J144:N144,J150:N150),"")</f>
        <v/>
      </c>
      <c r="AZ150">
        <f t="shared" si="38"/>
        <v>0</v>
      </c>
      <c r="BA150" t="str">
        <f>IF(AZ150=1,IF(Q150="","",IF(Q150=N144,"Yes","No")),"")</f>
        <v/>
      </c>
      <c r="BB150" t="str">
        <f t="shared" si="39"/>
        <v/>
      </c>
      <c r="BC150" t="str">
        <f>IF(AZ150=1,IF(S150="","",IF(S150=N144,"Yes","No")),"")</f>
        <v/>
      </c>
      <c r="BD150" t="str">
        <f t="shared" si="40"/>
        <v/>
      </c>
      <c r="BE150" t="str">
        <f t="shared" si="41"/>
        <v/>
      </c>
      <c r="BF150" t="str">
        <f t="shared" si="42"/>
        <v>No</v>
      </c>
      <c r="BG150" t="str">
        <f t="shared" si="43"/>
        <v>No</v>
      </c>
      <c r="BH150" t="str">
        <f t="shared" si="44"/>
        <v/>
      </c>
    </row>
    <row r="151" spans="9:60" x14ac:dyDescent="0.3">
      <c r="I151" t="str">
        <f t="shared" si="21"/>
        <v>N/A</v>
      </c>
      <c r="J151" t="str">
        <f t="shared" si="22"/>
        <v>N/A</v>
      </c>
      <c r="K151" t="str">
        <f t="shared" si="23"/>
        <v>N/A</v>
      </c>
      <c r="L151" t="str">
        <f t="shared" si="24"/>
        <v>N/A</v>
      </c>
      <c r="M151" t="str">
        <f t="shared" si="25"/>
        <v>N/A</v>
      </c>
      <c r="N151" t="str">
        <f t="shared" si="26"/>
        <v>N/A</v>
      </c>
      <c r="P151">
        <f t="shared" si="27"/>
        <v>0</v>
      </c>
      <c r="Q151" t="str">
        <f>IFERROR(J144+MATCH(P151,J151:N151,0)-1,"")</f>
        <v/>
      </c>
      <c r="R151" t="str">
        <f t="shared" si="28"/>
        <v/>
      </c>
      <c r="S151" t="str">
        <f>IFERROR(J144+MATCH(R151,J151:N151,0)-1,"")</f>
        <v/>
      </c>
      <c r="T151" t="str">
        <f t="shared" si="29"/>
        <v/>
      </c>
      <c r="U151" t="str">
        <f t="shared" si="30"/>
        <v/>
      </c>
      <c r="V151" t="str">
        <f t="shared" si="31"/>
        <v/>
      </c>
      <c r="W151" t="str">
        <f t="shared" si="32"/>
        <v/>
      </c>
      <c r="X151" t="str">
        <f t="shared" si="33"/>
        <v/>
      </c>
      <c r="Y151" t="str">
        <f t="shared" si="34"/>
        <v/>
      </c>
      <c r="Z151" t="str">
        <f t="shared" si="35"/>
        <v/>
      </c>
      <c r="AA151">
        <f t="shared" si="36"/>
        <v>0</v>
      </c>
      <c r="AB151" t="str">
        <f>IFERROR(V144+MATCH(AA151,V151:Z151,0)-1,"")</f>
        <v/>
      </c>
      <c r="AC151" t="str">
        <f t="shared" si="37"/>
        <v/>
      </c>
      <c r="AE151" t="str">
        <f>IF(ISNUMBER(MATCH("N/A",J151:N151,0)),"",IFERROR((5 * SUMPRODUCT(J144:N144,J151:N151) - PRODUCT(SUM(J144:N144),SUM(J151:N151))) / ((5 * SUM((J144^2)+(K144^2)+(L144^2)+(M144^2)+(N144^2))) - SUM(J144:N144)^2),""))</f>
        <v/>
      </c>
      <c r="AF151" t="str">
        <f>IFERROR(CORREL(J144:N144,J151:N151),"")</f>
        <v/>
      </c>
      <c r="AZ151">
        <f t="shared" si="38"/>
        <v>0</v>
      </c>
      <c r="BA151" t="str">
        <f>IF(AZ151=1,IF(Q151="","",IF(Q151=N144,"Yes","No")),"")</f>
        <v/>
      </c>
      <c r="BB151" t="str">
        <f t="shared" si="39"/>
        <v/>
      </c>
      <c r="BC151" t="str">
        <f>IF(AZ151=1,IF(S151="","",IF(S151=N144,"Yes","No")),"")</f>
        <v/>
      </c>
      <c r="BD151" t="str">
        <f t="shared" si="40"/>
        <v/>
      </c>
      <c r="BE151" t="str">
        <f t="shared" si="41"/>
        <v/>
      </c>
      <c r="BF151" t="str">
        <f t="shared" si="42"/>
        <v>No</v>
      </c>
      <c r="BG151" t="str">
        <f t="shared" si="43"/>
        <v>No</v>
      </c>
      <c r="BH151" t="str">
        <f t="shared" si="44"/>
        <v/>
      </c>
    </row>
    <row r="152" spans="9:60" x14ac:dyDescent="0.3">
      <c r="I152" t="str">
        <f t="shared" si="21"/>
        <v>N/A</v>
      </c>
      <c r="J152" t="str">
        <f t="shared" si="22"/>
        <v>N/A</v>
      </c>
      <c r="K152" t="str">
        <f t="shared" si="23"/>
        <v>N/A</v>
      </c>
      <c r="L152" t="str">
        <f t="shared" si="24"/>
        <v>N/A</v>
      </c>
      <c r="M152" t="str">
        <f t="shared" si="25"/>
        <v>N/A</v>
      </c>
      <c r="N152" t="str">
        <f t="shared" si="26"/>
        <v>N/A</v>
      </c>
      <c r="P152">
        <f t="shared" si="27"/>
        <v>0</v>
      </c>
      <c r="Q152" t="str">
        <f>IFERROR(J144+MATCH(P152,J152:N152,0)-1,"")</f>
        <v/>
      </c>
      <c r="R152" t="str">
        <f t="shared" si="28"/>
        <v/>
      </c>
      <c r="S152" t="str">
        <f>IFERROR(J144+MATCH(R152,J152:N152,0)-1,"")</f>
        <v/>
      </c>
      <c r="T152" t="str">
        <f t="shared" si="29"/>
        <v/>
      </c>
      <c r="U152" t="str">
        <f t="shared" si="30"/>
        <v/>
      </c>
      <c r="V152" t="str">
        <f t="shared" si="31"/>
        <v/>
      </c>
      <c r="W152" t="str">
        <f t="shared" si="32"/>
        <v/>
      </c>
      <c r="X152" t="str">
        <f t="shared" si="33"/>
        <v/>
      </c>
      <c r="Y152" t="str">
        <f t="shared" si="34"/>
        <v/>
      </c>
      <c r="Z152" t="str">
        <f t="shared" si="35"/>
        <v/>
      </c>
      <c r="AA152">
        <f t="shared" si="36"/>
        <v>0</v>
      </c>
      <c r="AB152" t="str">
        <f>IFERROR(V144+MATCH(AA152,V152:Z152,0)-1,"")</f>
        <v/>
      </c>
      <c r="AC152" t="str">
        <f t="shared" si="37"/>
        <v/>
      </c>
      <c r="AE152" t="str">
        <f>IF(ISNUMBER(MATCH("N/A",J152:N152,0)),"",IFERROR((5 * SUMPRODUCT(J144:N144,J152:N152) - PRODUCT(SUM(J144:N144),SUM(J152:N152))) / ((5 * SUM((J144^2)+(K144^2)+(L144^2)+(M144^2)+(N144^2))) - SUM(J144:N144)^2),""))</f>
        <v/>
      </c>
      <c r="AF152" t="str">
        <f>IFERROR(CORREL(J144:N144,J152:N152),"")</f>
        <v/>
      </c>
      <c r="AZ152">
        <f t="shared" si="38"/>
        <v>0</v>
      </c>
      <c r="BA152" t="str">
        <f>IF(AZ152=1,IF(Q152="","",IF(Q152=N144,"Yes","No")),"")</f>
        <v/>
      </c>
      <c r="BB152" t="str">
        <f t="shared" si="39"/>
        <v/>
      </c>
      <c r="BC152" t="str">
        <f>IF(AZ152=1,IF(S152="","",IF(S152=N144,"Yes","No")),"")</f>
        <v/>
      </c>
      <c r="BD152" t="str">
        <f t="shared" si="40"/>
        <v/>
      </c>
      <c r="BE152" t="str">
        <f t="shared" si="41"/>
        <v/>
      </c>
      <c r="BF152" t="str">
        <f t="shared" si="42"/>
        <v>No</v>
      </c>
      <c r="BG152" t="str">
        <f t="shared" si="43"/>
        <v>No</v>
      </c>
      <c r="BH152" t="str">
        <f t="shared" si="44"/>
        <v/>
      </c>
    </row>
    <row r="153" spans="9:60" x14ac:dyDescent="0.3">
      <c r="I153" t="str">
        <f t="shared" si="21"/>
        <v>N/A</v>
      </c>
      <c r="J153" t="str">
        <f t="shared" si="22"/>
        <v>N/A</v>
      </c>
      <c r="K153" t="str">
        <f t="shared" si="23"/>
        <v>N/A</v>
      </c>
      <c r="L153" t="str">
        <f t="shared" si="24"/>
        <v>N/A</v>
      </c>
      <c r="M153" t="str">
        <f t="shared" si="25"/>
        <v>N/A</v>
      </c>
      <c r="N153" t="str">
        <f t="shared" si="26"/>
        <v>N/A</v>
      </c>
      <c r="P153">
        <f t="shared" si="27"/>
        <v>0</v>
      </c>
      <c r="Q153" t="str">
        <f>IFERROR(J144+MATCH(P153,J153:N153,0)-1,"")</f>
        <v/>
      </c>
      <c r="R153" t="str">
        <f t="shared" si="28"/>
        <v/>
      </c>
      <c r="S153" t="str">
        <f>IFERROR(J144+MATCH(R153,J153:N153,0)-1,"")</f>
        <v/>
      </c>
      <c r="T153" t="str">
        <f t="shared" si="29"/>
        <v/>
      </c>
      <c r="U153" t="str">
        <f t="shared" si="30"/>
        <v/>
      </c>
      <c r="V153" t="str">
        <f t="shared" si="31"/>
        <v/>
      </c>
      <c r="W153" t="str">
        <f t="shared" si="32"/>
        <v/>
      </c>
      <c r="X153" t="str">
        <f t="shared" si="33"/>
        <v/>
      </c>
      <c r="Y153" t="str">
        <f t="shared" si="34"/>
        <v/>
      </c>
      <c r="Z153" t="str">
        <f t="shared" si="35"/>
        <v/>
      </c>
      <c r="AA153">
        <f t="shared" si="36"/>
        <v>0</v>
      </c>
      <c r="AB153" t="str">
        <f>IFERROR(V144+MATCH(AA153,V153:Z153,0)-1,"")</f>
        <v/>
      </c>
      <c r="AC153" t="str">
        <f t="shared" si="37"/>
        <v/>
      </c>
      <c r="AE153" t="str">
        <f>IF(ISNUMBER(MATCH("N/A",J153:N153,0)),"",IFERROR((5 * SUMPRODUCT(J144:N144,J153:N153) - PRODUCT(SUM(J144:N144),SUM(J153:N153))) / ((5 * SUM((J144^2)+(K144^2)+(L144^2)+(M144^2)+(N144^2))) - SUM(J144:N144)^2),""))</f>
        <v/>
      </c>
      <c r="AF153" t="str">
        <f>IFERROR(CORREL(J144:N144,J153:N153),"")</f>
        <v/>
      </c>
      <c r="AZ153">
        <f t="shared" si="38"/>
        <v>0</v>
      </c>
      <c r="BA153" t="str">
        <f>IF(AZ153=1,IF(Q153="","",IF(Q153=N144,"Yes","No")),"")</f>
        <v/>
      </c>
      <c r="BB153" t="str">
        <f t="shared" si="39"/>
        <v/>
      </c>
      <c r="BC153" t="str">
        <f>IF(AZ153=1,IF(S153="","",IF(S153=N144,"Yes","No")),"")</f>
        <v/>
      </c>
      <c r="BD153" t="str">
        <f t="shared" si="40"/>
        <v/>
      </c>
      <c r="BE153" t="str">
        <f t="shared" si="41"/>
        <v/>
      </c>
      <c r="BF153" t="str">
        <f t="shared" si="42"/>
        <v>No</v>
      </c>
      <c r="BG153" t="str">
        <f t="shared" si="43"/>
        <v>No</v>
      </c>
      <c r="BH153" t="str">
        <f t="shared" si="44"/>
        <v/>
      </c>
    </row>
    <row r="154" spans="9:60" x14ac:dyDescent="0.3">
      <c r="I154" t="str">
        <f t="shared" si="21"/>
        <v>N/A</v>
      </c>
      <c r="J154" t="str">
        <f t="shared" si="22"/>
        <v>N/A</v>
      </c>
      <c r="K154" t="str">
        <f t="shared" si="23"/>
        <v>N/A</v>
      </c>
      <c r="L154" t="str">
        <f t="shared" si="24"/>
        <v>N/A</v>
      </c>
      <c r="M154" t="str">
        <f t="shared" si="25"/>
        <v>N/A</v>
      </c>
      <c r="N154" t="str">
        <f t="shared" si="26"/>
        <v>N/A</v>
      </c>
      <c r="P154">
        <f t="shared" si="27"/>
        <v>0</v>
      </c>
      <c r="Q154" t="str">
        <f>IFERROR(J144+MATCH(P154,J154:N154,0)-1,"")</f>
        <v/>
      </c>
      <c r="R154" t="str">
        <f t="shared" si="28"/>
        <v/>
      </c>
      <c r="S154" t="str">
        <f>IFERROR(J144+MATCH(R154,J154:N154,0)-1,"")</f>
        <v/>
      </c>
      <c r="T154" t="str">
        <f t="shared" si="29"/>
        <v/>
      </c>
      <c r="U154" t="str">
        <f t="shared" si="30"/>
        <v/>
      </c>
      <c r="V154" t="str">
        <f t="shared" si="31"/>
        <v/>
      </c>
      <c r="W154" t="str">
        <f t="shared" si="32"/>
        <v/>
      </c>
      <c r="X154" t="str">
        <f t="shared" si="33"/>
        <v/>
      </c>
      <c r="Y154" t="str">
        <f t="shared" si="34"/>
        <v/>
      </c>
      <c r="Z154" t="str">
        <f t="shared" si="35"/>
        <v/>
      </c>
      <c r="AA154">
        <f t="shared" si="36"/>
        <v>0</v>
      </c>
      <c r="AB154" t="str">
        <f>IFERROR(V144+MATCH(AA154,V154:Z154,0)-1,"")</f>
        <v/>
      </c>
      <c r="AC154" t="str">
        <f t="shared" si="37"/>
        <v/>
      </c>
      <c r="AE154" t="str">
        <f>IF(ISNUMBER(MATCH("N/A",J154:N154,0)),"",IFERROR((5 * SUMPRODUCT(J144:N144,J154:N154) - PRODUCT(SUM(J144:N144),SUM(J154:N154))) / ((5 * SUM((J144^2)+(K144^2)+(L144^2)+(M144^2)+(N144^2))) - SUM(J144:N144)^2),""))</f>
        <v/>
      </c>
      <c r="AF154" t="str">
        <f>IFERROR(CORREL(J144:N144,J154:N154),"")</f>
        <v/>
      </c>
      <c r="AZ154">
        <f t="shared" si="38"/>
        <v>0</v>
      </c>
      <c r="BA154" t="str">
        <f>IF(AZ154=1,IF(Q154="","",IF(Q154=N144,"Yes","No")),"")</f>
        <v/>
      </c>
      <c r="BB154" t="str">
        <f t="shared" si="39"/>
        <v/>
      </c>
      <c r="BC154" t="str">
        <f>IF(AZ154=1,IF(S154="","",IF(S154=N144,"Yes","No")),"")</f>
        <v/>
      </c>
      <c r="BD154" t="str">
        <f t="shared" si="40"/>
        <v/>
      </c>
      <c r="BE154" t="str">
        <f t="shared" si="41"/>
        <v/>
      </c>
      <c r="BF154" t="str">
        <f t="shared" si="42"/>
        <v>No</v>
      </c>
      <c r="BG154" t="str">
        <f t="shared" si="43"/>
        <v>No</v>
      </c>
      <c r="BH154" t="str">
        <f t="shared" si="44"/>
        <v/>
      </c>
    </row>
    <row r="155" spans="9:60" x14ac:dyDescent="0.3">
      <c r="I155" t="str">
        <f t="shared" si="21"/>
        <v>N/A</v>
      </c>
      <c r="J155" t="str">
        <f t="shared" si="22"/>
        <v>N/A</v>
      </c>
      <c r="K155" t="str">
        <f t="shared" si="23"/>
        <v>N/A</v>
      </c>
      <c r="L155" t="str">
        <f t="shared" si="24"/>
        <v>N/A</v>
      </c>
      <c r="M155" t="str">
        <f t="shared" si="25"/>
        <v>N/A</v>
      </c>
      <c r="N155" t="str">
        <f t="shared" si="26"/>
        <v>N/A</v>
      </c>
      <c r="P155">
        <f t="shared" si="27"/>
        <v>0</v>
      </c>
      <c r="Q155" t="str">
        <f>IFERROR(J144+MATCH(P155,J155:N155,0)-1,"")</f>
        <v/>
      </c>
      <c r="R155" t="str">
        <f t="shared" si="28"/>
        <v/>
      </c>
      <c r="S155" t="str">
        <f>IFERROR(J144+MATCH(R155,J155:N155,0)-1,"")</f>
        <v/>
      </c>
      <c r="T155" t="str">
        <f t="shared" si="29"/>
        <v/>
      </c>
      <c r="U155" t="str">
        <f t="shared" si="30"/>
        <v/>
      </c>
      <c r="V155" t="str">
        <f t="shared" si="31"/>
        <v/>
      </c>
      <c r="W155" t="str">
        <f t="shared" si="32"/>
        <v/>
      </c>
      <c r="X155" t="str">
        <f t="shared" si="33"/>
        <v/>
      </c>
      <c r="Y155" t="str">
        <f t="shared" si="34"/>
        <v/>
      </c>
      <c r="Z155" t="str">
        <f t="shared" si="35"/>
        <v/>
      </c>
      <c r="AA155">
        <f t="shared" si="36"/>
        <v>0</v>
      </c>
      <c r="AB155" t="str">
        <f>IFERROR(V144+MATCH(AA155,V155:Z155,0)-1,"")</f>
        <v/>
      </c>
      <c r="AC155" t="str">
        <f t="shared" si="37"/>
        <v/>
      </c>
      <c r="AE155" t="str">
        <f>IF(ISNUMBER(MATCH("N/A",J155:N155,0)),"",IFERROR((5 * SUMPRODUCT(J144:N144,J155:N155) - PRODUCT(SUM(J144:N144),SUM(J155:N155))) / ((5 * SUM((J144^2)+(K144^2)+(L144^2)+(M144^2)+(N144^2))) - SUM(J144:N144)^2),""))</f>
        <v/>
      </c>
      <c r="AF155" t="str">
        <f>IFERROR(CORREL(J144:N144,J155:N155),"")</f>
        <v/>
      </c>
      <c r="AZ155">
        <f t="shared" si="38"/>
        <v>0</v>
      </c>
      <c r="BA155" t="str">
        <f>IF(AZ155=1,IF(Q155="","",IF(Q155=N144,"Yes","No")),"")</f>
        <v/>
      </c>
      <c r="BB155" t="str">
        <f t="shared" si="39"/>
        <v/>
      </c>
      <c r="BC155" t="str">
        <f>IF(AZ155=1,IF(S155="","",IF(S155=N144,"Yes","No")),"")</f>
        <v/>
      </c>
      <c r="BD155" t="str">
        <f t="shared" si="40"/>
        <v/>
      </c>
      <c r="BE155" t="str">
        <f t="shared" si="41"/>
        <v/>
      </c>
      <c r="BF155" t="str">
        <f t="shared" si="42"/>
        <v>No</v>
      </c>
      <c r="BG155" t="str">
        <f t="shared" si="43"/>
        <v>No</v>
      </c>
      <c r="BH155" t="str">
        <f t="shared" si="44"/>
        <v/>
      </c>
    </row>
    <row r="156" spans="9:60" x14ac:dyDescent="0.3">
      <c r="I156" t="str">
        <f t="shared" ref="I156:I187" si="45">IF(AND(K156&gt; J156, L156&gt; K156, M156&gt; L156, N156&gt; M156), "pos_trend", IF(AND(K156&lt; J156, L156&lt; K156, M156&lt; L156, N156&lt; M156), "neg_trend", "N/A"))</f>
        <v>N/A</v>
      </c>
      <c r="J156" t="str">
        <f t="shared" si="22"/>
        <v>N/A</v>
      </c>
      <c r="K156" t="str">
        <f t="shared" si="23"/>
        <v>N/A</v>
      </c>
      <c r="L156" t="str">
        <f t="shared" si="24"/>
        <v>N/A</v>
      </c>
      <c r="M156" t="str">
        <f t="shared" si="25"/>
        <v>N/A</v>
      </c>
      <c r="N156" t="str">
        <f t="shared" si="26"/>
        <v>N/A</v>
      </c>
      <c r="P156">
        <f t="shared" si="27"/>
        <v>0</v>
      </c>
      <c r="Q156" t="str">
        <f>IFERROR(J144+MATCH(P156,J156:N156,0)-1,"")</f>
        <v/>
      </c>
      <c r="R156" t="str">
        <f t="shared" si="28"/>
        <v/>
      </c>
      <c r="S156" t="str">
        <f>IFERROR(J144+MATCH(R156,J156:N156,0)-1,"")</f>
        <v/>
      </c>
      <c r="T156" t="str">
        <f t="shared" si="29"/>
        <v/>
      </c>
      <c r="U156" t="str">
        <f t="shared" si="30"/>
        <v/>
      </c>
      <c r="V156" t="str">
        <f t="shared" si="31"/>
        <v/>
      </c>
      <c r="W156" t="str">
        <f t="shared" si="32"/>
        <v/>
      </c>
      <c r="X156" t="str">
        <f t="shared" si="33"/>
        <v/>
      </c>
      <c r="Y156" t="str">
        <f t="shared" si="34"/>
        <v/>
      </c>
      <c r="Z156" t="str">
        <f t="shared" si="35"/>
        <v/>
      </c>
      <c r="AA156">
        <f t="shared" si="36"/>
        <v>0</v>
      </c>
      <c r="AB156" t="str">
        <f>IFERROR(V144+MATCH(AA156,V156:Z156,0)-1,"")</f>
        <v/>
      </c>
      <c r="AC156" t="str">
        <f t="shared" si="37"/>
        <v/>
      </c>
      <c r="AE156" t="str">
        <f>IF(ISNUMBER(MATCH("N/A",J156:N156,0)),"",IFERROR((5 * SUMPRODUCT(J144:N144,J156:N156) - PRODUCT(SUM(J144:N144),SUM(J156:N156))) / ((5 * SUM((J144^2)+(K144^2)+(L144^2)+(M144^2)+(N144^2))) - SUM(J144:N144)^2),""))</f>
        <v/>
      </c>
      <c r="AF156" t="str">
        <f>IFERROR(CORREL(J144:N144,J156:N156),"")</f>
        <v/>
      </c>
      <c r="AZ156">
        <f t="shared" si="38"/>
        <v>0</v>
      </c>
      <c r="BA156" t="str">
        <f>IF(AZ156=1,IF(Q156="","",IF(Q156=N144,"Yes","No")),"")</f>
        <v/>
      </c>
      <c r="BB156" t="str">
        <f t="shared" si="39"/>
        <v/>
      </c>
      <c r="BC156" t="str">
        <f>IF(AZ156=1,IF(S156="","",IF(S156=N144,"Yes","No")),"")</f>
        <v/>
      </c>
      <c r="BD156" t="str">
        <f t="shared" si="40"/>
        <v/>
      </c>
      <c r="BE156" t="str">
        <f t="shared" si="41"/>
        <v/>
      </c>
      <c r="BF156" t="str">
        <f t="shared" si="42"/>
        <v>No</v>
      </c>
      <c r="BG156" t="str">
        <f t="shared" si="43"/>
        <v>No</v>
      </c>
      <c r="BH156" t="str">
        <f t="shared" si="44"/>
        <v/>
      </c>
    </row>
    <row r="157" spans="9:60" x14ac:dyDescent="0.3">
      <c r="P157">
        <f t="shared" si="27"/>
        <v>0</v>
      </c>
      <c r="Q157" t="str">
        <f>IFERROR(J144+MATCH(P157,J157:N157,0)-1,"")</f>
        <v/>
      </c>
      <c r="R157" t="str">
        <f t="shared" si="28"/>
        <v/>
      </c>
      <c r="S157" t="str">
        <f>IFERROR(J144+MATCH(R157,J157:N157,0)-1,"")</f>
        <v/>
      </c>
      <c r="T157" t="str">
        <f t="shared" si="29"/>
        <v/>
      </c>
      <c r="U157" t="str">
        <f t="shared" si="30"/>
        <v/>
      </c>
      <c r="V157" t="str">
        <f t="shared" si="31"/>
        <v/>
      </c>
      <c r="W157" t="str">
        <f t="shared" si="32"/>
        <v/>
      </c>
      <c r="X157" t="str">
        <f t="shared" si="33"/>
        <v/>
      </c>
      <c r="Y157" t="str">
        <f t="shared" si="34"/>
        <v/>
      </c>
      <c r="Z157" t="str">
        <f t="shared" si="35"/>
        <v/>
      </c>
      <c r="AA157">
        <f t="shared" si="36"/>
        <v>0</v>
      </c>
      <c r="AB157" t="str">
        <f>IFERROR(V144+MATCH(AA157,V157:Z157,0)-1,"")</f>
        <v/>
      </c>
      <c r="AC157" t="str">
        <f t="shared" si="37"/>
        <v/>
      </c>
      <c r="AE157" t="str">
        <f>IF(ISNUMBER(MATCH("N/A",J157:N157,0)),"",IFERROR((5 * SUMPRODUCT(J144:N144,J157:N157) - PRODUCT(SUM(J144:N144),SUM(J157:N157))) / ((5 * SUM((J144^2)+(K144^2)+(L144^2)+(M144^2)+(N144^2))) - SUM(J144:N144)^2),""))</f>
        <v/>
      </c>
      <c r="AF157" t="str">
        <f>IFERROR(CORREL(J144:N144,J157:N157),"")</f>
        <v/>
      </c>
      <c r="AZ157">
        <f t="shared" si="38"/>
        <v>0</v>
      </c>
      <c r="BA157" t="str">
        <f>IF(AZ157=1,IF(Q157="","",IF(Q157=N144,"Yes","No")),"")</f>
        <v/>
      </c>
      <c r="BB157" t="str">
        <f t="shared" si="39"/>
        <v/>
      </c>
      <c r="BC157" t="str">
        <f>IF(AZ157=1,IF(S157="","",IF(S157=N144,"Yes","No")),"")</f>
        <v/>
      </c>
      <c r="BD157" t="str">
        <f t="shared" si="40"/>
        <v/>
      </c>
      <c r="BE157" t="str">
        <f t="shared" si="41"/>
        <v/>
      </c>
      <c r="BF157" t="str">
        <f t="shared" si="42"/>
        <v>No</v>
      </c>
      <c r="BG157" t="str">
        <f t="shared" si="43"/>
        <v>No</v>
      </c>
      <c r="BH157" t="str">
        <f t="shared" si="44"/>
        <v/>
      </c>
    </row>
    <row r="158" spans="9:60" x14ac:dyDescent="0.3">
      <c r="I158" t="str">
        <f t="shared" ref="I158:I204" si="46">IF(AND(K158&gt; J158, L158&gt; K158, M158&gt; L158, N158&gt; M158), "pos_trend", IF(AND(K158&lt; J158, L158&lt; K158, M158&lt; L158, N158&lt; M158), "neg_trend", "N/A"))</f>
        <v>N/A</v>
      </c>
      <c r="J158" t="str">
        <f>IFERROR(IF(TRIM(C158)="-", "0", IF(RIGHT(C158,1)=")",IF(RIGHT(C158,2)="T)",-1000000000000*VALUE(MID(C158,2,LEN(C158)-3)),IF(RIGHT(C158,2)="M)",-1000000*VALUE(MID(C158,2,LEN(C158)-3)),IF(RIGHT(C158,2)="B)",-1000000000*VALUE(MID(C158,2,LEN(C158)-3)),IF(RIGHT(C158,2)="k)",-1000*VALUE(MID(C158,2,LEN(C158)-3)),VALUE(SUBSTITUTE(C158,",","")))))),IF(RIGHT(C158,1)="T",1000000000000*VALUE(LEFT(C158,LEN(C158)-1)),IF(RIGHT(C158,1)="M",1000000*VALUE(LEFT(C158,LEN(C158)-1)),IF(RIGHT(C158,1)="B",1000000000*VALUE(LEFT(C158,LEN(C158)-1)),IF(RIGHT(C158,1)="%",0.01*VALUE(LEFT(C158,LEN(C158)-1)),IF(RIGHT(C158,1)="k",1000*VALUE(LEFT(C158,LEN(C158)-1)),VALUE(SUBSTITUTE(C158,",",""))))))))),"N/A")</f>
        <v>N/A</v>
      </c>
      <c r="K158" t="str">
        <f>IFERROR(IF(TRIM(D158)="-", "0", IF(RIGHT(D158,1)=")",IF(RIGHT(D158,2)="T)",-1000000000000*VALUE(MID(D158,2,LEN(D158)-3)),IF(RIGHT(D158,2)="M)",-1000000*VALUE(MID(D158,2,LEN(D158)-3)),IF(RIGHT(D158,2)="B)",-1000000000*VALUE(MID(D158,2,LEN(D158)-3)),IF(RIGHT(D158,2)="k)",-1000*VALUE(MID(D158,2,LEN(D158)-3)),VALUE(SUBSTITUTE(D158,",","")))))),IF(RIGHT(D158,1)="T",1000000000000*VALUE(LEFT(D158,LEN(D158)-1)),IF(RIGHT(D158,1)="M",1000000*VALUE(LEFT(D158,LEN(D158)-1)),IF(RIGHT(D158,1)="B",1000000000*VALUE(LEFT(D158,LEN(D158)-1)),IF(RIGHT(D158,1)="%",0.01*VALUE(LEFT(D158,LEN(D158)-1)),IF(RIGHT(D158,1)="k",1000*VALUE(LEFT(D158,LEN(D158)-1)),VALUE(SUBSTITUTE(D158,",",""))))))))),"N/A")</f>
        <v>N/A</v>
      </c>
      <c r="L158" t="str">
        <f>IFERROR(IF(TRIM(E158)="-", "0", IF(RIGHT(E158,1)=")",IF(RIGHT(E158,2)="T)",-1000000000000*VALUE(MID(E158,2,LEN(E158)-3)),IF(RIGHT(E158,2)="M)",-1000000*VALUE(MID(E158,2,LEN(E158)-3)),IF(RIGHT(E158,2)="B)",-1000000000*VALUE(MID(E158,2,LEN(E158)-3)),IF(RIGHT(E158,2)="k)",-1000*VALUE(MID(E158,2,LEN(E158)-3)),VALUE(SUBSTITUTE(E158,",","")))))),IF(RIGHT(E158,1)="T",1000000000000*VALUE(LEFT(E158,LEN(E158)-1)),IF(RIGHT(E158,1)="M",1000000*VALUE(LEFT(E158,LEN(E158)-1)),IF(RIGHT(E158,1)="B",1000000000*VALUE(LEFT(E158,LEN(E158)-1)),IF(RIGHT(E158,1)="%",0.01*VALUE(LEFT(E158,LEN(E158)-1)),IF(RIGHT(E158,1)="k",1000*VALUE(LEFT(E158,LEN(E158)-1)),VALUE(SUBSTITUTE(E158,",",""))))))))),"N/A")</f>
        <v>N/A</v>
      </c>
      <c r="M158" t="str">
        <f>IFERROR(IF(TRIM(F158)="-", "0", IF(RIGHT(F158,1)=")",IF(RIGHT(F158,2)="T)",-1000000000000*VALUE(MID(F158,2,LEN(F158)-3)),IF(RIGHT(F158,2)="M)",-1000000*VALUE(MID(F158,2,LEN(F158)-3)),IF(RIGHT(F158,2)="B)",-1000000000*VALUE(MID(F158,2,LEN(F158)-3)),IF(RIGHT(F158,2)="k)",-1000*VALUE(MID(F158,2,LEN(F158)-3)),VALUE(SUBSTITUTE(F158,",","")))))),IF(RIGHT(F158,1)="T",1000000000000*VALUE(LEFT(F158,LEN(F158)-1)),IF(RIGHT(F158,1)="M",1000000*VALUE(LEFT(F158,LEN(F158)-1)),IF(RIGHT(F158,1)="B",1000000000*VALUE(LEFT(F158,LEN(F158)-1)),IF(RIGHT(F158,1)="%",0.01*VALUE(LEFT(F158,LEN(F158)-1)),IF(RIGHT(F158,1)="k",1000*VALUE(LEFT(F158,LEN(F158)-1)),VALUE(SUBSTITUTE(F158,",",""))))))))),"N/A")</f>
        <v>N/A</v>
      </c>
      <c r="N158" t="str">
        <f>IFERROR(IF(TRIM(G158)="-", "0", IF(RIGHT(G158,1)=")",IF(RIGHT(G158,2)="T)",-1000000000000*VALUE(MID(G158,2,LEN(G158)-3)),IF(RIGHT(G158,2)="M)",-1000000*VALUE(MID(G158,2,LEN(G158)-3)),IF(RIGHT(G158,2)="B)",-1000000000*VALUE(MID(G158,2,LEN(G158)-3)),IF(RIGHT(G158,2)="k)",-1000*VALUE(MID(G158,2,LEN(G158)-3)),VALUE(SUBSTITUTE(G158,",","")))))),IF(RIGHT(G158,1)="T",1000000000000*VALUE(LEFT(G158,LEN(G158)-1)),IF(RIGHT(G158,1)="M",1000000*VALUE(LEFT(G158,LEN(G158)-1)),IF(RIGHT(G158,1)="B",1000000000*VALUE(LEFT(G158,LEN(G158)-1)),IF(RIGHT(G158,1)="%",0.01*VALUE(LEFT(G158,LEN(G158)-1)),IF(RIGHT(G158,1)="k",1000*VALUE(LEFT(G158,LEN(G158)-1)),VALUE(SUBSTITUTE(G158,",",""))))))))),"N/A")</f>
        <v>N/A</v>
      </c>
      <c r="P158">
        <f t="shared" si="27"/>
        <v>0</v>
      </c>
      <c r="Q158" t="str">
        <f>IFERROR(J144+MATCH(P158,J158:N158,0)-1,"")</f>
        <v/>
      </c>
      <c r="R158" t="str">
        <f t="shared" si="28"/>
        <v/>
      </c>
      <c r="S158" t="str">
        <f>IFERROR(J144+MATCH(R158,J158:N158,0)-1,"")</f>
        <v/>
      </c>
      <c r="T158" t="str">
        <f t="shared" si="29"/>
        <v/>
      </c>
      <c r="U158" t="str">
        <f t="shared" si="30"/>
        <v/>
      </c>
      <c r="V158" t="str">
        <f t="shared" si="31"/>
        <v/>
      </c>
      <c r="W158" t="str">
        <f t="shared" si="32"/>
        <v/>
      </c>
      <c r="X158" t="str">
        <f t="shared" si="33"/>
        <v/>
      </c>
      <c r="Y158" t="str">
        <f t="shared" si="34"/>
        <v/>
      </c>
      <c r="Z158" t="str">
        <f t="shared" si="35"/>
        <v/>
      </c>
      <c r="AA158">
        <f t="shared" si="36"/>
        <v>0</v>
      </c>
      <c r="AB158" t="str">
        <f>IFERROR(V144+MATCH(AA158,V158:Z158,0)-1,"")</f>
        <v/>
      </c>
      <c r="AC158" t="str">
        <f t="shared" si="37"/>
        <v/>
      </c>
      <c r="AE158" t="str">
        <f>IF(ISNUMBER(MATCH("N/A",J158:N158,0)),"",IFERROR((5 * SUMPRODUCT(J144:N144,J158:N158) - PRODUCT(SUM(J144:N144),SUM(J158:N158))) / ((5 * SUM((J144^2)+(K144^2)+(L144^2)+(M144^2)+(N144^2))) - SUM(J144:N144)^2),""))</f>
        <v/>
      </c>
      <c r="AF158" t="str">
        <f>IFERROR(CORREL(J144:N144,J158:N158),"")</f>
        <v/>
      </c>
      <c r="AZ158">
        <f t="shared" si="38"/>
        <v>0</v>
      </c>
      <c r="BA158" t="str">
        <f>IF(AZ158=1,IF(Q158="","",IF(Q158=N144,"Yes","No")),"")</f>
        <v/>
      </c>
      <c r="BB158" t="str">
        <f t="shared" si="39"/>
        <v/>
      </c>
      <c r="BC158" t="str">
        <f>IF(AZ158=1,IF(S158="","",IF(S158=N144,"Yes","No")),"")</f>
        <v/>
      </c>
      <c r="BD158" t="str">
        <f t="shared" si="40"/>
        <v/>
      </c>
      <c r="BE158" t="str">
        <f t="shared" si="41"/>
        <v/>
      </c>
      <c r="BF158" t="str">
        <f t="shared" si="42"/>
        <v>No</v>
      </c>
      <c r="BG158" t="str">
        <f t="shared" si="43"/>
        <v>No</v>
      </c>
      <c r="BH158" t="str">
        <f t="shared" si="44"/>
        <v/>
      </c>
    </row>
    <row r="159" spans="9:60" x14ac:dyDescent="0.3">
      <c r="I159" t="str">
        <f t="shared" si="46"/>
        <v>N/A</v>
      </c>
      <c r="J159" t="str">
        <f t="shared" ref="J159:J204" si="47">IFERROR(IF(TRIM(C159)="-", "N/A", IF(RIGHT(C159,1)=")",IF(RIGHT(C159,2)="T)",-1000000000000*VALUE(MID(C159,2,LEN(C159)-3)),IF(RIGHT(C159,2)="M)",-1000000*VALUE(MID(C159,2,LEN(C159)-3)),IF(RIGHT(C159,2)="B)",-1000000000*VALUE(MID(C159,2,LEN(C159)-3)),IF(RIGHT(C159,2)="k)",-1000*VALUE(MID(C159,2,LEN(C159)-3)),VALUE(SUBSTITUTE(C159,",","")))))),IF(RIGHT(C159,1)="T",1000000000000*VALUE(LEFT(C159,LEN(C159)-1)),IF(RIGHT(C159,1)="M",1000000*VALUE(LEFT(C159,LEN(C159)-1)),IF(RIGHT(C159,1)="B",1000000000*VALUE(LEFT(C159,LEN(C159)-1)),IF(RIGHT(C159,1)="%",0.01*VALUE(LEFT(C159,LEN(C159)-1)),IF(RIGHT(C159,1)="k",1000*VALUE(LEFT(C159,LEN(C159)-1)),VALUE(SUBSTITUTE(C159,",",""))))))))),"N/A")</f>
        <v>N/A</v>
      </c>
      <c r="K159" t="str">
        <f t="shared" ref="K159:K204" si="48">IFERROR(IF(TRIM(D159)="-", "N/A", IF(RIGHT(D159,1)=")",IF(RIGHT(D159,2)="T)",-1000000000000*VALUE(MID(D159,2,LEN(D159)-3)),IF(RIGHT(D159,2)="M)",-1000000*VALUE(MID(D159,2,LEN(D159)-3)),IF(RIGHT(D159,2)="B)",-1000000000*VALUE(MID(D159,2,LEN(D159)-3)),IF(RIGHT(D159,2)="k)",-1000*VALUE(MID(D159,2,LEN(D159)-3)),VALUE(SUBSTITUTE(D159,",","")))))),IF(RIGHT(D159,1)="T",1000000000000*VALUE(LEFT(D159,LEN(D159)-1)),IF(RIGHT(D159,1)="M",1000000*VALUE(LEFT(D159,LEN(D159)-1)),IF(RIGHT(D159,1)="B",1000000000*VALUE(LEFT(D159,LEN(D159)-1)),IF(RIGHT(D159,1)="%",0.01*VALUE(LEFT(D159,LEN(D159)-1)),IF(RIGHT(D159,1)="k",1000*VALUE(LEFT(D159,LEN(D159)-1)),VALUE(SUBSTITUTE(D159,",",""))))))))),"N/A")</f>
        <v>N/A</v>
      </c>
      <c r="L159" t="str">
        <f t="shared" ref="L159:L204" si="49">IFERROR(IF(TRIM(E159)="-", "N/A", IF(RIGHT(E159,1)=")",IF(RIGHT(E159,2)="T)",-1000000000000*VALUE(MID(E159,2,LEN(E159)-3)),IF(RIGHT(E159,2)="M)",-1000000*VALUE(MID(E159,2,LEN(E159)-3)),IF(RIGHT(E159,2)="B)",-1000000000*VALUE(MID(E159,2,LEN(E159)-3)),IF(RIGHT(E159,2)="k)",-1000*VALUE(MID(E159,2,LEN(E159)-3)),VALUE(SUBSTITUTE(E159,",","")))))),IF(RIGHT(E159,1)="T",1000000000000*VALUE(LEFT(E159,LEN(E159)-1)),IF(RIGHT(E159,1)="M",1000000*VALUE(LEFT(E159,LEN(E159)-1)),IF(RIGHT(E159,1)="B",1000000000*VALUE(LEFT(E159,LEN(E159)-1)),IF(RIGHT(E159,1)="%",0.01*VALUE(LEFT(E159,LEN(E159)-1)),IF(RIGHT(E159,1)="k",1000*VALUE(LEFT(E159,LEN(E159)-1)),VALUE(SUBSTITUTE(E159,",",""))))))))),"N/A")</f>
        <v>N/A</v>
      </c>
      <c r="M159" t="str">
        <f t="shared" ref="M159:M204" si="50">IFERROR(IF(TRIM(F159)="-", "N/A", IF(RIGHT(F159,1)=")",IF(RIGHT(F159,2)="T)",-1000000000000*VALUE(MID(F159,2,LEN(F159)-3)),IF(RIGHT(F159,2)="M)",-1000000*VALUE(MID(F159,2,LEN(F159)-3)),IF(RIGHT(F159,2)="B)",-1000000000*VALUE(MID(F159,2,LEN(F159)-3)),IF(RIGHT(F159,2)="k)",-1000*VALUE(MID(F159,2,LEN(F159)-3)),VALUE(SUBSTITUTE(F159,",","")))))),IF(RIGHT(F159,1)="T",1000000000000*VALUE(LEFT(F159,LEN(F159)-1)),IF(RIGHT(F159,1)="M",1000000*VALUE(LEFT(F159,LEN(F159)-1)),IF(RIGHT(F159,1)="B",1000000000*VALUE(LEFT(F159,LEN(F159)-1)),IF(RIGHT(F159,1)="%",0.01*VALUE(LEFT(F159,LEN(F159)-1)),IF(RIGHT(F159,1)="k",1000*VALUE(LEFT(F159,LEN(F159)-1)),VALUE(SUBSTITUTE(F159,",",""))))))))),"N/A")</f>
        <v>N/A</v>
      </c>
      <c r="N159" t="str">
        <f t="shared" ref="N159:N204" si="51">IFERROR(IF(TRIM(G159)="-", "N/A", IF(RIGHT(G159,1)=")",IF(RIGHT(G159,2)="T)",-1000000000000*VALUE(MID(G159,2,LEN(G159)-3)),IF(RIGHT(G159,2)="M)",-1000000*VALUE(MID(G159,2,LEN(G159)-3)),IF(RIGHT(G159,2)="B)",-1000000000*VALUE(MID(G159,2,LEN(G159)-3)),IF(RIGHT(G159,2)="k)",-1000*VALUE(MID(G159,2,LEN(G159)-3)),VALUE(SUBSTITUTE(G159,",","")))))),IF(RIGHT(G159,1)="T",1000000000000*VALUE(LEFT(G159,LEN(G159)-1)),IF(RIGHT(G159,1)="M",1000000*VALUE(LEFT(G159,LEN(G159)-1)),IF(RIGHT(G159,1)="B",1000000000*VALUE(LEFT(G159,LEN(G159)-1)),IF(RIGHT(G159,1)="%",0.01*VALUE(LEFT(G159,LEN(G159)-1)),IF(RIGHT(G159,1)="k",1000*VALUE(LEFT(G159,LEN(G159)-1)),VALUE(SUBSTITUTE(G159,",",""))))))))),"N/A")</f>
        <v>N/A</v>
      </c>
      <c r="P159">
        <f t="shared" si="27"/>
        <v>0</v>
      </c>
      <c r="Q159" t="str">
        <f>IFERROR(J144+MATCH(P159,J159:N159,0)-1,"")</f>
        <v/>
      </c>
      <c r="R159" t="str">
        <f t="shared" si="28"/>
        <v/>
      </c>
      <c r="S159" t="str">
        <f>IFERROR(J144+MATCH(R159,J159:N159,0)-1,"")</f>
        <v/>
      </c>
      <c r="T159" t="str">
        <f t="shared" si="29"/>
        <v/>
      </c>
      <c r="U159" t="str">
        <f t="shared" si="30"/>
        <v/>
      </c>
      <c r="V159" t="str">
        <f t="shared" si="31"/>
        <v/>
      </c>
      <c r="W159" t="str">
        <f t="shared" si="32"/>
        <v/>
      </c>
      <c r="X159" t="str">
        <f t="shared" si="33"/>
        <v/>
      </c>
      <c r="Y159" t="str">
        <f t="shared" si="34"/>
        <v/>
      </c>
      <c r="Z159" t="str">
        <f t="shared" si="35"/>
        <v/>
      </c>
      <c r="AA159">
        <f t="shared" si="36"/>
        <v>0</v>
      </c>
      <c r="AB159" t="str">
        <f>IFERROR(V144+MATCH(AA159,V159:Z159,0)-1,"")</f>
        <v/>
      </c>
      <c r="AC159" t="str">
        <f t="shared" si="37"/>
        <v/>
      </c>
      <c r="AE159" t="str">
        <f>IF(ISNUMBER(MATCH("N/A",J159:N159,0)),"",IFERROR((5 * SUMPRODUCT(J144:N144,J159:N159) - PRODUCT(SUM(J144:N144),SUM(J159:N159))) / ((5 * SUM((J144^2)+(K144^2)+(L144^2)+(M144^2)+(N144^2))) - SUM(J144:N144)^2),""))</f>
        <v/>
      </c>
      <c r="AF159" t="str">
        <f>IFERROR(CORREL(J144:N144,J159:N159),"")</f>
        <v/>
      </c>
      <c r="AZ159">
        <f t="shared" si="38"/>
        <v>0</v>
      </c>
      <c r="BA159" t="str">
        <f>IF(AZ159=1,IF(Q159="","",IF(Q159=N144,"Yes","No")),"")</f>
        <v/>
      </c>
      <c r="BB159" t="str">
        <f t="shared" si="39"/>
        <v/>
      </c>
      <c r="BC159" t="str">
        <f>IF(AZ159=1,IF(S159="","",IF(S159=N144,"Yes","No")),"")</f>
        <v/>
      </c>
      <c r="BD159" t="str">
        <f t="shared" si="40"/>
        <v/>
      </c>
      <c r="BE159" t="str">
        <f t="shared" si="41"/>
        <v/>
      </c>
      <c r="BF159" t="str">
        <f t="shared" si="42"/>
        <v>No</v>
      </c>
      <c r="BG159" t="str">
        <f t="shared" si="43"/>
        <v>No</v>
      </c>
      <c r="BH159" t="str">
        <f t="shared" si="44"/>
        <v/>
      </c>
    </row>
    <row r="160" spans="9:60" x14ac:dyDescent="0.3">
      <c r="I160" t="str">
        <f t="shared" si="46"/>
        <v>N/A</v>
      </c>
      <c r="J160" t="str">
        <f t="shared" si="47"/>
        <v>N/A</v>
      </c>
      <c r="K160" t="str">
        <f t="shared" si="48"/>
        <v>N/A</v>
      </c>
      <c r="L160" t="str">
        <f t="shared" si="49"/>
        <v>N/A</v>
      </c>
      <c r="M160" t="str">
        <f t="shared" si="50"/>
        <v>N/A</v>
      </c>
      <c r="N160" t="str">
        <f t="shared" si="51"/>
        <v>N/A</v>
      </c>
      <c r="P160">
        <f t="shared" si="27"/>
        <v>0</v>
      </c>
      <c r="Q160" t="str">
        <f>IFERROR(J144+MATCH(P160,J160:N160,0)-1,"")</f>
        <v/>
      </c>
      <c r="R160" t="str">
        <f t="shared" si="28"/>
        <v/>
      </c>
      <c r="S160" t="str">
        <f>IFERROR(J144+MATCH(R160,J160:N160,0)-1,"")</f>
        <v/>
      </c>
      <c r="T160" t="str">
        <f t="shared" si="29"/>
        <v/>
      </c>
      <c r="U160" t="str">
        <f t="shared" si="30"/>
        <v/>
      </c>
      <c r="V160" t="str">
        <f t="shared" si="31"/>
        <v/>
      </c>
      <c r="W160" t="str">
        <f t="shared" si="32"/>
        <v/>
      </c>
      <c r="X160" t="str">
        <f t="shared" si="33"/>
        <v/>
      </c>
      <c r="Y160" t="str">
        <f t="shared" si="34"/>
        <v/>
      </c>
      <c r="Z160" t="str">
        <f t="shared" si="35"/>
        <v/>
      </c>
      <c r="AA160">
        <f t="shared" si="36"/>
        <v>0</v>
      </c>
      <c r="AB160" t="str">
        <f>IFERROR(V144+MATCH(AA160,V160:Z160,0)-1,"")</f>
        <v/>
      </c>
      <c r="AC160" t="str">
        <f t="shared" si="37"/>
        <v/>
      </c>
      <c r="AE160" t="str">
        <f>IF(ISNUMBER(MATCH("N/A",J160:N160,0)),"",IFERROR((5 * SUMPRODUCT(J144:N144,J160:N160) - PRODUCT(SUM(J144:N144),SUM(J160:N160))) / ((5 * SUM((J144^2)+(K144^2)+(L144^2)+(M144^2)+(N144^2))) - SUM(J144:N144)^2),""))</f>
        <v/>
      </c>
      <c r="AF160" t="str">
        <f>IFERROR(CORREL(J144:N144,J160:N160),"")</f>
        <v/>
      </c>
      <c r="AZ160">
        <f t="shared" si="38"/>
        <v>0</v>
      </c>
      <c r="BA160" t="str">
        <f>IF(AZ160=1,IF(Q160="","",IF(Q160=N144,"Yes","No")),"")</f>
        <v/>
      </c>
      <c r="BB160" t="str">
        <f t="shared" si="39"/>
        <v/>
      </c>
      <c r="BC160" t="str">
        <f>IF(AZ160=1,IF(S160="","",IF(S160=N144,"Yes","No")),"")</f>
        <v/>
      </c>
      <c r="BD160" t="str">
        <f t="shared" si="40"/>
        <v/>
      </c>
      <c r="BE160" t="str">
        <f t="shared" si="41"/>
        <v/>
      </c>
      <c r="BF160" t="str">
        <f t="shared" si="42"/>
        <v>No</v>
      </c>
      <c r="BG160" t="str">
        <f t="shared" si="43"/>
        <v>No</v>
      </c>
      <c r="BH160" t="str">
        <f t="shared" si="44"/>
        <v/>
      </c>
    </row>
    <row r="161" spans="9:60" x14ac:dyDescent="0.3">
      <c r="I161" t="str">
        <f t="shared" si="46"/>
        <v>N/A</v>
      </c>
      <c r="J161" t="str">
        <f t="shared" si="47"/>
        <v>N/A</v>
      </c>
      <c r="K161" t="str">
        <f t="shared" si="48"/>
        <v>N/A</v>
      </c>
      <c r="L161" t="str">
        <f t="shared" si="49"/>
        <v>N/A</v>
      </c>
      <c r="M161" t="str">
        <f t="shared" si="50"/>
        <v>N/A</v>
      </c>
      <c r="N161" t="str">
        <f t="shared" si="51"/>
        <v>N/A</v>
      </c>
      <c r="P161">
        <f t="shared" si="27"/>
        <v>0</v>
      </c>
      <c r="Q161" t="str">
        <f>IFERROR(J144+MATCH(P161,J161:N161,0)-1,"")</f>
        <v/>
      </c>
      <c r="R161" t="str">
        <f t="shared" si="28"/>
        <v/>
      </c>
      <c r="S161" t="str">
        <f>IFERROR(J144+MATCH(R161,J161:N161,0)-1,"")</f>
        <v/>
      </c>
      <c r="T161" t="str">
        <f t="shared" si="29"/>
        <v/>
      </c>
      <c r="U161" t="str">
        <f t="shared" si="30"/>
        <v/>
      </c>
      <c r="V161" t="str">
        <f t="shared" si="31"/>
        <v/>
      </c>
      <c r="W161" t="str">
        <f t="shared" si="32"/>
        <v/>
      </c>
      <c r="X161" t="str">
        <f t="shared" si="33"/>
        <v/>
      </c>
      <c r="Y161" t="str">
        <f t="shared" si="34"/>
        <v/>
      </c>
      <c r="Z161" t="str">
        <f t="shared" si="35"/>
        <v/>
      </c>
      <c r="AA161">
        <f t="shared" si="36"/>
        <v>0</v>
      </c>
      <c r="AB161" t="str">
        <f>IFERROR(V144+MATCH(AA161,V161:Z161,0)-1,"")</f>
        <v/>
      </c>
      <c r="AC161" t="str">
        <f t="shared" si="37"/>
        <v/>
      </c>
      <c r="AE161" t="str">
        <f>IF(ISNUMBER(MATCH("N/A",J161:N161,0)),"",IFERROR((5 * SUMPRODUCT(J144:N144,J161:N161) - PRODUCT(SUM(J144:N144),SUM(J161:N161))) / ((5 * SUM((J144^2)+(K144^2)+(L144^2)+(M144^2)+(N144^2))) - SUM(J144:N144)^2),""))</f>
        <v/>
      </c>
      <c r="AF161" t="str">
        <f>IFERROR(CORREL(J144:N144,J161:N161),"")</f>
        <v/>
      </c>
      <c r="AZ161">
        <f t="shared" si="38"/>
        <v>0</v>
      </c>
      <c r="BA161" t="str">
        <f>IF(AZ161=1,IF(Q161="","",IF(Q161=N144,"Yes","No")),"")</f>
        <v/>
      </c>
      <c r="BB161" t="str">
        <f t="shared" si="39"/>
        <v/>
      </c>
      <c r="BC161" t="str">
        <f>IF(AZ161=1,IF(S161="","",IF(S161=N144,"Yes","No")),"")</f>
        <v/>
      </c>
      <c r="BD161" t="str">
        <f t="shared" si="40"/>
        <v/>
      </c>
      <c r="BE161" t="str">
        <f t="shared" si="41"/>
        <v/>
      </c>
      <c r="BF161" t="str">
        <f t="shared" si="42"/>
        <v>No</v>
      </c>
      <c r="BG161" t="str">
        <f t="shared" si="43"/>
        <v>No</v>
      </c>
      <c r="BH161" t="str">
        <f t="shared" si="44"/>
        <v/>
      </c>
    </row>
    <row r="162" spans="9:60" x14ac:dyDescent="0.3">
      <c r="I162" t="str">
        <f t="shared" si="46"/>
        <v>N/A</v>
      </c>
      <c r="J162" t="str">
        <f t="shared" si="47"/>
        <v>N/A</v>
      </c>
      <c r="K162" t="str">
        <f t="shared" si="48"/>
        <v>N/A</v>
      </c>
      <c r="L162" t="str">
        <f t="shared" si="49"/>
        <v>N/A</v>
      </c>
      <c r="M162" t="str">
        <f t="shared" si="50"/>
        <v>N/A</v>
      </c>
      <c r="N162" t="str">
        <f t="shared" si="51"/>
        <v>N/A</v>
      </c>
      <c r="P162">
        <f t="shared" si="27"/>
        <v>0</v>
      </c>
      <c r="Q162" t="str">
        <f>IFERROR(J144+MATCH(P162,J162:N162,0)-1,"")</f>
        <v/>
      </c>
      <c r="R162" t="str">
        <f t="shared" si="28"/>
        <v/>
      </c>
      <c r="S162" t="str">
        <f>IFERROR(J144+MATCH(R162,J162:N162,0)-1,"")</f>
        <v/>
      </c>
      <c r="T162" t="str">
        <f t="shared" si="29"/>
        <v/>
      </c>
      <c r="U162" t="str">
        <f t="shared" si="30"/>
        <v/>
      </c>
      <c r="V162" t="str">
        <f t="shared" si="31"/>
        <v/>
      </c>
      <c r="W162" t="str">
        <f t="shared" si="32"/>
        <v/>
      </c>
      <c r="X162" t="str">
        <f t="shared" si="33"/>
        <v/>
      </c>
      <c r="Y162" t="str">
        <f t="shared" si="34"/>
        <v/>
      </c>
      <c r="Z162" t="str">
        <f t="shared" si="35"/>
        <v/>
      </c>
      <c r="AA162">
        <f t="shared" si="36"/>
        <v>0</v>
      </c>
      <c r="AB162" t="str">
        <f>IFERROR(V144+MATCH(AA162,V162:Z162,0)-1,"")</f>
        <v/>
      </c>
      <c r="AC162" t="str">
        <f t="shared" si="37"/>
        <v/>
      </c>
      <c r="AE162" t="str">
        <f>IF(ISNUMBER(MATCH("N/A",J162:N162,0)),"",IFERROR((5 * SUMPRODUCT(J144:N144,J162:N162) - PRODUCT(SUM(J144:N144),SUM(J162:N162))) / ((5 * SUM((J144^2)+(K144^2)+(L144^2)+(M144^2)+(N144^2))) - SUM(J144:N144)^2),""))</f>
        <v/>
      </c>
      <c r="AF162" t="str">
        <f>IFERROR(CORREL(J144:N144,J162:N162),"")</f>
        <v/>
      </c>
      <c r="AZ162">
        <f t="shared" si="38"/>
        <v>0</v>
      </c>
      <c r="BA162" t="str">
        <f>IF(AZ162=1,IF(Q162="","",IF(Q162=N144,"Yes","No")),"")</f>
        <v/>
      </c>
      <c r="BB162" t="str">
        <f t="shared" si="39"/>
        <v/>
      </c>
      <c r="BC162" t="str">
        <f>IF(AZ162=1,IF(S162="","",IF(S162=N144,"Yes","No")),"")</f>
        <v/>
      </c>
      <c r="BD162" t="str">
        <f t="shared" si="40"/>
        <v/>
      </c>
      <c r="BE162" t="str">
        <f t="shared" si="41"/>
        <v/>
      </c>
      <c r="BF162" t="str">
        <f t="shared" si="42"/>
        <v>No</v>
      </c>
      <c r="BG162" t="str">
        <f t="shared" si="43"/>
        <v>No</v>
      </c>
      <c r="BH162" t="str">
        <f t="shared" si="44"/>
        <v/>
      </c>
    </row>
    <row r="163" spans="9:60" x14ac:dyDescent="0.3">
      <c r="I163" t="str">
        <f t="shared" si="46"/>
        <v>N/A</v>
      </c>
      <c r="J163" t="str">
        <f t="shared" si="47"/>
        <v>N/A</v>
      </c>
      <c r="K163" t="str">
        <f t="shared" si="48"/>
        <v>N/A</v>
      </c>
      <c r="L163" t="str">
        <f t="shared" si="49"/>
        <v>N/A</v>
      </c>
      <c r="M163" t="str">
        <f t="shared" si="50"/>
        <v>N/A</v>
      </c>
      <c r="N163" t="str">
        <f t="shared" si="51"/>
        <v>N/A</v>
      </c>
      <c r="P163">
        <f t="shared" si="27"/>
        <v>0</v>
      </c>
      <c r="Q163" t="str">
        <f>IFERROR(J144+MATCH(P163,J163:N163,0)-1,"")</f>
        <v/>
      </c>
      <c r="R163" t="str">
        <f t="shared" si="28"/>
        <v/>
      </c>
      <c r="S163" t="str">
        <f>IFERROR(J144+MATCH(R163,J163:N163,0)-1,"")</f>
        <v/>
      </c>
      <c r="T163" t="str">
        <f t="shared" si="29"/>
        <v/>
      </c>
      <c r="U163" t="str">
        <f t="shared" si="30"/>
        <v/>
      </c>
      <c r="V163" t="str">
        <f t="shared" si="31"/>
        <v/>
      </c>
      <c r="W163" t="str">
        <f t="shared" si="32"/>
        <v/>
      </c>
      <c r="X163" t="str">
        <f t="shared" si="33"/>
        <v/>
      </c>
      <c r="Y163" t="str">
        <f t="shared" si="34"/>
        <v/>
      </c>
      <c r="Z163" t="str">
        <f t="shared" si="35"/>
        <v/>
      </c>
      <c r="AA163">
        <f t="shared" si="36"/>
        <v>0</v>
      </c>
      <c r="AB163" t="str">
        <f>IFERROR(V144+MATCH(AA163,V163:Z163,0)-1,"")</f>
        <v/>
      </c>
      <c r="AC163" t="str">
        <f t="shared" si="37"/>
        <v/>
      </c>
      <c r="AE163" t="str">
        <f>IF(ISNUMBER(MATCH("N/A",J163:N163,0)),"",IFERROR((5 * SUMPRODUCT(J144:N144,J163:N163) - PRODUCT(SUM(J144:N144),SUM(J163:N163))) / ((5 * SUM((J144^2)+(K144^2)+(L144^2)+(M144^2)+(N144^2))) - SUM(J144:N144)^2),""))</f>
        <v/>
      </c>
      <c r="AF163" t="str">
        <f>IFERROR(CORREL(J144:N144,J163:N163),"")</f>
        <v/>
      </c>
      <c r="AZ163">
        <f t="shared" si="38"/>
        <v>0</v>
      </c>
      <c r="BA163" t="str">
        <f>IF(AZ163=1,IF(Q163="","",IF(Q163=N144,"Yes","No")),"")</f>
        <v/>
      </c>
      <c r="BB163" t="str">
        <f t="shared" si="39"/>
        <v/>
      </c>
      <c r="BC163" t="str">
        <f>IF(AZ163=1,IF(S163="","",IF(S163=N144,"Yes","No")),"")</f>
        <v/>
      </c>
      <c r="BD163" t="str">
        <f t="shared" si="40"/>
        <v/>
      </c>
      <c r="BE163" t="str">
        <f t="shared" si="41"/>
        <v/>
      </c>
      <c r="BF163" t="str">
        <f t="shared" si="42"/>
        <v>No</v>
      </c>
      <c r="BG163" t="str">
        <f t="shared" si="43"/>
        <v>No</v>
      </c>
      <c r="BH163" t="str">
        <f t="shared" si="44"/>
        <v/>
      </c>
    </row>
    <row r="164" spans="9:60" x14ac:dyDescent="0.3">
      <c r="I164" t="str">
        <f t="shared" si="46"/>
        <v>N/A</v>
      </c>
      <c r="J164" t="str">
        <f t="shared" si="47"/>
        <v>N/A</v>
      </c>
      <c r="K164" t="str">
        <f t="shared" si="48"/>
        <v>N/A</v>
      </c>
      <c r="L164" t="str">
        <f t="shared" si="49"/>
        <v>N/A</v>
      </c>
      <c r="M164" t="str">
        <f t="shared" si="50"/>
        <v>N/A</v>
      </c>
      <c r="N164" t="str">
        <f t="shared" si="51"/>
        <v>N/A</v>
      </c>
      <c r="P164">
        <f t="shared" si="27"/>
        <v>0</v>
      </c>
      <c r="Q164" t="str">
        <f>IFERROR(J144+MATCH(P164,J164:N164,0)-1,"")</f>
        <v/>
      </c>
      <c r="R164" t="str">
        <f t="shared" si="28"/>
        <v/>
      </c>
      <c r="S164" t="str">
        <f>IFERROR(J144+MATCH(R164,J164:N164,0)-1,"")</f>
        <v/>
      </c>
      <c r="T164" t="str">
        <f t="shared" si="29"/>
        <v/>
      </c>
      <c r="U164" t="str">
        <f t="shared" si="30"/>
        <v/>
      </c>
      <c r="V164" t="str">
        <f t="shared" si="31"/>
        <v/>
      </c>
      <c r="W164" t="str">
        <f t="shared" si="32"/>
        <v/>
      </c>
      <c r="X164" t="str">
        <f t="shared" si="33"/>
        <v/>
      </c>
      <c r="Y164" t="str">
        <f t="shared" si="34"/>
        <v/>
      </c>
      <c r="Z164" t="str">
        <f t="shared" si="35"/>
        <v/>
      </c>
      <c r="AA164">
        <f t="shared" si="36"/>
        <v>0</v>
      </c>
      <c r="AB164" t="str">
        <f>IFERROR(V144+MATCH(AA164,V164:Z164,0)-1,"")</f>
        <v/>
      </c>
      <c r="AC164" t="str">
        <f t="shared" si="37"/>
        <v/>
      </c>
      <c r="AE164" t="str">
        <f>IF(ISNUMBER(MATCH("N/A",J164:N164,0)),"",IFERROR((5 * SUMPRODUCT(J144:N144,J164:N164) - PRODUCT(SUM(J144:N144),SUM(J164:N164))) / ((5 * SUM((J144^2)+(K144^2)+(L144^2)+(M144^2)+(N144^2))) - SUM(J144:N144)^2),""))</f>
        <v/>
      </c>
      <c r="AF164" t="str">
        <f>IFERROR(CORREL(J144:N144,J164:N164),"")</f>
        <v/>
      </c>
      <c r="AZ164">
        <f t="shared" si="38"/>
        <v>0</v>
      </c>
      <c r="BA164" t="str">
        <f>IF(AZ164=1,IF(Q164="","",IF(Q164=N144,"Yes","No")),"")</f>
        <v/>
      </c>
      <c r="BB164" t="str">
        <f t="shared" si="39"/>
        <v/>
      </c>
      <c r="BC164" t="str">
        <f>IF(AZ164=1,IF(S164="","",IF(S164=N144,"Yes","No")),"")</f>
        <v/>
      </c>
      <c r="BD164" t="str">
        <f t="shared" si="40"/>
        <v/>
      </c>
      <c r="BE164" t="str">
        <f t="shared" si="41"/>
        <v/>
      </c>
      <c r="BF164" t="str">
        <f t="shared" si="42"/>
        <v>No</v>
      </c>
      <c r="BG164" t="str">
        <f t="shared" si="43"/>
        <v>No</v>
      </c>
      <c r="BH164" t="str">
        <f t="shared" si="44"/>
        <v/>
      </c>
    </row>
    <row r="165" spans="9:60" x14ac:dyDescent="0.3">
      <c r="I165" t="str">
        <f t="shared" si="46"/>
        <v>N/A</v>
      </c>
      <c r="J165" t="str">
        <f t="shared" si="47"/>
        <v>N/A</v>
      </c>
      <c r="K165" t="str">
        <f t="shared" si="48"/>
        <v>N/A</v>
      </c>
      <c r="L165" t="str">
        <f t="shared" si="49"/>
        <v>N/A</v>
      </c>
      <c r="M165" t="str">
        <f t="shared" si="50"/>
        <v>N/A</v>
      </c>
      <c r="N165" t="str">
        <f t="shared" si="51"/>
        <v>N/A</v>
      </c>
      <c r="P165">
        <f t="shared" si="27"/>
        <v>0</v>
      </c>
      <c r="Q165" t="str">
        <f>IFERROR(J144+MATCH(P165,J165:N165,0)-1,"")</f>
        <v/>
      </c>
      <c r="R165" t="str">
        <f t="shared" si="28"/>
        <v/>
      </c>
      <c r="S165" t="str">
        <f>IFERROR(J144+MATCH(R165,J165:N165,0)-1,"")</f>
        <v/>
      </c>
      <c r="T165" t="str">
        <f t="shared" si="29"/>
        <v/>
      </c>
      <c r="U165" t="str">
        <f t="shared" si="30"/>
        <v/>
      </c>
      <c r="V165" t="str">
        <f t="shared" si="31"/>
        <v/>
      </c>
      <c r="W165" t="str">
        <f t="shared" si="32"/>
        <v/>
      </c>
      <c r="X165" t="str">
        <f t="shared" si="33"/>
        <v/>
      </c>
      <c r="Y165" t="str">
        <f t="shared" si="34"/>
        <v/>
      </c>
      <c r="Z165" t="str">
        <f t="shared" si="35"/>
        <v/>
      </c>
      <c r="AA165">
        <f t="shared" si="36"/>
        <v>0</v>
      </c>
      <c r="AB165" t="str">
        <f>IFERROR(V144+MATCH(AA165,V165:Z165,0)-1,"")</f>
        <v/>
      </c>
      <c r="AC165" t="str">
        <f t="shared" si="37"/>
        <v/>
      </c>
      <c r="AE165" t="str">
        <f>IF(ISNUMBER(MATCH("N/A",J165:N165,0)),"",IFERROR((5 * SUMPRODUCT(J144:N144,J165:N165) - PRODUCT(SUM(J144:N144),SUM(J165:N165))) / ((5 * SUM((J144^2)+(K144^2)+(L144^2)+(M144^2)+(N144^2))) - SUM(J144:N144)^2),""))</f>
        <v/>
      </c>
      <c r="AF165" t="str">
        <f>IFERROR(CORREL(J144:N144,J165:N165),"")</f>
        <v/>
      </c>
      <c r="AZ165">
        <f t="shared" si="38"/>
        <v>0</v>
      </c>
      <c r="BA165" t="str">
        <f>IF(AZ165=1,IF(Q165="","",IF(Q165=N144,"Yes","No")),"")</f>
        <v/>
      </c>
      <c r="BB165" t="str">
        <f t="shared" si="39"/>
        <v/>
      </c>
      <c r="BC165" t="str">
        <f>IF(AZ165=1,IF(S165="","",IF(S165=N144,"Yes","No")),"")</f>
        <v/>
      </c>
      <c r="BD165" t="str">
        <f t="shared" si="40"/>
        <v/>
      </c>
      <c r="BE165" t="str">
        <f t="shared" si="41"/>
        <v/>
      </c>
      <c r="BF165" t="str">
        <f t="shared" si="42"/>
        <v>No</v>
      </c>
      <c r="BG165" t="str">
        <f t="shared" si="43"/>
        <v>No</v>
      </c>
      <c r="BH165" t="str">
        <f t="shared" si="44"/>
        <v/>
      </c>
    </row>
    <row r="166" spans="9:60" x14ac:dyDescent="0.3">
      <c r="I166" t="str">
        <f t="shared" si="46"/>
        <v>N/A</v>
      </c>
      <c r="J166" t="str">
        <f t="shared" si="47"/>
        <v>N/A</v>
      </c>
      <c r="K166" t="str">
        <f t="shared" si="48"/>
        <v>N/A</v>
      </c>
      <c r="L166" t="str">
        <f t="shared" si="49"/>
        <v>N/A</v>
      </c>
      <c r="M166" t="str">
        <f t="shared" si="50"/>
        <v>N/A</v>
      </c>
      <c r="N166" t="str">
        <f t="shared" si="51"/>
        <v>N/A</v>
      </c>
      <c r="P166">
        <f t="shared" si="27"/>
        <v>0</v>
      </c>
      <c r="Q166" t="str">
        <f>IFERROR(J144+MATCH(P166,J166:N166,0)-1,"")</f>
        <v/>
      </c>
      <c r="R166" t="str">
        <f t="shared" si="28"/>
        <v/>
      </c>
      <c r="S166" t="str">
        <f>IFERROR(J144+MATCH(R166,J166:N166,0)-1,"")</f>
        <v/>
      </c>
      <c r="T166" t="str">
        <f t="shared" si="29"/>
        <v/>
      </c>
      <c r="U166" t="str">
        <f t="shared" si="30"/>
        <v/>
      </c>
      <c r="V166" t="str">
        <f t="shared" si="31"/>
        <v/>
      </c>
      <c r="W166" t="str">
        <f t="shared" si="32"/>
        <v/>
      </c>
      <c r="X166" t="str">
        <f t="shared" si="33"/>
        <v/>
      </c>
      <c r="Y166" t="str">
        <f t="shared" si="34"/>
        <v/>
      </c>
      <c r="Z166" t="str">
        <f t="shared" si="35"/>
        <v/>
      </c>
      <c r="AA166">
        <f t="shared" si="36"/>
        <v>0</v>
      </c>
      <c r="AB166" t="str">
        <f>IFERROR(V144+MATCH(AA166,V166:Z166,0)-1,"")</f>
        <v/>
      </c>
      <c r="AC166" t="str">
        <f t="shared" si="37"/>
        <v/>
      </c>
      <c r="AE166" t="str">
        <f>IF(ISNUMBER(MATCH("N/A",J166:N166,0)),"",IFERROR((5 * SUMPRODUCT(J144:N144,J166:N166) - PRODUCT(SUM(J144:N144),SUM(J166:N166))) / ((5 * SUM((J144^2)+(K144^2)+(L144^2)+(M144^2)+(N144^2))) - SUM(J144:N144)^2),""))</f>
        <v/>
      </c>
      <c r="AF166" t="str">
        <f>IFERROR(CORREL(J144:N144,J166:N166),"")</f>
        <v/>
      </c>
      <c r="AZ166">
        <f t="shared" si="38"/>
        <v>0</v>
      </c>
      <c r="BA166" t="str">
        <f>IF(AZ166=1,IF(Q166="","",IF(Q166=N144,"Yes","No")),"")</f>
        <v/>
      </c>
      <c r="BB166" t="str">
        <f t="shared" si="39"/>
        <v/>
      </c>
      <c r="BC166" t="str">
        <f>IF(AZ166=1,IF(S166="","",IF(S166=N144,"Yes","No")),"")</f>
        <v/>
      </c>
      <c r="BD166" t="str">
        <f t="shared" si="40"/>
        <v/>
      </c>
      <c r="BE166" t="str">
        <f t="shared" si="41"/>
        <v/>
      </c>
      <c r="BF166" t="str">
        <f t="shared" si="42"/>
        <v>No</v>
      </c>
      <c r="BG166" t="str">
        <f t="shared" si="43"/>
        <v>No</v>
      </c>
      <c r="BH166" t="str">
        <f t="shared" si="44"/>
        <v/>
      </c>
    </row>
    <row r="167" spans="9:60" x14ac:dyDescent="0.3">
      <c r="I167" t="str">
        <f t="shared" si="46"/>
        <v>N/A</v>
      </c>
      <c r="J167" t="str">
        <f t="shared" si="47"/>
        <v>N/A</v>
      </c>
      <c r="K167" t="str">
        <f t="shared" si="48"/>
        <v>N/A</v>
      </c>
      <c r="L167" t="str">
        <f t="shared" si="49"/>
        <v>N/A</v>
      </c>
      <c r="M167" t="str">
        <f t="shared" si="50"/>
        <v>N/A</v>
      </c>
      <c r="N167" t="str">
        <f t="shared" si="51"/>
        <v>N/A</v>
      </c>
      <c r="P167">
        <f t="shared" si="27"/>
        <v>0</v>
      </c>
      <c r="Q167" t="str">
        <f>IFERROR(J144+MATCH(P167,J167:N167,0)-1,"")</f>
        <v/>
      </c>
      <c r="R167" t="str">
        <f t="shared" si="28"/>
        <v/>
      </c>
      <c r="S167" t="str">
        <f>IFERROR(J144+MATCH(R167,J167:N167,0)-1,"")</f>
        <v/>
      </c>
      <c r="T167" t="str">
        <f t="shared" si="29"/>
        <v/>
      </c>
      <c r="U167" t="str">
        <f t="shared" si="30"/>
        <v/>
      </c>
      <c r="V167" t="str">
        <f t="shared" si="31"/>
        <v/>
      </c>
      <c r="W167" t="str">
        <f t="shared" si="32"/>
        <v/>
      </c>
      <c r="X167" t="str">
        <f t="shared" si="33"/>
        <v/>
      </c>
      <c r="Y167" t="str">
        <f t="shared" si="34"/>
        <v/>
      </c>
      <c r="Z167" t="str">
        <f t="shared" si="35"/>
        <v/>
      </c>
      <c r="AA167">
        <f t="shared" si="36"/>
        <v>0</v>
      </c>
      <c r="AB167" t="str">
        <f>IFERROR(V144+MATCH(AA167,V167:Z167,0)-1,"")</f>
        <v/>
      </c>
      <c r="AC167" t="str">
        <f t="shared" si="37"/>
        <v/>
      </c>
      <c r="AE167" t="str">
        <f>IF(ISNUMBER(MATCH("N/A",J167:N167,0)),"",IFERROR((5 * SUMPRODUCT(J144:N144,J167:N167) - PRODUCT(SUM(J144:N144),SUM(J167:N167))) / ((5 * SUM((J144^2)+(K144^2)+(L144^2)+(M144^2)+(N144^2))) - SUM(J144:N144)^2),""))</f>
        <v/>
      </c>
      <c r="AF167" t="str">
        <f>IFERROR(CORREL(J144:N144,J167:N167),"")</f>
        <v/>
      </c>
      <c r="AZ167">
        <f t="shared" si="38"/>
        <v>0</v>
      </c>
      <c r="BA167" t="str">
        <f>IF(AZ167=1,IF(Q167="","",IF(Q167=N144,"Yes","No")),"")</f>
        <v/>
      </c>
      <c r="BB167" t="str">
        <f t="shared" si="39"/>
        <v/>
      </c>
      <c r="BC167" t="str">
        <f>IF(AZ167=1,IF(S167="","",IF(S167=N144,"Yes","No")),"")</f>
        <v/>
      </c>
      <c r="BD167" t="str">
        <f t="shared" si="40"/>
        <v/>
      </c>
      <c r="BE167" t="str">
        <f t="shared" si="41"/>
        <v/>
      </c>
      <c r="BF167" t="str">
        <f t="shared" si="42"/>
        <v>No</v>
      </c>
      <c r="BG167" t="str">
        <f t="shared" si="43"/>
        <v>No</v>
      </c>
      <c r="BH167" t="str">
        <f t="shared" si="44"/>
        <v/>
      </c>
    </row>
    <row r="168" spans="9:60" x14ac:dyDescent="0.3">
      <c r="I168" t="str">
        <f t="shared" si="46"/>
        <v>N/A</v>
      </c>
      <c r="J168" t="str">
        <f t="shared" si="47"/>
        <v>N/A</v>
      </c>
      <c r="K168" t="str">
        <f t="shared" si="48"/>
        <v>N/A</v>
      </c>
      <c r="L168" t="str">
        <f t="shared" si="49"/>
        <v>N/A</v>
      </c>
      <c r="M168" t="str">
        <f t="shared" si="50"/>
        <v>N/A</v>
      </c>
      <c r="N168" t="str">
        <f t="shared" si="51"/>
        <v>N/A</v>
      </c>
      <c r="P168">
        <f t="shared" si="27"/>
        <v>0</v>
      </c>
      <c r="Q168" t="str">
        <f>IFERROR(J144+MATCH(P168,J168:N168,0)-1,"")</f>
        <v/>
      </c>
      <c r="R168" t="str">
        <f t="shared" si="28"/>
        <v/>
      </c>
      <c r="S168" t="str">
        <f>IFERROR(J144+MATCH(R168,J168:N168,0)-1,"")</f>
        <v/>
      </c>
      <c r="T168" t="str">
        <f t="shared" si="29"/>
        <v/>
      </c>
      <c r="U168" t="str">
        <f t="shared" si="30"/>
        <v/>
      </c>
      <c r="V168" t="str">
        <f t="shared" si="31"/>
        <v/>
      </c>
      <c r="W168" t="str">
        <f t="shared" si="32"/>
        <v/>
      </c>
      <c r="X168" t="str">
        <f t="shared" si="33"/>
        <v/>
      </c>
      <c r="Y168" t="str">
        <f t="shared" si="34"/>
        <v/>
      </c>
      <c r="Z168" t="str">
        <f t="shared" si="35"/>
        <v/>
      </c>
      <c r="AA168">
        <f t="shared" si="36"/>
        <v>0</v>
      </c>
      <c r="AB168" t="str">
        <f>IFERROR(V144+MATCH(AA168,V168:Z168,0)-1,"")</f>
        <v/>
      </c>
      <c r="AC168" t="str">
        <f t="shared" si="37"/>
        <v/>
      </c>
      <c r="AE168" t="str">
        <f>IF(ISNUMBER(MATCH("N/A",J168:N168,0)),"",IFERROR((5 * SUMPRODUCT(J144:N144,J168:N168) - PRODUCT(SUM(J144:N144),SUM(J168:N168))) / ((5 * SUM((J144^2)+(K144^2)+(L144^2)+(M144^2)+(N144^2))) - SUM(J144:N144)^2),""))</f>
        <v/>
      </c>
      <c r="AF168" t="str">
        <f>IFERROR(CORREL(J144:N144,J168:N168),"")</f>
        <v/>
      </c>
      <c r="AZ168">
        <f t="shared" si="38"/>
        <v>0</v>
      </c>
      <c r="BA168" t="str">
        <f>IF(AZ168=1,IF(Q168="","",IF(Q168=N144,"Yes","No")),"")</f>
        <v/>
      </c>
      <c r="BB168" t="str">
        <f t="shared" si="39"/>
        <v/>
      </c>
      <c r="BC168" t="str">
        <f>IF(AZ168=1,IF(S168="","",IF(S168=N144,"Yes","No")),"")</f>
        <v/>
      </c>
      <c r="BD168" t="str">
        <f t="shared" si="40"/>
        <v/>
      </c>
      <c r="BE168" t="str">
        <f t="shared" si="41"/>
        <v/>
      </c>
      <c r="BF168" t="str">
        <f t="shared" si="42"/>
        <v>No</v>
      </c>
      <c r="BG168" t="str">
        <f t="shared" si="43"/>
        <v>No</v>
      </c>
      <c r="BH168" t="str">
        <f t="shared" si="44"/>
        <v/>
      </c>
    </row>
    <row r="169" spans="9:60" x14ac:dyDescent="0.3">
      <c r="I169" t="str">
        <f t="shared" si="46"/>
        <v>N/A</v>
      </c>
      <c r="J169" t="str">
        <f t="shared" si="47"/>
        <v>N/A</v>
      </c>
      <c r="K169" t="str">
        <f t="shared" si="48"/>
        <v>N/A</v>
      </c>
      <c r="L169" t="str">
        <f t="shared" si="49"/>
        <v>N/A</v>
      </c>
      <c r="M169" t="str">
        <f t="shared" si="50"/>
        <v>N/A</v>
      </c>
      <c r="N169" t="str">
        <f t="shared" si="51"/>
        <v>N/A</v>
      </c>
      <c r="P169">
        <f t="shared" si="27"/>
        <v>0</v>
      </c>
      <c r="Q169" t="str">
        <f>IFERROR(J144+MATCH(P169,J169:N169,0)-1,"")</f>
        <v/>
      </c>
      <c r="R169" t="str">
        <f t="shared" si="28"/>
        <v/>
      </c>
      <c r="S169" t="str">
        <f>IFERROR(J144+MATCH(R169,J169:N169,0)-1,"")</f>
        <v/>
      </c>
      <c r="T169" t="str">
        <f t="shared" si="29"/>
        <v/>
      </c>
      <c r="U169" t="str">
        <f t="shared" si="30"/>
        <v/>
      </c>
      <c r="V169" t="str">
        <f t="shared" si="31"/>
        <v/>
      </c>
      <c r="W169" t="str">
        <f t="shared" si="32"/>
        <v/>
      </c>
      <c r="X169" t="str">
        <f t="shared" si="33"/>
        <v/>
      </c>
      <c r="Y169" t="str">
        <f t="shared" si="34"/>
        <v/>
      </c>
      <c r="Z169" t="str">
        <f t="shared" si="35"/>
        <v/>
      </c>
      <c r="AA169">
        <f t="shared" si="36"/>
        <v>0</v>
      </c>
      <c r="AB169" t="str">
        <f>IFERROR(V144+MATCH(AA169,V169:Z169,0)-1,"")</f>
        <v/>
      </c>
      <c r="AC169" t="str">
        <f t="shared" si="37"/>
        <v/>
      </c>
      <c r="AE169" t="str">
        <f>IF(ISNUMBER(MATCH("N/A",J169:N169,0)),"",IFERROR((5 * SUMPRODUCT(J144:N144,J169:N169) - PRODUCT(SUM(J144:N144),SUM(J169:N169))) / ((5 * SUM((J144^2)+(K144^2)+(L144^2)+(M144^2)+(N144^2))) - SUM(J144:N144)^2),""))</f>
        <v/>
      </c>
      <c r="AF169" t="str">
        <f>IFERROR(CORREL(J144:N144,J169:N169),"")</f>
        <v/>
      </c>
      <c r="AZ169">
        <f t="shared" si="38"/>
        <v>0</v>
      </c>
      <c r="BA169" t="str">
        <f>IF(AZ169=1,IF(Q169="","",IF(Q169=N144,"Yes","No")),"")</f>
        <v/>
      </c>
      <c r="BB169" t="str">
        <f t="shared" si="39"/>
        <v/>
      </c>
      <c r="BC169" t="str">
        <f>IF(AZ169=1,IF(S169="","",IF(S169=N144,"Yes","No")),"")</f>
        <v/>
      </c>
      <c r="BD169" t="str">
        <f t="shared" si="40"/>
        <v/>
      </c>
      <c r="BE169" t="str">
        <f t="shared" si="41"/>
        <v/>
      </c>
      <c r="BF169" t="str">
        <f t="shared" si="42"/>
        <v>No</v>
      </c>
      <c r="BG169" t="str">
        <f t="shared" si="43"/>
        <v>No</v>
      </c>
      <c r="BH169" t="str">
        <f t="shared" si="44"/>
        <v/>
      </c>
    </row>
    <row r="170" spans="9:60" x14ac:dyDescent="0.3">
      <c r="I170" t="str">
        <f t="shared" si="46"/>
        <v>N/A</v>
      </c>
      <c r="J170" t="str">
        <f t="shared" si="47"/>
        <v>N/A</v>
      </c>
      <c r="K170" t="str">
        <f t="shared" si="48"/>
        <v>N/A</v>
      </c>
      <c r="L170" t="str">
        <f t="shared" si="49"/>
        <v>N/A</v>
      </c>
      <c r="M170" t="str">
        <f t="shared" si="50"/>
        <v>N/A</v>
      </c>
      <c r="N170" t="str">
        <f t="shared" si="51"/>
        <v>N/A</v>
      </c>
      <c r="P170">
        <f t="shared" si="27"/>
        <v>0</v>
      </c>
      <c r="Q170" t="str">
        <f>IFERROR(J144+MATCH(P170,J170:N170,0)-1,"")</f>
        <v/>
      </c>
      <c r="R170" t="str">
        <f t="shared" si="28"/>
        <v/>
      </c>
      <c r="S170" t="str">
        <f>IFERROR(J144+MATCH(R170,J170:N170,0)-1,"")</f>
        <v/>
      </c>
      <c r="T170" t="str">
        <f t="shared" si="29"/>
        <v/>
      </c>
      <c r="U170" t="str">
        <f t="shared" si="30"/>
        <v/>
      </c>
      <c r="V170" t="str">
        <f t="shared" si="31"/>
        <v/>
      </c>
      <c r="W170" t="str">
        <f t="shared" si="32"/>
        <v/>
      </c>
      <c r="X170" t="str">
        <f t="shared" si="33"/>
        <v/>
      </c>
      <c r="Y170" t="str">
        <f t="shared" si="34"/>
        <v/>
      </c>
      <c r="Z170" t="str">
        <f t="shared" si="35"/>
        <v/>
      </c>
      <c r="AA170">
        <f t="shared" si="36"/>
        <v>0</v>
      </c>
      <c r="AB170" t="str">
        <f>IFERROR(V144+MATCH(AA170,V170:Z170,0)-1,"")</f>
        <v/>
      </c>
      <c r="AC170" t="str">
        <f t="shared" si="37"/>
        <v/>
      </c>
      <c r="AE170" t="str">
        <f>IF(ISNUMBER(MATCH("N/A",J170:N170,0)),"",IFERROR((5 * SUMPRODUCT(J144:N144,J170:N170) - PRODUCT(SUM(J144:N144),SUM(J170:N170))) / ((5 * SUM((J144^2)+(K144^2)+(L144^2)+(M144^2)+(N144^2))) - SUM(J144:N144)^2),""))</f>
        <v/>
      </c>
      <c r="AF170" t="str">
        <f>IFERROR(CORREL(J144:N144,J170:N170),"")</f>
        <v/>
      </c>
      <c r="AZ170">
        <f t="shared" si="38"/>
        <v>0</v>
      </c>
      <c r="BA170" t="str">
        <f>IF(AZ170=1,IF(Q170="","",IF(Q170=N144,"Yes","No")),"")</f>
        <v/>
      </c>
      <c r="BB170" t="str">
        <f t="shared" si="39"/>
        <v/>
      </c>
      <c r="BC170" t="str">
        <f>IF(AZ170=1,IF(S170="","",IF(S170=N144,"Yes","No")),"")</f>
        <v/>
      </c>
      <c r="BD170" t="str">
        <f t="shared" si="40"/>
        <v/>
      </c>
      <c r="BE170" t="str">
        <f t="shared" si="41"/>
        <v/>
      </c>
      <c r="BF170" t="str">
        <f t="shared" si="42"/>
        <v>No</v>
      </c>
      <c r="BG170" t="str">
        <f t="shared" si="43"/>
        <v>No</v>
      </c>
      <c r="BH170" t="str">
        <f t="shared" si="44"/>
        <v/>
      </c>
    </row>
    <row r="171" spans="9:60" x14ac:dyDescent="0.3">
      <c r="I171" t="str">
        <f t="shared" si="46"/>
        <v>N/A</v>
      </c>
      <c r="J171" t="str">
        <f t="shared" si="47"/>
        <v>N/A</v>
      </c>
      <c r="K171" t="str">
        <f t="shared" si="48"/>
        <v>N/A</v>
      </c>
      <c r="L171" t="str">
        <f t="shared" si="49"/>
        <v>N/A</v>
      </c>
      <c r="M171" t="str">
        <f t="shared" si="50"/>
        <v>N/A</v>
      </c>
      <c r="N171" t="str">
        <f t="shared" si="51"/>
        <v>N/A</v>
      </c>
      <c r="P171">
        <f t="shared" si="27"/>
        <v>0</v>
      </c>
      <c r="Q171" t="str">
        <f>IFERROR(J144+MATCH(P171,J171:N171,0)-1,"")</f>
        <v/>
      </c>
      <c r="R171" t="str">
        <f t="shared" si="28"/>
        <v/>
      </c>
      <c r="S171" t="str">
        <f>IFERROR(J144+MATCH(R171,J171:N171,0)-1,"")</f>
        <v/>
      </c>
      <c r="T171" t="str">
        <f t="shared" si="29"/>
        <v/>
      </c>
      <c r="U171" t="str">
        <f t="shared" si="30"/>
        <v/>
      </c>
      <c r="V171" t="str">
        <f t="shared" si="31"/>
        <v/>
      </c>
      <c r="W171" t="str">
        <f t="shared" si="32"/>
        <v/>
      </c>
      <c r="X171" t="str">
        <f t="shared" si="33"/>
        <v/>
      </c>
      <c r="Y171" t="str">
        <f t="shared" si="34"/>
        <v/>
      </c>
      <c r="Z171" t="str">
        <f t="shared" si="35"/>
        <v/>
      </c>
      <c r="AA171">
        <f t="shared" si="36"/>
        <v>0</v>
      </c>
      <c r="AB171" t="str">
        <f>IFERROR(V144+MATCH(AA171,V171:Z171,0)-1,"")</f>
        <v/>
      </c>
      <c r="AC171" t="str">
        <f t="shared" si="37"/>
        <v/>
      </c>
      <c r="AE171" t="str">
        <f>IF(ISNUMBER(MATCH("N/A",J171:N171,0)),"",IFERROR((5 * SUMPRODUCT(J144:N144,J171:N171) - PRODUCT(SUM(J144:N144),SUM(J171:N171))) / ((5 * SUM((J144^2)+(K144^2)+(L144^2)+(M144^2)+(N144^2))) - SUM(J144:N144)^2),""))</f>
        <v/>
      </c>
      <c r="AF171" t="str">
        <f>IFERROR(CORREL(J144:N144,J171:N171),"")</f>
        <v/>
      </c>
      <c r="AZ171">
        <f t="shared" si="38"/>
        <v>0</v>
      </c>
      <c r="BA171" t="str">
        <f>IF(AZ171=1,IF(Q171="","",IF(Q171=N144,"Yes","No")),"")</f>
        <v/>
      </c>
      <c r="BB171" t="str">
        <f t="shared" si="39"/>
        <v/>
      </c>
      <c r="BC171" t="str">
        <f>IF(AZ171=1,IF(S171="","",IF(S171=N144,"Yes","No")),"")</f>
        <v/>
      </c>
      <c r="BD171" t="str">
        <f t="shared" si="40"/>
        <v/>
      </c>
      <c r="BE171" t="str">
        <f t="shared" si="41"/>
        <v/>
      </c>
      <c r="BF171" t="str">
        <f t="shared" si="42"/>
        <v>No</v>
      </c>
      <c r="BG171" t="str">
        <f t="shared" si="43"/>
        <v>No</v>
      </c>
      <c r="BH171" t="str">
        <f t="shared" si="44"/>
        <v/>
      </c>
    </row>
    <row r="172" spans="9:60" x14ac:dyDescent="0.3">
      <c r="I172" t="str">
        <f t="shared" si="46"/>
        <v>N/A</v>
      </c>
      <c r="J172" t="str">
        <f t="shared" si="47"/>
        <v>N/A</v>
      </c>
      <c r="K172" t="str">
        <f t="shared" si="48"/>
        <v>N/A</v>
      </c>
      <c r="L172" t="str">
        <f t="shared" si="49"/>
        <v>N/A</v>
      </c>
      <c r="M172" t="str">
        <f t="shared" si="50"/>
        <v>N/A</v>
      </c>
      <c r="N172" t="str">
        <f t="shared" si="51"/>
        <v>N/A</v>
      </c>
      <c r="P172">
        <f t="shared" si="27"/>
        <v>0</v>
      </c>
      <c r="Q172" t="str">
        <f>IFERROR(J144+MATCH(P172,J172:N172,0)-1,"")</f>
        <v/>
      </c>
      <c r="R172" t="str">
        <f t="shared" si="28"/>
        <v/>
      </c>
      <c r="S172" t="str">
        <f>IFERROR(J144+MATCH(R172,J172:N172,0)-1,"")</f>
        <v/>
      </c>
      <c r="T172" t="str">
        <f t="shared" si="29"/>
        <v/>
      </c>
      <c r="U172" t="str">
        <f t="shared" si="30"/>
        <v/>
      </c>
      <c r="V172" t="str">
        <f t="shared" si="31"/>
        <v/>
      </c>
      <c r="W172" t="str">
        <f t="shared" si="32"/>
        <v/>
      </c>
      <c r="X172" t="str">
        <f t="shared" si="33"/>
        <v/>
      </c>
      <c r="Y172" t="str">
        <f t="shared" si="34"/>
        <v/>
      </c>
      <c r="Z172" t="str">
        <f t="shared" si="35"/>
        <v/>
      </c>
      <c r="AA172">
        <f t="shared" si="36"/>
        <v>0</v>
      </c>
      <c r="AB172" t="str">
        <f>IFERROR(V144+MATCH(AA172,V172:Z172,0)-1,"")</f>
        <v/>
      </c>
      <c r="AC172" t="str">
        <f t="shared" si="37"/>
        <v/>
      </c>
      <c r="AE172" t="str">
        <f>IF(ISNUMBER(MATCH("N/A",J172:N172,0)),"",IFERROR((5 * SUMPRODUCT(J144:N144,J172:N172) - PRODUCT(SUM(J144:N144),SUM(J172:N172))) / ((5 * SUM((J144^2)+(K144^2)+(L144^2)+(M144^2)+(N144^2))) - SUM(J144:N144)^2),""))</f>
        <v/>
      </c>
      <c r="AF172" t="str">
        <f>IFERROR(CORREL(J144:N144,J172:N172),"")</f>
        <v/>
      </c>
      <c r="AZ172">
        <f t="shared" si="38"/>
        <v>0</v>
      </c>
      <c r="BA172" t="str">
        <f>IF(AZ172=1,IF(Q172="","",IF(Q172=N144,"Yes","No")),"")</f>
        <v/>
      </c>
      <c r="BB172" t="str">
        <f t="shared" si="39"/>
        <v/>
      </c>
      <c r="BC172" t="str">
        <f>IF(AZ172=1,IF(S172="","",IF(S172=N144,"Yes","No")),"")</f>
        <v/>
      </c>
      <c r="BD172" t="str">
        <f t="shared" si="40"/>
        <v/>
      </c>
      <c r="BE172" t="str">
        <f t="shared" si="41"/>
        <v/>
      </c>
      <c r="BF172" t="str">
        <f t="shared" si="42"/>
        <v>No</v>
      </c>
      <c r="BG172" t="str">
        <f t="shared" si="43"/>
        <v>No</v>
      </c>
      <c r="BH172" t="str">
        <f t="shared" si="44"/>
        <v/>
      </c>
    </row>
    <row r="173" spans="9:60" x14ac:dyDescent="0.3">
      <c r="I173" t="str">
        <f t="shared" si="46"/>
        <v>N/A</v>
      </c>
      <c r="J173" t="str">
        <f t="shared" si="47"/>
        <v>N/A</v>
      </c>
      <c r="K173" t="str">
        <f t="shared" si="48"/>
        <v>N/A</v>
      </c>
      <c r="L173" t="str">
        <f t="shared" si="49"/>
        <v>N/A</v>
      </c>
      <c r="M173" t="str">
        <f t="shared" si="50"/>
        <v>N/A</v>
      </c>
      <c r="N173" t="str">
        <f t="shared" si="51"/>
        <v>N/A</v>
      </c>
      <c r="P173">
        <f t="shared" si="27"/>
        <v>0</v>
      </c>
      <c r="Q173" t="str">
        <f>IFERROR(J144+MATCH(P173,J173:N173,0)-1,"")</f>
        <v/>
      </c>
      <c r="R173" t="str">
        <f t="shared" si="28"/>
        <v/>
      </c>
      <c r="S173" t="str">
        <f>IFERROR(J144+MATCH(R173,J173:N173,0)-1,"")</f>
        <v/>
      </c>
      <c r="T173" t="str">
        <f t="shared" si="29"/>
        <v/>
      </c>
      <c r="U173" t="str">
        <f t="shared" si="30"/>
        <v/>
      </c>
      <c r="V173" t="str">
        <f t="shared" si="31"/>
        <v/>
      </c>
      <c r="W173" t="str">
        <f t="shared" si="32"/>
        <v/>
      </c>
      <c r="X173" t="str">
        <f t="shared" si="33"/>
        <v/>
      </c>
      <c r="Y173" t="str">
        <f t="shared" si="34"/>
        <v/>
      </c>
      <c r="Z173" t="str">
        <f t="shared" si="35"/>
        <v/>
      </c>
      <c r="AA173">
        <f t="shared" si="36"/>
        <v>0</v>
      </c>
      <c r="AB173" t="str">
        <f>IFERROR(V144+MATCH(AA173,V173:Z173,0)-1,"")</f>
        <v/>
      </c>
      <c r="AC173" t="str">
        <f t="shared" si="37"/>
        <v/>
      </c>
      <c r="AE173" t="str">
        <f>IF(ISNUMBER(MATCH("N/A",J173:N173,0)),"",IFERROR((5 * SUMPRODUCT(J144:N144,J173:N173) - PRODUCT(SUM(J144:N144),SUM(J173:N173))) / ((5 * SUM((J144^2)+(K144^2)+(L144^2)+(M144^2)+(N144^2))) - SUM(J144:N144)^2),""))</f>
        <v/>
      </c>
      <c r="AF173" t="str">
        <f>IFERROR(CORREL(J144:N144,J173:N173),"")</f>
        <v/>
      </c>
      <c r="AZ173">
        <f t="shared" si="38"/>
        <v>0</v>
      </c>
      <c r="BA173" t="str">
        <f>IF(AZ173=1,IF(Q173="","",IF(Q173=N144,"Yes","No")),"")</f>
        <v/>
      </c>
      <c r="BB173" t="str">
        <f t="shared" si="39"/>
        <v/>
      </c>
      <c r="BC173" t="str">
        <f>IF(AZ173=1,IF(S173="","",IF(S173=N144,"Yes","No")),"")</f>
        <v/>
      </c>
      <c r="BD173" t="str">
        <f t="shared" si="40"/>
        <v/>
      </c>
      <c r="BE173" t="str">
        <f t="shared" si="41"/>
        <v/>
      </c>
      <c r="BF173" t="str">
        <f t="shared" si="42"/>
        <v>No</v>
      </c>
      <c r="BG173" t="str">
        <f t="shared" si="43"/>
        <v>No</v>
      </c>
      <c r="BH173" t="str">
        <f t="shared" si="44"/>
        <v/>
      </c>
    </row>
    <row r="174" spans="9:60" x14ac:dyDescent="0.3">
      <c r="I174" t="str">
        <f t="shared" si="46"/>
        <v>N/A</v>
      </c>
      <c r="J174" t="str">
        <f t="shared" si="47"/>
        <v>N/A</v>
      </c>
      <c r="K174" t="str">
        <f t="shared" si="48"/>
        <v>N/A</v>
      </c>
      <c r="L174" t="str">
        <f t="shared" si="49"/>
        <v>N/A</v>
      </c>
      <c r="M174" t="str">
        <f t="shared" si="50"/>
        <v>N/A</v>
      </c>
      <c r="N174" t="str">
        <f t="shared" si="51"/>
        <v>N/A</v>
      </c>
      <c r="P174">
        <f t="shared" si="27"/>
        <v>0</v>
      </c>
      <c r="Q174" t="str">
        <f>IFERROR(J144+MATCH(P174,J174:N174,0)-1,"")</f>
        <v/>
      </c>
      <c r="R174" t="str">
        <f t="shared" si="28"/>
        <v/>
      </c>
      <c r="S174" t="str">
        <f>IFERROR(J144+MATCH(R174,J174:N174,0)-1,"")</f>
        <v/>
      </c>
      <c r="T174" t="str">
        <f t="shared" si="29"/>
        <v/>
      </c>
      <c r="U174" t="str">
        <f t="shared" si="30"/>
        <v/>
      </c>
      <c r="V174" t="str">
        <f t="shared" si="31"/>
        <v/>
      </c>
      <c r="W174" t="str">
        <f t="shared" si="32"/>
        <v/>
      </c>
      <c r="X174" t="str">
        <f t="shared" si="33"/>
        <v/>
      </c>
      <c r="Y174" t="str">
        <f t="shared" si="34"/>
        <v/>
      </c>
      <c r="Z174" t="str">
        <f t="shared" si="35"/>
        <v/>
      </c>
      <c r="AA174">
        <f t="shared" si="36"/>
        <v>0</v>
      </c>
      <c r="AB174" t="str">
        <f>IFERROR(V144+MATCH(AA174,V174:Z174,0)-1,"")</f>
        <v/>
      </c>
      <c r="AC174" t="str">
        <f t="shared" si="37"/>
        <v/>
      </c>
      <c r="AE174" t="str">
        <f>IF(ISNUMBER(MATCH("N/A",J174:N174,0)),"",IFERROR((5 * SUMPRODUCT(J144:N144,J174:N174) - PRODUCT(SUM(J144:N144),SUM(J174:N174))) / ((5 * SUM((J144^2)+(K144^2)+(L144^2)+(M144^2)+(N144^2))) - SUM(J144:N144)^2),""))</f>
        <v/>
      </c>
      <c r="AF174" t="str">
        <f>IFERROR(CORREL(J144:N144,J174:N174),"")</f>
        <v/>
      </c>
      <c r="AZ174">
        <f t="shared" si="38"/>
        <v>0</v>
      </c>
      <c r="BA174" t="str">
        <f>IF(AZ174=1,IF(Q174="","",IF(Q174=N144,"Yes","No")),"")</f>
        <v/>
      </c>
      <c r="BB174" t="str">
        <f t="shared" si="39"/>
        <v/>
      </c>
      <c r="BC174" t="str">
        <f>IF(AZ174=1,IF(S174="","",IF(S174=N144,"Yes","No")),"")</f>
        <v/>
      </c>
      <c r="BD174" t="str">
        <f t="shared" si="40"/>
        <v/>
      </c>
      <c r="BE174" t="str">
        <f t="shared" si="41"/>
        <v/>
      </c>
      <c r="BF174" t="str">
        <f t="shared" si="42"/>
        <v>No</v>
      </c>
      <c r="BG174" t="str">
        <f t="shared" si="43"/>
        <v>No</v>
      </c>
      <c r="BH174" t="str">
        <f t="shared" si="44"/>
        <v/>
      </c>
    </row>
    <row r="175" spans="9:60" x14ac:dyDescent="0.3">
      <c r="I175" t="str">
        <f t="shared" si="46"/>
        <v>N/A</v>
      </c>
      <c r="J175" t="str">
        <f t="shared" si="47"/>
        <v>N/A</v>
      </c>
      <c r="K175" t="str">
        <f t="shared" si="48"/>
        <v>N/A</v>
      </c>
      <c r="L175" t="str">
        <f t="shared" si="49"/>
        <v>N/A</v>
      </c>
      <c r="M175" t="str">
        <f t="shared" si="50"/>
        <v>N/A</v>
      </c>
      <c r="N175" t="str">
        <f t="shared" si="51"/>
        <v>N/A</v>
      </c>
      <c r="P175">
        <f t="shared" si="27"/>
        <v>0</v>
      </c>
      <c r="Q175" t="str">
        <f>IFERROR(J144+MATCH(P175,J175:N175,0)-1,"")</f>
        <v/>
      </c>
      <c r="R175" t="str">
        <f t="shared" si="28"/>
        <v/>
      </c>
      <c r="S175" t="str">
        <f>IFERROR(J144+MATCH(R175,J175:N175,0)-1,"")</f>
        <v/>
      </c>
      <c r="T175" t="str">
        <f t="shared" si="29"/>
        <v/>
      </c>
      <c r="U175" t="str">
        <f t="shared" si="30"/>
        <v/>
      </c>
      <c r="V175" t="str">
        <f t="shared" si="31"/>
        <v/>
      </c>
      <c r="W175" t="str">
        <f t="shared" si="32"/>
        <v/>
      </c>
      <c r="X175" t="str">
        <f t="shared" si="33"/>
        <v/>
      </c>
      <c r="Y175" t="str">
        <f t="shared" si="34"/>
        <v/>
      </c>
      <c r="Z175" t="str">
        <f t="shared" si="35"/>
        <v/>
      </c>
      <c r="AA175">
        <f t="shared" si="36"/>
        <v>0</v>
      </c>
      <c r="AB175" t="str">
        <f>IFERROR(V144+MATCH(AA175,V175:Z175,0)-1,"")</f>
        <v/>
      </c>
      <c r="AC175" t="str">
        <f t="shared" si="37"/>
        <v/>
      </c>
      <c r="AE175" t="str">
        <f>IF(ISNUMBER(MATCH("N/A",J175:N175,0)),"",IFERROR((5 * SUMPRODUCT(J144:N144,J175:N175) - PRODUCT(SUM(J144:N144),SUM(J175:N175))) / ((5 * SUM((J144^2)+(K144^2)+(L144^2)+(M144^2)+(N144^2))) - SUM(J144:N144)^2),""))</f>
        <v/>
      </c>
      <c r="AF175" t="str">
        <f>IFERROR(CORREL(J144:N144,J175:N175),"")</f>
        <v/>
      </c>
      <c r="AZ175">
        <f t="shared" si="38"/>
        <v>0</v>
      </c>
      <c r="BA175" t="str">
        <f>IF(AZ175=1,IF(Q175="","",IF(Q175=N144,"Yes","No")),"")</f>
        <v/>
      </c>
      <c r="BB175" t="str">
        <f t="shared" si="39"/>
        <v/>
      </c>
      <c r="BC175" t="str">
        <f>IF(AZ175=1,IF(S175="","",IF(S175=N144,"Yes","No")),"")</f>
        <v/>
      </c>
      <c r="BD175" t="str">
        <f t="shared" si="40"/>
        <v/>
      </c>
      <c r="BE175" t="str">
        <f t="shared" si="41"/>
        <v/>
      </c>
      <c r="BF175" t="str">
        <f t="shared" si="42"/>
        <v>No</v>
      </c>
      <c r="BG175" t="str">
        <f t="shared" si="43"/>
        <v>No</v>
      </c>
      <c r="BH175" t="str">
        <f t="shared" si="44"/>
        <v/>
      </c>
    </row>
    <row r="176" spans="9:60" x14ac:dyDescent="0.3">
      <c r="I176" t="str">
        <f t="shared" si="46"/>
        <v>N/A</v>
      </c>
      <c r="J176" t="str">
        <f t="shared" si="47"/>
        <v>N/A</v>
      </c>
      <c r="K176" t="str">
        <f t="shared" si="48"/>
        <v>N/A</v>
      </c>
      <c r="L176" t="str">
        <f t="shared" si="49"/>
        <v>N/A</v>
      </c>
      <c r="M176" t="str">
        <f t="shared" si="50"/>
        <v>N/A</v>
      </c>
      <c r="N176" t="str">
        <f t="shared" si="51"/>
        <v>N/A</v>
      </c>
      <c r="P176">
        <f t="shared" si="27"/>
        <v>0</v>
      </c>
      <c r="Q176" t="str">
        <f>IFERROR(J144+MATCH(P176,J176:N176,0)-1,"")</f>
        <v/>
      </c>
      <c r="R176" t="str">
        <f t="shared" si="28"/>
        <v/>
      </c>
      <c r="S176" t="str">
        <f>IFERROR(J144+MATCH(R176,J176:N176,0)-1,"")</f>
        <v/>
      </c>
      <c r="T176" t="str">
        <f t="shared" si="29"/>
        <v/>
      </c>
      <c r="U176" t="str">
        <f t="shared" si="30"/>
        <v/>
      </c>
      <c r="V176" t="str">
        <f t="shared" si="31"/>
        <v/>
      </c>
      <c r="W176" t="str">
        <f t="shared" si="32"/>
        <v/>
      </c>
      <c r="X176" t="str">
        <f t="shared" si="33"/>
        <v/>
      </c>
      <c r="Y176" t="str">
        <f t="shared" si="34"/>
        <v/>
      </c>
      <c r="Z176" t="str">
        <f t="shared" si="35"/>
        <v/>
      </c>
      <c r="AA176">
        <f t="shared" si="36"/>
        <v>0</v>
      </c>
      <c r="AB176" t="str">
        <f>IFERROR(V144+MATCH(AA176,V176:Z176,0)-1,"")</f>
        <v/>
      </c>
      <c r="AC176" t="str">
        <f t="shared" si="37"/>
        <v/>
      </c>
      <c r="AE176" t="str">
        <f>IF(ISNUMBER(MATCH("N/A",J176:N176,0)),"",IFERROR((5 * SUMPRODUCT(J144:N144,J176:N176) - PRODUCT(SUM(J144:N144),SUM(J176:N176))) / ((5 * SUM((J144^2)+(K144^2)+(L144^2)+(M144^2)+(N144^2))) - SUM(J144:N144)^2),""))</f>
        <v/>
      </c>
      <c r="AF176" t="str">
        <f>IFERROR(CORREL(J144:N144,J176:N176),"")</f>
        <v/>
      </c>
      <c r="AZ176">
        <f t="shared" si="38"/>
        <v>0</v>
      </c>
      <c r="BA176" t="str">
        <f>IF(AZ176=1,IF(Q176="","",IF(Q176=N144,"Yes","No")),"")</f>
        <v/>
      </c>
      <c r="BB176" t="str">
        <f t="shared" si="39"/>
        <v/>
      </c>
      <c r="BC176" t="str">
        <f>IF(AZ176=1,IF(S176="","",IF(S176=N144,"Yes","No")),"")</f>
        <v/>
      </c>
      <c r="BD176" t="str">
        <f t="shared" si="40"/>
        <v/>
      </c>
      <c r="BE176" t="str">
        <f t="shared" si="41"/>
        <v/>
      </c>
      <c r="BF176" t="str">
        <f t="shared" si="42"/>
        <v>No</v>
      </c>
      <c r="BG176" t="str">
        <f t="shared" si="43"/>
        <v>No</v>
      </c>
      <c r="BH176" t="str">
        <f t="shared" si="44"/>
        <v/>
      </c>
    </row>
    <row r="177" spans="9:60" x14ac:dyDescent="0.3">
      <c r="I177" t="str">
        <f t="shared" si="46"/>
        <v>N/A</v>
      </c>
      <c r="J177" t="str">
        <f t="shared" si="47"/>
        <v>N/A</v>
      </c>
      <c r="K177" t="str">
        <f t="shared" si="48"/>
        <v>N/A</v>
      </c>
      <c r="L177" t="str">
        <f t="shared" si="49"/>
        <v>N/A</v>
      </c>
      <c r="M177" t="str">
        <f t="shared" si="50"/>
        <v>N/A</v>
      </c>
      <c r="N177" t="str">
        <f t="shared" si="51"/>
        <v>N/A</v>
      </c>
      <c r="P177">
        <f t="shared" si="27"/>
        <v>0</v>
      </c>
      <c r="Q177" t="str">
        <f>IFERROR(J144+MATCH(P177,J177:N177,0)-1,"")</f>
        <v/>
      </c>
      <c r="R177" t="str">
        <f t="shared" si="28"/>
        <v/>
      </c>
      <c r="S177" t="str">
        <f>IFERROR(J144+MATCH(R177,J177:N177,0)-1,"")</f>
        <v/>
      </c>
      <c r="T177" t="str">
        <f t="shared" si="29"/>
        <v/>
      </c>
      <c r="U177" t="str">
        <f t="shared" si="30"/>
        <v/>
      </c>
      <c r="V177" t="str">
        <f t="shared" si="31"/>
        <v/>
      </c>
      <c r="W177" t="str">
        <f t="shared" si="32"/>
        <v/>
      </c>
      <c r="X177" t="str">
        <f t="shared" si="33"/>
        <v/>
      </c>
      <c r="Y177" t="str">
        <f t="shared" si="34"/>
        <v/>
      </c>
      <c r="Z177" t="str">
        <f t="shared" si="35"/>
        <v/>
      </c>
      <c r="AA177">
        <f t="shared" si="36"/>
        <v>0</v>
      </c>
      <c r="AB177" t="str">
        <f>IFERROR(V144+MATCH(AA177,V177:Z177,0)-1,"")</f>
        <v/>
      </c>
      <c r="AC177" t="str">
        <f t="shared" si="37"/>
        <v/>
      </c>
      <c r="AE177" t="str">
        <f>IF(ISNUMBER(MATCH("N/A",J177:N177,0)),"",IFERROR((5 * SUMPRODUCT(J144:N144,J177:N177) - PRODUCT(SUM(J144:N144),SUM(J177:N177))) / ((5 * SUM((J144^2)+(K144^2)+(L144^2)+(M144^2)+(N144^2))) - SUM(J144:N144)^2),""))</f>
        <v/>
      </c>
      <c r="AF177" t="str">
        <f>IFERROR(CORREL(J144:N144,J177:N177),"")</f>
        <v/>
      </c>
      <c r="AZ177">
        <f t="shared" si="38"/>
        <v>0</v>
      </c>
      <c r="BA177" t="str">
        <f>IF(AZ177=1,IF(Q177="","",IF(Q177=N144,"Yes","No")),"")</f>
        <v/>
      </c>
      <c r="BB177" t="str">
        <f t="shared" si="39"/>
        <v/>
      </c>
      <c r="BC177" t="str">
        <f>IF(AZ177=1,IF(S177="","",IF(S177=N144,"Yes","No")),"")</f>
        <v/>
      </c>
      <c r="BD177" t="str">
        <f t="shared" si="40"/>
        <v/>
      </c>
      <c r="BE177" t="str">
        <f t="shared" si="41"/>
        <v/>
      </c>
      <c r="BF177" t="str">
        <f t="shared" si="42"/>
        <v>No</v>
      </c>
      <c r="BG177" t="str">
        <f t="shared" si="43"/>
        <v>No</v>
      </c>
      <c r="BH177" t="str">
        <f t="shared" si="44"/>
        <v/>
      </c>
    </row>
    <row r="178" spans="9:60" x14ac:dyDescent="0.3">
      <c r="I178" t="str">
        <f t="shared" si="46"/>
        <v>N/A</v>
      </c>
      <c r="J178" t="str">
        <f t="shared" si="47"/>
        <v>N/A</v>
      </c>
      <c r="K178" t="str">
        <f t="shared" si="48"/>
        <v>N/A</v>
      </c>
      <c r="L178" t="str">
        <f t="shared" si="49"/>
        <v>N/A</v>
      </c>
      <c r="M178" t="str">
        <f t="shared" si="50"/>
        <v>N/A</v>
      </c>
      <c r="N178" t="str">
        <f t="shared" si="51"/>
        <v>N/A</v>
      </c>
      <c r="P178">
        <f t="shared" si="27"/>
        <v>0</v>
      </c>
      <c r="Q178" t="str">
        <f>IFERROR(J144+MATCH(P178,J178:N178,0)-1,"")</f>
        <v/>
      </c>
      <c r="R178" t="str">
        <f t="shared" si="28"/>
        <v/>
      </c>
      <c r="S178" t="str">
        <f>IFERROR(J144+MATCH(R178,J178:N178,0)-1,"")</f>
        <v/>
      </c>
      <c r="T178" t="str">
        <f t="shared" si="29"/>
        <v/>
      </c>
      <c r="U178" t="str">
        <f t="shared" si="30"/>
        <v/>
      </c>
      <c r="V178" t="str">
        <f t="shared" si="31"/>
        <v/>
      </c>
      <c r="W178" t="str">
        <f t="shared" si="32"/>
        <v/>
      </c>
      <c r="X178" t="str">
        <f t="shared" si="33"/>
        <v/>
      </c>
      <c r="Y178" t="str">
        <f t="shared" si="34"/>
        <v/>
      </c>
      <c r="Z178" t="str">
        <f t="shared" si="35"/>
        <v/>
      </c>
      <c r="AA178">
        <f t="shared" si="36"/>
        <v>0</v>
      </c>
      <c r="AB178" t="str">
        <f>IFERROR(V144+MATCH(AA178,V178:Z178,0)-1,"")</f>
        <v/>
      </c>
      <c r="AC178" t="str">
        <f t="shared" si="37"/>
        <v/>
      </c>
      <c r="AE178" t="str">
        <f>IF(ISNUMBER(MATCH("N/A",J178:N178,0)),"",IFERROR((5 * SUMPRODUCT(J144:N144,J178:N178) - PRODUCT(SUM(J144:N144),SUM(J178:N178))) / ((5 * SUM((J144^2)+(K144^2)+(L144^2)+(M144^2)+(N144^2))) - SUM(J144:N144)^2),""))</f>
        <v/>
      </c>
      <c r="AF178" t="str">
        <f>IFERROR(CORREL(J144:N144,J178:N178),"")</f>
        <v/>
      </c>
      <c r="AZ178">
        <f t="shared" si="38"/>
        <v>0</v>
      </c>
      <c r="BA178" t="str">
        <f>IF(AZ178=1,IF(Q178="","",IF(Q178=N144,"Yes","No")),"")</f>
        <v/>
      </c>
      <c r="BB178" t="str">
        <f t="shared" si="39"/>
        <v/>
      </c>
      <c r="BC178" t="str">
        <f>IF(AZ178=1,IF(S178="","",IF(S178=N144,"Yes","No")),"")</f>
        <v/>
      </c>
      <c r="BD178" t="str">
        <f t="shared" si="40"/>
        <v/>
      </c>
      <c r="BE178" t="str">
        <f t="shared" si="41"/>
        <v/>
      </c>
      <c r="BF178" t="str">
        <f t="shared" si="42"/>
        <v>No</v>
      </c>
      <c r="BG178" t="str">
        <f t="shared" si="43"/>
        <v>No</v>
      </c>
      <c r="BH178" t="str">
        <f t="shared" si="44"/>
        <v/>
      </c>
    </row>
    <row r="179" spans="9:60" x14ac:dyDescent="0.3">
      <c r="I179" t="str">
        <f t="shared" si="46"/>
        <v>N/A</v>
      </c>
      <c r="J179" t="str">
        <f t="shared" si="47"/>
        <v>N/A</v>
      </c>
      <c r="K179" t="str">
        <f t="shared" si="48"/>
        <v>N/A</v>
      </c>
      <c r="L179" t="str">
        <f t="shared" si="49"/>
        <v>N/A</v>
      </c>
      <c r="M179" t="str">
        <f t="shared" si="50"/>
        <v>N/A</v>
      </c>
      <c r="N179" t="str">
        <f t="shared" si="51"/>
        <v>N/A</v>
      </c>
      <c r="P179">
        <f t="shared" si="27"/>
        <v>0</v>
      </c>
      <c r="Q179" t="str">
        <f>IFERROR(J144+MATCH(P179,J179:N179,0)-1,"")</f>
        <v/>
      </c>
      <c r="R179" t="str">
        <f t="shared" si="28"/>
        <v/>
      </c>
      <c r="S179" t="str">
        <f>IFERROR(J144+MATCH(R179,J179:N179,0)-1,"")</f>
        <v/>
      </c>
      <c r="T179" t="str">
        <f t="shared" si="29"/>
        <v/>
      </c>
      <c r="U179" t="str">
        <f t="shared" si="30"/>
        <v/>
      </c>
      <c r="V179" t="str">
        <f t="shared" si="31"/>
        <v/>
      </c>
      <c r="W179" t="str">
        <f t="shared" si="32"/>
        <v/>
      </c>
      <c r="X179" t="str">
        <f t="shared" si="33"/>
        <v/>
      </c>
      <c r="Y179" t="str">
        <f t="shared" si="34"/>
        <v/>
      </c>
      <c r="Z179" t="str">
        <f t="shared" si="35"/>
        <v/>
      </c>
      <c r="AA179">
        <f t="shared" si="36"/>
        <v>0</v>
      </c>
      <c r="AB179" t="str">
        <f>IFERROR(V144+MATCH(AA179,V179:Z179,0)-1,"")</f>
        <v/>
      </c>
      <c r="AC179" t="str">
        <f t="shared" si="37"/>
        <v/>
      </c>
      <c r="AE179" t="str">
        <f>IF(ISNUMBER(MATCH("N/A",J179:N179,0)),"",IFERROR((5 * SUMPRODUCT(J144:N144,J179:N179) - PRODUCT(SUM(J144:N144),SUM(J179:N179))) / ((5 * SUM((J144^2)+(K144^2)+(L144^2)+(M144^2)+(N144^2))) - SUM(J144:N144)^2),""))</f>
        <v/>
      </c>
      <c r="AF179" t="str">
        <f>IFERROR(CORREL(J144:N144,J179:N179),"")</f>
        <v/>
      </c>
      <c r="AZ179">
        <f t="shared" si="38"/>
        <v>0</v>
      </c>
      <c r="BA179" t="str">
        <f>IF(AZ179=1,IF(Q179="","",IF(Q179=N144,"Yes","No")),"")</f>
        <v/>
      </c>
      <c r="BB179" t="str">
        <f t="shared" si="39"/>
        <v/>
      </c>
      <c r="BC179" t="str">
        <f>IF(AZ179=1,IF(S179="","",IF(S179=N144,"Yes","No")),"")</f>
        <v/>
      </c>
      <c r="BD179" t="str">
        <f t="shared" si="40"/>
        <v/>
      </c>
      <c r="BE179" t="str">
        <f t="shared" si="41"/>
        <v/>
      </c>
      <c r="BF179" t="str">
        <f t="shared" si="42"/>
        <v>No</v>
      </c>
      <c r="BG179" t="str">
        <f t="shared" si="43"/>
        <v>No</v>
      </c>
      <c r="BH179" t="str">
        <f t="shared" si="44"/>
        <v/>
      </c>
    </row>
    <row r="180" spans="9:60" x14ac:dyDescent="0.3">
      <c r="I180" t="str">
        <f t="shared" si="46"/>
        <v>N/A</v>
      </c>
      <c r="J180" t="str">
        <f t="shared" si="47"/>
        <v>N/A</v>
      </c>
      <c r="K180" t="str">
        <f t="shared" si="48"/>
        <v>N/A</v>
      </c>
      <c r="L180" t="str">
        <f t="shared" si="49"/>
        <v>N/A</v>
      </c>
      <c r="M180" t="str">
        <f t="shared" si="50"/>
        <v>N/A</v>
      </c>
      <c r="N180" t="str">
        <f t="shared" si="51"/>
        <v>N/A</v>
      </c>
      <c r="P180">
        <f t="shared" si="27"/>
        <v>0</v>
      </c>
      <c r="Q180" t="str">
        <f>IFERROR(J144+MATCH(P180,J180:N180,0)-1,"")</f>
        <v/>
      </c>
      <c r="R180" t="str">
        <f t="shared" si="28"/>
        <v/>
      </c>
      <c r="S180" t="str">
        <f>IFERROR(J144+MATCH(R180,J180:N180,0)-1,"")</f>
        <v/>
      </c>
      <c r="T180" t="str">
        <f t="shared" si="29"/>
        <v/>
      </c>
      <c r="U180" t="str">
        <f t="shared" si="30"/>
        <v/>
      </c>
      <c r="V180" t="str">
        <f t="shared" si="31"/>
        <v/>
      </c>
      <c r="W180" t="str">
        <f t="shared" si="32"/>
        <v/>
      </c>
      <c r="X180" t="str">
        <f t="shared" si="33"/>
        <v/>
      </c>
      <c r="Y180" t="str">
        <f t="shared" si="34"/>
        <v/>
      </c>
      <c r="Z180" t="str">
        <f t="shared" si="35"/>
        <v/>
      </c>
      <c r="AA180">
        <f t="shared" si="36"/>
        <v>0</v>
      </c>
      <c r="AB180" t="str">
        <f>IFERROR(V144+MATCH(AA180,V180:Z180,0)-1,"")</f>
        <v/>
      </c>
      <c r="AC180" t="str">
        <f t="shared" si="37"/>
        <v/>
      </c>
      <c r="AE180" t="str">
        <f>IF(ISNUMBER(MATCH("N/A",J180:N180,0)),"",IFERROR((5 * SUMPRODUCT(J144:N144,J180:N180) - PRODUCT(SUM(J144:N144),SUM(J180:N180))) / ((5 * SUM((J144^2)+(K144^2)+(L144^2)+(M144^2)+(N144^2))) - SUM(J144:N144)^2),""))</f>
        <v/>
      </c>
      <c r="AF180" t="str">
        <f>IFERROR(CORREL(J144:N144,J180:N180),"")</f>
        <v/>
      </c>
      <c r="AZ180">
        <f t="shared" si="38"/>
        <v>0</v>
      </c>
      <c r="BA180" t="str">
        <f>IF(AZ180=1,IF(Q180="","",IF(Q180=N144,"Yes","No")),"")</f>
        <v/>
      </c>
      <c r="BB180" t="str">
        <f t="shared" si="39"/>
        <v/>
      </c>
      <c r="BC180" t="str">
        <f>IF(AZ180=1,IF(S180="","",IF(S180=N144,"Yes","No")),"")</f>
        <v/>
      </c>
      <c r="BD180" t="str">
        <f t="shared" si="40"/>
        <v/>
      </c>
      <c r="BE180" t="str">
        <f t="shared" si="41"/>
        <v/>
      </c>
      <c r="BF180" t="str">
        <f t="shared" si="42"/>
        <v>No</v>
      </c>
      <c r="BG180" t="str">
        <f t="shared" si="43"/>
        <v>No</v>
      </c>
      <c r="BH180" t="str">
        <f t="shared" si="44"/>
        <v/>
      </c>
    </row>
    <row r="181" spans="9:60" x14ac:dyDescent="0.3">
      <c r="I181" t="str">
        <f t="shared" si="46"/>
        <v>N/A</v>
      </c>
      <c r="J181" t="str">
        <f t="shared" si="47"/>
        <v>N/A</v>
      </c>
      <c r="K181" t="str">
        <f t="shared" si="48"/>
        <v>N/A</v>
      </c>
      <c r="L181" t="str">
        <f t="shared" si="49"/>
        <v>N/A</v>
      </c>
      <c r="M181" t="str">
        <f t="shared" si="50"/>
        <v>N/A</v>
      </c>
      <c r="N181" t="str">
        <f t="shared" si="51"/>
        <v>N/A</v>
      </c>
      <c r="P181">
        <f t="shared" si="27"/>
        <v>0</v>
      </c>
      <c r="Q181" t="str">
        <f>IFERROR(J144+MATCH(P181,J181:N181,0)-1,"")</f>
        <v/>
      </c>
      <c r="R181" t="str">
        <f t="shared" si="28"/>
        <v/>
      </c>
      <c r="S181" t="str">
        <f>IFERROR(J144+MATCH(R181,J181:N181,0)-1,"")</f>
        <v/>
      </c>
      <c r="T181" t="str">
        <f t="shared" si="29"/>
        <v/>
      </c>
      <c r="U181" t="str">
        <f t="shared" si="30"/>
        <v/>
      </c>
      <c r="V181" t="str">
        <f t="shared" si="31"/>
        <v/>
      </c>
      <c r="W181" t="str">
        <f t="shared" si="32"/>
        <v/>
      </c>
      <c r="X181" t="str">
        <f t="shared" si="33"/>
        <v/>
      </c>
      <c r="Y181" t="str">
        <f t="shared" si="34"/>
        <v/>
      </c>
      <c r="Z181" t="str">
        <f t="shared" si="35"/>
        <v/>
      </c>
      <c r="AA181">
        <f t="shared" si="36"/>
        <v>0</v>
      </c>
      <c r="AB181" t="str">
        <f>IFERROR(V144+MATCH(AA181,V181:Z181,0)-1,"")</f>
        <v/>
      </c>
      <c r="AC181" t="str">
        <f t="shared" si="37"/>
        <v/>
      </c>
      <c r="AE181" t="str">
        <f>IF(ISNUMBER(MATCH("N/A",J181:N181,0)),"",IFERROR((5 * SUMPRODUCT(J144:N144,J181:N181) - PRODUCT(SUM(J144:N144),SUM(J181:N181))) / ((5 * SUM((J144^2)+(K144^2)+(L144^2)+(M144^2)+(N144^2))) - SUM(J144:N144)^2),""))</f>
        <v/>
      </c>
      <c r="AF181" t="str">
        <f>IFERROR(CORREL(J144:N144,J181:N181),"")</f>
        <v/>
      </c>
      <c r="AZ181">
        <f t="shared" si="38"/>
        <v>0</v>
      </c>
      <c r="BA181" t="str">
        <f>IF(AZ181=1,IF(Q181="","",IF(Q181=N144,"Yes","No")),"")</f>
        <v/>
      </c>
      <c r="BB181" t="str">
        <f t="shared" si="39"/>
        <v/>
      </c>
      <c r="BC181" t="str">
        <f>IF(AZ181=1,IF(S181="","",IF(S181=N144,"Yes","No")),"")</f>
        <v/>
      </c>
      <c r="BD181" t="str">
        <f t="shared" si="40"/>
        <v/>
      </c>
      <c r="BE181" t="str">
        <f t="shared" si="41"/>
        <v/>
      </c>
      <c r="BF181" t="str">
        <f t="shared" si="42"/>
        <v>No</v>
      </c>
      <c r="BG181" t="str">
        <f t="shared" si="43"/>
        <v>No</v>
      </c>
      <c r="BH181" t="str">
        <f t="shared" si="44"/>
        <v/>
      </c>
    </row>
    <row r="182" spans="9:60" x14ac:dyDescent="0.3">
      <c r="I182" t="str">
        <f t="shared" si="46"/>
        <v>N/A</v>
      </c>
      <c r="J182" t="str">
        <f t="shared" si="47"/>
        <v>N/A</v>
      </c>
      <c r="K182" t="str">
        <f t="shared" si="48"/>
        <v>N/A</v>
      </c>
      <c r="L182" t="str">
        <f t="shared" si="49"/>
        <v>N/A</v>
      </c>
      <c r="M182" t="str">
        <f t="shared" si="50"/>
        <v>N/A</v>
      </c>
      <c r="N182" t="str">
        <f t="shared" si="51"/>
        <v>N/A</v>
      </c>
      <c r="P182">
        <f t="shared" si="27"/>
        <v>0</v>
      </c>
      <c r="Q182" t="str">
        <f>IFERROR(J144+MATCH(P182,J182:N182,0)-1,"")</f>
        <v/>
      </c>
      <c r="R182" t="str">
        <f t="shared" si="28"/>
        <v/>
      </c>
      <c r="S182" t="str">
        <f>IFERROR(J144+MATCH(R182,J182:N182,0)-1,"")</f>
        <v/>
      </c>
      <c r="T182" t="str">
        <f t="shared" si="29"/>
        <v/>
      </c>
      <c r="U182" t="str">
        <f t="shared" si="30"/>
        <v/>
      </c>
      <c r="V182" t="str">
        <f t="shared" si="31"/>
        <v/>
      </c>
      <c r="W182" t="str">
        <f t="shared" si="32"/>
        <v/>
      </c>
      <c r="X182" t="str">
        <f t="shared" si="33"/>
        <v/>
      </c>
      <c r="Y182" t="str">
        <f t="shared" si="34"/>
        <v/>
      </c>
      <c r="Z182" t="str">
        <f t="shared" si="35"/>
        <v/>
      </c>
      <c r="AA182">
        <f t="shared" si="36"/>
        <v>0</v>
      </c>
      <c r="AB182" t="str">
        <f>IFERROR(V144+MATCH(AA182,V182:Z182,0)-1,"")</f>
        <v/>
      </c>
      <c r="AC182" t="str">
        <f t="shared" si="37"/>
        <v/>
      </c>
      <c r="AE182" t="str">
        <f>IF(ISNUMBER(MATCH("N/A",J182:N182,0)),"",IFERROR((5 * SUMPRODUCT(J144:N144,J182:N182) - PRODUCT(SUM(J144:N144),SUM(J182:N182))) / ((5 * SUM((J144^2)+(K144^2)+(L144^2)+(M144^2)+(N144^2))) - SUM(J144:N144)^2),""))</f>
        <v/>
      </c>
      <c r="AF182" t="str">
        <f>IFERROR(CORREL(J144:N144,J182:N182),"")</f>
        <v/>
      </c>
      <c r="AZ182">
        <f t="shared" si="38"/>
        <v>0</v>
      </c>
      <c r="BA182" t="str">
        <f>IF(AZ182=1,IF(Q182="","",IF(Q182=N144,"Yes","No")),"")</f>
        <v/>
      </c>
      <c r="BB182" t="str">
        <f t="shared" si="39"/>
        <v/>
      </c>
      <c r="BC182" t="str">
        <f>IF(AZ182=1,IF(S182="","",IF(S182=N144,"Yes","No")),"")</f>
        <v/>
      </c>
      <c r="BD182" t="str">
        <f t="shared" si="40"/>
        <v/>
      </c>
      <c r="BE182" t="str">
        <f t="shared" si="41"/>
        <v/>
      </c>
      <c r="BF182" t="str">
        <f t="shared" si="42"/>
        <v>No</v>
      </c>
      <c r="BG182" t="str">
        <f t="shared" si="43"/>
        <v>No</v>
      </c>
      <c r="BH182" t="str">
        <f t="shared" si="44"/>
        <v/>
      </c>
    </row>
    <row r="183" spans="9:60" x14ac:dyDescent="0.3">
      <c r="I183" t="str">
        <f t="shared" si="46"/>
        <v>N/A</v>
      </c>
      <c r="J183" t="str">
        <f t="shared" si="47"/>
        <v>N/A</v>
      </c>
      <c r="K183" t="str">
        <f t="shared" si="48"/>
        <v>N/A</v>
      </c>
      <c r="L183" t="str">
        <f t="shared" si="49"/>
        <v>N/A</v>
      </c>
      <c r="M183" t="str">
        <f t="shared" si="50"/>
        <v>N/A</v>
      </c>
      <c r="N183" t="str">
        <f t="shared" si="51"/>
        <v>N/A</v>
      </c>
      <c r="P183">
        <f t="shared" si="27"/>
        <v>0</v>
      </c>
      <c r="Q183" t="str">
        <f>IFERROR(J144+MATCH(P183,J183:N183,0)-1,"")</f>
        <v/>
      </c>
      <c r="R183" t="str">
        <f t="shared" si="28"/>
        <v/>
      </c>
      <c r="S183" t="str">
        <f>IFERROR(J144+MATCH(R183,J183:N183,0)-1,"")</f>
        <v/>
      </c>
      <c r="T183" t="str">
        <f t="shared" si="29"/>
        <v/>
      </c>
      <c r="U183" t="str">
        <f t="shared" si="30"/>
        <v/>
      </c>
      <c r="V183" t="str">
        <f t="shared" si="31"/>
        <v/>
      </c>
      <c r="W183" t="str">
        <f t="shared" si="32"/>
        <v/>
      </c>
      <c r="X183" t="str">
        <f t="shared" si="33"/>
        <v/>
      </c>
      <c r="Y183" t="str">
        <f t="shared" si="34"/>
        <v/>
      </c>
      <c r="Z183" t="str">
        <f t="shared" si="35"/>
        <v/>
      </c>
      <c r="AA183">
        <f t="shared" si="36"/>
        <v>0</v>
      </c>
      <c r="AB183" t="str">
        <f>IFERROR(V144+MATCH(AA183,V183:Z183,0)-1,"")</f>
        <v/>
      </c>
      <c r="AC183" t="str">
        <f t="shared" si="37"/>
        <v/>
      </c>
      <c r="AE183" t="str">
        <f>IF(ISNUMBER(MATCH("N/A",J183:N183,0)),"",IFERROR((5 * SUMPRODUCT(J144:N144,J183:N183) - PRODUCT(SUM(J144:N144),SUM(J183:N183))) / ((5 * SUM((J144^2)+(K144^2)+(L144^2)+(M144^2)+(N144^2))) - SUM(J144:N144)^2),""))</f>
        <v/>
      </c>
      <c r="AF183" t="str">
        <f>IFERROR(CORREL(J144:N144,J183:N183),"")</f>
        <v/>
      </c>
      <c r="AZ183">
        <f t="shared" si="38"/>
        <v>0</v>
      </c>
      <c r="BA183" t="str">
        <f>IF(AZ183=1,IF(Q183="","",IF(Q183=N144,"Yes","No")),"")</f>
        <v/>
      </c>
      <c r="BB183" t="str">
        <f t="shared" si="39"/>
        <v/>
      </c>
      <c r="BC183" t="str">
        <f>IF(AZ183=1,IF(S183="","",IF(S183=N144,"Yes","No")),"")</f>
        <v/>
      </c>
      <c r="BD183" t="str">
        <f t="shared" si="40"/>
        <v/>
      </c>
      <c r="BE183" t="str">
        <f t="shared" si="41"/>
        <v/>
      </c>
      <c r="BF183" t="str">
        <f t="shared" si="42"/>
        <v>No</v>
      </c>
      <c r="BG183" t="str">
        <f t="shared" si="43"/>
        <v>No</v>
      </c>
      <c r="BH183" t="str">
        <f t="shared" si="44"/>
        <v/>
      </c>
    </row>
    <row r="184" spans="9:60" x14ac:dyDescent="0.3">
      <c r="I184" t="str">
        <f t="shared" si="46"/>
        <v>N/A</v>
      </c>
      <c r="J184" t="str">
        <f t="shared" si="47"/>
        <v>N/A</v>
      </c>
      <c r="K184" t="str">
        <f t="shared" si="48"/>
        <v>N/A</v>
      </c>
      <c r="L184" t="str">
        <f t="shared" si="49"/>
        <v>N/A</v>
      </c>
      <c r="M184" t="str">
        <f t="shared" si="50"/>
        <v>N/A</v>
      </c>
      <c r="N184" t="str">
        <f t="shared" si="51"/>
        <v>N/A</v>
      </c>
      <c r="P184">
        <f t="shared" si="27"/>
        <v>0</v>
      </c>
      <c r="Q184" t="str">
        <f>IFERROR(J144+MATCH(P184,J184:N184,0)-1,"")</f>
        <v/>
      </c>
      <c r="R184" t="str">
        <f t="shared" si="28"/>
        <v/>
      </c>
      <c r="S184" t="str">
        <f>IFERROR(J144+MATCH(R184,J184:N184,0)-1,"")</f>
        <v/>
      </c>
      <c r="T184" t="str">
        <f t="shared" si="29"/>
        <v/>
      </c>
      <c r="U184" t="str">
        <f t="shared" si="30"/>
        <v/>
      </c>
      <c r="V184" t="str">
        <f t="shared" si="31"/>
        <v/>
      </c>
      <c r="W184" t="str">
        <f t="shared" si="32"/>
        <v/>
      </c>
      <c r="X184" t="str">
        <f t="shared" si="33"/>
        <v/>
      </c>
      <c r="Y184" t="str">
        <f t="shared" si="34"/>
        <v/>
      </c>
      <c r="Z184" t="str">
        <f t="shared" si="35"/>
        <v/>
      </c>
      <c r="AA184">
        <f t="shared" si="36"/>
        <v>0</v>
      </c>
      <c r="AB184" t="str">
        <f>IFERROR(V144+MATCH(AA184,V184:Z184,0)-1,"")</f>
        <v/>
      </c>
      <c r="AC184" t="str">
        <f t="shared" si="37"/>
        <v/>
      </c>
      <c r="AE184" t="str">
        <f>IF(ISNUMBER(MATCH("N/A",J184:N184,0)),"",IFERROR((5 * SUMPRODUCT(J144:N144,J184:N184) - PRODUCT(SUM(J144:N144),SUM(J184:N184))) / ((5 * SUM((J144^2)+(K144^2)+(L144^2)+(M144^2)+(N144^2))) - SUM(J144:N144)^2),""))</f>
        <v/>
      </c>
      <c r="AF184" t="str">
        <f>IFERROR(CORREL(J144:N144,J184:N184),"")</f>
        <v/>
      </c>
      <c r="AZ184">
        <f t="shared" si="38"/>
        <v>0</v>
      </c>
      <c r="BA184" t="str">
        <f>IF(AZ184=1,IF(Q184="","",IF(Q184=N144,"Yes","No")),"")</f>
        <v/>
      </c>
      <c r="BB184" t="str">
        <f t="shared" si="39"/>
        <v/>
      </c>
      <c r="BC184" t="str">
        <f>IF(AZ184=1,IF(S184="","",IF(S184=N144,"Yes","No")),"")</f>
        <v/>
      </c>
      <c r="BD184" t="str">
        <f t="shared" si="40"/>
        <v/>
      </c>
      <c r="BE184" t="str">
        <f t="shared" si="41"/>
        <v/>
      </c>
      <c r="BF184" t="str">
        <f t="shared" si="42"/>
        <v>No</v>
      </c>
      <c r="BG184" t="str">
        <f t="shared" si="43"/>
        <v>No</v>
      </c>
      <c r="BH184" t="str">
        <f t="shared" si="44"/>
        <v/>
      </c>
    </row>
    <row r="185" spans="9:60" x14ac:dyDescent="0.3">
      <c r="I185" t="str">
        <f t="shared" si="46"/>
        <v>N/A</v>
      </c>
      <c r="J185" t="str">
        <f t="shared" si="47"/>
        <v>N/A</v>
      </c>
      <c r="K185" t="str">
        <f t="shared" si="48"/>
        <v>N/A</v>
      </c>
      <c r="L185" t="str">
        <f t="shared" si="49"/>
        <v>N/A</v>
      </c>
      <c r="M185" t="str">
        <f t="shared" si="50"/>
        <v>N/A</v>
      </c>
      <c r="N185" t="str">
        <f t="shared" si="51"/>
        <v>N/A</v>
      </c>
      <c r="P185">
        <f t="shared" si="27"/>
        <v>0</v>
      </c>
      <c r="Q185" t="str">
        <f>IFERROR(J144+MATCH(P185,J185:N185,0)-1,"")</f>
        <v/>
      </c>
      <c r="R185" t="str">
        <f t="shared" si="28"/>
        <v/>
      </c>
      <c r="S185" t="str">
        <f>IFERROR(J144+MATCH(R185,J185:N185,0)-1,"")</f>
        <v/>
      </c>
      <c r="T185" t="str">
        <f t="shared" si="29"/>
        <v/>
      </c>
      <c r="U185" t="str">
        <f t="shared" si="30"/>
        <v/>
      </c>
      <c r="V185" t="str">
        <f t="shared" si="31"/>
        <v/>
      </c>
      <c r="W185" t="str">
        <f t="shared" si="32"/>
        <v/>
      </c>
      <c r="X185" t="str">
        <f t="shared" si="33"/>
        <v/>
      </c>
      <c r="Y185" t="str">
        <f t="shared" si="34"/>
        <v/>
      </c>
      <c r="Z185" t="str">
        <f t="shared" si="35"/>
        <v/>
      </c>
      <c r="AA185">
        <f t="shared" si="36"/>
        <v>0</v>
      </c>
      <c r="AB185" t="str">
        <f>IFERROR(V144+MATCH(AA185,V185:Z185,0)-1,"")</f>
        <v/>
      </c>
      <c r="AC185" t="str">
        <f t="shared" si="37"/>
        <v/>
      </c>
      <c r="AE185" t="str">
        <f>IF(ISNUMBER(MATCH("N/A",J185:N185,0)),"",IFERROR((5 * SUMPRODUCT(J144:N144,J185:N185) - PRODUCT(SUM(J144:N144),SUM(J185:N185))) / ((5 * SUM((J144^2)+(K144^2)+(L144^2)+(M144^2)+(N144^2))) - SUM(J144:N144)^2),""))</f>
        <v/>
      </c>
      <c r="AF185" t="str">
        <f>IFERROR(CORREL(J144:N144,J185:N185),"")</f>
        <v/>
      </c>
      <c r="AZ185">
        <f t="shared" si="38"/>
        <v>0</v>
      </c>
      <c r="BA185" t="str">
        <f>IF(AZ185=1,IF(Q185="","",IF(Q185=N144,"Yes","No")),"")</f>
        <v/>
      </c>
      <c r="BB185" t="str">
        <f t="shared" si="39"/>
        <v/>
      </c>
      <c r="BC185" t="str">
        <f>IF(AZ185=1,IF(S185="","",IF(S185=N144,"Yes","No")),"")</f>
        <v/>
      </c>
      <c r="BD185" t="str">
        <f t="shared" si="40"/>
        <v/>
      </c>
      <c r="BE185" t="str">
        <f t="shared" si="41"/>
        <v/>
      </c>
      <c r="BF185" t="str">
        <f t="shared" si="42"/>
        <v>No</v>
      </c>
      <c r="BG185" t="str">
        <f t="shared" si="43"/>
        <v>No</v>
      </c>
      <c r="BH185" t="str">
        <f t="shared" si="44"/>
        <v/>
      </c>
    </row>
    <row r="186" spans="9:60" x14ac:dyDescent="0.3">
      <c r="I186" t="str">
        <f t="shared" si="46"/>
        <v>N/A</v>
      </c>
      <c r="J186" t="str">
        <f t="shared" si="47"/>
        <v>N/A</v>
      </c>
      <c r="K186" t="str">
        <f t="shared" si="48"/>
        <v>N/A</v>
      </c>
      <c r="L186" t="str">
        <f t="shared" si="49"/>
        <v>N/A</v>
      </c>
      <c r="M186" t="str">
        <f t="shared" si="50"/>
        <v>N/A</v>
      </c>
      <c r="N186" t="str">
        <f t="shared" si="51"/>
        <v>N/A</v>
      </c>
      <c r="P186">
        <f t="shared" si="27"/>
        <v>0</v>
      </c>
      <c r="Q186" t="str">
        <f>IFERROR(J144+MATCH(P186,J186:N186,0)-1,"")</f>
        <v/>
      </c>
      <c r="R186" t="str">
        <f t="shared" si="28"/>
        <v/>
      </c>
      <c r="S186" t="str">
        <f>IFERROR(J144+MATCH(R186,J186:N186,0)-1,"")</f>
        <v/>
      </c>
      <c r="T186" t="str">
        <f t="shared" si="29"/>
        <v/>
      </c>
      <c r="U186" t="str">
        <f t="shared" si="30"/>
        <v/>
      </c>
      <c r="V186" t="str">
        <f t="shared" si="31"/>
        <v/>
      </c>
      <c r="W186" t="str">
        <f t="shared" si="32"/>
        <v/>
      </c>
      <c r="X186" t="str">
        <f t="shared" si="33"/>
        <v/>
      </c>
      <c r="Y186" t="str">
        <f t="shared" si="34"/>
        <v/>
      </c>
      <c r="Z186" t="str">
        <f t="shared" si="35"/>
        <v/>
      </c>
      <c r="AA186">
        <f t="shared" si="36"/>
        <v>0</v>
      </c>
      <c r="AB186" t="str">
        <f>IFERROR(V144+MATCH(AA186,V186:Z186,0)-1,"")</f>
        <v/>
      </c>
      <c r="AC186" t="str">
        <f t="shared" si="37"/>
        <v/>
      </c>
      <c r="AE186" t="str">
        <f>IF(ISNUMBER(MATCH("N/A",J186:N186,0)),"",IFERROR((5 * SUMPRODUCT(J144:N144,J186:N186) - PRODUCT(SUM(J144:N144),SUM(J186:N186))) / ((5 * SUM((J144^2)+(K144^2)+(L144^2)+(M144^2)+(N144^2))) - SUM(J144:N144)^2),""))</f>
        <v/>
      </c>
      <c r="AF186" t="str">
        <f>IFERROR(CORREL(J144:N144,J186:N186),"")</f>
        <v/>
      </c>
      <c r="AZ186">
        <f t="shared" si="38"/>
        <v>0</v>
      </c>
      <c r="BA186" t="str">
        <f>IF(AZ186=1,IF(Q186="","",IF(Q186=N144,"Yes","No")),"")</f>
        <v/>
      </c>
      <c r="BB186" t="str">
        <f t="shared" si="39"/>
        <v/>
      </c>
      <c r="BC186" t="str">
        <f>IF(AZ186=1,IF(S186="","",IF(S186=N144,"Yes","No")),"")</f>
        <v/>
      </c>
      <c r="BD186" t="str">
        <f t="shared" si="40"/>
        <v/>
      </c>
      <c r="BE186" t="str">
        <f t="shared" si="41"/>
        <v/>
      </c>
      <c r="BF186" t="str">
        <f t="shared" si="42"/>
        <v>No</v>
      </c>
      <c r="BG186" t="str">
        <f t="shared" si="43"/>
        <v>No</v>
      </c>
      <c r="BH186" t="str">
        <f t="shared" si="44"/>
        <v/>
      </c>
    </row>
    <row r="187" spans="9:60" x14ac:dyDescent="0.3">
      <c r="I187" t="str">
        <f t="shared" si="46"/>
        <v>N/A</v>
      </c>
      <c r="J187" t="str">
        <f t="shared" si="47"/>
        <v>N/A</v>
      </c>
      <c r="K187" t="str">
        <f t="shared" si="48"/>
        <v>N/A</v>
      </c>
      <c r="L187" t="str">
        <f t="shared" si="49"/>
        <v>N/A</v>
      </c>
      <c r="M187" t="str">
        <f t="shared" si="50"/>
        <v>N/A</v>
      </c>
      <c r="N187" t="str">
        <f t="shared" si="51"/>
        <v>N/A</v>
      </c>
      <c r="P187">
        <f t="shared" si="27"/>
        <v>0</v>
      </c>
      <c r="Q187" t="str">
        <f>IFERROR(J144+MATCH(P187,J187:N187,0)-1,"")</f>
        <v/>
      </c>
      <c r="R187" t="str">
        <f t="shared" si="28"/>
        <v/>
      </c>
      <c r="S187" t="str">
        <f>IFERROR(J144+MATCH(R187,J187:N187,0)-1,"")</f>
        <v/>
      </c>
      <c r="T187" t="str">
        <f t="shared" si="29"/>
        <v/>
      </c>
      <c r="U187" t="str">
        <f t="shared" si="30"/>
        <v/>
      </c>
      <c r="V187" t="str">
        <f t="shared" si="31"/>
        <v/>
      </c>
      <c r="W187" t="str">
        <f t="shared" si="32"/>
        <v/>
      </c>
      <c r="X187" t="str">
        <f t="shared" si="33"/>
        <v/>
      </c>
      <c r="Y187" t="str">
        <f t="shared" si="34"/>
        <v/>
      </c>
      <c r="Z187" t="str">
        <f t="shared" si="35"/>
        <v/>
      </c>
      <c r="AA187">
        <f t="shared" si="36"/>
        <v>0</v>
      </c>
      <c r="AB187" t="str">
        <f>IFERROR(V144+MATCH(AA187,V187:Z187,0)-1,"")</f>
        <v/>
      </c>
      <c r="AC187" t="str">
        <f t="shared" si="37"/>
        <v/>
      </c>
      <c r="AE187" t="str">
        <f>IF(ISNUMBER(MATCH("N/A",J187:N187,0)),"",IFERROR((5 * SUMPRODUCT(J144:N144,J187:N187) - PRODUCT(SUM(J144:N144),SUM(J187:N187))) / ((5 * SUM((J144^2)+(K144^2)+(L144^2)+(M144^2)+(N144^2))) - SUM(J144:N144)^2),""))</f>
        <v/>
      </c>
      <c r="AF187" t="str">
        <f>IFERROR(CORREL(J144:N144,J187:N187),"")</f>
        <v/>
      </c>
      <c r="AZ187">
        <f t="shared" si="38"/>
        <v>0</v>
      </c>
      <c r="BA187" t="str">
        <f>IF(AZ187=1,IF(Q187="","",IF(Q187=N144,"Yes","No")),"")</f>
        <v/>
      </c>
      <c r="BB187" t="str">
        <f t="shared" si="39"/>
        <v/>
      </c>
      <c r="BC187" t="str">
        <f>IF(AZ187=1,IF(S187="","",IF(S187=N144,"Yes","No")),"")</f>
        <v/>
      </c>
      <c r="BD187" t="str">
        <f t="shared" si="40"/>
        <v/>
      </c>
      <c r="BE187" t="str">
        <f t="shared" si="41"/>
        <v/>
      </c>
      <c r="BF187" t="str">
        <f t="shared" si="42"/>
        <v>No</v>
      </c>
      <c r="BG187" t="str">
        <f t="shared" si="43"/>
        <v>No</v>
      </c>
      <c r="BH187" t="str">
        <f t="shared" si="44"/>
        <v/>
      </c>
    </row>
    <row r="188" spans="9:60" x14ac:dyDescent="0.3">
      <c r="I188" t="str">
        <f t="shared" si="46"/>
        <v>N/A</v>
      </c>
      <c r="J188" t="str">
        <f t="shared" si="47"/>
        <v>N/A</v>
      </c>
      <c r="K188" t="str">
        <f t="shared" si="48"/>
        <v>N/A</v>
      </c>
      <c r="L188" t="str">
        <f t="shared" si="49"/>
        <v>N/A</v>
      </c>
      <c r="M188" t="str">
        <f t="shared" si="50"/>
        <v>N/A</v>
      </c>
      <c r="N188" t="str">
        <f t="shared" si="51"/>
        <v>N/A</v>
      </c>
      <c r="P188">
        <f t="shared" si="27"/>
        <v>0</v>
      </c>
      <c r="Q188" t="str">
        <f>IFERROR(J144+MATCH(P188,J188:N188,0)-1,"")</f>
        <v/>
      </c>
      <c r="R188" t="str">
        <f t="shared" si="28"/>
        <v/>
      </c>
      <c r="S188" t="str">
        <f>IFERROR(J144+MATCH(R188,J188:N188,0)-1,"")</f>
        <v/>
      </c>
      <c r="T188" t="str">
        <f t="shared" si="29"/>
        <v/>
      </c>
      <c r="U188" t="str">
        <f t="shared" si="30"/>
        <v/>
      </c>
      <c r="V188" t="str">
        <f t="shared" si="31"/>
        <v/>
      </c>
      <c r="W188" t="str">
        <f t="shared" si="32"/>
        <v/>
      </c>
      <c r="X188" t="str">
        <f t="shared" si="33"/>
        <v/>
      </c>
      <c r="Y188" t="str">
        <f t="shared" si="34"/>
        <v/>
      </c>
      <c r="Z188" t="str">
        <f t="shared" si="35"/>
        <v/>
      </c>
      <c r="AA188">
        <f t="shared" si="36"/>
        <v>0</v>
      </c>
      <c r="AB188" t="str">
        <f>IFERROR(V144+MATCH(AA188,V188:Z188,0)-1,"")</f>
        <v/>
      </c>
      <c r="AC188" t="str">
        <f t="shared" si="37"/>
        <v/>
      </c>
      <c r="AE188" t="str">
        <f>IF(ISNUMBER(MATCH("N/A",J188:N188,0)),"",IFERROR((5 * SUMPRODUCT(J144:N144,J188:N188) - PRODUCT(SUM(J144:N144),SUM(J188:N188))) / ((5 * SUM((J144^2)+(K144^2)+(L144^2)+(M144^2)+(N144^2))) - SUM(J144:N144)^2),""))</f>
        <v/>
      </c>
      <c r="AF188" t="str">
        <f>IFERROR(CORREL(J144:N144,J188:N188),"")</f>
        <v/>
      </c>
      <c r="AZ188">
        <f t="shared" si="38"/>
        <v>0</v>
      </c>
      <c r="BA188" t="str">
        <f>IF(AZ188=1,IF(Q188="","",IF(Q188=N144,"Yes","No")),"")</f>
        <v/>
      </c>
      <c r="BB188" t="str">
        <f t="shared" si="39"/>
        <v/>
      </c>
      <c r="BC188" t="str">
        <f>IF(AZ188=1,IF(S188="","",IF(S188=N144,"Yes","No")),"")</f>
        <v/>
      </c>
      <c r="BD188" t="str">
        <f t="shared" si="40"/>
        <v/>
      </c>
      <c r="BE188" t="str">
        <f t="shared" si="41"/>
        <v/>
      </c>
      <c r="BF188" t="str">
        <f t="shared" si="42"/>
        <v>No</v>
      </c>
      <c r="BG188" t="str">
        <f t="shared" si="43"/>
        <v>No</v>
      </c>
      <c r="BH188" t="str">
        <f t="shared" si="44"/>
        <v/>
      </c>
    </row>
    <row r="189" spans="9:60" x14ac:dyDescent="0.3">
      <c r="I189" t="str">
        <f t="shared" si="46"/>
        <v>N/A</v>
      </c>
      <c r="J189" t="str">
        <f t="shared" si="47"/>
        <v>N/A</v>
      </c>
      <c r="K189" t="str">
        <f t="shared" si="48"/>
        <v>N/A</v>
      </c>
      <c r="L189" t="str">
        <f t="shared" si="49"/>
        <v>N/A</v>
      </c>
      <c r="M189" t="str">
        <f t="shared" si="50"/>
        <v>N/A</v>
      </c>
      <c r="N189" t="str">
        <f t="shared" si="51"/>
        <v>N/A</v>
      </c>
      <c r="P189">
        <f t="shared" si="27"/>
        <v>0</v>
      </c>
      <c r="Q189" t="str">
        <f>IFERROR(J144+MATCH(P189,J189:N189,0)-1,"")</f>
        <v/>
      </c>
      <c r="R189" t="str">
        <f t="shared" si="28"/>
        <v/>
      </c>
      <c r="S189" t="str">
        <f>IFERROR(J144+MATCH(R189,J189:N189,0)-1,"")</f>
        <v/>
      </c>
      <c r="T189" t="str">
        <f t="shared" si="29"/>
        <v/>
      </c>
      <c r="U189" t="str">
        <f t="shared" si="30"/>
        <v/>
      </c>
      <c r="V189" t="str">
        <f t="shared" si="31"/>
        <v/>
      </c>
      <c r="W189" t="str">
        <f t="shared" si="32"/>
        <v/>
      </c>
      <c r="X189" t="str">
        <f t="shared" si="33"/>
        <v/>
      </c>
      <c r="Y189" t="str">
        <f t="shared" si="34"/>
        <v/>
      </c>
      <c r="Z189" t="str">
        <f t="shared" si="35"/>
        <v/>
      </c>
      <c r="AA189">
        <f t="shared" si="36"/>
        <v>0</v>
      </c>
      <c r="AB189" t="str">
        <f>IFERROR(V144+MATCH(AA189,V189:Z189,0)-1,"")</f>
        <v/>
      </c>
      <c r="AC189" t="str">
        <f t="shared" si="37"/>
        <v/>
      </c>
      <c r="AE189" t="str">
        <f>IF(ISNUMBER(MATCH("N/A",J189:N189,0)),"",IFERROR((5 * SUMPRODUCT(J144:N144,J189:N189) - PRODUCT(SUM(J144:N144),SUM(J189:N189))) / ((5 * SUM((J144^2)+(K144^2)+(L144^2)+(M144^2)+(N144^2))) - SUM(J144:N144)^2),""))</f>
        <v/>
      </c>
      <c r="AF189" t="str">
        <f>IFERROR(CORREL(J144:N144,J189:N189),"")</f>
        <v/>
      </c>
      <c r="AZ189">
        <f t="shared" si="38"/>
        <v>0</v>
      </c>
      <c r="BA189" t="str">
        <f>IF(AZ189=1,IF(Q189="","",IF(Q189=N144,"Yes","No")),"")</f>
        <v/>
      </c>
      <c r="BB189" t="str">
        <f t="shared" si="39"/>
        <v/>
      </c>
      <c r="BC189" t="str">
        <f>IF(AZ189=1,IF(S189="","",IF(S189=N144,"Yes","No")),"")</f>
        <v/>
      </c>
      <c r="BD189" t="str">
        <f t="shared" si="40"/>
        <v/>
      </c>
      <c r="BE189" t="str">
        <f t="shared" si="41"/>
        <v/>
      </c>
      <c r="BF189" t="str">
        <f t="shared" si="42"/>
        <v>No</v>
      </c>
      <c r="BG189" t="str">
        <f t="shared" si="43"/>
        <v>No</v>
      </c>
      <c r="BH189" t="str">
        <f t="shared" si="44"/>
        <v/>
      </c>
    </row>
    <row r="190" spans="9:60" x14ac:dyDescent="0.3">
      <c r="I190" t="str">
        <f t="shared" si="46"/>
        <v>N/A</v>
      </c>
      <c r="J190" t="str">
        <f t="shared" si="47"/>
        <v>N/A</v>
      </c>
      <c r="K190" t="str">
        <f t="shared" si="48"/>
        <v>N/A</v>
      </c>
      <c r="L190" t="str">
        <f t="shared" si="49"/>
        <v>N/A</v>
      </c>
      <c r="M190" t="str">
        <f t="shared" si="50"/>
        <v>N/A</v>
      </c>
      <c r="N190" t="str">
        <f t="shared" si="51"/>
        <v>N/A</v>
      </c>
      <c r="P190">
        <f t="shared" si="27"/>
        <v>0</v>
      </c>
      <c r="Q190" t="str">
        <f>IFERROR(J144+MATCH(P190,J190:N190,0)-1,"")</f>
        <v/>
      </c>
      <c r="R190" t="str">
        <f t="shared" si="28"/>
        <v/>
      </c>
      <c r="S190" t="str">
        <f>IFERROR(J144+MATCH(R190,J190:N190,0)-1,"")</f>
        <v/>
      </c>
      <c r="T190" t="str">
        <f t="shared" si="29"/>
        <v/>
      </c>
      <c r="U190" t="str">
        <f t="shared" si="30"/>
        <v/>
      </c>
      <c r="V190" t="str">
        <f t="shared" si="31"/>
        <v/>
      </c>
      <c r="W190" t="str">
        <f t="shared" si="32"/>
        <v/>
      </c>
      <c r="X190" t="str">
        <f t="shared" si="33"/>
        <v/>
      </c>
      <c r="Y190" t="str">
        <f t="shared" si="34"/>
        <v/>
      </c>
      <c r="Z190" t="str">
        <f t="shared" si="35"/>
        <v/>
      </c>
      <c r="AA190">
        <f t="shared" si="36"/>
        <v>0</v>
      </c>
      <c r="AB190" t="str">
        <f>IFERROR(V144+MATCH(AA190,V190:Z190,0)-1,"")</f>
        <v/>
      </c>
      <c r="AC190" t="str">
        <f t="shared" si="37"/>
        <v/>
      </c>
      <c r="AE190" t="str">
        <f>IF(ISNUMBER(MATCH("N/A",J190:N190,0)),"",IFERROR((5 * SUMPRODUCT(J144:N144,J190:N190) - PRODUCT(SUM(J144:N144),SUM(J190:N190))) / ((5 * SUM((J144^2)+(K144^2)+(L144^2)+(M144^2)+(N144^2))) - SUM(J144:N144)^2),""))</f>
        <v/>
      </c>
      <c r="AF190" t="str">
        <f>IFERROR(CORREL(J144:N144,J190:N190),"")</f>
        <v/>
      </c>
      <c r="AZ190">
        <f t="shared" si="38"/>
        <v>0</v>
      </c>
      <c r="BA190" t="str">
        <f>IF(AZ190=1,IF(Q190="","",IF(Q190=N144,"Yes","No")),"")</f>
        <v/>
      </c>
      <c r="BB190" t="str">
        <f t="shared" si="39"/>
        <v/>
      </c>
      <c r="BC190" t="str">
        <f>IF(AZ190=1,IF(S190="","",IF(S190=N144,"Yes","No")),"")</f>
        <v/>
      </c>
      <c r="BD190" t="str">
        <f t="shared" si="40"/>
        <v/>
      </c>
      <c r="BE190" t="str">
        <f t="shared" si="41"/>
        <v/>
      </c>
      <c r="BF190" t="str">
        <f t="shared" si="42"/>
        <v>No</v>
      </c>
      <c r="BG190" t="str">
        <f t="shared" si="43"/>
        <v>No</v>
      </c>
      <c r="BH190" t="str">
        <f t="shared" si="44"/>
        <v/>
      </c>
    </row>
    <row r="191" spans="9:60" x14ac:dyDescent="0.3">
      <c r="I191" t="str">
        <f t="shared" si="46"/>
        <v>N/A</v>
      </c>
      <c r="J191" t="str">
        <f t="shared" si="47"/>
        <v>N/A</v>
      </c>
      <c r="K191" t="str">
        <f t="shared" si="48"/>
        <v>N/A</v>
      </c>
      <c r="L191" t="str">
        <f t="shared" si="49"/>
        <v>N/A</v>
      </c>
      <c r="M191" t="str">
        <f t="shared" si="50"/>
        <v>N/A</v>
      </c>
      <c r="N191" t="str">
        <f t="shared" si="51"/>
        <v>N/A</v>
      </c>
      <c r="P191">
        <f t="shared" si="27"/>
        <v>0</v>
      </c>
      <c r="Q191" t="str">
        <f>IFERROR(J144+MATCH(P191,J191:N191,0)-1,"")</f>
        <v/>
      </c>
      <c r="R191" t="str">
        <f t="shared" si="28"/>
        <v/>
      </c>
      <c r="S191" t="str">
        <f>IFERROR(J144+MATCH(R191,J191:N191,0)-1,"")</f>
        <v/>
      </c>
      <c r="T191" t="str">
        <f t="shared" si="29"/>
        <v/>
      </c>
      <c r="U191" t="str">
        <f t="shared" si="30"/>
        <v/>
      </c>
      <c r="V191" t="str">
        <f t="shared" si="31"/>
        <v/>
      </c>
      <c r="W191" t="str">
        <f t="shared" si="32"/>
        <v/>
      </c>
      <c r="X191" t="str">
        <f t="shared" si="33"/>
        <v/>
      </c>
      <c r="Y191" t="str">
        <f t="shared" si="34"/>
        <v/>
      </c>
      <c r="Z191" t="str">
        <f t="shared" si="35"/>
        <v/>
      </c>
      <c r="AA191">
        <f t="shared" si="36"/>
        <v>0</v>
      </c>
      <c r="AB191" t="str">
        <f>IFERROR(V144+MATCH(AA191,V191:Z191,0)-1,"")</f>
        <v/>
      </c>
      <c r="AC191" t="str">
        <f t="shared" si="37"/>
        <v/>
      </c>
      <c r="AE191" t="str">
        <f>IF(ISNUMBER(MATCH("N/A",J191:N191,0)),"",IFERROR((5 * SUMPRODUCT(J144:N144,J191:N191) - PRODUCT(SUM(J144:N144),SUM(J191:N191))) / ((5 * SUM((J144^2)+(K144^2)+(L144^2)+(M144^2)+(N144^2))) - SUM(J144:N144)^2),""))</f>
        <v/>
      </c>
      <c r="AF191" t="str">
        <f>IFERROR(CORREL(J144:N144,J191:N191),"")</f>
        <v/>
      </c>
      <c r="AZ191">
        <f t="shared" si="38"/>
        <v>0</v>
      </c>
      <c r="BA191" t="str">
        <f>IF(AZ191=1,IF(Q191="","",IF(Q191=N144,"Yes","No")),"")</f>
        <v/>
      </c>
      <c r="BB191" t="str">
        <f t="shared" si="39"/>
        <v/>
      </c>
      <c r="BC191" t="str">
        <f>IF(AZ191=1,IF(S191="","",IF(S191=N144,"Yes","No")),"")</f>
        <v/>
      </c>
      <c r="BD191" t="str">
        <f t="shared" si="40"/>
        <v/>
      </c>
      <c r="BE191" t="str">
        <f t="shared" si="41"/>
        <v/>
      </c>
      <c r="BF191" t="str">
        <f t="shared" si="42"/>
        <v>No</v>
      </c>
      <c r="BG191" t="str">
        <f t="shared" si="43"/>
        <v>No</v>
      </c>
      <c r="BH191" t="str">
        <f t="shared" si="44"/>
        <v/>
      </c>
    </row>
    <row r="192" spans="9:60" x14ac:dyDescent="0.3">
      <c r="I192" t="str">
        <f t="shared" si="46"/>
        <v>N/A</v>
      </c>
      <c r="J192" t="str">
        <f t="shared" si="47"/>
        <v>N/A</v>
      </c>
      <c r="K192" t="str">
        <f t="shared" si="48"/>
        <v>N/A</v>
      </c>
      <c r="L192" t="str">
        <f t="shared" si="49"/>
        <v>N/A</v>
      </c>
      <c r="M192" t="str">
        <f t="shared" si="50"/>
        <v>N/A</v>
      </c>
      <c r="N192" t="str">
        <f t="shared" si="51"/>
        <v>N/A</v>
      </c>
      <c r="P192">
        <f t="shared" si="27"/>
        <v>0</v>
      </c>
      <c r="Q192" t="str">
        <f>IFERROR(J144+MATCH(P192,J192:N192,0)-1,"")</f>
        <v/>
      </c>
      <c r="R192" t="str">
        <f t="shared" si="28"/>
        <v/>
      </c>
      <c r="S192" t="str">
        <f>IFERROR(J144+MATCH(R192,J192:N192,0)-1,"")</f>
        <v/>
      </c>
      <c r="T192" t="str">
        <f t="shared" si="29"/>
        <v/>
      </c>
      <c r="U192" t="str">
        <f t="shared" si="30"/>
        <v/>
      </c>
      <c r="V192" t="str">
        <f t="shared" si="31"/>
        <v/>
      </c>
      <c r="W192" t="str">
        <f t="shared" si="32"/>
        <v/>
      </c>
      <c r="X192" t="str">
        <f t="shared" si="33"/>
        <v/>
      </c>
      <c r="Y192" t="str">
        <f t="shared" si="34"/>
        <v/>
      </c>
      <c r="Z192" t="str">
        <f t="shared" si="35"/>
        <v/>
      </c>
      <c r="AA192">
        <f t="shared" si="36"/>
        <v>0</v>
      </c>
      <c r="AB192" t="str">
        <f>IFERROR(V144+MATCH(AA192,V192:Z192,0)-1,"")</f>
        <v/>
      </c>
      <c r="AC192" t="str">
        <f t="shared" si="37"/>
        <v/>
      </c>
      <c r="AE192" t="str">
        <f>IF(ISNUMBER(MATCH("N/A",J192:N192,0)),"",IFERROR((5 * SUMPRODUCT(J144:N144,J192:N192) - PRODUCT(SUM(J144:N144),SUM(J192:N192))) / ((5 * SUM((J144^2)+(K144^2)+(L144^2)+(M144^2)+(N144^2))) - SUM(J144:N144)^2),""))</f>
        <v/>
      </c>
      <c r="AF192" t="str">
        <f>IFERROR(CORREL(J144:N144,J192:N192),"")</f>
        <v/>
      </c>
      <c r="AZ192">
        <f t="shared" si="38"/>
        <v>0</v>
      </c>
      <c r="BA192" t="str">
        <f>IF(AZ192=1,IF(Q192="","",IF(Q192=N144,"Yes","No")),"")</f>
        <v/>
      </c>
      <c r="BB192" t="str">
        <f t="shared" si="39"/>
        <v/>
      </c>
      <c r="BC192" t="str">
        <f>IF(AZ192=1,IF(S192="","",IF(S192=N144,"Yes","No")),"")</f>
        <v/>
      </c>
      <c r="BD192" t="str">
        <f t="shared" si="40"/>
        <v/>
      </c>
      <c r="BE192" t="str">
        <f t="shared" si="41"/>
        <v/>
      </c>
      <c r="BF192" t="str">
        <f t="shared" si="42"/>
        <v>No</v>
      </c>
      <c r="BG192" t="str">
        <f t="shared" si="43"/>
        <v>No</v>
      </c>
      <c r="BH192" t="str">
        <f t="shared" si="44"/>
        <v/>
      </c>
    </row>
    <row r="193" spans="9:60" x14ac:dyDescent="0.3">
      <c r="I193" t="str">
        <f t="shared" si="46"/>
        <v>N/A</v>
      </c>
      <c r="J193" t="str">
        <f t="shared" si="47"/>
        <v>N/A</v>
      </c>
      <c r="K193" t="str">
        <f t="shared" si="48"/>
        <v>N/A</v>
      </c>
      <c r="L193" t="str">
        <f t="shared" si="49"/>
        <v>N/A</v>
      </c>
      <c r="M193" t="str">
        <f t="shared" si="50"/>
        <v>N/A</v>
      </c>
      <c r="N193" t="str">
        <f t="shared" si="51"/>
        <v>N/A</v>
      </c>
      <c r="P193">
        <f t="shared" si="27"/>
        <v>0</v>
      </c>
      <c r="Q193" t="str">
        <f>IFERROR(J144+MATCH(P193,J193:N193,0)-1,"")</f>
        <v/>
      </c>
      <c r="R193" t="str">
        <f t="shared" si="28"/>
        <v/>
      </c>
      <c r="S193" t="str">
        <f>IFERROR(J144+MATCH(R193,J193:N193,0)-1,"")</f>
        <v/>
      </c>
      <c r="T193" t="str">
        <f t="shared" si="29"/>
        <v/>
      </c>
      <c r="U193" t="str">
        <f t="shared" si="30"/>
        <v/>
      </c>
      <c r="V193" t="str">
        <f t="shared" si="31"/>
        <v/>
      </c>
      <c r="W193" t="str">
        <f t="shared" si="32"/>
        <v/>
      </c>
      <c r="X193" t="str">
        <f t="shared" si="33"/>
        <v/>
      </c>
      <c r="Y193" t="str">
        <f t="shared" si="34"/>
        <v/>
      </c>
      <c r="Z193" t="str">
        <f t="shared" si="35"/>
        <v/>
      </c>
      <c r="AA193">
        <f t="shared" si="36"/>
        <v>0</v>
      </c>
      <c r="AB193" t="str">
        <f>IFERROR(V144+MATCH(AA193,V193:Z193,0)-1,"")</f>
        <v/>
      </c>
      <c r="AC193" t="str">
        <f t="shared" si="37"/>
        <v/>
      </c>
      <c r="AE193" t="str">
        <f>IF(ISNUMBER(MATCH("N/A",J193:N193,0)),"",IFERROR((5 * SUMPRODUCT(J144:N144,J193:N193) - PRODUCT(SUM(J144:N144),SUM(J193:N193))) / ((5 * SUM((J144^2)+(K144^2)+(L144^2)+(M144^2)+(N144^2))) - SUM(J144:N144)^2),""))</f>
        <v/>
      </c>
      <c r="AF193" t="str">
        <f>IFERROR(CORREL(J144:N144,J193:N193),"")</f>
        <v/>
      </c>
      <c r="AZ193">
        <f t="shared" si="38"/>
        <v>0</v>
      </c>
      <c r="BA193" t="str">
        <f>IF(AZ193=1,IF(Q193="","",IF(Q193=N144,"Yes","No")),"")</f>
        <v/>
      </c>
      <c r="BB193" t="str">
        <f t="shared" si="39"/>
        <v/>
      </c>
      <c r="BC193" t="str">
        <f>IF(AZ193=1,IF(S193="","",IF(S193=N144,"Yes","No")),"")</f>
        <v/>
      </c>
      <c r="BD193" t="str">
        <f t="shared" si="40"/>
        <v/>
      </c>
      <c r="BE193" t="str">
        <f t="shared" si="41"/>
        <v/>
      </c>
      <c r="BF193" t="str">
        <f t="shared" si="42"/>
        <v>No</v>
      </c>
      <c r="BG193" t="str">
        <f t="shared" si="43"/>
        <v>No</v>
      </c>
      <c r="BH193" t="str">
        <f t="shared" si="44"/>
        <v/>
      </c>
    </row>
    <row r="194" spans="9:60" x14ac:dyDescent="0.3">
      <c r="I194" t="str">
        <f t="shared" si="46"/>
        <v>N/A</v>
      </c>
      <c r="J194" t="str">
        <f t="shared" si="47"/>
        <v>N/A</v>
      </c>
      <c r="K194" t="str">
        <f t="shared" si="48"/>
        <v>N/A</v>
      </c>
      <c r="L194" t="str">
        <f t="shared" si="49"/>
        <v>N/A</v>
      </c>
      <c r="M194" t="str">
        <f t="shared" si="50"/>
        <v>N/A</v>
      </c>
      <c r="N194" t="str">
        <f t="shared" si="51"/>
        <v>N/A</v>
      </c>
      <c r="P194">
        <f t="shared" si="27"/>
        <v>0</v>
      </c>
      <c r="Q194" t="str">
        <f>IFERROR(J144+MATCH(P194,J194:N194,0)-1,"")</f>
        <v/>
      </c>
      <c r="R194" t="str">
        <f t="shared" si="28"/>
        <v/>
      </c>
      <c r="S194" t="str">
        <f>IFERROR(J144+MATCH(R194,J194:N194,0)-1,"")</f>
        <v/>
      </c>
      <c r="T194" t="str">
        <f t="shared" si="29"/>
        <v/>
      </c>
      <c r="U194" t="str">
        <f t="shared" si="30"/>
        <v/>
      </c>
      <c r="V194" t="str">
        <f t="shared" si="31"/>
        <v/>
      </c>
      <c r="W194" t="str">
        <f t="shared" si="32"/>
        <v/>
      </c>
      <c r="X194" t="str">
        <f t="shared" si="33"/>
        <v/>
      </c>
      <c r="Y194" t="str">
        <f t="shared" si="34"/>
        <v/>
      </c>
      <c r="Z194" t="str">
        <f t="shared" si="35"/>
        <v/>
      </c>
      <c r="AA194">
        <f t="shared" si="36"/>
        <v>0</v>
      </c>
      <c r="AB194" t="str">
        <f>IFERROR(V144+MATCH(AA194,V194:Z194,0)-1,"")</f>
        <v/>
      </c>
      <c r="AC194" t="str">
        <f t="shared" si="37"/>
        <v/>
      </c>
      <c r="AE194" t="str">
        <f>IF(ISNUMBER(MATCH("N/A",J194:N194,0)),"",IFERROR((5 * SUMPRODUCT(J144:N144,J194:N194) - PRODUCT(SUM(J144:N144),SUM(J194:N194))) / ((5 * SUM((J144^2)+(K144^2)+(L144^2)+(M144^2)+(N144^2))) - SUM(J144:N144)^2),""))</f>
        <v/>
      </c>
      <c r="AF194" t="str">
        <f>IFERROR(CORREL(J144:N144,J194:N194),"")</f>
        <v/>
      </c>
      <c r="AZ194">
        <f t="shared" si="38"/>
        <v>0</v>
      </c>
      <c r="BA194" t="str">
        <f>IF(AZ194=1,IF(Q194="","",IF(Q194=N144,"Yes","No")),"")</f>
        <v/>
      </c>
      <c r="BB194" t="str">
        <f t="shared" si="39"/>
        <v/>
      </c>
      <c r="BC194" t="str">
        <f>IF(AZ194=1,IF(S194="","",IF(S194=N144,"Yes","No")),"")</f>
        <v/>
      </c>
      <c r="BD194" t="str">
        <f t="shared" si="40"/>
        <v/>
      </c>
      <c r="BE194" t="str">
        <f t="shared" si="41"/>
        <v/>
      </c>
      <c r="BF194" t="str">
        <f t="shared" si="42"/>
        <v>No</v>
      </c>
      <c r="BG194" t="str">
        <f t="shared" si="43"/>
        <v>No</v>
      </c>
      <c r="BH194" t="str">
        <f t="shared" si="44"/>
        <v/>
      </c>
    </row>
    <row r="195" spans="9:60" x14ac:dyDescent="0.3">
      <c r="I195" t="str">
        <f t="shared" si="46"/>
        <v>N/A</v>
      </c>
      <c r="J195" t="str">
        <f t="shared" si="47"/>
        <v>N/A</v>
      </c>
      <c r="K195" t="str">
        <f t="shared" si="48"/>
        <v>N/A</v>
      </c>
      <c r="L195" t="str">
        <f t="shared" si="49"/>
        <v>N/A</v>
      </c>
      <c r="M195" t="str">
        <f t="shared" si="50"/>
        <v>N/A</v>
      </c>
      <c r="N195" t="str">
        <f t="shared" si="51"/>
        <v>N/A</v>
      </c>
      <c r="P195">
        <f t="shared" si="27"/>
        <v>0</v>
      </c>
      <c r="Q195" t="str">
        <f>IFERROR(J144+MATCH(P195,J195:N195,0)-1,"")</f>
        <v/>
      </c>
      <c r="R195" t="str">
        <f t="shared" si="28"/>
        <v/>
      </c>
      <c r="S195" t="str">
        <f>IFERROR(J144+MATCH(R195,J195:N195,0)-1,"")</f>
        <v/>
      </c>
      <c r="T195" t="str">
        <f t="shared" si="29"/>
        <v/>
      </c>
      <c r="U195" t="str">
        <f t="shared" si="30"/>
        <v/>
      </c>
      <c r="V195" t="str">
        <f t="shared" si="31"/>
        <v/>
      </c>
      <c r="W195" t="str">
        <f t="shared" si="32"/>
        <v/>
      </c>
      <c r="X195" t="str">
        <f t="shared" si="33"/>
        <v/>
      </c>
      <c r="Y195" t="str">
        <f t="shared" si="34"/>
        <v/>
      </c>
      <c r="Z195" t="str">
        <f t="shared" si="35"/>
        <v/>
      </c>
      <c r="AA195">
        <f t="shared" si="36"/>
        <v>0</v>
      </c>
      <c r="AB195" t="str">
        <f>IFERROR(V144+MATCH(AA195,V195:Z195,0)-1,"")</f>
        <v/>
      </c>
      <c r="AC195" t="str">
        <f t="shared" si="37"/>
        <v/>
      </c>
      <c r="AE195" t="str">
        <f>IF(ISNUMBER(MATCH("N/A",J195:N195,0)),"",IFERROR((5 * SUMPRODUCT(J144:N144,J195:N195) - PRODUCT(SUM(J144:N144),SUM(J195:N195))) / ((5 * SUM((J144^2)+(K144^2)+(L144^2)+(M144^2)+(N144^2))) - SUM(J144:N144)^2),""))</f>
        <v/>
      </c>
      <c r="AF195" t="str">
        <f>IFERROR(CORREL(J144:N144,J195:N195),"")</f>
        <v/>
      </c>
      <c r="AZ195">
        <f t="shared" si="38"/>
        <v>0</v>
      </c>
      <c r="BA195" t="str">
        <f>IF(AZ195=1,IF(Q195="","",IF(Q195=N144,"Yes","No")),"")</f>
        <v/>
      </c>
      <c r="BB195" t="str">
        <f t="shared" si="39"/>
        <v/>
      </c>
      <c r="BC195" t="str">
        <f>IF(AZ195=1,IF(S195="","",IF(S195=N144,"Yes","No")),"")</f>
        <v/>
      </c>
      <c r="BD195" t="str">
        <f t="shared" si="40"/>
        <v/>
      </c>
      <c r="BE195" t="str">
        <f t="shared" si="41"/>
        <v/>
      </c>
      <c r="BF195" t="str">
        <f t="shared" si="42"/>
        <v>No</v>
      </c>
      <c r="BG195" t="str">
        <f t="shared" si="43"/>
        <v>No</v>
      </c>
      <c r="BH195" t="str">
        <f t="shared" si="44"/>
        <v/>
      </c>
    </row>
    <row r="196" spans="9:60" x14ac:dyDescent="0.3">
      <c r="I196" t="str">
        <f t="shared" si="46"/>
        <v>N/A</v>
      </c>
      <c r="J196" t="str">
        <f t="shared" si="47"/>
        <v>N/A</v>
      </c>
      <c r="K196" t="str">
        <f t="shared" si="48"/>
        <v>N/A</v>
      </c>
      <c r="L196" t="str">
        <f t="shared" si="49"/>
        <v>N/A</v>
      </c>
      <c r="M196" t="str">
        <f t="shared" si="50"/>
        <v>N/A</v>
      </c>
      <c r="N196" t="str">
        <f t="shared" si="51"/>
        <v>N/A</v>
      </c>
      <c r="P196">
        <f t="shared" si="27"/>
        <v>0</v>
      </c>
      <c r="Q196" t="str">
        <f>IFERROR(J144+MATCH(P196,J196:N196,0)-1,"")</f>
        <v/>
      </c>
      <c r="R196" t="str">
        <f t="shared" si="28"/>
        <v/>
      </c>
      <c r="S196" t="str">
        <f>IFERROR(J144+MATCH(R196,J196:N196,0)-1,"")</f>
        <v/>
      </c>
      <c r="T196" t="str">
        <f t="shared" si="29"/>
        <v/>
      </c>
      <c r="U196" t="str">
        <f t="shared" si="30"/>
        <v/>
      </c>
      <c r="V196" t="str">
        <f t="shared" si="31"/>
        <v/>
      </c>
      <c r="W196" t="str">
        <f t="shared" si="32"/>
        <v/>
      </c>
      <c r="X196" t="str">
        <f t="shared" si="33"/>
        <v/>
      </c>
      <c r="Y196" t="str">
        <f t="shared" si="34"/>
        <v/>
      </c>
      <c r="Z196" t="str">
        <f t="shared" si="35"/>
        <v/>
      </c>
      <c r="AA196">
        <f t="shared" si="36"/>
        <v>0</v>
      </c>
      <c r="AB196" t="str">
        <f>IFERROR(V144+MATCH(AA196,V196:Z196,0)-1,"")</f>
        <v/>
      </c>
      <c r="AC196" t="str">
        <f t="shared" si="37"/>
        <v/>
      </c>
      <c r="AE196" t="str">
        <f>IF(ISNUMBER(MATCH("N/A",J196:N196,0)),"",IFERROR((5 * SUMPRODUCT(J144:N144,J196:N196) - PRODUCT(SUM(J144:N144),SUM(J196:N196))) / ((5 * SUM((J144^2)+(K144^2)+(L144^2)+(M144^2)+(N144^2))) - SUM(J144:N144)^2),""))</f>
        <v/>
      </c>
      <c r="AF196" t="str">
        <f>IFERROR(CORREL(J144:N144,J196:N196),"")</f>
        <v/>
      </c>
      <c r="AZ196">
        <f t="shared" si="38"/>
        <v>0</v>
      </c>
      <c r="BA196" t="str">
        <f>IF(AZ196=1,IF(Q196="","",IF(Q196=N144,"Yes","No")),"")</f>
        <v/>
      </c>
      <c r="BB196" t="str">
        <f t="shared" si="39"/>
        <v/>
      </c>
      <c r="BC196" t="str">
        <f>IF(AZ196=1,IF(S196="","",IF(S196=N144,"Yes","No")),"")</f>
        <v/>
      </c>
      <c r="BD196" t="str">
        <f t="shared" si="40"/>
        <v/>
      </c>
      <c r="BE196" t="str">
        <f t="shared" si="41"/>
        <v/>
      </c>
      <c r="BF196" t="str">
        <f t="shared" si="42"/>
        <v>No</v>
      </c>
      <c r="BG196" t="str">
        <f t="shared" si="43"/>
        <v>No</v>
      </c>
      <c r="BH196" t="str">
        <f t="shared" si="44"/>
        <v/>
      </c>
    </row>
    <row r="197" spans="9:60" x14ac:dyDescent="0.3">
      <c r="I197" t="str">
        <f t="shared" si="46"/>
        <v>N/A</v>
      </c>
      <c r="J197" t="str">
        <f t="shared" si="47"/>
        <v>N/A</v>
      </c>
      <c r="K197" t="str">
        <f t="shared" si="48"/>
        <v>N/A</v>
      </c>
      <c r="L197" t="str">
        <f t="shared" si="49"/>
        <v>N/A</v>
      </c>
      <c r="M197" t="str">
        <f t="shared" si="50"/>
        <v>N/A</v>
      </c>
      <c r="N197" t="str">
        <f t="shared" si="51"/>
        <v>N/A</v>
      </c>
      <c r="P197">
        <f t="shared" si="27"/>
        <v>0</v>
      </c>
      <c r="Q197" t="str">
        <f>IFERROR(J144+MATCH(P197,J197:N197,0)-1,"")</f>
        <v/>
      </c>
      <c r="R197" t="str">
        <f t="shared" si="28"/>
        <v/>
      </c>
      <c r="S197" t="str">
        <f>IFERROR(J144+MATCH(R197,J197:N197,0)-1,"")</f>
        <v/>
      </c>
      <c r="T197" t="str">
        <f t="shared" si="29"/>
        <v/>
      </c>
      <c r="U197" t="str">
        <f t="shared" si="30"/>
        <v/>
      </c>
      <c r="V197" t="str">
        <f t="shared" si="31"/>
        <v/>
      </c>
      <c r="W197" t="str">
        <f t="shared" si="32"/>
        <v/>
      </c>
      <c r="X197" t="str">
        <f t="shared" si="33"/>
        <v/>
      </c>
      <c r="Y197" t="str">
        <f t="shared" si="34"/>
        <v/>
      </c>
      <c r="Z197" t="str">
        <f t="shared" si="35"/>
        <v/>
      </c>
      <c r="AA197">
        <f t="shared" si="36"/>
        <v>0</v>
      </c>
      <c r="AB197" t="str">
        <f>IFERROR(V144+MATCH(AA197,V197:Z197,0)-1,"")</f>
        <v/>
      </c>
      <c r="AC197" t="str">
        <f t="shared" si="37"/>
        <v/>
      </c>
      <c r="AE197" t="str">
        <f>IF(ISNUMBER(MATCH("N/A",J197:N197,0)),"",IFERROR((5 * SUMPRODUCT(J144:N144,J197:N197) - PRODUCT(SUM(J144:N144),SUM(J197:N197))) / ((5 * SUM((J144^2)+(K144^2)+(L144^2)+(M144^2)+(N144^2))) - SUM(J144:N144)^2),""))</f>
        <v/>
      </c>
      <c r="AF197" t="str">
        <f>IFERROR(CORREL(J144:N144,J197:N197),"")</f>
        <v/>
      </c>
      <c r="AZ197">
        <f t="shared" si="38"/>
        <v>0</v>
      </c>
      <c r="BA197" t="str">
        <f>IF(AZ197=1,IF(Q197="","",IF(Q197=N144,"Yes","No")),"")</f>
        <v/>
      </c>
      <c r="BB197" t="str">
        <f t="shared" si="39"/>
        <v/>
      </c>
      <c r="BC197" t="str">
        <f>IF(AZ197=1,IF(S197="","",IF(S197=N144,"Yes","No")),"")</f>
        <v/>
      </c>
      <c r="BD197" t="str">
        <f t="shared" si="40"/>
        <v/>
      </c>
      <c r="BE197" t="str">
        <f t="shared" si="41"/>
        <v/>
      </c>
      <c r="BF197" t="str">
        <f t="shared" si="42"/>
        <v>No</v>
      </c>
      <c r="BG197" t="str">
        <f t="shared" si="43"/>
        <v>No</v>
      </c>
      <c r="BH197" t="str">
        <f t="shared" si="44"/>
        <v/>
      </c>
    </row>
    <row r="198" spans="9:60" x14ac:dyDescent="0.3">
      <c r="I198" t="str">
        <f t="shared" si="46"/>
        <v>N/A</v>
      </c>
      <c r="J198" t="str">
        <f t="shared" si="47"/>
        <v>N/A</v>
      </c>
      <c r="K198" t="str">
        <f t="shared" si="48"/>
        <v>N/A</v>
      </c>
      <c r="L198" t="str">
        <f t="shared" si="49"/>
        <v>N/A</v>
      </c>
      <c r="M198" t="str">
        <f t="shared" si="50"/>
        <v>N/A</v>
      </c>
      <c r="N198" t="str">
        <f t="shared" si="51"/>
        <v>N/A</v>
      </c>
      <c r="P198">
        <f t="shared" si="27"/>
        <v>0</v>
      </c>
      <c r="Q198" t="str">
        <f>IFERROR(J144+MATCH(P198,J198:N198,0)-1,"")</f>
        <v/>
      </c>
      <c r="R198" t="str">
        <f t="shared" si="28"/>
        <v/>
      </c>
      <c r="S198" t="str">
        <f>IFERROR(J144+MATCH(R198,J198:N198,0)-1,"")</f>
        <v/>
      </c>
      <c r="T198" t="str">
        <f t="shared" si="29"/>
        <v/>
      </c>
      <c r="U198" t="str">
        <f t="shared" si="30"/>
        <v/>
      </c>
      <c r="V198" t="str">
        <f t="shared" si="31"/>
        <v/>
      </c>
      <c r="W198" t="str">
        <f t="shared" si="32"/>
        <v/>
      </c>
      <c r="X198" t="str">
        <f t="shared" si="33"/>
        <v/>
      </c>
      <c r="Y198" t="str">
        <f t="shared" si="34"/>
        <v/>
      </c>
      <c r="Z198" t="str">
        <f t="shared" si="35"/>
        <v/>
      </c>
      <c r="AA198">
        <f t="shared" si="36"/>
        <v>0</v>
      </c>
      <c r="AB198" t="str">
        <f>IFERROR(V144+MATCH(AA198,V198:Z198,0)-1,"")</f>
        <v/>
      </c>
      <c r="AC198" t="str">
        <f t="shared" si="37"/>
        <v/>
      </c>
      <c r="AE198" t="str">
        <f>IF(ISNUMBER(MATCH("N/A",J198:N198,0)),"",IFERROR((5 * SUMPRODUCT(J144:N144,J198:N198) - PRODUCT(SUM(J144:N144),SUM(J198:N198))) / ((5 * SUM((J144^2)+(K144^2)+(L144^2)+(M144^2)+(N144^2))) - SUM(J144:N144)^2),""))</f>
        <v/>
      </c>
      <c r="AF198" t="str">
        <f>IFERROR(CORREL(J144:N144,J198:N198),"")</f>
        <v/>
      </c>
      <c r="AZ198">
        <f t="shared" si="38"/>
        <v>0</v>
      </c>
      <c r="BA198" t="str">
        <f>IF(AZ198=1,IF(Q198="","",IF(Q198=N144,"Yes","No")),"")</f>
        <v/>
      </c>
      <c r="BB198" t="str">
        <f t="shared" si="39"/>
        <v/>
      </c>
      <c r="BC198" t="str">
        <f>IF(AZ198=1,IF(S198="","",IF(S198=N144,"Yes","No")),"")</f>
        <v/>
      </c>
      <c r="BD198" t="str">
        <f t="shared" si="40"/>
        <v/>
      </c>
      <c r="BE198" t="str">
        <f t="shared" si="41"/>
        <v/>
      </c>
      <c r="BF198" t="str">
        <f t="shared" si="42"/>
        <v>No</v>
      </c>
      <c r="BG198" t="str">
        <f t="shared" si="43"/>
        <v>No</v>
      </c>
      <c r="BH198" t="str">
        <f t="shared" si="44"/>
        <v/>
      </c>
    </row>
    <row r="199" spans="9:60" x14ac:dyDescent="0.3">
      <c r="I199" t="str">
        <f t="shared" si="46"/>
        <v>N/A</v>
      </c>
      <c r="J199" t="str">
        <f t="shared" si="47"/>
        <v>N/A</v>
      </c>
      <c r="K199" t="str">
        <f t="shared" si="48"/>
        <v>N/A</v>
      </c>
      <c r="L199" t="str">
        <f t="shared" si="49"/>
        <v>N/A</v>
      </c>
      <c r="M199" t="str">
        <f t="shared" si="50"/>
        <v>N/A</v>
      </c>
      <c r="N199" t="str">
        <f t="shared" si="51"/>
        <v>N/A</v>
      </c>
      <c r="P199">
        <f t="shared" si="27"/>
        <v>0</v>
      </c>
      <c r="Q199" t="str">
        <f>IFERROR(J144+MATCH(P199,J199:N199,0)-1,"")</f>
        <v/>
      </c>
      <c r="R199" t="str">
        <f t="shared" si="28"/>
        <v/>
      </c>
      <c r="S199" t="str">
        <f>IFERROR(J144+MATCH(R199,J199:N199,0)-1,"")</f>
        <v/>
      </c>
      <c r="T199" t="str">
        <f t="shared" si="29"/>
        <v/>
      </c>
      <c r="U199" t="str">
        <f t="shared" si="30"/>
        <v/>
      </c>
      <c r="V199" t="str">
        <f t="shared" si="31"/>
        <v/>
      </c>
      <c r="W199" t="str">
        <f t="shared" si="32"/>
        <v/>
      </c>
      <c r="X199" t="str">
        <f t="shared" si="33"/>
        <v/>
      </c>
      <c r="Y199" t="str">
        <f t="shared" si="34"/>
        <v/>
      </c>
      <c r="Z199" t="str">
        <f t="shared" si="35"/>
        <v/>
      </c>
      <c r="AA199">
        <f t="shared" si="36"/>
        <v>0</v>
      </c>
      <c r="AB199" t="str">
        <f>IFERROR(V144+MATCH(AA199,V199:Z199,0)-1,"")</f>
        <v/>
      </c>
      <c r="AC199" t="str">
        <f t="shared" si="37"/>
        <v/>
      </c>
      <c r="AE199" t="str">
        <f>IF(ISNUMBER(MATCH("N/A",J199:N199,0)),"",IFERROR((5 * SUMPRODUCT(J144:N144,J199:N199) - PRODUCT(SUM(J144:N144),SUM(J199:N199))) / ((5 * SUM((J144^2)+(K144^2)+(L144^2)+(M144^2)+(N144^2))) - SUM(J144:N144)^2),""))</f>
        <v/>
      </c>
      <c r="AF199" t="str">
        <f>IFERROR(CORREL(J144:N144,J199:N199),"")</f>
        <v/>
      </c>
      <c r="AZ199">
        <f t="shared" si="38"/>
        <v>0</v>
      </c>
      <c r="BA199" t="str">
        <f>IF(AZ199=1,IF(Q199="","",IF(Q199=N144,"Yes","No")),"")</f>
        <v/>
      </c>
      <c r="BB199" t="str">
        <f t="shared" si="39"/>
        <v/>
      </c>
      <c r="BC199" t="str">
        <f>IF(AZ199=1,IF(S199="","",IF(S199=N144,"Yes","No")),"")</f>
        <v/>
      </c>
      <c r="BD199" t="str">
        <f t="shared" si="40"/>
        <v/>
      </c>
      <c r="BE199" t="str">
        <f t="shared" si="41"/>
        <v/>
      </c>
      <c r="BF199" t="str">
        <f t="shared" si="42"/>
        <v>No</v>
      </c>
      <c r="BG199" t="str">
        <f t="shared" si="43"/>
        <v>No</v>
      </c>
      <c r="BH199" t="str">
        <f t="shared" si="44"/>
        <v/>
      </c>
    </row>
    <row r="200" spans="9:60" x14ac:dyDescent="0.3">
      <c r="I200" t="str">
        <f t="shared" si="46"/>
        <v>N/A</v>
      </c>
      <c r="J200" t="str">
        <f t="shared" si="47"/>
        <v>N/A</v>
      </c>
      <c r="K200" t="str">
        <f t="shared" si="48"/>
        <v>N/A</v>
      </c>
      <c r="L200" t="str">
        <f t="shared" si="49"/>
        <v>N/A</v>
      </c>
      <c r="M200" t="str">
        <f t="shared" si="50"/>
        <v>N/A</v>
      </c>
      <c r="N200" t="str">
        <f t="shared" si="51"/>
        <v>N/A</v>
      </c>
      <c r="P200">
        <f t="shared" si="27"/>
        <v>0</v>
      </c>
      <c r="Q200" t="str">
        <f>IFERROR(J144+MATCH(P200,J200:N200,0)-1,"")</f>
        <v/>
      </c>
      <c r="R200" t="str">
        <f t="shared" si="28"/>
        <v/>
      </c>
      <c r="S200" t="str">
        <f>IFERROR(J144+MATCH(R200,J200:N200,0)-1,"")</f>
        <v/>
      </c>
      <c r="T200" t="str">
        <f t="shared" si="29"/>
        <v/>
      </c>
      <c r="U200" t="str">
        <f t="shared" si="30"/>
        <v/>
      </c>
      <c r="V200" t="str">
        <f t="shared" si="31"/>
        <v/>
      </c>
      <c r="W200" t="str">
        <f t="shared" si="32"/>
        <v/>
      </c>
      <c r="X200" t="str">
        <f t="shared" si="33"/>
        <v/>
      </c>
      <c r="Y200" t="str">
        <f t="shared" si="34"/>
        <v/>
      </c>
      <c r="Z200" t="str">
        <f t="shared" si="35"/>
        <v/>
      </c>
      <c r="AA200">
        <f t="shared" si="36"/>
        <v>0</v>
      </c>
      <c r="AB200" t="str">
        <f>IFERROR(V144+MATCH(AA200,V200:Z200,0)-1,"")</f>
        <v/>
      </c>
      <c r="AC200" t="str">
        <f t="shared" si="37"/>
        <v/>
      </c>
      <c r="AE200" t="str">
        <f>IF(ISNUMBER(MATCH("N/A",J200:N200,0)),"",IFERROR((5 * SUMPRODUCT(J144:N144,J200:N200) - PRODUCT(SUM(J144:N144),SUM(J200:N200))) / ((5 * SUM((J144^2)+(K144^2)+(L144^2)+(M144^2)+(N144^2))) - SUM(J144:N144)^2),""))</f>
        <v/>
      </c>
      <c r="AF200" t="str">
        <f>IFERROR(CORREL(J144:N144,J200:N200),"")</f>
        <v/>
      </c>
      <c r="AZ200">
        <f t="shared" si="38"/>
        <v>0</v>
      </c>
      <c r="BA200" t="str">
        <f>IF(AZ200=1,IF(Q200="","",IF(Q200=N144,"Yes","No")),"")</f>
        <v/>
      </c>
      <c r="BB200" t="str">
        <f t="shared" si="39"/>
        <v/>
      </c>
      <c r="BC200" t="str">
        <f>IF(AZ200=1,IF(S200="","",IF(S200=N144,"Yes","No")),"")</f>
        <v/>
      </c>
      <c r="BD200" t="str">
        <f t="shared" si="40"/>
        <v/>
      </c>
      <c r="BE200" t="str">
        <f t="shared" si="41"/>
        <v/>
      </c>
      <c r="BF200" t="str">
        <f t="shared" si="42"/>
        <v>No</v>
      </c>
      <c r="BG200" t="str">
        <f t="shared" si="43"/>
        <v>No</v>
      </c>
      <c r="BH200" t="str">
        <f t="shared" si="44"/>
        <v/>
      </c>
    </row>
    <row r="201" spans="9:60" x14ac:dyDescent="0.3">
      <c r="I201" t="str">
        <f t="shared" si="46"/>
        <v>N/A</v>
      </c>
      <c r="J201" t="str">
        <f t="shared" si="47"/>
        <v>N/A</v>
      </c>
      <c r="K201" t="str">
        <f t="shared" si="48"/>
        <v>N/A</v>
      </c>
      <c r="L201" t="str">
        <f t="shared" si="49"/>
        <v>N/A</v>
      </c>
      <c r="M201" t="str">
        <f t="shared" si="50"/>
        <v>N/A</v>
      </c>
      <c r="N201" t="str">
        <f t="shared" si="51"/>
        <v>N/A</v>
      </c>
      <c r="P201">
        <f t="shared" si="27"/>
        <v>0</v>
      </c>
      <c r="Q201" t="str">
        <f>IFERROR(J144+MATCH(P201,J201:N201,0)-1,"")</f>
        <v/>
      </c>
      <c r="R201" t="str">
        <f t="shared" si="28"/>
        <v/>
      </c>
      <c r="S201" t="str">
        <f>IFERROR(J144+MATCH(R201,J201:N201,0)-1,"")</f>
        <v/>
      </c>
      <c r="T201" t="str">
        <f t="shared" si="29"/>
        <v/>
      </c>
      <c r="U201" t="str">
        <f t="shared" si="30"/>
        <v/>
      </c>
      <c r="V201" t="str">
        <f t="shared" si="31"/>
        <v/>
      </c>
      <c r="W201" t="str">
        <f t="shared" si="32"/>
        <v/>
      </c>
      <c r="X201" t="str">
        <f t="shared" si="33"/>
        <v/>
      </c>
      <c r="Y201" t="str">
        <f t="shared" si="34"/>
        <v/>
      </c>
      <c r="Z201" t="str">
        <f t="shared" si="35"/>
        <v/>
      </c>
      <c r="AA201">
        <f t="shared" si="36"/>
        <v>0</v>
      </c>
      <c r="AB201" t="str">
        <f>IFERROR(V144+MATCH(AA201,V201:Z201,0)-1,"")</f>
        <v/>
      </c>
      <c r="AC201" t="str">
        <f t="shared" si="37"/>
        <v/>
      </c>
      <c r="AE201" t="str">
        <f>IF(ISNUMBER(MATCH("N/A",J201:N201,0)),"",IFERROR((5 * SUMPRODUCT(J144:N144,J201:N201) - PRODUCT(SUM(J144:N144),SUM(J201:N201))) / ((5 * SUM((J144^2)+(K144^2)+(L144^2)+(M144^2)+(N144^2))) - SUM(J144:N144)^2),""))</f>
        <v/>
      </c>
      <c r="AF201" t="str">
        <f>IFERROR(CORREL(J144:N144,J201:N201),"")</f>
        <v/>
      </c>
      <c r="AZ201">
        <f t="shared" si="38"/>
        <v>0</v>
      </c>
      <c r="BA201" t="str">
        <f>IF(AZ201=1,IF(Q201="","",IF(Q201=N144,"Yes","No")),"")</f>
        <v/>
      </c>
      <c r="BB201" t="str">
        <f t="shared" si="39"/>
        <v/>
      </c>
      <c r="BC201" t="str">
        <f>IF(AZ201=1,IF(S201="","",IF(S201=N144,"Yes","No")),"")</f>
        <v/>
      </c>
      <c r="BD201" t="str">
        <f t="shared" si="40"/>
        <v/>
      </c>
      <c r="BE201" t="str">
        <f t="shared" si="41"/>
        <v/>
      </c>
      <c r="BF201" t="str">
        <f t="shared" si="42"/>
        <v>No</v>
      </c>
      <c r="BG201" t="str">
        <f t="shared" si="43"/>
        <v>No</v>
      </c>
      <c r="BH201" t="str">
        <f t="shared" si="44"/>
        <v/>
      </c>
    </row>
    <row r="202" spans="9:60" x14ac:dyDescent="0.3">
      <c r="I202" t="str">
        <f t="shared" si="46"/>
        <v>N/A</v>
      </c>
      <c r="J202" t="str">
        <f t="shared" si="47"/>
        <v>N/A</v>
      </c>
      <c r="K202" t="str">
        <f t="shared" si="48"/>
        <v>N/A</v>
      </c>
      <c r="L202" t="str">
        <f t="shared" si="49"/>
        <v>N/A</v>
      </c>
      <c r="M202" t="str">
        <f t="shared" si="50"/>
        <v>N/A</v>
      </c>
      <c r="N202" t="str">
        <f t="shared" si="51"/>
        <v>N/A</v>
      </c>
      <c r="P202">
        <f t="shared" si="27"/>
        <v>0</v>
      </c>
      <c r="Q202" t="str">
        <f>IFERROR(J144+MATCH(P202,J202:N202,0)-1,"")</f>
        <v/>
      </c>
      <c r="R202" t="str">
        <f t="shared" si="28"/>
        <v/>
      </c>
      <c r="S202" t="str">
        <f>IFERROR(J144+MATCH(R202,J202:N202,0)-1,"")</f>
        <v/>
      </c>
      <c r="T202" t="str">
        <f t="shared" si="29"/>
        <v/>
      </c>
      <c r="U202" t="str">
        <f t="shared" si="30"/>
        <v/>
      </c>
      <c r="V202" t="str">
        <f t="shared" si="31"/>
        <v/>
      </c>
      <c r="W202" t="str">
        <f t="shared" si="32"/>
        <v/>
      </c>
      <c r="X202" t="str">
        <f t="shared" si="33"/>
        <v/>
      </c>
      <c r="Y202" t="str">
        <f t="shared" si="34"/>
        <v/>
      </c>
      <c r="Z202" t="str">
        <f t="shared" si="35"/>
        <v/>
      </c>
      <c r="AA202">
        <f t="shared" si="36"/>
        <v>0</v>
      </c>
      <c r="AB202" t="str">
        <f>IFERROR(V144+MATCH(AA202,V202:Z202,0)-1,"")</f>
        <v/>
      </c>
      <c r="AC202" t="str">
        <f t="shared" si="37"/>
        <v/>
      </c>
      <c r="AE202" t="str">
        <f>IF(ISNUMBER(MATCH("N/A",J202:N202,0)),"",IFERROR((5 * SUMPRODUCT(J144:N144,J202:N202) - PRODUCT(SUM(J144:N144),SUM(J202:N202))) / ((5 * SUM((J144^2)+(K144^2)+(L144^2)+(M144^2)+(N144^2))) - SUM(J144:N144)^2),""))</f>
        <v/>
      </c>
      <c r="AF202" t="str">
        <f>IFERROR(CORREL(J144:N144,J202:N202),"")</f>
        <v/>
      </c>
      <c r="AZ202">
        <f t="shared" si="38"/>
        <v>0</v>
      </c>
      <c r="BA202" t="str">
        <f>IF(AZ202=1,IF(Q202="","",IF(Q202=N144,"Yes","No")),"")</f>
        <v/>
      </c>
      <c r="BB202" t="str">
        <f t="shared" si="39"/>
        <v/>
      </c>
      <c r="BC202" t="str">
        <f>IF(AZ202=1,IF(S202="","",IF(S202=N144,"Yes","No")),"")</f>
        <v/>
      </c>
      <c r="BD202" t="str">
        <f t="shared" si="40"/>
        <v/>
      </c>
      <c r="BE202" t="str">
        <f t="shared" si="41"/>
        <v/>
      </c>
      <c r="BF202" t="str">
        <f t="shared" si="42"/>
        <v>No</v>
      </c>
      <c r="BG202" t="str">
        <f t="shared" si="43"/>
        <v>No</v>
      </c>
      <c r="BH202" t="str">
        <f t="shared" si="44"/>
        <v/>
      </c>
    </row>
    <row r="203" spans="9:60" x14ac:dyDescent="0.3">
      <c r="I203" t="str">
        <f t="shared" si="46"/>
        <v>N/A</v>
      </c>
      <c r="J203" t="str">
        <f t="shared" si="47"/>
        <v>N/A</v>
      </c>
      <c r="K203" t="str">
        <f t="shared" si="48"/>
        <v>N/A</v>
      </c>
      <c r="L203" t="str">
        <f t="shared" si="49"/>
        <v>N/A</v>
      </c>
      <c r="M203" t="str">
        <f t="shared" si="50"/>
        <v>N/A</v>
      </c>
      <c r="N203" t="str">
        <f t="shared" si="51"/>
        <v>N/A</v>
      </c>
      <c r="P203">
        <f t="shared" si="27"/>
        <v>0</v>
      </c>
      <c r="Q203" t="str">
        <f>IFERROR(J144+MATCH(P203,J203:N203,0)-1,"")</f>
        <v/>
      </c>
      <c r="R203" t="str">
        <f t="shared" si="28"/>
        <v/>
      </c>
      <c r="S203" t="str">
        <f>IFERROR(J144+MATCH(R203,J203:N203,0)-1,"")</f>
        <v/>
      </c>
      <c r="T203" t="str">
        <f t="shared" si="29"/>
        <v/>
      </c>
      <c r="U203" t="str">
        <f t="shared" si="30"/>
        <v/>
      </c>
      <c r="V203" t="str">
        <f t="shared" si="31"/>
        <v/>
      </c>
      <c r="W203" t="str">
        <f t="shared" si="32"/>
        <v/>
      </c>
      <c r="X203" t="str">
        <f t="shared" si="33"/>
        <v/>
      </c>
      <c r="Y203" t="str">
        <f t="shared" si="34"/>
        <v/>
      </c>
      <c r="Z203" t="str">
        <f t="shared" si="35"/>
        <v/>
      </c>
      <c r="AA203">
        <f t="shared" si="36"/>
        <v>0</v>
      </c>
      <c r="AB203" t="str">
        <f>IFERROR(V144+MATCH(AA203,V203:Z203,0)-1,"")</f>
        <v/>
      </c>
      <c r="AC203" t="str">
        <f t="shared" si="37"/>
        <v/>
      </c>
      <c r="AE203" t="str">
        <f>IF(ISNUMBER(MATCH("N/A",J203:N203,0)),"",IFERROR((5 * SUMPRODUCT(J144:N144,J203:N203) - PRODUCT(SUM(J144:N144),SUM(J203:N203))) / ((5 * SUM((J144^2)+(K144^2)+(L144^2)+(M144^2)+(N144^2))) - SUM(J144:N144)^2),""))</f>
        <v/>
      </c>
      <c r="AF203" t="str">
        <f>IFERROR(CORREL(J144:N144,J203:N203),"")</f>
        <v/>
      </c>
      <c r="AZ203">
        <f t="shared" si="38"/>
        <v>0</v>
      </c>
      <c r="BA203" t="str">
        <f>IF(AZ203=1,IF(Q203="","",IF(Q203=N144,"Yes","No")),"")</f>
        <v/>
      </c>
      <c r="BB203" t="str">
        <f t="shared" si="39"/>
        <v/>
      </c>
      <c r="BC203" t="str">
        <f>IF(AZ203=1,IF(S203="","",IF(S203=N144,"Yes","No")),"")</f>
        <v/>
      </c>
      <c r="BD203" t="str">
        <f t="shared" si="40"/>
        <v/>
      </c>
      <c r="BE203" t="str">
        <f t="shared" si="41"/>
        <v/>
      </c>
      <c r="BF203" t="str">
        <f t="shared" si="42"/>
        <v>No</v>
      </c>
      <c r="BG203" t="str">
        <f t="shared" si="43"/>
        <v>No</v>
      </c>
      <c r="BH203" t="str">
        <f t="shared" si="44"/>
        <v/>
      </c>
    </row>
    <row r="204" spans="9:60" x14ac:dyDescent="0.3">
      <c r="I204" t="str">
        <f t="shared" si="46"/>
        <v>N/A</v>
      </c>
      <c r="J204" t="str">
        <f t="shared" si="47"/>
        <v>N/A</v>
      </c>
      <c r="K204" t="str">
        <f t="shared" si="48"/>
        <v>N/A</v>
      </c>
      <c r="L204" t="str">
        <f t="shared" si="49"/>
        <v>N/A</v>
      </c>
      <c r="M204" t="str">
        <f t="shared" si="50"/>
        <v>N/A</v>
      </c>
      <c r="N204" t="str">
        <f t="shared" si="51"/>
        <v>N/A</v>
      </c>
      <c r="P204">
        <f t="shared" si="27"/>
        <v>0</v>
      </c>
      <c r="Q204" t="str">
        <f>IFERROR(J144+MATCH(P204,J204:N204,0)-1,"")</f>
        <v/>
      </c>
      <c r="R204" t="str">
        <f t="shared" si="28"/>
        <v/>
      </c>
      <c r="S204" t="str">
        <f>IFERROR(J144+MATCH(R204,J204:N204,0)-1,"")</f>
        <v/>
      </c>
      <c r="T204" t="str">
        <f t="shared" si="29"/>
        <v/>
      </c>
      <c r="U204" t="str">
        <f t="shared" si="30"/>
        <v/>
      </c>
      <c r="V204" t="str">
        <f t="shared" si="31"/>
        <v/>
      </c>
      <c r="W204" t="str">
        <f t="shared" si="32"/>
        <v/>
      </c>
      <c r="X204" t="str">
        <f t="shared" si="33"/>
        <v/>
      </c>
      <c r="Y204" t="str">
        <f t="shared" si="34"/>
        <v/>
      </c>
      <c r="Z204" t="str">
        <f t="shared" si="35"/>
        <v/>
      </c>
      <c r="AA204">
        <f t="shared" si="36"/>
        <v>0</v>
      </c>
      <c r="AB204" t="str">
        <f>IFERROR(V144+MATCH(AA204,V204:Z204,0)-1,"")</f>
        <v/>
      </c>
      <c r="AC204" t="str">
        <f t="shared" si="37"/>
        <v/>
      </c>
      <c r="AE204" t="str">
        <f>IF(ISNUMBER(MATCH("N/A",J204:N204,0)),"",IFERROR((5 * SUMPRODUCT(J144:N144,J204:N204) - PRODUCT(SUM(J144:N144),SUM(J204:N204))) / ((5 * SUM((J144^2)+(K144^2)+(L144^2)+(M144^2)+(N144^2))) - SUM(J144:N144)^2),""))</f>
        <v/>
      </c>
      <c r="AF204" t="str">
        <f>IFERROR(CORREL(J144:N144,J204:N204),"")</f>
        <v/>
      </c>
      <c r="AZ204">
        <f t="shared" si="38"/>
        <v>0</v>
      </c>
      <c r="BA204" t="str">
        <f>IF(AZ204=1,IF(Q204="","",IF(Q204=N144,"Yes","No")),"")</f>
        <v/>
      </c>
      <c r="BB204" t="str">
        <f t="shared" si="39"/>
        <v/>
      </c>
      <c r="BC204" t="str">
        <f>IF(AZ204=1,IF(S204="","",IF(S204=N144,"Yes","No")),"")</f>
        <v/>
      </c>
      <c r="BD204" t="str">
        <f t="shared" si="40"/>
        <v/>
      </c>
      <c r="BE204" t="str">
        <f t="shared" si="41"/>
        <v/>
      </c>
      <c r="BF204" t="str">
        <f t="shared" si="42"/>
        <v>No</v>
      </c>
      <c r="BG204" t="str">
        <f t="shared" si="43"/>
        <v>No</v>
      </c>
      <c r="BH204" t="str">
        <f t="shared" si="44"/>
        <v/>
      </c>
    </row>
    <row r="205" spans="9:60" x14ac:dyDescent="0.3">
      <c r="P205">
        <f t="shared" si="27"/>
        <v>0</v>
      </c>
      <c r="Q205" t="str">
        <f>IFERROR(J144+MATCH(P205,J205:N205,0)-1,"")</f>
        <v/>
      </c>
      <c r="R205" t="str">
        <f t="shared" si="28"/>
        <v/>
      </c>
      <c r="S205" t="str">
        <f>IFERROR(J144+MATCH(R205,J205:N205,0)-1,"")</f>
        <v/>
      </c>
      <c r="T205" t="str">
        <f t="shared" si="29"/>
        <v/>
      </c>
      <c r="U205" t="str">
        <f t="shared" si="30"/>
        <v/>
      </c>
      <c r="V205" t="str">
        <f t="shared" si="31"/>
        <v/>
      </c>
      <c r="W205" t="str">
        <f t="shared" si="32"/>
        <v/>
      </c>
      <c r="X205" t="str">
        <f t="shared" si="33"/>
        <v/>
      </c>
      <c r="Y205" t="str">
        <f t="shared" si="34"/>
        <v/>
      </c>
      <c r="Z205" t="str">
        <f t="shared" si="35"/>
        <v/>
      </c>
      <c r="AA205">
        <f t="shared" si="36"/>
        <v>0</v>
      </c>
      <c r="AB205" t="str">
        <f>IFERROR(V144+MATCH(AA205,V205:Z205,0)-1,"")</f>
        <v/>
      </c>
      <c r="AC205" t="str">
        <f t="shared" si="37"/>
        <v/>
      </c>
      <c r="AE205" t="str">
        <f>IF(ISNUMBER(MATCH("N/A",J205:N205,0)),"",IFERROR((5 * SUMPRODUCT(J144:N144,J205:N205) - PRODUCT(SUM(J144:N144),SUM(J205:N205))) / ((5 * SUM((J144^2)+(K144^2)+(L144^2)+(M144^2)+(N144^2))) - SUM(J144:N144)^2),""))</f>
        <v/>
      </c>
      <c r="AF205" t="str">
        <f>IFERROR(CORREL(J144:N144,J205:N205),"")</f>
        <v/>
      </c>
      <c r="AZ205">
        <f t="shared" si="38"/>
        <v>0</v>
      </c>
      <c r="BA205" t="str">
        <f>IF(AZ205=1,IF(Q205="","",IF(Q205=N144,"Yes","No")),"")</f>
        <v/>
      </c>
      <c r="BB205" t="str">
        <f t="shared" si="39"/>
        <v/>
      </c>
      <c r="BC205" t="str">
        <f>IF(AZ205=1,IF(S205="","",IF(S205=N144,"Yes","No")),"")</f>
        <v/>
      </c>
      <c r="BD205" t="str">
        <f t="shared" si="40"/>
        <v/>
      </c>
      <c r="BE205" t="str">
        <f t="shared" si="41"/>
        <v/>
      </c>
      <c r="BF205" t="str">
        <f t="shared" si="42"/>
        <v>No</v>
      </c>
      <c r="BG205" t="str">
        <f t="shared" si="43"/>
        <v>No</v>
      </c>
      <c r="BH205" t="str">
        <f t="shared" si="44"/>
        <v/>
      </c>
    </row>
    <row r="206" spans="9:60" x14ac:dyDescent="0.3">
      <c r="I206" t="str">
        <f t="shared" ref="I206:I226" si="52">IF(AND(K206&gt; J206, L206&gt; K206, M206&gt; L206, N206&gt; M206), "pos_trend", IF(AND(K206&lt; J206, L206&lt; K206, M206&lt; L206, N206&lt; M206), "neg_trend", "N/A"))</f>
        <v>N/A</v>
      </c>
      <c r="J206" t="str">
        <f t="shared" ref="J206:J226" si="53">IFERROR(IF(TRIM(C206)="-", "N/A", IF(RIGHT(C206,1)=")",IF(RIGHT(C206,2)="T)",-1000000000000*VALUE(MID(C206,2,LEN(C206)-3)),IF(RIGHT(C206,2)="M)",-1000000*VALUE(MID(C206,2,LEN(C206)-3)),IF(RIGHT(C206,2)="B)",-1000000000*VALUE(MID(C206,2,LEN(C206)-3)),IF(RIGHT(C206,2)="k)",-1000*VALUE(MID(C206,2,LEN(C206)-3)),VALUE(SUBSTITUTE(C206,",","")))))),IF(RIGHT(C206,1)="T",1000000000000*VALUE(LEFT(C206,LEN(C206)-1)),IF(RIGHT(C206,1)="M",1000000*VALUE(LEFT(C206,LEN(C206)-1)),IF(RIGHT(C206,1)="B",1000000000*VALUE(LEFT(C206,LEN(C206)-1)),IF(RIGHT(C206,1)="%",0.01*VALUE(LEFT(C206,LEN(C206)-1)),IF(RIGHT(C206,1)="k",1000*VALUE(LEFT(C206,LEN(C206)-1)),VALUE(SUBSTITUTE(C206,",",""))))))))),"N/A")</f>
        <v>N/A</v>
      </c>
      <c r="K206" t="str">
        <f t="shared" ref="K206:K226" si="54">IFERROR(IF(TRIM(D206)="-", "N/A", IF(RIGHT(D206,1)=")",IF(RIGHT(D206,2)="T)",-1000000000000*VALUE(MID(D206,2,LEN(D206)-3)),IF(RIGHT(D206,2)="M)",-1000000*VALUE(MID(D206,2,LEN(D206)-3)),IF(RIGHT(D206,2)="B)",-1000000000*VALUE(MID(D206,2,LEN(D206)-3)),IF(RIGHT(D206,2)="k)",-1000*VALUE(MID(D206,2,LEN(D206)-3)),VALUE(SUBSTITUTE(D206,",","")))))),IF(RIGHT(D206,1)="T",1000000000000*VALUE(LEFT(D206,LEN(D206)-1)),IF(RIGHT(D206,1)="M",1000000*VALUE(LEFT(D206,LEN(D206)-1)),IF(RIGHT(D206,1)="B",1000000000*VALUE(LEFT(D206,LEN(D206)-1)),IF(RIGHT(D206,1)="%",0.01*VALUE(LEFT(D206,LEN(D206)-1)),IF(RIGHT(D206,1)="k",1000*VALUE(LEFT(D206,LEN(D206)-1)),VALUE(SUBSTITUTE(D206,",",""))))))))),"N/A")</f>
        <v>N/A</v>
      </c>
      <c r="L206" t="str">
        <f t="shared" ref="L206:L226" si="55">IFERROR(IF(TRIM(E206)="-", "N/A", IF(RIGHT(E206,1)=")",IF(RIGHT(E206,2)="T)",-1000000000000*VALUE(MID(E206,2,LEN(E206)-3)),IF(RIGHT(E206,2)="M)",-1000000*VALUE(MID(E206,2,LEN(E206)-3)),IF(RIGHT(E206,2)="B)",-1000000000*VALUE(MID(E206,2,LEN(E206)-3)),IF(RIGHT(E206,2)="k)",-1000*VALUE(MID(E206,2,LEN(E206)-3)),VALUE(SUBSTITUTE(E206,",","")))))),IF(RIGHT(E206,1)="T",1000000000000*VALUE(LEFT(E206,LEN(E206)-1)),IF(RIGHT(E206,1)="M",1000000*VALUE(LEFT(E206,LEN(E206)-1)),IF(RIGHT(E206,1)="B",1000000000*VALUE(LEFT(E206,LEN(E206)-1)),IF(RIGHT(E206,1)="%",0.01*VALUE(LEFT(E206,LEN(E206)-1)),IF(RIGHT(E206,1)="k",1000*VALUE(LEFT(E206,LEN(E206)-1)),VALUE(SUBSTITUTE(E206,",",""))))))))),"N/A")</f>
        <v>N/A</v>
      </c>
      <c r="M206" t="str">
        <f t="shared" ref="M206:M226" si="56">IFERROR(IF(TRIM(F206)="-", "N/A", IF(RIGHT(F206,1)=")",IF(RIGHT(F206,2)="T)",-1000000000000*VALUE(MID(F206,2,LEN(F206)-3)),IF(RIGHT(F206,2)="M)",-1000000*VALUE(MID(F206,2,LEN(F206)-3)),IF(RIGHT(F206,2)="B)",-1000000000*VALUE(MID(F206,2,LEN(F206)-3)),IF(RIGHT(F206,2)="k)",-1000*VALUE(MID(F206,2,LEN(F206)-3)),VALUE(SUBSTITUTE(F206,",","")))))),IF(RIGHT(F206,1)="T",1000000000000*VALUE(LEFT(F206,LEN(F206)-1)),IF(RIGHT(F206,1)="M",1000000*VALUE(LEFT(F206,LEN(F206)-1)),IF(RIGHT(F206,1)="B",1000000000*VALUE(LEFT(F206,LEN(F206)-1)),IF(RIGHT(F206,1)="%",0.01*VALUE(LEFT(F206,LEN(F206)-1)),IF(RIGHT(F206,1)="k",1000*VALUE(LEFT(F206,LEN(F206)-1)),VALUE(SUBSTITUTE(F206,",",""))))))))),"N/A")</f>
        <v>N/A</v>
      </c>
      <c r="N206" t="str">
        <f t="shared" ref="N206:N226" si="57">IFERROR(IF(TRIM(G206)="-", "N/A", IF(RIGHT(G206,1)=")",IF(RIGHT(G206,2)="T)",-1000000000000*VALUE(MID(G206,2,LEN(G206)-3)),IF(RIGHT(G206,2)="M)",-1000000*VALUE(MID(G206,2,LEN(G206)-3)),IF(RIGHT(G206,2)="B)",-1000000000*VALUE(MID(G206,2,LEN(G206)-3)),IF(RIGHT(G206,2)="k)",-1000*VALUE(MID(G206,2,LEN(G206)-3)),VALUE(SUBSTITUTE(G206,",","")))))),IF(RIGHT(G206,1)="T",1000000000000*VALUE(LEFT(G206,LEN(G206)-1)),IF(RIGHT(G206,1)="M",1000000*VALUE(LEFT(G206,LEN(G206)-1)),IF(RIGHT(G206,1)="B",1000000000*VALUE(LEFT(G206,LEN(G206)-1)),IF(RIGHT(G206,1)="%",0.01*VALUE(LEFT(G206,LEN(G206)-1)),IF(RIGHT(G206,1)="k",1000*VALUE(LEFT(G206,LEN(G206)-1)),VALUE(SUBSTITUTE(G206,",",""))))))))),"N/A")</f>
        <v>N/A</v>
      </c>
      <c r="P206">
        <f t="shared" si="27"/>
        <v>0</v>
      </c>
      <c r="Q206" t="str">
        <f>IFERROR(J144+MATCH(P206,J206:N206,0)-1,"")</f>
        <v/>
      </c>
      <c r="R206" t="str">
        <f t="shared" si="28"/>
        <v/>
      </c>
      <c r="S206" t="str">
        <f>IFERROR(J144+MATCH(R206,J206:N206,0)-1,"")</f>
        <v/>
      </c>
      <c r="T206" t="str">
        <f t="shared" si="29"/>
        <v/>
      </c>
      <c r="U206" t="str">
        <f t="shared" si="30"/>
        <v/>
      </c>
      <c r="V206" t="str">
        <f t="shared" si="31"/>
        <v/>
      </c>
      <c r="W206" t="str">
        <f t="shared" si="32"/>
        <v/>
      </c>
      <c r="X206" t="str">
        <f t="shared" si="33"/>
        <v/>
      </c>
      <c r="Y206" t="str">
        <f t="shared" si="34"/>
        <v/>
      </c>
      <c r="Z206" t="str">
        <f t="shared" si="35"/>
        <v/>
      </c>
      <c r="AA206">
        <f t="shared" si="36"/>
        <v>0</v>
      </c>
      <c r="AB206" t="str">
        <f>IFERROR(V144+MATCH(AA206,V206:Z206,0)-1,"")</f>
        <v/>
      </c>
      <c r="AC206" t="str">
        <f t="shared" si="37"/>
        <v/>
      </c>
      <c r="AE206" t="str">
        <f>IF(ISNUMBER(MATCH("N/A",J206:N206,0)),"",IFERROR((5 * SUMPRODUCT(J144:N144,J206:N206) - PRODUCT(SUM(J144:N144),SUM(J206:N206))) / ((5 * SUM((J144^2)+(K144^2)+(L144^2)+(M144^2)+(N144^2))) - SUM(J144:N144)^2),""))</f>
        <v/>
      </c>
      <c r="AF206" t="str">
        <f>IFERROR(CORREL(J144:N144,J206:N206),"")</f>
        <v/>
      </c>
      <c r="AZ206">
        <f t="shared" si="38"/>
        <v>0</v>
      </c>
      <c r="BA206" t="str">
        <f>IF(AZ206=1,IF(Q206="","",IF(Q206=N144,"Yes","No")),"")</f>
        <v/>
      </c>
      <c r="BB206" t="str">
        <f t="shared" si="39"/>
        <v/>
      </c>
      <c r="BC206" t="str">
        <f>IF(AZ206=1,IF(S206="","",IF(S206=N144,"Yes","No")),"")</f>
        <v/>
      </c>
      <c r="BD206" t="str">
        <f t="shared" si="40"/>
        <v/>
      </c>
      <c r="BE206" t="str">
        <f t="shared" si="41"/>
        <v/>
      </c>
      <c r="BF206" t="str">
        <f t="shared" si="42"/>
        <v>No</v>
      </c>
      <c r="BG206" t="str">
        <f t="shared" si="43"/>
        <v>No</v>
      </c>
      <c r="BH206" t="str">
        <f t="shared" si="44"/>
        <v/>
      </c>
    </row>
    <row r="207" spans="9:60" x14ac:dyDescent="0.3">
      <c r="I207" t="str">
        <f t="shared" si="52"/>
        <v>N/A</v>
      </c>
      <c r="J207" t="str">
        <f t="shared" si="53"/>
        <v>N/A</v>
      </c>
      <c r="K207" t="str">
        <f t="shared" si="54"/>
        <v>N/A</v>
      </c>
      <c r="L207" t="str">
        <f t="shared" si="55"/>
        <v>N/A</v>
      </c>
      <c r="M207" t="str">
        <f t="shared" si="56"/>
        <v>N/A</v>
      </c>
      <c r="N207" t="str">
        <f t="shared" si="57"/>
        <v>N/A</v>
      </c>
      <c r="P207">
        <f t="shared" si="27"/>
        <v>0</v>
      </c>
      <c r="Q207" t="str">
        <f>IFERROR(J144+MATCH(P207,J207:N207,0)-1,"")</f>
        <v/>
      </c>
      <c r="R207" t="str">
        <f t="shared" si="28"/>
        <v/>
      </c>
      <c r="S207" t="str">
        <f>IFERROR(J144+MATCH(R207,J207:N207,0)-1,"")</f>
        <v/>
      </c>
      <c r="T207" t="str">
        <f t="shared" si="29"/>
        <v/>
      </c>
      <c r="U207" t="str">
        <f t="shared" si="30"/>
        <v/>
      </c>
      <c r="V207" t="str">
        <f t="shared" si="31"/>
        <v/>
      </c>
      <c r="W207" t="str">
        <f t="shared" si="32"/>
        <v/>
      </c>
      <c r="X207" t="str">
        <f t="shared" si="33"/>
        <v/>
      </c>
      <c r="Y207" t="str">
        <f t="shared" si="34"/>
        <v/>
      </c>
      <c r="Z207" t="str">
        <f t="shared" si="35"/>
        <v/>
      </c>
      <c r="AA207">
        <f t="shared" si="36"/>
        <v>0</v>
      </c>
      <c r="AB207" t="str">
        <f>IFERROR(V144+MATCH(AA207,V207:Z207,0)-1,"")</f>
        <v/>
      </c>
      <c r="AC207" t="str">
        <f t="shared" si="37"/>
        <v/>
      </c>
      <c r="AE207" t="str">
        <f>IF(ISNUMBER(MATCH("N/A",J207:N207,0)),"",IFERROR((5 * SUMPRODUCT(J144:N144,J207:N207) - PRODUCT(SUM(J144:N144),SUM(J207:N207))) / ((5 * SUM((J144^2)+(K144^2)+(L144^2)+(M144^2)+(N144^2))) - SUM(J144:N144)^2),""))</f>
        <v/>
      </c>
      <c r="AF207" t="str">
        <f>IFERROR(CORREL(J144:N144,J207:N207),"")</f>
        <v/>
      </c>
      <c r="AZ207">
        <f t="shared" si="38"/>
        <v>0</v>
      </c>
      <c r="BA207" t="str">
        <f>IF(AZ207=1,IF(Q207="","",IF(Q207=N144,"Yes","No")),"")</f>
        <v/>
      </c>
      <c r="BB207" t="str">
        <f t="shared" si="39"/>
        <v/>
      </c>
      <c r="BC207" t="str">
        <f>IF(AZ207=1,IF(S207="","",IF(S207=N144,"Yes","No")),"")</f>
        <v/>
      </c>
      <c r="BD207" t="str">
        <f t="shared" si="40"/>
        <v/>
      </c>
      <c r="BE207" t="str">
        <f t="shared" si="41"/>
        <v/>
      </c>
      <c r="BF207" t="str">
        <f t="shared" si="42"/>
        <v>No</v>
      </c>
      <c r="BG207" t="str">
        <f t="shared" si="43"/>
        <v>No</v>
      </c>
      <c r="BH207" t="str">
        <f t="shared" si="44"/>
        <v/>
      </c>
    </row>
    <row r="208" spans="9:60" x14ac:dyDescent="0.3">
      <c r="I208" t="str">
        <f t="shared" si="52"/>
        <v>N/A</v>
      </c>
      <c r="J208" t="str">
        <f t="shared" si="53"/>
        <v>N/A</v>
      </c>
      <c r="K208" t="str">
        <f t="shared" si="54"/>
        <v>N/A</v>
      </c>
      <c r="L208" t="str">
        <f t="shared" si="55"/>
        <v>N/A</v>
      </c>
      <c r="M208" t="str">
        <f t="shared" si="56"/>
        <v>N/A</v>
      </c>
      <c r="N208" t="str">
        <f t="shared" si="57"/>
        <v>N/A</v>
      </c>
      <c r="P208">
        <f t="shared" si="27"/>
        <v>0</v>
      </c>
      <c r="Q208" t="str">
        <f>IFERROR(J144+MATCH(P208,J208:N208,0)-1,"")</f>
        <v/>
      </c>
      <c r="R208" t="str">
        <f t="shared" si="28"/>
        <v/>
      </c>
      <c r="S208" t="str">
        <f>IFERROR(J144+MATCH(R208,J208:N208,0)-1,"")</f>
        <v/>
      </c>
      <c r="T208" t="str">
        <f t="shared" si="29"/>
        <v/>
      </c>
      <c r="U208" t="str">
        <f t="shared" si="30"/>
        <v/>
      </c>
      <c r="V208" t="str">
        <f t="shared" si="31"/>
        <v/>
      </c>
      <c r="W208" t="str">
        <f t="shared" si="32"/>
        <v/>
      </c>
      <c r="X208" t="str">
        <f t="shared" si="33"/>
        <v/>
      </c>
      <c r="Y208" t="str">
        <f t="shared" si="34"/>
        <v/>
      </c>
      <c r="Z208" t="str">
        <f t="shared" si="35"/>
        <v/>
      </c>
      <c r="AA208">
        <f t="shared" si="36"/>
        <v>0</v>
      </c>
      <c r="AB208" t="str">
        <f>IFERROR(V144+MATCH(AA208,V208:Z208,0)-1,"")</f>
        <v/>
      </c>
      <c r="AC208" t="str">
        <f t="shared" si="37"/>
        <v/>
      </c>
      <c r="AE208" t="str">
        <f>IF(ISNUMBER(MATCH("N/A",J208:N208,0)),"",IFERROR((5 * SUMPRODUCT(J144:N144,J208:N208) - PRODUCT(SUM(J144:N144),SUM(J208:N208))) / ((5 * SUM((J144^2)+(K144^2)+(L144^2)+(M144^2)+(N144^2))) - SUM(J144:N144)^2),""))</f>
        <v/>
      </c>
      <c r="AF208" t="str">
        <f>IFERROR(CORREL(J144:N144,J208:N208),"")</f>
        <v/>
      </c>
      <c r="AZ208">
        <f t="shared" si="38"/>
        <v>0</v>
      </c>
      <c r="BA208" t="str">
        <f>IF(AZ208=1,IF(Q208="","",IF(Q208=N144,"Yes","No")),"")</f>
        <v/>
      </c>
      <c r="BB208" t="str">
        <f t="shared" si="39"/>
        <v/>
      </c>
      <c r="BC208" t="str">
        <f>IF(AZ208=1,IF(S208="","",IF(S208=N144,"Yes","No")),"")</f>
        <v/>
      </c>
      <c r="BD208" t="str">
        <f t="shared" si="40"/>
        <v/>
      </c>
      <c r="BE208" t="str">
        <f t="shared" si="41"/>
        <v/>
      </c>
      <c r="BF208" t="str">
        <f t="shared" si="42"/>
        <v>No</v>
      </c>
      <c r="BG208" t="str">
        <f t="shared" si="43"/>
        <v>No</v>
      </c>
      <c r="BH208" t="str">
        <f t="shared" si="44"/>
        <v/>
      </c>
    </row>
    <row r="209" spans="9:60" x14ac:dyDescent="0.3">
      <c r="I209" t="str">
        <f t="shared" si="52"/>
        <v>N/A</v>
      </c>
      <c r="J209" t="str">
        <f t="shared" si="53"/>
        <v>N/A</v>
      </c>
      <c r="K209" t="str">
        <f t="shared" si="54"/>
        <v>N/A</v>
      </c>
      <c r="L209" t="str">
        <f t="shared" si="55"/>
        <v>N/A</v>
      </c>
      <c r="M209" t="str">
        <f t="shared" si="56"/>
        <v>N/A</v>
      </c>
      <c r="N209" t="str">
        <f t="shared" si="57"/>
        <v>N/A</v>
      </c>
      <c r="P209">
        <f t="shared" ref="P209:P272" si="58">MAX(J209:N209)</f>
        <v>0</v>
      </c>
      <c r="Q209" t="str">
        <f>IFERROR(J144+MATCH(P209,J209:N209,0)-1,"")</f>
        <v/>
      </c>
      <c r="R209" t="str">
        <f t="shared" ref="R209:R272" si="59">IF(Q209="","",MIN(J209:N209))</f>
        <v/>
      </c>
      <c r="S209" t="str">
        <f>IFERROR(J144+MATCH(R209,J209:N209,0)-1,"")</f>
        <v/>
      </c>
      <c r="T209" t="str">
        <f t="shared" ref="T209:T272" si="60">IFERROR(AVERAGE(J209:N209),"")</f>
        <v/>
      </c>
      <c r="U209" t="str">
        <f t="shared" ref="U209:U272" si="61">IFERROR(STDEV(J209:N209),"")</f>
        <v/>
      </c>
      <c r="V209" t="str">
        <f t="shared" ref="V209:V272" si="62">IFERROR(IF(C209="-","",IF(ISBLANK(B209),"",IF(OR(ISNUMBER(FIND("Growth",B209)),ISNUMBER(FIND("Margin",B209))),"",(J209-T209)/U209))),"")</f>
        <v/>
      </c>
      <c r="W209" t="str">
        <f t="shared" ref="W209:W272" si="63">IFERROR(IF(OR(D209="-",ISBLANK(D209)),"",(K209-T209)/U209),"")</f>
        <v/>
      </c>
      <c r="X209" t="str">
        <f t="shared" ref="X209:X272" si="64">IFERROR(IF(OR(E209="-",ISBLANK(E209)),"",(L209-T209)/U209),"")</f>
        <v/>
      </c>
      <c r="Y209" t="str">
        <f t="shared" ref="Y209:Y272" si="65">IFERROR(IF(OR(F209="-",ISBLANK(F209)),"",(M209-T209)/U209),"")</f>
        <v/>
      </c>
      <c r="Z209" t="str">
        <f t="shared" ref="Z209:Z272" si="66">IFERROR(IF(OR(G209="-",ISBLANK(G209)),"",(N209-T209)/U209),"")</f>
        <v/>
      </c>
      <c r="AA209">
        <f t="shared" ref="AA209:AA272" si="67">IF(MAX(MAX(V209:Z209),ABS(MIN(V209:Z209)))=ABS(MIN(V209:Z209)),MIN(V209:Z209),MAX(V209:Z209))</f>
        <v>0</v>
      </c>
      <c r="AB209" t="str">
        <f>IFERROR(V144+MATCH(AA209,V209:Z209,0)-1,"")</f>
        <v/>
      </c>
      <c r="AC209" t="str">
        <f t="shared" ref="AC209:AC272" si="68">IF(AB209&lt;&gt;"",IF(S209=AB209,"Low",IF(AB209=Q209,"High","")),"")</f>
        <v/>
      </c>
      <c r="AE209" t="str">
        <f>IF(ISNUMBER(MATCH("N/A",J209:N209,0)),"",IFERROR((5 * SUMPRODUCT(J144:N144,J209:N209) - PRODUCT(SUM(J144:N144),SUM(J209:N209))) / ((5 * SUM((J144^2)+(K144^2)+(L144^2)+(M144^2)+(N144^2))) - SUM(J144:N144)^2),""))</f>
        <v/>
      </c>
      <c r="AF209" t="str">
        <f>IFERROR(CORREL(J144:N144,J209:N209),"")</f>
        <v/>
      </c>
      <c r="AZ209">
        <f t="shared" ref="AZ209:AZ272" si="69">IF(Q209=S209,0,1)</f>
        <v>0</v>
      </c>
      <c r="BA209" t="str">
        <f>IF(AZ209=1,IF(Q209="","",IF(Q209=N144,"Yes","No")),"")</f>
        <v/>
      </c>
      <c r="BB209" t="str">
        <f t="shared" ref="BB209:BB272" si="70">IF(BA209="Yes",P209,"")</f>
        <v/>
      </c>
      <c r="BC209" t="str">
        <f>IF(AZ209=1,IF(S209="","",IF(S209=N144,"Yes","No")),"")</f>
        <v/>
      </c>
      <c r="BD209" t="str">
        <f t="shared" ref="BD209:BD272" si="71">IF(BC209="Yes",R209,"")</f>
        <v/>
      </c>
      <c r="BE209" t="str">
        <f t="shared" ref="BE209:BE272" si="72">IFERROR(IF(SIGN(AE209)=1,"Increasing",IF(SIGN(AE209)=-1,"Decreasing","")),"")</f>
        <v/>
      </c>
      <c r="BF209" t="str">
        <f t="shared" ref="BF209:BF272" si="73">IF(OR(AND(BE209="Increasing",BA209="Yes"),AND(BE209="Decreasing",BC209="Yes")),"Yes","No")</f>
        <v>No</v>
      </c>
      <c r="BG209" t="str">
        <f t="shared" ref="BG209:BG272" si="74">IF(I209="pos_trend","Yes","No")</f>
        <v>No</v>
      </c>
      <c r="BH209" t="str">
        <f t="shared" ref="BH209:BH272" si="75">IF(AF209&lt;&gt;"",IF(ABS(AF209)&gt;0.8,"Yes","No"),"")</f>
        <v/>
      </c>
    </row>
    <row r="210" spans="9:60" x14ac:dyDescent="0.3">
      <c r="I210" t="str">
        <f t="shared" si="52"/>
        <v>N/A</v>
      </c>
      <c r="J210" t="str">
        <f t="shared" si="53"/>
        <v>N/A</v>
      </c>
      <c r="K210" t="str">
        <f t="shared" si="54"/>
        <v>N/A</v>
      </c>
      <c r="L210" t="str">
        <f t="shared" si="55"/>
        <v>N/A</v>
      </c>
      <c r="M210" t="str">
        <f t="shared" si="56"/>
        <v>N/A</v>
      </c>
      <c r="N210" t="str">
        <f t="shared" si="57"/>
        <v>N/A</v>
      </c>
      <c r="P210">
        <f t="shared" si="58"/>
        <v>0</v>
      </c>
      <c r="Q210" t="str">
        <f>IFERROR(J144+MATCH(P210,J210:N210,0)-1,"")</f>
        <v/>
      </c>
      <c r="R210" t="str">
        <f t="shared" si="59"/>
        <v/>
      </c>
      <c r="S210" t="str">
        <f>IFERROR(J144+MATCH(R210,J210:N210,0)-1,"")</f>
        <v/>
      </c>
      <c r="T210" t="str">
        <f t="shared" si="60"/>
        <v/>
      </c>
      <c r="U210" t="str">
        <f t="shared" si="61"/>
        <v/>
      </c>
      <c r="V210" t="str">
        <f t="shared" si="62"/>
        <v/>
      </c>
      <c r="W210" t="str">
        <f t="shared" si="63"/>
        <v/>
      </c>
      <c r="X210" t="str">
        <f t="shared" si="64"/>
        <v/>
      </c>
      <c r="Y210" t="str">
        <f t="shared" si="65"/>
        <v/>
      </c>
      <c r="Z210" t="str">
        <f t="shared" si="66"/>
        <v/>
      </c>
      <c r="AA210">
        <f t="shared" si="67"/>
        <v>0</v>
      </c>
      <c r="AB210" t="str">
        <f>IFERROR(V144+MATCH(AA210,V210:Z210,0)-1,"")</f>
        <v/>
      </c>
      <c r="AC210" t="str">
        <f t="shared" si="68"/>
        <v/>
      </c>
      <c r="AE210" t="str">
        <f>IF(ISNUMBER(MATCH("N/A",J210:N210,0)),"",IFERROR((5 * SUMPRODUCT(J144:N144,J210:N210) - PRODUCT(SUM(J144:N144),SUM(J210:N210))) / ((5 * SUM((J144^2)+(K144^2)+(L144^2)+(M144^2)+(N144^2))) - SUM(J144:N144)^2),""))</f>
        <v/>
      </c>
      <c r="AF210" t="str">
        <f>IFERROR(CORREL(J144:N144,J210:N210),"")</f>
        <v/>
      </c>
      <c r="AZ210">
        <f t="shared" si="69"/>
        <v>0</v>
      </c>
      <c r="BA210" t="str">
        <f>IF(AZ210=1,IF(Q210="","",IF(Q210=N144,"Yes","No")),"")</f>
        <v/>
      </c>
      <c r="BB210" t="str">
        <f t="shared" si="70"/>
        <v/>
      </c>
      <c r="BC210" t="str">
        <f>IF(AZ210=1,IF(S210="","",IF(S210=N144,"Yes","No")),"")</f>
        <v/>
      </c>
      <c r="BD210" t="str">
        <f t="shared" si="71"/>
        <v/>
      </c>
      <c r="BE210" t="str">
        <f t="shared" si="72"/>
        <v/>
      </c>
      <c r="BF210" t="str">
        <f t="shared" si="73"/>
        <v>No</v>
      </c>
      <c r="BG210" t="str">
        <f t="shared" si="74"/>
        <v>No</v>
      </c>
      <c r="BH210" t="str">
        <f t="shared" si="75"/>
        <v/>
      </c>
    </row>
    <row r="211" spans="9:60" x14ac:dyDescent="0.3">
      <c r="I211" t="str">
        <f t="shared" si="52"/>
        <v>N/A</v>
      </c>
      <c r="J211" t="str">
        <f t="shared" si="53"/>
        <v>N/A</v>
      </c>
      <c r="K211" t="str">
        <f t="shared" si="54"/>
        <v>N/A</v>
      </c>
      <c r="L211" t="str">
        <f t="shared" si="55"/>
        <v>N/A</v>
      </c>
      <c r="M211" t="str">
        <f t="shared" si="56"/>
        <v>N/A</v>
      </c>
      <c r="N211" t="str">
        <f t="shared" si="57"/>
        <v>N/A</v>
      </c>
      <c r="P211">
        <f t="shared" si="58"/>
        <v>0</v>
      </c>
      <c r="Q211" t="str">
        <f>IFERROR(J144+MATCH(P211,J211:N211,0)-1,"")</f>
        <v/>
      </c>
      <c r="R211" t="str">
        <f t="shared" si="59"/>
        <v/>
      </c>
      <c r="S211" t="str">
        <f>IFERROR(J144+MATCH(R211,J211:N211,0)-1,"")</f>
        <v/>
      </c>
      <c r="T211" t="str">
        <f t="shared" si="60"/>
        <v/>
      </c>
      <c r="U211" t="str">
        <f t="shared" si="61"/>
        <v/>
      </c>
      <c r="V211" t="str">
        <f t="shared" si="62"/>
        <v/>
      </c>
      <c r="W211" t="str">
        <f t="shared" si="63"/>
        <v/>
      </c>
      <c r="X211" t="str">
        <f t="shared" si="64"/>
        <v/>
      </c>
      <c r="Y211" t="str">
        <f t="shared" si="65"/>
        <v/>
      </c>
      <c r="Z211" t="str">
        <f t="shared" si="66"/>
        <v/>
      </c>
      <c r="AA211">
        <f t="shared" si="67"/>
        <v>0</v>
      </c>
      <c r="AB211" t="str">
        <f>IFERROR(V144+MATCH(AA211,V211:Z211,0)-1,"")</f>
        <v/>
      </c>
      <c r="AC211" t="str">
        <f t="shared" si="68"/>
        <v/>
      </c>
      <c r="AE211" t="str">
        <f>IF(ISNUMBER(MATCH("N/A",J211:N211,0)),"",IFERROR((5 * SUMPRODUCT(J144:N144,J211:N211) - PRODUCT(SUM(J144:N144),SUM(J211:N211))) / ((5 * SUM((J144^2)+(K144^2)+(L144^2)+(M144^2)+(N144^2))) - SUM(J144:N144)^2),""))</f>
        <v/>
      </c>
      <c r="AF211" t="str">
        <f>IFERROR(CORREL(J144:N144,J211:N211),"")</f>
        <v/>
      </c>
      <c r="AZ211">
        <f t="shared" si="69"/>
        <v>0</v>
      </c>
      <c r="BA211" t="str">
        <f>IF(AZ211=1,IF(Q211="","",IF(Q211=N144,"Yes","No")),"")</f>
        <v/>
      </c>
      <c r="BB211" t="str">
        <f t="shared" si="70"/>
        <v/>
      </c>
      <c r="BC211" t="str">
        <f>IF(AZ211=1,IF(S211="","",IF(S211=N144,"Yes","No")),"")</f>
        <v/>
      </c>
      <c r="BD211" t="str">
        <f t="shared" si="71"/>
        <v/>
      </c>
      <c r="BE211" t="str">
        <f t="shared" si="72"/>
        <v/>
      </c>
      <c r="BF211" t="str">
        <f t="shared" si="73"/>
        <v>No</v>
      </c>
      <c r="BG211" t="str">
        <f t="shared" si="74"/>
        <v>No</v>
      </c>
      <c r="BH211" t="str">
        <f t="shared" si="75"/>
        <v/>
      </c>
    </row>
    <row r="212" spans="9:60" x14ac:dyDescent="0.3">
      <c r="I212" t="str">
        <f t="shared" si="52"/>
        <v>N/A</v>
      </c>
      <c r="J212" t="str">
        <f t="shared" si="53"/>
        <v>N/A</v>
      </c>
      <c r="K212" t="str">
        <f t="shared" si="54"/>
        <v>N/A</v>
      </c>
      <c r="L212" t="str">
        <f t="shared" si="55"/>
        <v>N/A</v>
      </c>
      <c r="M212" t="str">
        <f t="shared" si="56"/>
        <v>N/A</v>
      </c>
      <c r="N212" t="str">
        <f t="shared" si="57"/>
        <v>N/A</v>
      </c>
      <c r="P212">
        <f t="shared" si="58"/>
        <v>0</v>
      </c>
      <c r="Q212" t="str">
        <f>IFERROR(J144+MATCH(P212,J212:N212,0)-1,"")</f>
        <v/>
      </c>
      <c r="R212" t="str">
        <f t="shared" si="59"/>
        <v/>
      </c>
      <c r="S212" t="str">
        <f>IFERROR(J144+MATCH(R212,J212:N212,0)-1,"")</f>
        <v/>
      </c>
      <c r="T212" t="str">
        <f t="shared" si="60"/>
        <v/>
      </c>
      <c r="U212" t="str">
        <f t="shared" si="61"/>
        <v/>
      </c>
      <c r="V212" t="str">
        <f t="shared" si="62"/>
        <v/>
      </c>
      <c r="W212" t="str">
        <f t="shared" si="63"/>
        <v/>
      </c>
      <c r="X212" t="str">
        <f t="shared" si="64"/>
        <v/>
      </c>
      <c r="Y212" t="str">
        <f t="shared" si="65"/>
        <v/>
      </c>
      <c r="Z212" t="str">
        <f t="shared" si="66"/>
        <v/>
      </c>
      <c r="AA212">
        <f t="shared" si="67"/>
        <v>0</v>
      </c>
      <c r="AB212" t="str">
        <f>IFERROR(V144+MATCH(AA212,V212:Z212,0)-1,"")</f>
        <v/>
      </c>
      <c r="AC212" t="str">
        <f t="shared" si="68"/>
        <v/>
      </c>
      <c r="AE212" t="str">
        <f>IF(ISNUMBER(MATCH("N/A",J212:N212,0)),"",IFERROR((5 * SUMPRODUCT(J144:N144,J212:N212) - PRODUCT(SUM(J144:N144),SUM(J212:N212))) / ((5 * SUM((J144^2)+(K144^2)+(L144^2)+(M144^2)+(N144^2))) - SUM(J144:N144)^2),""))</f>
        <v/>
      </c>
      <c r="AF212" t="str">
        <f>IFERROR(CORREL(J144:N144,J212:N212),"")</f>
        <v/>
      </c>
      <c r="AZ212">
        <f t="shared" si="69"/>
        <v>0</v>
      </c>
      <c r="BA212" t="str">
        <f>IF(AZ212=1,IF(Q212="","",IF(Q212=N144,"Yes","No")),"")</f>
        <v/>
      </c>
      <c r="BB212" t="str">
        <f t="shared" si="70"/>
        <v/>
      </c>
      <c r="BC212" t="str">
        <f>IF(AZ212=1,IF(S212="","",IF(S212=N144,"Yes","No")),"")</f>
        <v/>
      </c>
      <c r="BD212" t="str">
        <f t="shared" si="71"/>
        <v/>
      </c>
      <c r="BE212" t="str">
        <f t="shared" si="72"/>
        <v/>
      </c>
      <c r="BF212" t="str">
        <f t="shared" si="73"/>
        <v>No</v>
      </c>
      <c r="BG212" t="str">
        <f t="shared" si="74"/>
        <v>No</v>
      </c>
      <c r="BH212" t="str">
        <f t="shared" si="75"/>
        <v/>
      </c>
    </row>
    <row r="213" spans="9:60" x14ac:dyDescent="0.3">
      <c r="I213" t="str">
        <f t="shared" si="52"/>
        <v>N/A</v>
      </c>
      <c r="J213" t="str">
        <f t="shared" si="53"/>
        <v>N/A</v>
      </c>
      <c r="K213" t="str">
        <f t="shared" si="54"/>
        <v>N/A</v>
      </c>
      <c r="L213" t="str">
        <f t="shared" si="55"/>
        <v>N/A</v>
      </c>
      <c r="M213" t="str">
        <f t="shared" si="56"/>
        <v>N/A</v>
      </c>
      <c r="N213" t="str">
        <f t="shared" si="57"/>
        <v>N/A</v>
      </c>
      <c r="P213">
        <f t="shared" si="58"/>
        <v>0</v>
      </c>
      <c r="Q213" t="str">
        <f>IFERROR(J144+MATCH(P213,J213:N213,0)-1,"")</f>
        <v/>
      </c>
      <c r="R213" t="str">
        <f t="shared" si="59"/>
        <v/>
      </c>
      <c r="S213" t="str">
        <f>IFERROR(J144+MATCH(R213,J213:N213,0)-1,"")</f>
        <v/>
      </c>
      <c r="T213" t="str">
        <f t="shared" si="60"/>
        <v/>
      </c>
      <c r="U213" t="str">
        <f t="shared" si="61"/>
        <v/>
      </c>
      <c r="V213" t="str">
        <f t="shared" si="62"/>
        <v/>
      </c>
      <c r="W213" t="str">
        <f t="shared" si="63"/>
        <v/>
      </c>
      <c r="X213" t="str">
        <f t="shared" si="64"/>
        <v/>
      </c>
      <c r="Y213" t="str">
        <f t="shared" si="65"/>
        <v/>
      </c>
      <c r="Z213" t="str">
        <f t="shared" si="66"/>
        <v/>
      </c>
      <c r="AA213">
        <f t="shared" si="67"/>
        <v>0</v>
      </c>
      <c r="AB213" t="str">
        <f>IFERROR(V144+MATCH(AA213,V213:Z213,0)-1,"")</f>
        <v/>
      </c>
      <c r="AC213" t="str">
        <f t="shared" si="68"/>
        <v/>
      </c>
      <c r="AE213" t="str">
        <f>IF(ISNUMBER(MATCH("N/A",J213:N213,0)),"",IFERROR((5 * SUMPRODUCT(J144:N144,J213:N213) - PRODUCT(SUM(J144:N144),SUM(J213:N213))) / ((5 * SUM((J144^2)+(K144^2)+(L144^2)+(M144^2)+(N144^2))) - SUM(J144:N144)^2),""))</f>
        <v/>
      </c>
      <c r="AF213" t="str">
        <f>IFERROR(CORREL(J144:N144,J213:N213),"")</f>
        <v/>
      </c>
      <c r="AZ213">
        <f t="shared" si="69"/>
        <v>0</v>
      </c>
      <c r="BA213" t="str">
        <f>IF(AZ213=1,IF(Q213="","",IF(Q213=N144,"Yes","No")),"")</f>
        <v/>
      </c>
      <c r="BB213" t="str">
        <f t="shared" si="70"/>
        <v/>
      </c>
      <c r="BC213" t="str">
        <f>IF(AZ213=1,IF(S213="","",IF(S213=N144,"Yes","No")),"")</f>
        <v/>
      </c>
      <c r="BD213" t="str">
        <f t="shared" si="71"/>
        <v/>
      </c>
      <c r="BE213" t="str">
        <f t="shared" si="72"/>
        <v/>
      </c>
      <c r="BF213" t="str">
        <f t="shared" si="73"/>
        <v>No</v>
      </c>
      <c r="BG213" t="str">
        <f t="shared" si="74"/>
        <v>No</v>
      </c>
      <c r="BH213" t="str">
        <f t="shared" si="75"/>
        <v/>
      </c>
    </row>
    <row r="214" spans="9:60" x14ac:dyDescent="0.3">
      <c r="I214" t="str">
        <f t="shared" si="52"/>
        <v>N/A</v>
      </c>
      <c r="J214" t="str">
        <f t="shared" si="53"/>
        <v>N/A</v>
      </c>
      <c r="K214" t="str">
        <f t="shared" si="54"/>
        <v>N/A</v>
      </c>
      <c r="L214" t="str">
        <f t="shared" si="55"/>
        <v>N/A</v>
      </c>
      <c r="M214" t="str">
        <f t="shared" si="56"/>
        <v>N/A</v>
      </c>
      <c r="N214" t="str">
        <f t="shared" si="57"/>
        <v>N/A</v>
      </c>
      <c r="P214">
        <f t="shared" si="58"/>
        <v>0</v>
      </c>
      <c r="Q214" t="str">
        <f>IFERROR(J144+MATCH(P214,J214:N214,0)-1,"")</f>
        <v/>
      </c>
      <c r="R214" t="str">
        <f t="shared" si="59"/>
        <v/>
      </c>
      <c r="S214" t="str">
        <f>IFERROR(J144+MATCH(R214,J214:N214,0)-1,"")</f>
        <v/>
      </c>
      <c r="T214" t="str">
        <f t="shared" si="60"/>
        <v/>
      </c>
      <c r="U214" t="str">
        <f t="shared" si="61"/>
        <v/>
      </c>
      <c r="V214" t="str">
        <f t="shared" si="62"/>
        <v/>
      </c>
      <c r="W214" t="str">
        <f t="shared" si="63"/>
        <v/>
      </c>
      <c r="X214" t="str">
        <f t="shared" si="64"/>
        <v/>
      </c>
      <c r="Y214" t="str">
        <f t="shared" si="65"/>
        <v/>
      </c>
      <c r="Z214" t="str">
        <f t="shared" si="66"/>
        <v/>
      </c>
      <c r="AA214">
        <f t="shared" si="67"/>
        <v>0</v>
      </c>
      <c r="AB214" t="str">
        <f>IFERROR(V144+MATCH(AA214,V214:Z214,0)-1,"")</f>
        <v/>
      </c>
      <c r="AC214" t="str">
        <f t="shared" si="68"/>
        <v/>
      </c>
      <c r="AE214" t="str">
        <f>IF(ISNUMBER(MATCH("N/A",J214:N214,0)),"",IFERROR((5 * SUMPRODUCT(J144:N144,J214:N214) - PRODUCT(SUM(J144:N144),SUM(J214:N214))) / ((5 * SUM((J144^2)+(K144^2)+(L144^2)+(M144^2)+(N144^2))) - SUM(J144:N144)^2),""))</f>
        <v/>
      </c>
      <c r="AF214" t="str">
        <f>IFERROR(CORREL(J144:N144,J214:N214),"")</f>
        <v/>
      </c>
      <c r="AZ214">
        <f t="shared" si="69"/>
        <v>0</v>
      </c>
      <c r="BA214" t="str">
        <f>IF(AZ214=1,IF(Q214="","",IF(Q214=N144,"Yes","No")),"")</f>
        <v/>
      </c>
      <c r="BB214" t="str">
        <f t="shared" si="70"/>
        <v/>
      </c>
      <c r="BC214" t="str">
        <f>IF(AZ214=1,IF(S214="","",IF(S214=N144,"Yes","No")),"")</f>
        <v/>
      </c>
      <c r="BD214" t="str">
        <f t="shared" si="71"/>
        <v/>
      </c>
      <c r="BE214" t="str">
        <f t="shared" si="72"/>
        <v/>
      </c>
      <c r="BF214" t="str">
        <f t="shared" si="73"/>
        <v>No</v>
      </c>
      <c r="BG214" t="str">
        <f t="shared" si="74"/>
        <v>No</v>
      </c>
      <c r="BH214" t="str">
        <f t="shared" si="75"/>
        <v/>
      </c>
    </row>
    <row r="215" spans="9:60" x14ac:dyDescent="0.3">
      <c r="I215" t="str">
        <f t="shared" si="52"/>
        <v>N/A</v>
      </c>
      <c r="J215" t="str">
        <f t="shared" si="53"/>
        <v>N/A</v>
      </c>
      <c r="K215" t="str">
        <f t="shared" si="54"/>
        <v>N/A</v>
      </c>
      <c r="L215" t="str">
        <f t="shared" si="55"/>
        <v>N/A</v>
      </c>
      <c r="M215" t="str">
        <f t="shared" si="56"/>
        <v>N/A</v>
      </c>
      <c r="N215" t="str">
        <f t="shared" si="57"/>
        <v>N/A</v>
      </c>
      <c r="P215">
        <f t="shared" si="58"/>
        <v>0</v>
      </c>
      <c r="Q215" t="str">
        <f>IFERROR(J144+MATCH(P215,J215:N215,0)-1,"")</f>
        <v/>
      </c>
      <c r="R215" t="str">
        <f t="shared" si="59"/>
        <v/>
      </c>
      <c r="S215" t="str">
        <f>IFERROR(J144+MATCH(R215,J215:N215,0)-1,"")</f>
        <v/>
      </c>
      <c r="T215" t="str">
        <f t="shared" si="60"/>
        <v/>
      </c>
      <c r="U215" t="str">
        <f t="shared" si="61"/>
        <v/>
      </c>
      <c r="V215" t="str">
        <f t="shared" si="62"/>
        <v/>
      </c>
      <c r="W215" t="str">
        <f t="shared" si="63"/>
        <v/>
      </c>
      <c r="X215" t="str">
        <f t="shared" si="64"/>
        <v/>
      </c>
      <c r="Y215" t="str">
        <f t="shared" si="65"/>
        <v/>
      </c>
      <c r="Z215" t="str">
        <f t="shared" si="66"/>
        <v/>
      </c>
      <c r="AA215">
        <f t="shared" si="67"/>
        <v>0</v>
      </c>
      <c r="AB215" t="str">
        <f>IFERROR(V144+MATCH(AA215,V215:Z215,0)-1,"")</f>
        <v/>
      </c>
      <c r="AC215" t="str">
        <f t="shared" si="68"/>
        <v/>
      </c>
      <c r="AE215" t="str">
        <f>IF(ISNUMBER(MATCH("N/A",J215:N215,0)),"",IFERROR((5 * SUMPRODUCT(J144:N144,J215:N215) - PRODUCT(SUM(J144:N144),SUM(J215:N215))) / ((5 * SUM((J144^2)+(K144^2)+(L144^2)+(M144^2)+(N144^2))) - SUM(J144:N144)^2),""))</f>
        <v/>
      </c>
      <c r="AF215" t="str">
        <f>IFERROR(CORREL(J144:N144,J215:N215),"")</f>
        <v/>
      </c>
      <c r="AZ215">
        <f t="shared" si="69"/>
        <v>0</v>
      </c>
      <c r="BA215" t="str">
        <f>IF(AZ215=1,IF(Q215="","",IF(Q215=N144,"Yes","No")),"")</f>
        <v/>
      </c>
      <c r="BB215" t="str">
        <f t="shared" si="70"/>
        <v/>
      </c>
      <c r="BC215" t="str">
        <f>IF(AZ215=1,IF(S215="","",IF(S215=N144,"Yes","No")),"")</f>
        <v/>
      </c>
      <c r="BD215" t="str">
        <f t="shared" si="71"/>
        <v/>
      </c>
      <c r="BE215" t="str">
        <f t="shared" si="72"/>
        <v/>
      </c>
      <c r="BF215" t="str">
        <f t="shared" si="73"/>
        <v>No</v>
      </c>
      <c r="BG215" t="str">
        <f t="shared" si="74"/>
        <v>No</v>
      </c>
      <c r="BH215" t="str">
        <f t="shared" si="75"/>
        <v/>
      </c>
    </row>
    <row r="216" spans="9:60" x14ac:dyDescent="0.3">
      <c r="I216" t="str">
        <f t="shared" si="52"/>
        <v>N/A</v>
      </c>
      <c r="J216" t="str">
        <f t="shared" si="53"/>
        <v>N/A</v>
      </c>
      <c r="K216" t="str">
        <f t="shared" si="54"/>
        <v>N/A</v>
      </c>
      <c r="L216" t="str">
        <f t="shared" si="55"/>
        <v>N/A</v>
      </c>
      <c r="M216" t="str">
        <f t="shared" si="56"/>
        <v>N/A</v>
      </c>
      <c r="N216" t="str">
        <f t="shared" si="57"/>
        <v>N/A</v>
      </c>
      <c r="P216">
        <f t="shared" si="58"/>
        <v>0</v>
      </c>
      <c r="Q216" t="str">
        <f>IFERROR(J144+MATCH(P216,J216:N216,0)-1,"")</f>
        <v/>
      </c>
      <c r="R216" t="str">
        <f t="shared" si="59"/>
        <v/>
      </c>
      <c r="S216" t="str">
        <f>IFERROR(J144+MATCH(R216,J216:N216,0)-1,"")</f>
        <v/>
      </c>
      <c r="T216" t="str">
        <f t="shared" si="60"/>
        <v/>
      </c>
      <c r="U216" t="str">
        <f t="shared" si="61"/>
        <v/>
      </c>
      <c r="V216" t="str">
        <f t="shared" si="62"/>
        <v/>
      </c>
      <c r="W216" t="str">
        <f t="shared" si="63"/>
        <v/>
      </c>
      <c r="X216" t="str">
        <f t="shared" si="64"/>
        <v/>
      </c>
      <c r="Y216" t="str">
        <f t="shared" si="65"/>
        <v/>
      </c>
      <c r="Z216" t="str">
        <f t="shared" si="66"/>
        <v/>
      </c>
      <c r="AA216">
        <f t="shared" si="67"/>
        <v>0</v>
      </c>
      <c r="AB216" t="str">
        <f>IFERROR(V144+MATCH(AA216,V216:Z216,0)-1,"")</f>
        <v/>
      </c>
      <c r="AC216" t="str">
        <f t="shared" si="68"/>
        <v/>
      </c>
      <c r="AE216" t="str">
        <f>IF(ISNUMBER(MATCH("N/A",J216:N216,0)),"",IFERROR((5 * SUMPRODUCT(J144:N144,J216:N216) - PRODUCT(SUM(J144:N144),SUM(J216:N216))) / ((5 * SUM((J144^2)+(K144^2)+(L144^2)+(M144^2)+(N144^2))) - SUM(J144:N144)^2),""))</f>
        <v/>
      </c>
      <c r="AF216" t="str">
        <f>IFERROR(CORREL(J144:N144,J216:N216),"")</f>
        <v/>
      </c>
      <c r="AZ216">
        <f t="shared" si="69"/>
        <v>0</v>
      </c>
      <c r="BA216" t="str">
        <f>IF(AZ216=1,IF(Q216="","",IF(Q216=N144,"Yes","No")),"")</f>
        <v/>
      </c>
      <c r="BB216" t="str">
        <f t="shared" si="70"/>
        <v/>
      </c>
      <c r="BC216" t="str">
        <f>IF(AZ216=1,IF(S216="","",IF(S216=N144,"Yes","No")),"")</f>
        <v/>
      </c>
      <c r="BD216" t="str">
        <f t="shared" si="71"/>
        <v/>
      </c>
      <c r="BE216" t="str">
        <f t="shared" si="72"/>
        <v/>
      </c>
      <c r="BF216" t="str">
        <f t="shared" si="73"/>
        <v>No</v>
      </c>
      <c r="BG216" t="str">
        <f t="shared" si="74"/>
        <v>No</v>
      </c>
      <c r="BH216" t="str">
        <f t="shared" si="75"/>
        <v/>
      </c>
    </row>
    <row r="217" spans="9:60" x14ac:dyDescent="0.3">
      <c r="I217" t="str">
        <f t="shared" si="52"/>
        <v>N/A</v>
      </c>
      <c r="J217" t="str">
        <f t="shared" si="53"/>
        <v>N/A</v>
      </c>
      <c r="K217" t="str">
        <f t="shared" si="54"/>
        <v>N/A</v>
      </c>
      <c r="L217" t="str">
        <f t="shared" si="55"/>
        <v>N/A</v>
      </c>
      <c r="M217" t="str">
        <f t="shared" si="56"/>
        <v>N/A</v>
      </c>
      <c r="N217" t="str">
        <f t="shared" si="57"/>
        <v>N/A</v>
      </c>
      <c r="P217">
        <f t="shared" si="58"/>
        <v>0</v>
      </c>
      <c r="Q217" t="str">
        <f>IFERROR(J144+MATCH(P217,J217:N217,0)-1,"")</f>
        <v/>
      </c>
      <c r="R217" t="str">
        <f t="shared" si="59"/>
        <v/>
      </c>
      <c r="S217" t="str">
        <f>IFERROR(J144+MATCH(R217,J217:N217,0)-1,"")</f>
        <v/>
      </c>
      <c r="T217" t="str">
        <f t="shared" si="60"/>
        <v/>
      </c>
      <c r="U217" t="str">
        <f t="shared" si="61"/>
        <v/>
      </c>
      <c r="V217" t="str">
        <f t="shared" si="62"/>
        <v/>
      </c>
      <c r="W217" t="str">
        <f t="shared" si="63"/>
        <v/>
      </c>
      <c r="X217" t="str">
        <f t="shared" si="64"/>
        <v/>
      </c>
      <c r="Y217" t="str">
        <f t="shared" si="65"/>
        <v/>
      </c>
      <c r="Z217" t="str">
        <f t="shared" si="66"/>
        <v/>
      </c>
      <c r="AA217">
        <f t="shared" si="67"/>
        <v>0</v>
      </c>
      <c r="AB217" t="str">
        <f>IFERROR(V144+MATCH(AA217,V217:Z217,0)-1,"")</f>
        <v/>
      </c>
      <c r="AC217" t="str">
        <f t="shared" si="68"/>
        <v/>
      </c>
      <c r="AE217" t="str">
        <f>IF(ISNUMBER(MATCH("N/A",J217:N217,0)),"",IFERROR((5 * SUMPRODUCT(J144:N144,J217:N217) - PRODUCT(SUM(J144:N144),SUM(J217:N217))) / ((5 * SUM((J144^2)+(K144^2)+(L144^2)+(M144^2)+(N144^2))) - SUM(J144:N144)^2),""))</f>
        <v/>
      </c>
      <c r="AF217" t="str">
        <f>IFERROR(CORREL(J144:N144,J217:N217),"")</f>
        <v/>
      </c>
      <c r="AZ217">
        <f t="shared" si="69"/>
        <v>0</v>
      </c>
      <c r="BA217" t="str">
        <f>IF(AZ217=1,IF(Q217="","",IF(Q217=N144,"Yes","No")),"")</f>
        <v/>
      </c>
      <c r="BB217" t="str">
        <f t="shared" si="70"/>
        <v/>
      </c>
      <c r="BC217" t="str">
        <f>IF(AZ217=1,IF(S217="","",IF(S217=N144,"Yes","No")),"")</f>
        <v/>
      </c>
      <c r="BD217" t="str">
        <f t="shared" si="71"/>
        <v/>
      </c>
      <c r="BE217" t="str">
        <f t="shared" si="72"/>
        <v/>
      </c>
      <c r="BF217" t="str">
        <f t="shared" si="73"/>
        <v>No</v>
      </c>
      <c r="BG217" t="str">
        <f t="shared" si="74"/>
        <v>No</v>
      </c>
      <c r="BH217" t="str">
        <f t="shared" si="75"/>
        <v/>
      </c>
    </row>
    <row r="218" spans="9:60" x14ac:dyDescent="0.3">
      <c r="I218" t="str">
        <f t="shared" si="52"/>
        <v>N/A</v>
      </c>
      <c r="J218" t="str">
        <f t="shared" si="53"/>
        <v>N/A</v>
      </c>
      <c r="K218" t="str">
        <f t="shared" si="54"/>
        <v>N/A</v>
      </c>
      <c r="L218" t="str">
        <f t="shared" si="55"/>
        <v>N/A</v>
      </c>
      <c r="M218" t="str">
        <f t="shared" si="56"/>
        <v>N/A</v>
      </c>
      <c r="N218" t="str">
        <f t="shared" si="57"/>
        <v>N/A</v>
      </c>
      <c r="P218">
        <f t="shared" si="58"/>
        <v>0</v>
      </c>
      <c r="Q218" t="str">
        <f>IFERROR(J144+MATCH(P218,J218:N218,0)-1,"")</f>
        <v/>
      </c>
      <c r="R218" t="str">
        <f t="shared" si="59"/>
        <v/>
      </c>
      <c r="S218" t="str">
        <f>IFERROR(J144+MATCH(R218,J218:N218,0)-1,"")</f>
        <v/>
      </c>
      <c r="T218" t="str">
        <f t="shared" si="60"/>
        <v/>
      </c>
      <c r="U218" t="str">
        <f t="shared" si="61"/>
        <v/>
      </c>
      <c r="V218" t="str">
        <f t="shared" si="62"/>
        <v/>
      </c>
      <c r="W218" t="str">
        <f t="shared" si="63"/>
        <v/>
      </c>
      <c r="X218" t="str">
        <f t="shared" si="64"/>
        <v/>
      </c>
      <c r="Y218" t="str">
        <f t="shared" si="65"/>
        <v/>
      </c>
      <c r="Z218" t="str">
        <f t="shared" si="66"/>
        <v/>
      </c>
      <c r="AA218">
        <f t="shared" si="67"/>
        <v>0</v>
      </c>
      <c r="AB218" t="str">
        <f>IFERROR(V144+MATCH(AA218,V218:Z218,0)-1,"")</f>
        <v/>
      </c>
      <c r="AC218" t="str">
        <f t="shared" si="68"/>
        <v/>
      </c>
      <c r="AE218" t="str">
        <f>IF(ISNUMBER(MATCH("N/A",J218:N218,0)),"",IFERROR((5 * SUMPRODUCT(J144:N144,J218:N218) - PRODUCT(SUM(J144:N144),SUM(J218:N218))) / ((5 * SUM((J144^2)+(K144^2)+(L144^2)+(M144^2)+(N144^2))) - SUM(J144:N144)^2),""))</f>
        <v/>
      </c>
      <c r="AF218" t="str">
        <f>IFERROR(CORREL(J144:N144,J218:N218),"")</f>
        <v/>
      </c>
      <c r="AZ218">
        <f t="shared" si="69"/>
        <v>0</v>
      </c>
      <c r="BA218" t="str">
        <f>IF(AZ218=1,IF(Q218="","",IF(Q218=N144,"Yes","No")),"")</f>
        <v/>
      </c>
      <c r="BB218" t="str">
        <f t="shared" si="70"/>
        <v/>
      </c>
      <c r="BC218" t="str">
        <f>IF(AZ218=1,IF(S218="","",IF(S218=N144,"Yes","No")),"")</f>
        <v/>
      </c>
      <c r="BD218" t="str">
        <f t="shared" si="71"/>
        <v/>
      </c>
      <c r="BE218" t="str">
        <f t="shared" si="72"/>
        <v/>
      </c>
      <c r="BF218" t="str">
        <f t="shared" si="73"/>
        <v>No</v>
      </c>
      <c r="BG218" t="str">
        <f t="shared" si="74"/>
        <v>No</v>
      </c>
      <c r="BH218" t="str">
        <f t="shared" si="75"/>
        <v/>
      </c>
    </row>
    <row r="219" spans="9:60" x14ac:dyDescent="0.3">
      <c r="I219" t="str">
        <f t="shared" si="52"/>
        <v>N/A</v>
      </c>
      <c r="J219" t="str">
        <f t="shared" si="53"/>
        <v>N/A</v>
      </c>
      <c r="K219" t="str">
        <f t="shared" si="54"/>
        <v>N/A</v>
      </c>
      <c r="L219" t="str">
        <f t="shared" si="55"/>
        <v>N/A</v>
      </c>
      <c r="M219" t="str">
        <f t="shared" si="56"/>
        <v>N/A</v>
      </c>
      <c r="N219" t="str">
        <f t="shared" si="57"/>
        <v>N/A</v>
      </c>
      <c r="P219">
        <f t="shared" si="58"/>
        <v>0</v>
      </c>
      <c r="Q219" t="str">
        <f>IFERROR(J144+MATCH(P219,J219:N219,0)-1,"")</f>
        <v/>
      </c>
      <c r="R219" t="str">
        <f t="shared" si="59"/>
        <v/>
      </c>
      <c r="S219" t="str">
        <f>IFERROR(J144+MATCH(R219,J219:N219,0)-1,"")</f>
        <v/>
      </c>
      <c r="T219" t="str">
        <f t="shared" si="60"/>
        <v/>
      </c>
      <c r="U219" t="str">
        <f t="shared" si="61"/>
        <v/>
      </c>
      <c r="V219" t="str">
        <f t="shared" si="62"/>
        <v/>
      </c>
      <c r="W219" t="str">
        <f t="shared" si="63"/>
        <v/>
      </c>
      <c r="X219" t="str">
        <f t="shared" si="64"/>
        <v/>
      </c>
      <c r="Y219" t="str">
        <f t="shared" si="65"/>
        <v/>
      </c>
      <c r="Z219" t="str">
        <f t="shared" si="66"/>
        <v/>
      </c>
      <c r="AA219">
        <f t="shared" si="67"/>
        <v>0</v>
      </c>
      <c r="AB219" t="str">
        <f>IFERROR(V144+MATCH(AA219,V219:Z219,0)-1,"")</f>
        <v/>
      </c>
      <c r="AC219" t="str">
        <f t="shared" si="68"/>
        <v/>
      </c>
      <c r="AE219" t="str">
        <f>IF(ISNUMBER(MATCH("N/A",J219:N219,0)),"",IFERROR((5 * SUMPRODUCT(J144:N144,J219:N219) - PRODUCT(SUM(J144:N144),SUM(J219:N219))) / ((5 * SUM((J144^2)+(K144^2)+(L144^2)+(M144^2)+(N144^2))) - SUM(J144:N144)^2),""))</f>
        <v/>
      </c>
      <c r="AF219" t="str">
        <f>IFERROR(CORREL(J144:N144,J219:N219),"")</f>
        <v/>
      </c>
      <c r="AZ219">
        <f t="shared" si="69"/>
        <v>0</v>
      </c>
      <c r="BA219" t="str">
        <f>IF(AZ219=1,IF(Q219="","",IF(Q219=N144,"Yes","No")),"")</f>
        <v/>
      </c>
      <c r="BB219" t="str">
        <f t="shared" si="70"/>
        <v/>
      </c>
      <c r="BC219" t="str">
        <f>IF(AZ219=1,IF(S219="","",IF(S219=N144,"Yes","No")),"")</f>
        <v/>
      </c>
      <c r="BD219" t="str">
        <f t="shared" si="71"/>
        <v/>
      </c>
      <c r="BE219" t="str">
        <f t="shared" si="72"/>
        <v/>
      </c>
      <c r="BF219" t="str">
        <f t="shared" si="73"/>
        <v>No</v>
      </c>
      <c r="BG219" t="str">
        <f t="shared" si="74"/>
        <v>No</v>
      </c>
      <c r="BH219" t="str">
        <f t="shared" si="75"/>
        <v/>
      </c>
    </row>
    <row r="220" spans="9:60" x14ac:dyDescent="0.3">
      <c r="I220" t="str">
        <f t="shared" si="52"/>
        <v>N/A</v>
      </c>
      <c r="J220" t="str">
        <f t="shared" si="53"/>
        <v>N/A</v>
      </c>
      <c r="K220" t="str">
        <f t="shared" si="54"/>
        <v>N/A</v>
      </c>
      <c r="L220" t="str">
        <f t="shared" si="55"/>
        <v>N/A</v>
      </c>
      <c r="M220" t="str">
        <f t="shared" si="56"/>
        <v>N/A</v>
      </c>
      <c r="N220" t="str">
        <f t="shared" si="57"/>
        <v>N/A</v>
      </c>
      <c r="P220">
        <f t="shared" si="58"/>
        <v>0</v>
      </c>
      <c r="Q220" t="str">
        <f>IFERROR(J144+MATCH(P220,J220:N220,0)-1,"")</f>
        <v/>
      </c>
      <c r="R220" t="str">
        <f t="shared" si="59"/>
        <v/>
      </c>
      <c r="S220" t="str">
        <f>IFERROR(J144+MATCH(R220,J220:N220,0)-1,"")</f>
        <v/>
      </c>
      <c r="T220" t="str">
        <f t="shared" si="60"/>
        <v/>
      </c>
      <c r="U220" t="str">
        <f t="shared" si="61"/>
        <v/>
      </c>
      <c r="V220" t="str">
        <f t="shared" si="62"/>
        <v/>
      </c>
      <c r="W220" t="str">
        <f t="shared" si="63"/>
        <v/>
      </c>
      <c r="X220" t="str">
        <f t="shared" si="64"/>
        <v/>
      </c>
      <c r="Y220" t="str">
        <f t="shared" si="65"/>
        <v/>
      </c>
      <c r="Z220" t="str">
        <f t="shared" si="66"/>
        <v/>
      </c>
      <c r="AA220">
        <f t="shared" si="67"/>
        <v>0</v>
      </c>
      <c r="AB220" t="str">
        <f>IFERROR(V144+MATCH(AA220,V220:Z220,0)-1,"")</f>
        <v/>
      </c>
      <c r="AC220" t="str">
        <f t="shared" si="68"/>
        <v/>
      </c>
      <c r="AE220" t="str">
        <f>IF(ISNUMBER(MATCH("N/A",J220:N220,0)),"",IFERROR((5 * SUMPRODUCT(J144:N144,J220:N220) - PRODUCT(SUM(J144:N144),SUM(J220:N220))) / ((5 * SUM((J144^2)+(K144^2)+(L144^2)+(M144^2)+(N144^2))) - SUM(J144:N144)^2),""))</f>
        <v/>
      </c>
      <c r="AF220" t="str">
        <f>IFERROR(CORREL(J144:N144,J220:N220),"")</f>
        <v/>
      </c>
      <c r="AZ220">
        <f t="shared" si="69"/>
        <v>0</v>
      </c>
      <c r="BA220" t="str">
        <f>IF(AZ220=1,IF(Q220="","",IF(Q220=N144,"Yes","No")),"")</f>
        <v/>
      </c>
      <c r="BB220" t="str">
        <f t="shared" si="70"/>
        <v/>
      </c>
      <c r="BC220" t="str">
        <f>IF(AZ220=1,IF(S220="","",IF(S220=N144,"Yes","No")),"")</f>
        <v/>
      </c>
      <c r="BD220" t="str">
        <f t="shared" si="71"/>
        <v/>
      </c>
      <c r="BE220" t="str">
        <f t="shared" si="72"/>
        <v/>
      </c>
      <c r="BF220" t="str">
        <f t="shared" si="73"/>
        <v>No</v>
      </c>
      <c r="BG220" t="str">
        <f t="shared" si="74"/>
        <v>No</v>
      </c>
      <c r="BH220" t="str">
        <f t="shared" si="75"/>
        <v/>
      </c>
    </row>
    <row r="221" spans="9:60" x14ac:dyDescent="0.3">
      <c r="I221" t="str">
        <f t="shared" si="52"/>
        <v>N/A</v>
      </c>
      <c r="J221" t="str">
        <f t="shared" si="53"/>
        <v>N/A</v>
      </c>
      <c r="K221" t="str">
        <f t="shared" si="54"/>
        <v>N/A</v>
      </c>
      <c r="L221" t="str">
        <f t="shared" si="55"/>
        <v>N/A</v>
      </c>
      <c r="M221" t="str">
        <f t="shared" si="56"/>
        <v>N/A</v>
      </c>
      <c r="N221" t="str">
        <f t="shared" si="57"/>
        <v>N/A</v>
      </c>
      <c r="P221">
        <f t="shared" si="58"/>
        <v>0</v>
      </c>
      <c r="Q221" t="str">
        <f>IFERROR(J144+MATCH(P221,J221:N221,0)-1,"")</f>
        <v/>
      </c>
      <c r="R221" t="str">
        <f t="shared" si="59"/>
        <v/>
      </c>
      <c r="S221" t="str">
        <f>IFERROR(J144+MATCH(R221,J221:N221,0)-1,"")</f>
        <v/>
      </c>
      <c r="T221" t="str">
        <f t="shared" si="60"/>
        <v/>
      </c>
      <c r="U221" t="str">
        <f t="shared" si="61"/>
        <v/>
      </c>
      <c r="V221" t="str">
        <f t="shared" si="62"/>
        <v/>
      </c>
      <c r="W221" t="str">
        <f t="shared" si="63"/>
        <v/>
      </c>
      <c r="X221" t="str">
        <f t="shared" si="64"/>
        <v/>
      </c>
      <c r="Y221" t="str">
        <f t="shared" si="65"/>
        <v/>
      </c>
      <c r="Z221" t="str">
        <f t="shared" si="66"/>
        <v/>
      </c>
      <c r="AA221">
        <f t="shared" si="67"/>
        <v>0</v>
      </c>
      <c r="AB221" t="str">
        <f>IFERROR(V144+MATCH(AA221,V221:Z221,0)-1,"")</f>
        <v/>
      </c>
      <c r="AC221" t="str">
        <f t="shared" si="68"/>
        <v/>
      </c>
      <c r="AE221" t="str">
        <f>IF(ISNUMBER(MATCH("N/A",J221:N221,0)),"",IFERROR((5 * SUMPRODUCT(J144:N144,J221:N221) - PRODUCT(SUM(J144:N144),SUM(J221:N221))) / ((5 * SUM((J144^2)+(K144^2)+(L144^2)+(M144^2)+(N144^2))) - SUM(J144:N144)^2),""))</f>
        <v/>
      </c>
      <c r="AF221" t="str">
        <f>IFERROR(CORREL(J144:N144,J221:N221),"")</f>
        <v/>
      </c>
      <c r="AZ221">
        <f t="shared" si="69"/>
        <v>0</v>
      </c>
      <c r="BA221" t="str">
        <f>IF(AZ221=1,IF(Q221="","",IF(Q221=N144,"Yes","No")),"")</f>
        <v/>
      </c>
      <c r="BB221" t="str">
        <f t="shared" si="70"/>
        <v/>
      </c>
      <c r="BC221" t="str">
        <f>IF(AZ221=1,IF(S221="","",IF(S221=N144,"Yes","No")),"")</f>
        <v/>
      </c>
      <c r="BD221" t="str">
        <f t="shared" si="71"/>
        <v/>
      </c>
      <c r="BE221" t="str">
        <f t="shared" si="72"/>
        <v/>
      </c>
      <c r="BF221" t="str">
        <f t="shared" si="73"/>
        <v>No</v>
      </c>
      <c r="BG221" t="str">
        <f t="shared" si="74"/>
        <v>No</v>
      </c>
      <c r="BH221" t="str">
        <f t="shared" si="75"/>
        <v/>
      </c>
    </row>
    <row r="222" spans="9:60" x14ac:dyDescent="0.3">
      <c r="I222" t="str">
        <f t="shared" si="52"/>
        <v>N/A</v>
      </c>
      <c r="J222" t="str">
        <f t="shared" si="53"/>
        <v>N/A</v>
      </c>
      <c r="K222" t="str">
        <f t="shared" si="54"/>
        <v>N/A</v>
      </c>
      <c r="L222" t="str">
        <f t="shared" si="55"/>
        <v>N/A</v>
      </c>
      <c r="M222" t="str">
        <f t="shared" si="56"/>
        <v>N/A</v>
      </c>
      <c r="N222" t="str">
        <f t="shared" si="57"/>
        <v>N/A</v>
      </c>
      <c r="P222">
        <f t="shared" si="58"/>
        <v>0</v>
      </c>
      <c r="Q222" t="str">
        <f>IFERROR(J144+MATCH(P222,J222:N222,0)-1,"")</f>
        <v/>
      </c>
      <c r="R222" t="str">
        <f t="shared" si="59"/>
        <v/>
      </c>
      <c r="S222" t="str">
        <f>IFERROR(J144+MATCH(R222,J222:N222,0)-1,"")</f>
        <v/>
      </c>
      <c r="T222" t="str">
        <f t="shared" si="60"/>
        <v/>
      </c>
      <c r="U222" t="str">
        <f t="shared" si="61"/>
        <v/>
      </c>
      <c r="V222" t="str">
        <f t="shared" si="62"/>
        <v/>
      </c>
      <c r="W222" t="str">
        <f t="shared" si="63"/>
        <v/>
      </c>
      <c r="X222" t="str">
        <f t="shared" si="64"/>
        <v/>
      </c>
      <c r="Y222" t="str">
        <f t="shared" si="65"/>
        <v/>
      </c>
      <c r="Z222" t="str">
        <f t="shared" si="66"/>
        <v/>
      </c>
      <c r="AA222">
        <f t="shared" si="67"/>
        <v>0</v>
      </c>
      <c r="AB222" t="str">
        <f>IFERROR(V144+MATCH(AA222,V222:Z222,0)-1,"")</f>
        <v/>
      </c>
      <c r="AC222" t="str">
        <f t="shared" si="68"/>
        <v/>
      </c>
      <c r="AE222" t="str">
        <f>IF(ISNUMBER(MATCH("N/A",J222:N222,0)),"",IFERROR((5 * SUMPRODUCT(J144:N144,J222:N222) - PRODUCT(SUM(J144:N144),SUM(J222:N222))) / ((5 * SUM((J144^2)+(K144^2)+(L144^2)+(M144^2)+(N144^2))) - SUM(J144:N144)^2),""))</f>
        <v/>
      </c>
      <c r="AF222" t="str">
        <f>IFERROR(CORREL(J144:N144,J222:N222),"")</f>
        <v/>
      </c>
      <c r="AZ222">
        <f t="shared" si="69"/>
        <v>0</v>
      </c>
      <c r="BA222" t="str">
        <f>IF(AZ222=1,IF(Q222="","",IF(Q222=N144,"Yes","No")),"")</f>
        <v/>
      </c>
      <c r="BB222" t="str">
        <f t="shared" si="70"/>
        <v/>
      </c>
      <c r="BC222" t="str">
        <f>IF(AZ222=1,IF(S222="","",IF(S222=N144,"Yes","No")),"")</f>
        <v/>
      </c>
      <c r="BD222" t="str">
        <f t="shared" si="71"/>
        <v/>
      </c>
      <c r="BE222" t="str">
        <f t="shared" si="72"/>
        <v/>
      </c>
      <c r="BF222" t="str">
        <f t="shared" si="73"/>
        <v>No</v>
      </c>
      <c r="BG222" t="str">
        <f t="shared" si="74"/>
        <v>No</v>
      </c>
      <c r="BH222" t="str">
        <f t="shared" si="75"/>
        <v/>
      </c>
    </row>
    <row r="223" spans="9:60" x14ac:dyDescent="0.3">
      <c r="I223" t="str">
        <f t="shared" si="52"/>
        <v>N/A</v>
      </c>
      <c r="J223" t="str">
        <f t="shared" si="53"/>
        <v>N/A</v>
      </c>
      <c r="K223" t="str">
        <f t="shared" si="54"/>
        <v>N/A</v>
      </c>
      <c r="L223" t="str">
        <f t="shared" si="55"/>
        <v>N/A</v>
      </c>
      <c r="M223" t="str">
        <f t="shared" si="56"/>
        <v>N/A</v>
      </c>
      <c r="N223" t="str">
        <f t="shared" si="57"/>
        <v>N/A</v>
      </c>
      <c r="P223">
        <f t="shared" si="58"/>
        <v>0</v>
      </c>
      <c r="Q223" t="str">
        <f>IFERROR(J144+MATCH(P223,J223:N223,0)-1,"")</f>
        <v/>
      </c>
      <c r="R223" t="str">
        <f t="shared" si="59"/>
        <v/>
      </c>
      <c r="S223" t="str">
        <f>IFERROR(J144+MATCH(R223,J223:N223,0)-1,"")</f>
        <v/>
      </c>
      <c r="T223" t="str">
        <f t="shared" si="60"/>
        <v/>
      </c>
      <c r="U223" t="str">
        <f t="shared" si="61"/>
        <v/>
      </c>
      <c r="V223" t="str">
        <f t="shared" si="62"/>
        <v/>
      </c>
      <c r="W223" t="str">
        <f t="shared" si="63"/>
        <v/>
      </c>
      <c r="X223" t="str">
        <f t="shared" si="64"/>
        <v/>
      </c>
      <c r="Y223" t="str">
        <f t="shared" si="65"/>
        <v/>
      </c>
      <c r="Z223" t="str">
        <f t="shared" si="66"/>
        <v/>
      </c>
      <c r="AA223">
        <f t="shared" si="67"/>
        <v>0</v>
      </c>
      <c r="AB223" t="str">
        <f>IFERROR(V144+MATCH(AA223,V223:Z223,0)-1,"")</f>
        <v/>
      </c>
      <c r="AC223" t="str">
        <f t="shared" si="68"/>
        <v/>
      </c>
      <c r="AE223" t="str">
        <f>IF(ISNUMBER(MATCH("N/A",J223:N223,0)),"",IFERROR((5 * SUMPRODUCT(J144:N144,J223:N223) - PRODUCT(SUM(J144:N144),SUM(J223:N223))) / ((5 * SUM((J144^2)+(K144^2)+(L144^2)+(M144^2)+(N144^2))) - SUM(J144:N144)^2),""))</f>
        <v/>
      </c>
      <c r="AF223" t="str">
        <f>IFERROR(CORREL(J144:N144,J223:N223),"")</f>
        <v/>
      </c>
      <c r="AZ223">
        <f t="shared" si="69"/>
        <v>0</v>
      </c>
      <c r="BA223" t="str">
        <f>IF(AZ223=1,IF(Q223="","",IF(Q223=N144,"Yes","No")),"")</f>
        <v/>
      </c>
      <c r="BB223" t="str">
        <f t="shared" si="70"/>
        <v/>
      </c>
      <c r="BC223" t="str">
        <f>IF(AZ223=1,IF(S223="","",IF(S223=N144,"Yes","No")),"")</f>
        <v/>
      </c>
      <c r="BD223" t="str">
        <f t="shared" si="71"/>
        <v/>
      </c>
      <c r="BE223" t="str">
        <f t="shared" si="72"/>
        <v/>
      </c>
      <c r="BF223" t="str">
        <f t="shared" si="73"/>
        <v>No</v>
      </c>
      <c r="BG223" t="str">
        <f t="shared" si="74"/>
        <v>No</v>
      </c>
      <c r="BH223" t="str">
        <f t="shared" si="75"/>
        <v/>
      </c>
    </row>
    <row r="224" spans="9:60" x14ac:dyDescent="0.3">
      <c r="I224" t="str">
        <f t="shared" si="52"/>
        <v>N/A</v>
      </c>
      <c r="J224" t="str">
        <f t="shared" si="53"/>
        <v>N/A</v>
      </c>
      <c r="K224" t="str">
        <f t="shared" si="54"/>
        <v>N/A</v>
      </c>
      <c r="L224" t="str">
        <f t="shared" si="55"/>
        <v>N/A</v>
      </c>
      <c r="M224" t="str">
        <f t="shared" si="56"/>
        <v>N/A</v>
      </c>
      <c r="N224" t="str">
        <f t="shared" si="57"/>
        <v>N/A</v>
      </c>
      <c r="P224">
        <f t="shared" si="58"/>
        <v>0</v>
      </c>
      <c r="Q224" t="str">
        <f>IFERROR(J144+MATCH(P224,J224:N224,0)-1,"")</f>
        <v/>
      </c>
      <c r="R224" t="str">
        <f t="shared" si="59"/>
        <v/>
      </c>
      <c r="S224" t="str">
        <f>IFERROR(J144+MATCH(R224,J224:N224,0)-1,"")</f>
        <v/>
      </c>
      <c r="T224" t="str">
        <f t="shared" si="60"/>
        <v/>
      </c>
      <c r="U224" t="str">
        <f t="shared" si="61"/>
        <v/>
      </c>
      <c r="V224" t="str">
        <f t="shared" si="62"/>
        <v/>
      </c>
      <c r="W224" t="str">
        <f t="shared" si="63"/>
        <v/>
      </c>
      <c r="X224" t="str">
        <f t="shared" si="64"/>
        <v/>
      </c>
      <c r="Y224" t="str">
        <f t="shared" si="65"/>
        <v/>
      </c>
      <c r="Z224" t="str">
        <f t="shared" si="66"/>
        <v/>
      </c>
      <c r="AA224">
        <f t="shared" si="67"/>
        <v>0</v>
      </c>
      <c r="AB224" t="str">
        <f>IFERROR(V144+MATCH(AA224,V224:Z224,0)-1,"")</f>
        <v/>
      </c>
      <c r="AC224" t="str">
        <f t="shared" si="68"/>
        <v/>
      </c>
      <c r="AE224" t="str">
        <f>IF(ISNUMBER(MATCH("N/A",J224:N224,0)),"",IFERROR((5 * SUMPRODUCT(J144:N144,J224:N224) - PRODUCT(SUM(J144:N144),SUM(J224:N224))) / ((5 * SUM((J144^2)+(K144^2)+(L144^2)+(M144^2)+(N144^2))) - SUM(J144:N144)^2),""))</f>
        <v/>
      </c>
      <c r="AF224" t="str">
        <f>IFERROR(CORREL(J144:N144,J224:N224),"")</f>
        <v/>
      </c>
      <c r="AZ224">
        <f t="shared" si="69"/>
        <v>0</v>
      </c>
      <c r="BA224" t="str">
        <f>IF(AZ224=1,IF(Q224="","",IF(Q224=N144,"Yes","No")),"")</f>
        <v/>
      </c>
      <c r="BB224" t="str">
        <f t="shared" si="70"/>
        <v/>
      </c>
      <c r="BC224" t="str">
        <f>IF(AZ224=1,IF(S224="","",IF(S224=N144,"Yes","No")),"")</f>
        <v/>
      </c>
      <c r="BD224" t="str">
        <f t="shared" si="71"/>
        <v/>
      </c>
      <c r="BE224" t="str">
        <f t="shared" si="72"/>
        <v/>
      </c>
      <c r="BF224" t="str">
        <f t="shared" si="73"/>
        <v>No</v>
      </c>
      <c r="BG224" t="str">
        <f t="shared" si="74"/>
        <v>No</v>
      </c>
      <c r="BH224" t="str">
        <f t="shared" si="75"/>
        <v/>
      </c>
    </row>
    <row r="225" spans="9:60" x14ac:dyDescent="0.3">
      <c r="I225" t="str">
        <f t="shared" si="52"/>
        <v>N/A</v>
      </c>
      <c r="J225" t="str">
        <f t="shared" si="53"/>
        <v>N/A</v>
      </c>
      <c r="K225" t="str">
        <f t="shared" si="54"/>
        <v>N/A</v>
      </c>
      <c r="L225" t="str">
        <f t="shared" si="55"/>
        <v>N/A</v>
      </c>
      <c r="M225" t="str">
        <f t="shared" si="56"/>
        <v>N/A</v>
      </c>
      <c r="N225" t="str">
        <f t="shared" si="57"/>
        <v>N/A</v>
      </c>
      <c r="P225">
        <f t="shared" si="58"/>
        <v>0</v>
      </c>
      <c r="Q225" t="str">
        <f>IFERROR(J144+MATCH(P225,J225:N225,0)-1,"")</f>
        <v/>
      </c>
      <c r="R225" t="str">
        <f t="shared" si="59"/>
        <v/>
      </c>
      <c r="S225" t="str">
        <f>IFERROR(J144+MATCH(R225,J225:N225,0)-1,"")</f>
        <v/>
      </c>
      <c r="T225" t="str">
        <f t="shared" si="60"/>
        <v/>
      </c>
      <c r="U225" t="str">
        <f t="shared" si="61"/>
        <v/>
      </c>
      <c r="V225" t="str">
        <f t="shared" si="62"/>
        <v/>
      </c>
      <c r="W225" t="str">
        <f t="shared" si="63"/>
        <v/>
      </c>
      <c r="X225" t="str">
        <f t="shared" si="64"/>
        <v/>
      </c>
      <c r="Y225" t="str">
        <f t="shared" si="65"/>
        <v/>
      </c>
      <c r="Z225" t="str">
        <f t="shared" si="66"/>
        <v/>
      </c>
      <c r="AA225">
        <f t="shared" si="67"/>
        <v>0</v>
      </c>
      <c r="AB225" t="str">
        <f>IFERROR(V144+MATCH(AA225,V225:Z225,0)-1,"")</f>
        <v/>
      </c>
      <c r="AC225" t="str">
        <f t="shared" si="68"/>
        <v/>
      </c>
      <c r="AE225" t="str">
        <f>IF(ISNUMBER(MATCH("N/A",J225:N225,0)),"",IFERROR((5 * SUMPRODUCT(J144:N144,J225:N225) - PRODUCT(SUM(J144:N144),SUM(J225:N225))) / ((5 * SUM((J144^2)+(K144^2)+(L144^2)+(M144^2)+(N144^2))) - SUM(J144:N144)^2),""))</f>
        <v/>
      </c>
      <c r="AF225" t="str">
        <f>IFERROR(CORREL(J144:N144,J225:N225),"")</f>
        <v/>
      </c>
      <c r="AZ225">
        <f t="shared" si="69"/>
        <v>0</v>
      </c>
      <c r="BA225" t="str">
        <f>IF(AZ225=1,IF(Q225="","",IF(Q225=N144,"Yes","No")),"")</f>
        <v/>
      </c>
      <c r="BB225" t="str">
        <f t="shared" si="70"/>
        <v/>
      </c>
      <c r="BC225" t="str">
        <f>IF(AZ225=1,IF(S225="","",IF(S225=N144,"Yes","No")),"")</f>
        <v/>
      </c>
      <c r="BD225" t="str">
        <f t="shared" si="71"/>
        <v/>
      </c>
      <c r="BE225" t="str">
        <f t="shared" si="72"/>
        <v/>
      </c>
      <c r="BF225" t="str">
        <f t="shared" si="73"/>
        <v>No</v>
      </c>
      <c r="BG225" t="str">
        <f t="shared" si="74"/>
        <v>No</v>
      </c>
      <c r="BH225" t="str">
        <f t="shared" si="75"/>
        <v/>
      </c>
    </row>
    <row r="226" spans="9:60" x14ac:dyDescent="0.3">
      <c r="I226" t="str">
        <f t="shared" si="52"/>
        <v>N/A</v>
      </c>
      <c r="J226" t="str">
        <f t="shared" si="53"/>
        <v>N/A</v>
      </c>
      <c r="K226" t="str">
        <f t="shared" si="54"/>
        <v>N/A</v>
      </c>
      <c r="L226" t="str">
        <f t="shared" si="55"/>
        <v>N/A</v>
      </c>
      <c r="M226" t="str">
        <f t="shared" si="56"/>
        <v>N/A</v>
      </c>
      <c r="N226" t="str">
        <f t="shared" si="57"/>
        <v>N/A</v>
      </c>
      <c r="P226">
        <f t="shared" si="58"/>
        <v>0</v>
      </c>
      <c r="Q226" t="str">
        <f>IFERROR(J144+MATCH(P226,J226:N226,0)-1,"")</f>
        <v/>
      </c>
      <c r="R226" t="str">
        <f t="shared" si="59"/>
        <v/>
      </c>
      <c r="S226" t="str">
        <f>IFERROR(J144+MATCH(R226,J226:N226,0)-1,"")</f>
        <v/>
      </c>
      <c r="T226" t="str">
        <f t="shared" si="60"/>
        <v/>
      </c>
      <c r="U226" t="str">
        <f t="shared" si="61"/>
        <v/>
      </c>
      <c r="V226" t="str">
        <f t="shared" si="62"/>
        <v/>
      </c>
      <c r="W226" t="str">
        <f t="shared" si="63"/>
        <v/>
      </c>
      <c r="X226" t="str">
        <f t="shared" si="64"/>
        <v/>
      </c>
      <c r="Y226" t="str">
        <f t="shared" si="65"/>
        <v/>
      </c>
      <c r="Z226" t="str">
        <f t="shared" si="66"/>
        <v/>
      </c>
      <c r="AA226">
        <f t="shared" si="67"/>
        <v>0</v>
      </c>
      <c r="AB226" t="str">
        <f>IFERROR(V144+MATCH(AA226,V226:Z226,0)-1,"")</f>
        <v/>
      </c>
      <c r="AC226" t="str">
        <f t="shared" si="68"/>
        <v/>
      </c>
      <c r="AE226" t="str">
        <f>IF(ISNUMBER(MATCH("N/A",J226:N226,0)),"",IFERROR((5 * SUMPRODUCT(J144:N144,J226:N226) - PRODUCT(SUM(J144:N144),SUM(J226:N226))) / ((5 * SUM((J144^2)+(K144^2)+(L144^2)+(M144^2)+(N144^2))) - SUM(J144:N144)^2),""))</f>
        <v/>
      </c>
      <c r="AF226" t="str">
        <f>IFERROR(CORREL(J144:N144,J226:N226),"")</f>
        <v/>
      </c>
      <c r="AZ226">
        <f t="shared" si="69"/>
        <v>0</v>
      </c>
      <c r="BA226" t="str">
        <f>IF(AZ226=1,IF(Q226="","",IF(Q226=N144,"Yes","No")),"")</f>
        <v/>
      </c>
      <c r="BB226" t="str">
        <f t="shared" si="70"/>
        <v/>
      </c>
      <c r="BC226" t="str">
        <f>IF(AZ226=1,IF(S226="","",IF(S226=N144,"Yes","No")),"")</f>
        <v/>
      </c>
      <c r="BD226" t="str">
        <f t="shared" si="71"/>
        <v/>
      </c>
      <c r="BE226" t="str">
        <f t="shared" si="72"/>
        <v/>
      </c>
      <c r="BF226" t="str">
        <f t="shared" si="73"/>
        <v>No</v>
      </c>
      <c r="BG226" t="str">
        <f t="shared" si="74"/>
        <v>No</v>
      </c>
      <c r="BH226" t="str">
        <f t="shared" si="75"/>
        <v/>
      </c>
    </row>
    <row r="227" spans="9:60" x14ac:dyDescent="0.3">
      <c r="P227">
        <f t="shared" si="58"/>
        <v>0</v>
      </c>
      <c r="Q227" t="str">
        <f>IFERROR(J144+MATCH(P227,J227:N227,0)-1,"")</f>
        <v/>
      </c>
      <c r="R227" t="str">
        <f t="shared" si="59"/>
        <v/>
      </c>
      <c r="S227" t="str">
        <f>IFERROR(J144+MATCH(R227,J227:N227,0)-1,"")</f>
        <v/>
      </c>
      <c r="T227" t="str">
        <f t="shared" si="60"/>
        <v/>
      </c>
      <c r="U227" t="str">
        <f t="shared" si="61"/>
        <v/>
      </c>
      <c r="V227" t="str">
        <f t="shared" si="62"/>
        <v/>
      </c>
      <c r="W227" t="str">
        <f t="shared" si="63"/>
        <v/>
      </c>
      <c r="X227" t="str">
        <f t="shared" si="64"/>
        <v/>
      </c>
      <c r="Y227" t="str">
        <f t="shared" si="65"/>
        <v/>
      </c>
      <c r="Z227" t="str">
        <f t="shared" si="66"/>
        <v/>
      </c>
      <c r="AA227">
        <f t="shared" si="67"/>
        <v>0</v>
      </c>
      <c r="AB227" t="str">
        <f>IFERROR(V144+MATCH(AA227,V227:Z227,0)-1,"")</f>
        <v/>
      </c>
      <c r="AC227" t="str">
        <f t="shared" si="68"/>
        <v/>
      </c>
      <c r="AE227" t="str">
        <f>IF(ISNUMBER(MATCH("N/A",J227:N227,0)),"",IFERROR((5 * SUMPRODUCT(J144:N144,J227:N227) - PRODUCT(SUM(J144:N144),SUM(J227:N227))) / ((5 * SUM((J144^2)+(K144^2)+(L144^2)+(M144^2)+(N144^2))) - SUM(J144:N144)^2),""))</f>
        <v/>
      </c>
      <c r="AF227" t="str">
        <f>IFERROR(CORREL(J144:N144,J227:N227),"")</f>
        <v/>
      </c>
      <c r="AZ227">
        <f t="shared" si="69"/>
        <v>0</v>
      </c>
      <c r="BA227" t="str">
        <f>IF(AZ227=1,IF(Q227="","",IF(Q227=N144,"Yes","No")),"")</f>
        <v/>
      </c>
      <c r="BB227" t="str">
        <f t="shared" si="70"/>
        <v/>
      </c>
      <c r="BC227" t="str">
        <f>IF(AZ227=1,IF(S227="","",IF(S227=N144,"Yes","No")),"")</f>
        <v/>
      </c>
      <c r="BD227" t="str">
        <f t="shared" si="71"/>
        <v/>
      </c>
      <c r="BE227" t="str">
        <f t="shared" si="72"/>
        <v/>
      </c>
      <c r="BF227" t="str">
        <f t="shared" si="73"/>
        <v>No</v>
      </c>
      <c r="BG227" t="str">
        <f t="shared" si="74"/>
        <v>No</v>
      </c>
      <c r="BH227" t="str">
        <f t="shared" si="75"/>
        <v/>
      </c>
    </row>
    <row r="228" spans="9:60" x14ac:dyDescent="0.3">
      <c r="I228" t="str">
        <f t="shared" ref="I228:I245" si="76">IF(AND(K228&gt; J228, L228&gt; K228, M228&gt; L228, N228&gt; M228), "pos_trend", IF(AND(K228&lt; J228, L228&lt; K228, M228&lt; L228, N228&lt; M228), "neg_trend", "N/A"))</f>
        <v>N/A</v>
      </c>
      <c r="J228" t="str">
        <f t="shared" ref="J228:J245" si="77">IFERROR(IF(TRIM(C228)="-", "N/A", IF(RIGHT(C228,1)=")",IF(RIGHT(C228,2)="T)",-1000000000000*VALUE(MID(C228,2,LEN(C228)-3)),IF(RIGHT(C228,2)="M)",-1000000*VALUE(MID(C228,2,LEN(C228)-3)),IF(RIGHT(C228,2)="B)",-1000000000*VALUE(MID(C228,2,LEN(C228)-3)),IF(RIGHT(C228,2)="k)",-1000*VALUE(MID(C228,2,LEN(C228)-3)),VALUE(SUBSTITUTE(C228,",","")))))),IF(RIGHT(C228,1)="T",1000000000000*VALUE(LEFT(C228,LEN(C228)-1)),IF(RIGHT(C228,1)="M",1000000*VALUE(LEFT(C228,LEN(C228)-1)),IF(RIGHT(C228,1)="B",1000000000*VALUE(LEFT(C228,LEN(C228)-1)),IF(RIGHT(C228,1)="%",0.01*VALUE(LEFT(C228,LEN(C228)-1)),IF(RIGHT(C228,1)="k",1000*VALUE(LEFT(C228,LEN(C228)-1)),VALUE(SUBSTITUTE(C228,",",""))))))))),"N/A")</f>
        <v>N/A</v>
      </c>
      <c r="K228" t="str">
        <f t="shared" ref="K228:K245" si="78">IFERROR(IF(TRIM(D228)="-", "N/A", IF(RIGHT(D228,1)=")",IF(RIGHT(D228,2)="T)",-1000000000000*VALUE(MID(D228,2,LEN(D228)-3)),IF(RIGHT(D228,2)="M)",-1000000*VALUE(MID(D228,2,LEN(D228)-3)),IF(RIGHT(D228,2)="B)",-1000000000*VALUE(MID(D228,2,LEN(D228)-3)),IF(RIGHT(D228,2)="k)",-1000*VALUE(MID(D228,2,LEN(D228)-3)),VALUE(SUBSTITUTE(D228,",","")))))),IF(RIGHT(D228,1)="T",1000000000000*VALUE(LEFT(D228,LEN(D228)-1)),IF(RIGHT(D228,1)="M",1000000*VALUE(LEFT(D228,LEN(D228)-1)),IF(RIGHT(D228,1)="B",1000000000*VALUE(LEFT(D228,LEN(D228)-1)),IF(RIGHT(D228,1)="%",0.01*VALUE(LEFT(D228,LEN(D228)-1)),IF(RIGHT(D228,1)="k",1000*VALUE(LEFT(D228,LEN(D228)-1)),VALUE(SUBSTITUTE(D228,",",""))))))))),"N/A")</f>
        <v>N/A</v>
      </c>
      <c r="L228" t="str">
        <f t="shared" ref="L228:L245" si="79">IFERROR(IF(TRIM(E228)="-", "N/A", IF(RIGHT(E228,1)=")",IF(RIGHT(E228,2)="T)",-1000000000000*VALUE(MID(E228,2,LEN(E228)-3)),IF(RIGHT(E228,2)="M)",-1000000*VALUE(MID(E228,2,LEN(E228)-3)),IF(RIGHT(E228,2)="B)",-1000000000*VALUE(MID(E228,2,LEN(E228)-3)),IF(RIGHT(E228,2)="k)",-1000*VALUE(MID(E228,2,LEN(E228)-3)),VALUE(SUBSTITUTE(E228,",","")))))),IF(RIGHT(E228,1)="T",1000000000000*VALUE(LEFT(E228,LEN(E228)-1)),IF(RIGHT(E228,1)="M",1000000*VALUE(LEFT(E228,LEN(E228)-1)),IF(RIGHT(E228,1)="B",1000000000*VALUE(LEFT(E228,LEN(E228)-1)),IF(RIGHT(E228,1)="%",0.01*VALUE(LEFT(E228,LEN(E228)-1)),IF(RIGHT(E228,1)="k",1000*VALUE(LEFT(E228,LEN(E228)-1)),VALUE(SUBSTITUTE(E228,",",""))))))))),"N/A")</f>
        <v>N/A</v>
      </c>
      <c r="M228" t="str">
        <f t="shared" ref="M228:M245" si="80">IFERROR(IF(TRIM(F228)="-", "N/A", IF(RIGHT(F228,1)=")",IF(RIGHT(F228,2)="T)",-1000000000000*VALUE(MID(F228,2,LEN(F228)-3)),IF(RIGHT(F228,2)="M)",-1000000*VALUE(MID(F228,2,LEN(F228)-3)),IF(RIGHT(F228,2)="B)",-1000000000*VALUE(MID(F228,2,LEN(F228)-3)),IF(RIGHT(F228,2)="k)",-1000*VALUE(MID(F228,2,LEN(F228)-3)),VALUE(SUBSTITUTE(F228,",","")))))),IF(RIGHT(F228,1)="T",1000000000000*VALUE(LEFT(F228,LEN(F228)-1)),IF(RIGHT(F228,1)="M",1000000*VALUE(LEFT(F228,LEN(F228)-1)),IF(RIGHT(F228,1)="B",1000000000*VALUE(LEFT(F228,LEN(F228)-1)),IF(RIGHT(F228,1)="%",0.01*VALUE(LEFT(F228,LEN(F228)-1)),IF(RIGHT(F228,1)="k",1000*VALUE(LEFT(F228,LEN(F228)-1)),VALUE(SUBSTITUTE(F228,",",""))))))))),"N/A")</f>
        <v>N/A</v>
      </c>
      <c r="N228" t="str">
        <f t="shared" ref="N228:N245" si="81">IFERROR(IF(TRIM(G228)="-", "N/A", IF(RIGHT(G228,1)=")",IF(RIGHT(G228,2)="T)",-1000000000000*VALUE(MID(G228,2,LEN(G228)-3)),IF(RIGHT(G228,2)="M)",-1000000*VALUE(MID(G228,2,LEN(G228)-3)),IF(RIGHT(G228,2)="B)",-1000000000*VALUE(MID(G228,2,LEN(G228)-3)),IF(RIGHT(G228,2)="k)",-1000*VALUE(MID(G228,2,LEN(G228)-3)),VALUE(SUBSTITUTE(G228,",","")))))),IF(RIGHT(G228,1)="T",1000000000000*VALUE(LEFT(G228,LEN(G228)-1)),IF(RIGHT(G228,1)="M",1000000*VALUE(LEFT(G228,LEN(G228)-1)),IF(RIGHT(G228,1)="B",1000000000*VALUE(LEFT(G228,LEN(G228)-1)),IF(RIGHT(G228,1)="%",0.01*VALUE(LEFT(G228,LEN(G228)-1)),IF(RIGHT(G228,1)="k",1000*VALUE(LEFT(G228,LEN(G228)-1)),VALUE(SUBSTITUTE(G228,",",""))))))))),"N/A")</f>
        <v>N/A</v>
      </c>
      <c r="P228">
        <f t="shared" si="58"/>
        <v>0</v>
      </c>
      <c r="Q228" t="str">
        <f>IFERROR(J144+MATCH(P228,J228:N228,0)-1,"")</f>
        <v/>
      </c>
      <c r="R228" t="str">
        <f t="shared" si="59"/>
        <v/>
      </c>
      <c r="S228" t="str">
        <f>IFERROR(J144+MATCH(R228,J228:N228,0)-1,"")</f>
        <v/>
      </c>
      <c r="T228" t="str">
        <f t="shared" si="60"/>
        <v/>
      </c>
      <c r="U228" t="str">
        <f t="shared" si="61"/>
        <v/>
      </c>
      <c r="V228" t="str">
        <f t="shared" si="62"/>
        <v/>
      </c>
      <c r="W228" t="str">
        <f t="shared" si="63"/>
        <v/>
      </c>
      <c r="X228" t="str">
        <f t="shared" si="64"/>
        <v/>
      </c>
      <c r="Y228" t="str">
        <f t="shared" si="65"/>
        <v/>
      </c>
      <c r="Z228" t="str">
        <f t="shared" si="66"/>
        <v/>
      </c>
      <c r="AA228">
        <f t="shared" si="67"/>
        <v>0</v>
      </c>
      <c r="AB228" t="str">
        <f>IFERROR(V144+MATCH(AA228,V228:Z228,0)-1,"")</f>
        <v/>
      </c>
      <c r="AC228" t="str">
        <f t="shared" si="68"/>
        <v/>
      </c>
      <c r="AE228" t="str">
        <f>IF(ISNUMBER(MATCH("N/A",J228:N228,0)),"",IFERROR((5 * SUMPRODUCT(J144:N144,J228:N228) - PRODUCT(SUM(J144:N144),SUM(J228:N228))) / ((5 * SUM((J144^2)+(K144^2)+(L144^2)+(M144^2)+(N144^2))) - SUM(J144:N144)^2),""))</f>
        <v/>
      </c>
      <c r="AF228" t="str">
        <f>IFERROR(CORREL(J144:N144,J228:N228),"")</f>
        <v/>
      </c>
      <c r="AZ228">
        <f t="shared" si="69"/>
        <v>0</v>
      </c>
      <c r="BA228" t="str">
        <f>IF(AZ228=1,IF(Q228="","",IF(Q228=N144,"Yes","No")),"")</f>
        <v/>
      </c>
      <c r="BB228" t="str">
        <f t="shared" si="70"/>
        <v/>
      </c>
      <c r="BC228" t="str">
        <f>IF(AZ228=1,IF(S228="","",IF(S228=N144,"Yes","No")),"")</f>
        <v/>
      </c>
      <c r="BD228" t="str">
        <f t="shared" si="71"/>
        <v/>
      </c>
      <c r="BE228" t="str">
        <f t="shared" si="72"/>
        <v/>
      </c>
      <c r="BF228" t="str">
        <f t="shared" si="73"/>
        <v>No</v>
      </c>
      <c r="BG228" t="str">
        <f t="shared" si="74"/>
        <v>No</v>
      </c>
      <c r="BH228" t="str">
        <f t="shared" si="75"/>
        <v/>
      </c>
    </row>
    <row r="229" spans="9:60" x14ac:dyDescent="0.3">
      <c r="I229" t="str">
        <f t="shared" si="76"/>
        <v>N/A</v>
      </c>
      <c r="J229" t="str">
        <f t="shared" si="77"/>
        <v>N/A</v>
      </c>
      <c r="K229" t="str">
        <f t="shared" si="78"/>
        <v>N/A</v>
      </c>
      <c r="L229" t="str">
        <f t="shared" si="79"/>
        <v>N/A</v>
      </c>
      <c r="M229" t="str">
        <f t="shared" si="80"/>
        <v>N/A</v>
      </c>
      <c r="N229" t="str">
        <f t="shared" si="81"/>
        <v>N/A</v>
      </c>
      <c r="P229">
        <f t="shared" si="58"/>
        <v>0</v>
      </c>
      <c r="Q229" t="str">
        <f>IFERROR(J144+MATCH(P229,J229:N229,0)-1,"")</f>
        <v/>
      </c>
      <c r="R229" t="str">
        <f t="shared" si="59"/>
        <v/>
      </c>
      <c r="S229" t="str">
        <f>IFERROR(J144+MATCH(R229,J229:N229,0)-1,"")</f>
        <v/>
      </c>
      <c r="T229" t="str">
        <f t="shared" si="60"/>
        <v/>
      </c>
      <c r="U229" t="str">
        <f t="shared" si="61"/>
        <v/>
      </c>
      <c r="V229" t="str">
        <f t="shared" si="62"/>
        <v/>
      </c>
      <c r="W229" t="str">
        <f t="shared" si="63"/>
        <v/>
      </c>
      <c r="X229" t="str">
        <f t="shared" si="64"/>
        <v/>
      </c>
      <c r="Y229" t="str">
        <f t="shared" si="65"/>
        <v/>
      </c>
      <c r="Z229" t="str">
        <f t="shared" si="66"/>
        <v/>
      </c>
      <c r="AA229">
        <f t="shared" si="67"/>
        <v>0</v>
      </c>
      <c r="AB229" t="str">
        <f>IFERROR(V144+MATCH(AA229,V229:Z229,0)-1,"")</f>
        <v/>
      </c>
      <c r="AC229" t="str">
        <f t="shared" si="68"/>
        <v/>
      </c>
      <c r="AE229" t="str">
        <f>IF(ISNUMBER(MATCH("N/A",J229:N229,0)),"",IFERROR((5 * SUMPRODUCT(J144:N144,J229:N229) - PRODUCT(SUM(J144:N144),SUM(J229:N229))) / ((5 * SUM((J144^2)+(K144^2)+(L144^2)+(M144^2)+(N144^2))) - SUM(J144:N144)^2),""))</f>
        <v/>
      </c>
      <c r="AF229" t="str">
        <f>IFERROR(CORREL(J144:N144,J229:N229),"")</f>
        <v/>
      </c>
      <c r="AZ229">
        <f t="shared" si="69"/>
        <v>0</v>
      </c>
      <c r="BA229" t="str">
        <f>IF(AZ229=1,IF(Q229="","",IF(Q229=N144,"Yes","No")),"")</f>
        <v/>
      </c>
      <c r="BB229" t="str">
        <f t="shared" si="70"/>
        <v/>
      </c>
      <c r="BC229" t="str">
        <f>IF(AZ229=1,IF(S229="","",IF(S229=N144,"Yes","No")),"")</f>
        <v/>
      </c>
      <c r="BD229" t="str">
        <f t="shared" si="71"/>
        <v/>
      </c>
      <c r="BE229" t="str">
        <f t="shared" si="72"/>
        <v/>
      </c>
      <c r="BF229" t="str">
        <f t="shared" si="73"/>
        <v>No</v>
      </c>
      <c r="BG229" t="str">
        <f t="shared" si="74"/>
        <v>No</v>
      </c>
      <c r="BH229" t="str">
        <f t="shared" si="75"/>
        <v/>
      </c>
    </row>
    <row r="230" spans="9:60" x14ac:dyDescent="0.3">
      <c r="I230" t="str">
        <f t="shared" si="76"/>
        <v>N/A</v>
      </c>
      <c r="J230" t="str">
        <f t="shared" si="77"/>
        <v>N/A</v>
      </c>
      <c r="K230" t="str">
        <f t="shared" si="78"/>
        <v>N/A</v>
      </c>
      <c r="L230" t="str">
        <f t="shared" si="79"/>
        <v>N/A</v>
      </c>
      <c r="M230" t="str">
        <f t="shared" si="80"/>
        <v>N/A</v>
      </c>
      <c r="N230" t="str">
        <f t="shared" si="81"/>
        <v>N/A</v>
      </c>
      <c r="P230">
        <f t="shared" si="58"/>
        <v>0</v>
      </c>
      <c r="Q230" t="str">
        <f>IFERROR(J144+MATCH(P230,J230:N230,0)-1,"")</f>
        <v/>
      </c>
      <c r="R230" t="str">
        <f t="shared" si="59"/>
        <v/>
      </c>
      <c r="S230" t="str">
        <f>IFERROR(J144+MATCH(R230,J230:N230,0)-1,"")</f>
        <v/>
      </c>
      <c r="T230" t="str">
        <f t="shared" si="60"/>
        <v/>
      </c>
      <c r="U230" t="str">
        <f t="shared" si="61"/>
        <v/>
      </c>
      <c r="V230" t="str">
        <f t="shared" si="62"/>
        <v/>
      </c>
      <c r="W230" t="str">
        <f t="shared" si="63"/>
        <v/>
      </c>
      <c r="X230" t="str">
        <f t="shared" si="64"/>
        <v/>
      </c>
      <c r="Y230" t="str">
        <f t="shared" si="65"/>
        <v/>
      </c>
      <c r="Z230" t="str">
        <f t="shared" si="66"/>
        <v/>
      </c>
      <c r="AA230">
        <f t="shared" si="67"/>
        <v>0</v>
      </c>
      <c r="AB230" t="str">
        <f>IFERROR(V144+MATCH(AA230,V230:Z230,0)-1,"")</f>
        <v/>
      </c>
      <c r="AC230" t="str">
        <f t="shared" si="68"/>
        <v/>
      </c>
      <c r="AE230" t="str">
        <f>IF(ISNUMBER(MATCH("N/A",J230:N230,0)),"",IFERROR((5 * SUMPRODUCT(J144:N144,J230:N230) - PRODUCT(SUM(J144:N144),SUM(J230:N230))) / ((5 * SUM((J144^2)+(K144^2)+(L144^2)+(M144^2)+(N144^2))) - SUM(J144:N144)^2),""))</f>
        <v/>
      </c>
      <c r="AF230" t="str">
        <f>IFERROR(CORREL(J144:N144,J230:N230),"")</f>
        <v/>
      </c>
      <c r="AZ230">
        <f t="shared" si="69"/>
        <v>0</v>
      </c>
      <c r="BA230" t="str">
        <f>IF(AZ230=1,IF(Q230="","",IF(Q230=N144,"Yes","No")),"")</f>
        <v/>
      </c>
      <c r="BB230" t="str">
        <f t="shared" si="70"/>
        <v/>
      </c>
      <c r="BC230" t="str">
        <f>IF(AZ230=1,IF(S230="","",IF(S230=N144,"Yes","No")),"")</f>
        <v/>
      </c>
      <c r="BD230" t="str">
        <f t="shared" si="71"/>
        <v/>
      </c>
      <c r="BE230" t="str">
        <f t="shared" si="72"/>
        <v/>
      </c>
      <c r="BF230" t="str">
        <f t="shared" si="73"/>
        <v>No</v>
      </c>
      <c r="BG230" t="str">
        <f t="shared" si="74"/>
        <v>No</v>
      </c>
      <c r="BH230" t="str">
        <f t="shared" si="75"/>
        <v/>
      </c>
    </row>
    <row r="231" spans="9:60" x14ac:dyDescent="0.3">
      <c r="I231" t="str">
        <f t="shared" si="76"/>
        <v>N/A</v>
      </c>
      <c r="J231" t="str">
        <f t="shared" si="77"/>
        <v>N/A</v>
      </c>
      <c r="K231" t="str">
        <f t="shared" si="78"/>
        <v>N/A</v>
      </c>
      <c r="L231" t="str">
        <f t="shared" si="79"/>
        <v>N/A</v>
      </c>
      <c r="M231" t="str">
        <f t="shared" si="80"/>
        <v>N/A</v>
      </c>
      <c r="N231" t="str">
        <f t="shared" si="81"/>
        <v>N/A</v>
      </c>
      <c r="P231">
        <f t="shared" si="58"/>
        <v>0</v>
      </c>
      <c r="Q231" t="str">
        <f>IFERROR(J144+MATCH(P231,J231:N231,0)-1,"")</f>
        <v/>
      </c>
      <c r="R231" t="str">
        <f t="shared" si="59"/>
        <v/>
      </c>
      <c r="S231" t="str">
        <f>IFERROR(J144+MATCH(R231,J231:N231,0)-1,"")</f>
        <v/>
      </c>
      <c r="T231" t="str">
        <f t="shared" si="60"/>
        <v/>
      </c>
      <c r="U231" t="str">
        <f t="shared" si="61"/>
        <v/>
      </c>
      <c r="V231" t="str">
        <f t="shared" si="62"/>
        <v/>
      </c>
      <c r="W231" t="str">
        <f t="shared" si="63"/>
        <v/>
      </c>
      <c r="X231" t="str">
        <f t="shared" si="64"/>
        <v/>
      </c>
      <c r="Y231" t="str">
        <f t="shared" si="65"/>
        <v/>
      </c>
      <c r="Z231" t="str">
        <f t="shared" si="66"/>
        <v/>
      </c>
      <c r="AA231">
        <f t="shared" si="67"/>
        <v>0</v>
      </c>
      <c r="AB231" t="str">
        <f>IFERROR(V144+MATCH(AA231,V231:Z231,0)-1,"")</f>
        <v/>
      </c>
      <c r="AC231" t="str">
        <f t="shared" si="68"/>
        <v/>
      </c>
      <c r="AE231" t="str">
        <f>IF(ISNUMBER(MATCH("N/A",J231:N231,0)),"",IFERROR((5 * SUMPRODUCT(J144:N144,J231:N231) - PRODUCT(SUM(J144:N144),SUM(J231:N231))) / ((5 * SUM((J144^2)+(K144^2)+(L144^2)+(M144^2)+(N144^2))) - SUM(J144:N144)^2),""))</f>
        <v/>
      </c>
      <c r="AF231" t="str">
        <f>IFERROR(CORREL(J144:N144,J231:N231),"")</f>
        <v/>
      </c>
      <c r="AZ231">
        <f t="shared" si="69"/>
        <v>0</v>
      </c>
      <c r="BA231" t="str">
        <f>IF(AZ231=1,IF(Q231="","",IF(Q231=N144,"Yes","No")),"")</f>
        <v/>
      </c>
      <c r="BB231" t="str">
        <f t="shared" si="70"/>
        <v/>
      </c>
      <c r="BC231" t="str">
        <f>IF(AZ231=1,IF(S231="","",IF(S231=N144,"Yes","No")),"")</f>
        <v/>
      </c>
      <c r="BD231" t="str">
        <f t="shared" si="71"/>
        <v/>
      </c>
      <c r="BE231" t="str">
        <f t="shared" si="72"/>
        <v/>
      </c>
      <c r="BF231" t="str">
        <f t="shared" si="73"/>
        <v>No</v>
      </c>
      <c r="BG231" t="str">
        <f t="shared" si="74"/>
        <v>No</v>
      </c>
      <c r="BH231" t="str">
        <f t="shared" si="75"/>
        <v/>
      </c>
    </row>
    <row r="232" spans="9:60" x14ac:dyDescent="0.3">
      <c r="I232" t="str">
        <f t="shared" si="76"/>
        <v>N/A</v>
      </c>
      <c r="J232" t="str">
        <f t="shared" si="77"/>
        <v>N/A</v>
      </c>
      <c r="K232" t="str">
        <f t="shared" si="78"/>
        <v>N/A</v>
      </c>
      <c r="L232" t="str">
        <f t="shared" si="79"/>
        <v>N/A</v>
      </c>
      <c r="M232" t="str">
        <f t="shared" si="80"/>
        <v>N/A</v>
      </c>
      <c r="N232" t="str">
        <f t="shared" si="81"/>
        <v>N/A</v>
      </c>
      <c r="P232">
        <f t="shared" si="58"/>
        <v>0</v>
      </c>
      <c r="Q232" t="str">
        <f>IFERROR(J144+MATCH(P232,J232:N232,0)-1,"")</f>
        <v/>
      </c>
      <c r="R232" t="str">
        <f t="shared" si="59"/>
        <v/>
      </c>
      <c r="S232" t="str">
        <f>IFERROR(J144+MATCH(R232,J232:N232,0)-1,"")</f>
        <v/>
      </c>
      <c r="T232" t="str">
        <f t="shared" si="60"/>
        <v/>
      </c>
      <c r="U232" t="str">
        <f t="shared" si="61"/>
        <v/>
      </c>
      <c r="V232" t="str">
        <f t="shared" si="62"/>
        <v/>
      </c>
      <c r="W232" t="str">
        <f t="shared" si="63"/>
        <v/>
      </c>
      <c r="X232" t="str">
        <f t="shared" si="64"/>
        <v/>
      </c>
      <c r="Y232" t="str">
        <f t="shared" si="65"/>
        <v/>
      </c>
      <c r="Z232" t="str">
        <f t="shared" si="66"/>
        <v/>
      </c>
      <c r="AA232">
        <f t="shared" si="67"/>
        <v>0</v>
      </c>
      <c r="AB232" t="str">
        <f>IFERROR(V144+MATCH(AA232,V232:Z232,0)-1,"")</f>
        <v/>
      </c>
      <c r="AC232" t="str">
        <f t="shared" si="68"/>
        <v/>
      </c>
      <c r="AE232" t="str">
        <f>IF(ISNUMBER(MATCH("N/A",J232:N232,0)),"",IFERROR((5 * SUMPRODUCT(J144:N144,J232:N232) - PRODUCT(SUM(J144:N144),SUM(J232:N232))) / ((5 * SUM((J144^2)+(K144^2)+(L144^2)+(M144^2)+(N144^2))) - SUM(J144:N144)^2),""))</f>
        <v/>
      </c>
      <c r="AF232" t="str">
        <f>IFERROR(CORREL(J144:N144,J232:N232),"")</f>
        <v/>
      </c>
      <c r="AZ232">
        <f t="shared" si="69"/>
        <v>0</v>
      </c>
      <c r="BA232" t="str">
        <f>IF(AZ232=1,IF(Q232="","",IF(Q232=N144,"Yes","No")),"")</f>
        <v/>
      </c>
      <c r="BB232" t="str">
        <f t="shared" si="70"/>
        <v/>
      </c>
      <c r="BC232" t="str">
        <f>IF(AZ232=1,IF(S232="","",IF(S232=N144,"Yes","No")),"")</f>
        <v/>
      </c>
      <c r="BD232" t="str">
        <f t="shared" si="71"/>
        <v/>
      </c>
      <c r="BE232" t="str">
        <f t="shared" si="72"/>
        <v/>
      </c>
      <c r="BF232" t="str">
        <f t="shared" si="73"/>
        <v>No</v>
      </c>
      <c r="BG232" t="str">
        <f t="shared" si="74"/>
        <v>No</v>
      </c>
      <c r="BH232" t="str">
        <f t="shared" si="75"/>
        <v/>
      </c>
    </row>
    <row r="233" spans="9:60" x14ac:dyDescent="0.3">
      <c r="I233" t="str">
        <f t="shared" si="76"/>
        <v>N/A</v>
      </c>
      <c r="J233" t="str">
        <f t="shared" si="77"/>
        <v>N/A</v>
      </c>
      <c r="K233" t="str">
        <f t="shared" si="78"/>
        <v>N/A</v>
      </c>
      <c r="L233" t="str">
        <f t="shared" si="79"/>
        <v>N/A</v>
      </c>
      <c r="M233" t="str">
        <f t="shared" si="80"/>
        <v>N/A</v>
      </c>
      <c r="N233" t="str">
        <f t="shared" si="81"/>
        <v>N/A</v>
      </c>
      <c r="P233">
        <f t="shared" si="58"/>
        <v>0</v>
      </c>
      <c r="Q233" t="str">
        <f>IFERROR(J144+MATCH(P233,J233:N233,0)-1,"")</f>
        <v/>
      </c>
      <c r="R233" t="str">
        <f t="shared" si="59"/>
        <v/>
      </c>
      <c r="S233" t="str">
        <f>IFERROR(J144+MATCH(R233,J233:N233,0)-1,"")</f>
        <v/>
      </c>
      <c r="T233" t="str">
        <f t="shared" si="60"/>
        <v/>
      </c>
      <c r="U233" t="str">
        <f t="shared" si="61"/>
        <v/>
      </c>
      <c r="V233" t="str">
        <f t="shared" si="62"/>
        <v/>
      </c>
      <c r="W233" t="str">
        <f t="shared" si="63"/>
        <v/>
      </c>
      <c r="X233" t="str">
        <f t="shared" si="64"/>
        <v/>
      </c>
      <c r="Y233" t="str">
        <f t="shared" si="65"/>
        <v/>
      </c>
      <c r="Z233" t="str">
        <f t="shared" si="66"/>
        <v/>
      </c>
      <c r="AA233">
        <f t="shared" si="67"/>
        <v>0</v>
      </c>
      <c r="AB233" t="str">
        <f>IFERROR(V144+MATCH(AA233,V233:Z233,0)-1,"")</f>
        <v/>
      </c>
      <c r="AC233" t="str">
        <f t="shared" si="68"/>
        <v/>
      </c>
      <c r="AE233" t="str">
        <f>IF(ISNUMBER(MATCH("N/A",J233:N233,0)),"",IFERROR((5 * SUMPRODUCT(J144:N144,J233:N233) - PRODUCT(SUM(J144:N144),SUM(J233:N233))) / ((5 * SUM((J144^2)+(K144^2)+(L144^2)+(M144^2)+(N144^2))) - SUM(J144:N144)^2),""))</f>
        <v/>
      </c>
      <c r="AF233" t="str">
        <f>IFERROR(CORREL(J144:N144,J233:N233),"")</f>
        <v/>
      </c>
      <c r="AZ233">
        <f t="shared" si="69"/>
        <v>0</v>
      </c>
      <c r="BA233" t="str">
        <f>IF(AZ233=1,IF(Q233="","",IF(Q233=N144,"Yes","No")),"")</f>
        <v/>
      </c>
      <c r="BB233" t="str">
        <f t="shared" si="70"/>
        <v/>
      </c>
      <c r="BC233" t="str">
        <f>IF(AZ233=1,IF(S233="","",IF(S233=N144,"Yes","No")),"")</f>
        <v/>
      </c>
      <c r="BD233" t="str">
        <f t="shared" si="71"/>
        <v/>
      </c>
      <c r="BE233" t="str">
        <f t="shared" si="72"/>
        <v/>
      </c>
      <c r="BF233" t="str">
        <f t="shared" si="73"/>
        <v>No</v>
      </c>
      <c r="BG233" t="str">
        <f t="shared" si="74"/>
        <v>No</v>
      </c>
      <c r="BH233" t="str">
        <f t="shared" si="75"/>
        <v/>
      </c>
    </row>
    <row r="234" spans="9:60" x14ac:dyDescent="0.3">
      <c r="I234" t="str">
        <f t="shared" si="76"/>
        <v>N/A</v>
      </c>
      <c r="J234" t="str">
        <f t="shared" si="77"/>
        <v>N/A</v>
      </c>
      <c r="K234" t="str">
        <f t="shared" si="78"/>
        <v>N/A</v>
      </c>
      <c r="L234" t="str">
        <f t="shared" si="79"/>
        <v>N/A</v>
      </c>
      <c r="M234" t="str">
        <f t="shared" si="80"/>
        <v>N/A</v>
      </c>
      <c r="N234" t="str">
        <f t="shared" si="81"/>
        <v>N/A</v>
      </c>
      <c r="P234">
        <f t="shared" si="58"/>
        <v>0</v>
      </c>
      <c r="Q234" t="str">
        <f>IFERROR(J144+MATCH(P234,J234:N234,0)-1,"")</f>
        <v/>
      </c>
      <c r="R234" t="str">
        <f t="shared" si="59"/>
        <v/>
      </c>
      <c r="S234" t="str">
        <f>IFERROR(J144+MATCH(R234,J234:N234,0)-1,"")</f>
        <v/>
      </c>
      <c r="T234" t="str">
        <f t="shared" si="60"/>
        <v/>
      </c>
      <c r="U234" t="str">
        <f t="shared" si="61"/>
        <v/>
      </c>
      <c r="V234" t="str">
        <f t="shared" si="62"/>
        <v/>
      </c>
      <c r="W234" t="str">
        <f t="shared" si="63"/>
        <v/>
      </c>
      <c r="X234" t="str">
        <f t="shared" si="64"/>
        <v/>
      </c>
      <c r="Y234" t="str">
        <f t="shared" si="65"/>
        <v/>
      </c>
      <c r="Z234" t="str">
        <f t="shared" si="66"/>
        <v/>
      </c>
      <c r="AA234">
        <f t="shared" si="67"/>
        <v>0</v>
      </c>
      <c r="AB234" t="str">
        <f>IFERROR(V144+MATCH(AA234,V234:Z234,0)-1,"")</f>
        <v/>
      </c>
      <c r="AC234" t="str">
        <f t="shared" si="68"/>
        <v/>
      </c>
      <c r="AE234" t="str">
        <f>IF(ISNUMBER(MATCH("N/A",J234:N234,0)),"",IFERROR((5 * SUMPRODUCT(J144:N144,J234:N234) - PRODUCT(SUM(J144:N144),SUM(J234:N234))) / ((5 * SUM((J144^2)+(K144^2)+(L144^2)+(M144^2)+(N144^2))) - SUM(J144:N144)^2),""))</f>
        <v/>
      </c>
      <c r="AF234" t="str">
        <f>IFERROR(CORREL(J144:N144,J234:N234),"")</f>
        <v/>
      </c>
      <c r="AZ234">
        <f t="shared" si="69"/>
        <v>0</v>
      </c>
      <c r="BA234" t="str">
        <f>IF(AZ234=1,IF(Q234="","",IF(Q234=N144,"Yes","No")),"")</f>
        <v/>
      </c>
      <c r="BB234" t="str">
        <f t="shared" si="70"/>
        <v/>
      </c>
      <c r="BC234" t="str">
        <f>IF(AZ234=1,IF(S234="","",IF(S234=N144,"Yes","No")),"")</f>
        <v/>
      </c>
      <c r="BD234" t="str">
        <f t="shared" si="71"/>
        <v/>
      </c>
      <c r="BE234" t="str">
        <f t="shared" si="72"/>
        <v/>
      </c>
      <c r="BF234" t="str">
        <f t="shared" si="73"/>
        <v>No</v>
      </c>
      <c r="BG234" t="str">
        <f t="shared" si="74"/>
        <v>No</v>
      </c>
      <c r="BH234" t="str">
        <f t="shared" si="75"/>
        <v/>
      </c>
    </row>
    <row r="235" spans="9:60" x14ac:dyDescent="0.3">
      <c r="I235" t="str">
        <f t="shared" si="76"/>
        <v>N/A</v>
      </c>
      <c r="J235" t="str">
        <f t="shared" si="77"/>
        <v>N/A</v>
      </c>
      <c r="K235" t="str">
        <f t="shared" si="78"/>
        <v>N/A</v>
      </c>
      <c r="L235" t="str">
        <f t="shared" si="79"/>
        <v>N/A</v>
      </c>
      <c r="M235" t="str">
        <f t="shared" si="80"/>
        <v>N/A</v>
      </c>
      <c r="N235" t="str">
        <f t="shared" si="81"/>
        <v>N/A</v>
      </c>
      <c r="P235">
        <f t="shared" si="58"/>
        <v>0</v>
      </c>
      <c r="Q235" t="str">
        <f>IFERROR(J144+MATCH(P235,J235:N235,0)-1,"")</f>
        <v/>
      </c>
      <c r="R235" t="str">
        <f t="shared" si="59"/>
        <v/>
      </c>
      <c r="S235" t="str">
        <f>IFERROR(J144+MATCH(R235,J235:N235,0)-1,"")</f>
        <v/>
      </c>
      <c r="T235" t="str">
        <f t="shared" si="60"/>
        <v/>
      </c>
      <c r="U235" t="str">
        <f t="shared" si="61"/>
        <v/>
      </c>
      <c r="V235" t="str">
        <f t="shared" si="62"/>
        <v/>
      </c>
      <c r="W235" t="str">
        <f t="shared" si="63"/>
        <v/>
      </c>
      <c r="X235" t="str">
        <f t="shared" si="64"/>
        <v/>
      </c>
      <c r="Y235" t="str">
        <f t="shared" si="65"/>
        <v/>
      </c>
      <c r="Z235" t="str">
        <f t="shared" si="66"/>
        <v/>
      </c>
      <c r="AA235">
        <f t="shared" si="67"/>
        <v>0</v>
      </c>
      <c r="AB235" t="str">
        <f>IFERROR(V144+MATCH(AA235,V235:Z235,0)-1,"")</f>
        <v/>
      </c>
      <c r="AC235" t="str">
        <f t="shared" si="68"/>
        <v/>
      </c>
      <c r="AE235" t="str">
        <f>IF(ISNUMBER(MATCH("N/A",J235:N235,0)),"",IFERROR((5 * SUMPRODUCT(J144:N144,J235:N235) - PRODUCT(SUM(J144:N144),SUM(J235:N235))) / ((5 * SUM((J144^2)+(K144^2)+(L144^2)+(M144^2)+(N144^2))) - SUM(J144:N144)^2),""))</f>
        <v/>
      </c>
      <c r="AF235" t="str">
        <f>IFERROR(CORREL(J144:N144,J235:N235),"")</f>
        <v/>
      </c>
      <c r="AZ235">
        <f t="shared" si="69"/>
        <v>0</v>
      </c>
      <c r="BA235" t="str">
        <f>IF(AZ235=1,IF(Q235="","",IF(Q235=N144,"Yes","No")),"")</f>
        <v/>
      </c>
      <c r="BB235" t="str">
        <f t="shared" si="70"/>
        <v/>
      </c>
      <c r="BC235" t="str">
        <f>IF(AZ235=1,IF(S235="","",IF(S235=N144,"Yes","No")),"")</f>
        <v/>
      </c>
      <c r="BD235" t="str">
        <f t="shared" si="71"/>
        <v/>
      </c>
      <c r="BE235" t="str">
        <f t="shared" si="72"/>
        <v/>
      </c>
      <c r="BF235" t="str">
        <f t="shared" si="73"/>
        <v>No</v>
      </c>
      <c r="BG235" t="str">
        <f t="shared" si="74"/>
        <v>No</v>
      </c>
      <c r="BH235" t="str">
        <f t="shared" si="75"/>
        <v/>
      </c>
    </row>
    <row r="236" spans="9:60" x14ac:dyDescent="0.3">
      <c r="I236" t="str">
        <f t="shared" si="76"/>
        <v>N/A</v>
      </c>
      <c r="J236" t="str">
        <f t="shared" si="77"/>
        <v>N/A</v>
      </c>
      <c r="K236" t="str">
        <f t="shared" si="78"/>
        <v>N/A</v>
      </c>
      <c r="L236" t="str">
        <f t="shared" si="79"/>
        <v>N/A</v>
      </c>
      <c r="M236" t="str">
        <f t="shared" si="80"/>
        <v>N/A</v>
      </c>
      <c r="N236" t="str">
        <f t="shared" si="81"/>
        <v>N/A</v>
      </c>
      <c r="P236">
        <f t="shared" si="58"/>
        <v>0</v>
      </c>
      <c r="Q236" t="str">
        <f>IFERROR(J144+MATCH(P236,J236:N236,0)-1,"")</f>
        <v/>
      </c>
      <c r="R236" t="str">
        <f t="shared" si="59"/>
        <v/>
      </c>
      <c r="S236" t="str">
        <f>IFERROR(J144+MATCH(R236,J236:N236,0)-1,"")</f>
        <v/>
      </c>
      <c r="T236" t="str">
        <f t="shared" si="60"/>
        <v/>
      </c>
      <c r="U236" t="str">
        <f t="shared" si="61"/>
        <v/>
      </c>
      <c r="V236" t="str">
        <f t="shared" si="62"/>
        <v/>
      </c>
      <c r="W236" t="str">
        <f t="shared" si="63"/>
        <v/>
      </c>
      <c r="X236" t="str">
        <f t="shared" si="64"/>
        <v/>
      </c>
      <c r="Y236" t="str">
        <f t="shared" si="65"/>
        <v/>
      </c>
      <c r="Z236" t="str">
        <f t="shared" si="66"/>
        <v/>
      </c>
      <c r="AA236">
        <f t="shared" si="67"/>
        <v>0</v>
      </c>
      <c r="AB236" t="str">
        <f>IFERROR(V144+MATCH(AA236,V236:Z236,0)-1,"")</f>
        <v/>
      </c>
      <c r="AC236" t="str">
        <f t="shared" si="68"/>
        <v/>
      </c>
      <c r="AE236" t="str">
        <f>IF(ISNUMBER(MATCH("N/A",J236:N236,0)),"",IFERROR((5 * SUMPRODUCT(J144:N144,J236:N236) - PRODUCT(SUM(J144:N144),SUM(J236:N236))) / ((5 * SUM((J144^2)+(K144^2)+(L144^2)+(M144^2)+(N144^2))) - SUM(J144:N144)^2),""))</f>
        <v/>
      </c>
      <c r="AF236" t="str">
        <f>IFERROR(CORREL(J144:N144,J236:N236),"")</f>
        <v/>
      </c>
      <c r="AZ236">
        <f t="shared" si="69"/>
        <v>0</v>
      </c>
      <c r="BA236" t="str">
        <f>IF(AZ236=1,IF(Q236="","",IF(Q236=N144,"Yes","No")),"")</f>
        <v/>
      </c>
      <c r="BB236" t="str">
        <f t="shared" si="70"/>
        <v/>
      </c>
      <c r="BC236" t="str">
        <f>IF(AZ236=1,IF(S236="","",IF(S236=N144,"Yes","No")),"")</f>
        <v/>
      </c>
      <c r="BD236" t="str">
        <f t="shared" si="71"/>
        <v/>
      </c>
      <c r="BE236" t="str">
        <f t="shared" si="72"/>
        <v/>
      </c>
      <c r="BF236" t="str">
        <f t="shared" si="73"/>
        <v>No</v>
      </c>
      <c r="BG236" t="str">
        <f t="shared" si="74"/>
        <v>No</v>
      </c>
      <c r="BH236" t="str">
        <f t="shared" si="75"/>
        <v/>
      </c>
    </row>
    <row r="237" spans="9:60" x14ac:dyDescent="0.3">
      <c r="I237" t="str">
        <f t="shared" si="76"/>
        <v>N/A</v>
      </c>
      <c r="J237" t="str">
        <f t="shared" si="77"/>
        <v>N/A</v>
      </c>
      <c r="K237" t="str">
        <f t="shared" si="78"/>
        <v>N/A</v>
      </c>
      <c r="L237" t="str">
        <f t="shared" si="79"/>
        <v>N/A</v>
      </c>
      <c r="M237" t="str">
        <f t="shared" si="80"/>
        <v>N/A</v>
      </c>
      <c r="N237" t="str">
        <f t="shared" si="81"/>
        <v>N/A</v>
      </c>
      <c r="P237">
        <f t="shared" si="58"/>
        <v>0</v>
      </c>
      <c r="Q237" t="str">
        <f>IFERROR(J144+MATCH(P237,J237:N237,0)-1,"")</f>
        <v/>
      </c>
      <c r="R237" t="str">
        <f t="shared" si="59"/>
        <v/>
      </c>
      <c r="S237" t="str">
        <f>IFERROR(J144+MATCH(R237,J237:N237,0)-1,"")</f>
        <v/>
      </c>
      <c r="T237" t="str">
        <f t="shared" si="60"/>
        <v/>
      </c>
      <c r="U237" t="str">
        <f t="shared" si="61"/>
        <v/>
      </c>
      <c r="V237" t="str">
        <f t="shared" si="62"/>
        <v/>
      </c>
      <c r="W237" t="str">
        <f t="shared" si="63"/>
        <v/>
      </c>
      <c r="X237" t="str">
        <f t="shared" si="64"/>
        <v/>
      </c>
      <c r="Y237" t="str">
        <f t="shared" si="65"/>
        <v/>
      </c>
      <c r="Z237" t="str">
        <f t="shared" si="66"/>
        <v/>
      </c>
      <c r="AA237">
        <f t="shared" si="67"/>
        <v>0</v>
      </c>
      <c r="AB237" t="str">
        <f>IFERROR(V144+MATCH(AA237,V237:Z237,0)-1,"")</f>
        <v/>
      </c>
      <c r="AC237" t="str">
        <f t="shared" si="68"/>
        <v/>
      </c>
      <c r="AE237" t="str">
        <f>IF(ISNUMBER(MATCH("N/A",J237:N237,0)),"",IFERROR((5 * SUMPRODUCT(J144:N144,J237:N237) - PRODUCT(SUM(J144:N144),SUM(J237:N237))) / ((5 * SUM((J144^2)+(K144^2)+(L144^2)+(M144^2)+(N144^2))) - SUM(J144:N144)^2),""))</f>
        <v/>
      </c>
      <c r="AF237" t="str">
        <f>IFERROR(CORREL(J144:N144,J237:N237),"")</f>
        <v/>
      </c>
      <c r="AZ237">
        <f t="shared" si="69"/>
        <v>0</v>
      </c>
      <c r="BA237" t="str">
        <f>IF(AZ237=1,IF(Q237="","",IF(Q237=N144,"Yes","No")),"")</f>
        <v/>
      </c>
      <c r="BB237" t="str">
        <f t="shared" si="70"/>
        <v/>
      </c>
      <c r="BC237" t="str">
        <f>IF(AZ237=1,IF(S237="","",IF(S237=N144,"Yes","No")),"")</f>
        <v/>
      </c>
      <c r="BD237" t="str">
        <f t="shared" si="71"/>
        <v/>
      </c>
      <c r="BE237" t="str">
        <f t="shared" si="72"/>
        <v/>
      </c>
      <c r="BF237" t="str">
        <f t="shared" si="73"/>
        <v>No</v>
      </c>
      <c r="BG237" t="str">
        <f t="shared" si="74"/>
        <v>No</v>
      </c>
      <c r="BH237" t="str">
        <f t="shared" si="75"/>
        <v/>
      </c>
    </row>
    <row r="238" spans="9:60" x14ac:dyDescent="0.3">
      <c r="I238" t="str">
        <f t="shared" si="76"/>
        <v>N/A</v>
      </c>
      <c r="J238" t="str">
        <f t="shared" si="77"/>
        <v>N/A</v>
      </c>
      <c r="K238" t="str">
        <f t="shared" si="78"/>
        <v>N/A</v>
      </c>
      <c r="L238" t="str">
        <f t="shared" si="79"/>
        <v>N/A</v>
      </c>
      <c r="M238" t="str">
        <f t="shared" si="80"/>
        <v>N/A</v>
      </c>
      <c r="N238" t="str">
        <f t="shared" si="81"/>
        <v>N/A</v>
      </c>
      <c r="P238">
        <f t="shared" si="58"/>
        <v>0</v>
      </c>
      <c r="Q238" t="str">
        <f>IFERROR(J144+MATCH(P238,J238:N238,0)-1,"")</f>
        <v/>
      </c>
      <c r="R238" t="str">
        <f t="shared" si="59"/>
        <v/>
      </c>
      <c r="S238" t="str">
        <f>IFERROR(J144+MATCH(R238,J238:N238,0)-1,"")</f>
        <v/>
      </c>
      <c r="T238" t="str">
        <f t="shared" si="60"/>
        <v/>
      </c>
      <c r="U238" t="str">
        <f t="shared" si="61"/>
        <v/>
      </c>
      <c r="V238" t="str">
        <f t="shared" si="62"/>
        <v/>
      </c>
      <c r="W238" t="str">
        <f t="shared" si="63"/>
        <v/>
      </c>
      <c r="X238" t="str">
        <f t="shared" si="64"/>
        <v/>
      </c>
      <c r="Y238" t="str">
        <f t="shared" si="65"/>
        <v/>
      </c>
      <c r="Z238" t="str">
        <f t="shared" si="66"/>
        <v/>
      </c>
      <c r="AA238">
        <f t="shared" si="67"/>
        <v>0</v>
      </c>
      <c r="AB238" t="str">
        <f>IFERROR(V144+MATCH(AA238,V238:Z238,0)-1,"")</f>
        <v/>
      </c>
      <c r="AC238" t="str">
        <f t="shared" si="68"/>
        <v/>
      </c>
      <c r="AE238" t="str">
        <f>IF(ISNUMBER(MATCH("N/A",J238:N238,0)),"",IFERROR((5 * SUMPRODUCT(J144:N144,J238:N238) - PRODUCT(SUM(J144:N144),SUM(J238:N238))) / ((5 * SUM((J144^2)+(K144^2)+(L144^2)+(M144^2)+(N144^2))) - SUM(J144:N144)^2),""))</f>
        <v/>
      </c>
      <c r="AF238" t="str">
        <f>IFERROR(CORREL(J144:N144,J238:N238),"")</f>
        <v/>
      </c>
      <c r="AZ238">
        <f t="shared" si="69"/>
        <v>0</v>
      </c>
      <c r="BA238" t="str">
        <f>IF(AZ238=1,IF(Q238="","",IF(Q238=N144,"Yes","No")),"")</f>
        <v/>
      </c>
      <c r="BB238" t="str">
        <f t="shared" si="70"/>
        <v/>
      </c>
      <c r="BC238" t="str">
        <f>IF(AZ238=1,IF(S238="","",IF(S238=N144,"Yes","No")),"")</f>
        <v/>
      </c>
      <c r="BD238" t="str">
        <f t="shared" si="71"/>
        <v/>
      </c>
      <c r="BE238" t="str">
        <f t="shared" si="72"/>
        <v/>
      </c>
      <c r="BF238" t="str">
        <f t="shared" si="73"/>
        <v>No</v>
      </c>
      <c r="BG238" t="str">
        <f t="shared" si="74"/>
        <v>No</v>
      </c>
      <c r="BH238" t="str">
        <f t="shared" si="75"/>
        <v/>
      </c>
    </row>
    <row r="239" spans="9:60" x14ac:dyDescent="0.3">
      <c r="I239" t="str">
        <f t="shared" si="76"/>
        <v>N/A</v>
      </c>
      <c r="J239" t="str">
        <f t="shared" si="77"/>
        <v>N/A</v>
      </c>
      <c r="K239" t="str">
        <f t="shared" si="78"/>
        <v>N/A</v>
      </c>
      <c r="L239" t="str">
        <f t="shared" si="79"/>
        <v>N/A</v>
      </c>
      <c r="M239" t="str">
        <f t="shared" si="80"/>
        <v>N/A</v>
      </c>
      <c r="N239" t="str">
        <f t="shared" si="81"/>
        <v>N/A</v>
      </c>
      <c r="P239">
        <f t="shared" si="58"/>
        <v>0</v>
      </c>
      <c r="Q239" t="str">
        <f>IFERROR(J144+MATCH(P239,J239:N239,0)-1,"")</f>
        <v/>
      </c>
      <c r="R239" t="str">
        <f t="shared" si="59"/>
        <v/>
      </c>
      <c r="S239" t="str">
        <f>IFERROR(J144+MATCH(R239,J239:N239,0)-1,"")</f>
        <v/>
      </c>
      <c r="T239" t="str">
        <f t="shared" si="60"/>
        <v/>
      </c>
      <c r="U239" t="str">
        <f t="shared" si="61"/>
        <v/>
      </c>
      <c r="V239" t="str">
        <f t="shared" si="62"/>
        <v/>
      </c>
      <c r="W239" t="str">
        <f t="shared" si="63"/>
        <v/>
      </c>
      <c r="X239" t="str">
        <f t="shared" si="64"/>
        <v/>
      </c>
      <c r="Y239" t="str">
        <f t="shared" si="65"/>
        <v/>
      </c>
      <c r="Z239" t="str">
        <f t="shared" si="66"/>
        <v/>
      </c>
      <c r="AA239">
        <f t="shared" si="67"/>
        <v>0</v>
      </c>
      <c r="AB239" t="str">
        <f>IFERROR(V144+MATCH(AA239,V239:Z239,0)-1,"")</f>
        <v/>
      </c>
      <c r="AC239" t="str">
        <f t="shared" si="68"/>
        <v/>
      </c>
      <c r="AE239" t="str">
        <f>IF(ISNUMBER(MATCH("N/A",J239:N239,0)),"",IFERROR((5 * SUMPRODUCT(J144:N144,J239:N239) - PRODUCT(SUM(J144:N144),SUM(J239:N239))) / ((5 * SUM((J144^2)+(K144^2)+(L144^2)+(M144^2)+(N144^2))) - SUM(J144:N144)^2),""))</f>
        <v/>
      </c>
      <c r="AF239" t="str">
        <f>IFERROR(CORREL(J144:N144,J239:N239),"")</f>
        <v/>
      </c>
      <c r="AZ239">
        <f t="shared" si="69"/>
        <v>0</v>
      </c>
      <c r="BA239" t="str">
        <f>IF(AZ239=1,IF(Q239="","",IF(Q239=N144,"Yes","No")),"")</f>
        <v/>
      </c>
      <c r="BB239" t="str">
        <f t="shared" si="70"/>
        <v/>
      </c>
      <c r="BC239" t="str">
        <f>IF(AZ239=1,IF(S239="","",IF(S239=N144,"Yes","No")),"")</f>
        <v/>
      </c>
      <c r="BD239" t="str">
        <f t="shared" si="71"/>
        <v/>
      </c>
      <c r="BE239" t="str">
        <f t="shared" si="72"/>
        <v/>
      </c>
      <c r="BF239" t="str">
        <f t="shared" si="73"/>
        <v>No</v>
      </c>
      <c r="BG239" t="str">
        <f t="shared" si="74"/>
        <v>No</v>
      </c>
      <c r="BH239" t="str">
        <f t="shared" si="75"/>
        <v/>
      </c>
    </row>
    <row r="240" spans="9:60" x14ac:dyDescent="0.3">
      <c r="I240" t="str">
        <f t="shared" si="76"/>
        <v>N/A</v>
      </c>
      <c r="J240" t="str">
        <f t="shared" si="77"/>
        <v>N/A</v>
      </c>
      <c r="K240" t="str">
        <f t="shared" si="78"/>
        <v>N/A</v>
      </c>
      <c r="L240" t="str">
        <f t="shared" si="79"/>
        <v>N/A</v>
      </c>
      <c r="M240" t="str">
        <f t="shared" si="80"/>
        <v>N/A</v>
      </c>
      <c r="N240" t="str">
        <f t="shared" si="81"/>
        <v>N/A</v>
      </c>
      <c r="P240">
        <f t="shared" si="58"/>
        <v>0</v>
      </c>
      <c r="Q240" t="str">
        <f>IFERROR(J144+MATCH(P240,J240:N240,0)-1,"")</f>
        <v/>
      </c>
      <c r="R240" t="str">
        <f t="shared" si="59"/>
        <v/>
      </c>
      <c r="S240" t="str">
        <f>IFERROR(J144+MATCH(R240,J240:N240,0)-1,"")</f>
        <v/>
      </c>
      <c r="T240" t="str">
        <f t="shared" si="60"/>
        <v/>
      </c>
      <c r="U240" t="str">
        <f t="shared" si="61"/>
        <v/>
      </c>
      <c r="V240" t="str">
        <f t="shared" si="62"/>
        <v/>
      </c>
      <c r="W240" t="str">
        <f t="shared" si="63"/>
        <v/>
      </c>
      <c r="X240" t="str">
        <f t="shared" si="64"/>
        <v/>
      </c>
      <c r="Y240" t="str">
        <f t="shared" si="65"/>
        <v/>
      </c>
      <c r="Z240" t="str">
        <f t="shared" si="66"/>
        <v/>
      </c>
      <c r="AA240">
        <f t="shared" si="67"/>
        <v>0</v>
      </c>
      <c r="AB240" t="str">
        <f>IFERROR(V144+MATCH(AA240,V240:Z240,0)-1,"")</f>
        <v/>
      </c>
      <c r="AC240" t="str">
        <f t="shared" si="68"/>
        <v/>
      </c>
      <c r="AE240" t="str">
        <f>IF(ISNUMBER(MATCH("N/A",J240:N240,0)),"",IFERROR((5 * SUMPRODUCT(J144:N144,J240:N240) - PRODUCT(SUM(J144:N144),SUM(J240:N240))) / ((5 * SUM((J144^2)+(K144^2)+(L144^2)+(M144^2)+(N144^2))) - SUM(J144:N144)^2),""))</f>
        <v/>
      </c>
      <c r="AF240" t="str">
        <f>IFERROR(CORREL(J144:N144,J240:N240),"")</f>
        <v/>
      </c>
      <c r="AZ240">
        <f t="shared" si="69"/>
        <v>0</v>
      </c>
      <c r="BA240" t="str">
        <f>IF(AZ240=1,IF(Q240="","",IF(Q240=N144,"Yes","No")),"")</f>
        <v/>
      </c>
      <c r="BB240" t="str">
        <f t="shared" si="70"/>
        <v/>
      </c>
      <c r="BC240" t="str">
        <f>IF(AZ240=1,IF(S240="","",IF(S240=N144,"Yes","No")),"")</f>
        <v/>
      </c>
      <c r="BD240" t="str">
        <f t="shared" si="71"/>
        <v/>
      </c>
      <c r="BE240" t="str">
        <f t="shared" si="72"/>
        <v/>
      </c>
      <c r="BF240" t="str">
        <f t="shared" si="73"/>
        <v>No</v>
      </c>
      <c r="BG240" t="str">
        <f t="shared" si="74"/>
        <v>No</v>
      </c>
      <c r="BH240" t="str">
        <f t="shared" si="75"/>
        <v/>
      </c>
    </row>
    <row r="241" spans="9:60" x14ac:dyDescent="0.3">
      <c r="I241" t="str">
        <f t="shared" si="76"/>
        <v>N/A</v>
      </c>
      <c r="J241" t="str">
        <f t="shared" si="77"/>
        <v>N/A</v>
      </c>
      <c r="K241" t="str">
        <f t="shared" si="78"/>
        <v>N/A</v>
      </c>
      <c r="L241" t="str">
        <f t="shared" si="79"/>
        <v>N/A</v>
      </c>
      <c r="M241" t="str">
        <f t="shared" si="80"/>
        <v>N/A</v>
      </c>
      <c r="N241" t="str">
        <f t="shared" si="81"/>
        <v>N/A</v>
      </c>
      <c r="P241">
        <f t="shared" si="58"/>
        <v>0</v>
      </c>
      <c r="Q241" t="str">
        <f>IFERROR(J144+MATCH(P241,J241:N241,0)-1,"")</f>
        <v/>
      </c>
      <c r="R241" t="str">
        <f t="shared" si="59"/>
        <v/>
      </c>
      <c r="S241" t="str">
        <f>IFERROR(J144+MATCH(R241,J241:N241,0)-1,"")</f>
        <v/>
      </c>
      <c r="T241" t="str">
        <f t="shared" si="60"/>
        <v/>
      </c>
      <c r="U241" t="str">
        <f t="shared" si="61"/>
        <v/>
      </c>
      <c r="V241" t="str">
        <f t="shared" si="62"/>
        <v/>
      </c>
      <c r="W241" t="str">
        <f t="shared" si="63"/>
        <v/>
      </c>
      <c r="X241" t="str">
        <f t="shared" si="64"/>
        <v/>
      </c>
      <c r="Y241" t="str">
        <f t="shared" si="65"/>
        <v/>
      </c>
      <c r="Z241" t="str">
        <f t="shared" si="66"/>
        <v/>
      </c>
      <c r="AA241">
        <f t="shared" si="67"/>
        <v>0</v>
      </c>
      <c r="AB241" t="str">
        <f>IFERROR(V144+MATCH(AA241,V241:Z241,0)-1,"")</f>
        <v/>
      </c>
      <c r="AC241" t="str">
        <f t="shared" si="68"/>
        <v/>
      </c>
      <c r="AE241" t="str">
        <f>IF(ISNUMBER(MATCH("N/A",J241:N241,0)),"",IFERROR((5 * SUMPRODUCT(J144:N144,J241:N241) - PRODUCT(SUM(J144:N144),SUM(J241:N241))) / ((5 * SUM((J144^2)+(K144^2)+(L144^2)+(M144^2)+(N144^2))) - SUM(J144:N144)^2),""))</f>
        <v/>
      </c>
      <c r="AF241" t="str">
        <f>IFERROR(CORREL(J144:N144,J241:N241),"")</f>
        <v/>
      </c>
      <c r="AZ241">
        <f t="shared" si="69"/>
        <v>0</v>
      </c>
      <c r="BA241" t="str">
        <f>IF(AZ241=1,IF(Q241="","",IF(Q241=N144,"Yes","No")),"")</f>
        <v/>
      </c>
      <c r="BB241" t="str">
        <f t="shared" si="70"/>
        <v/>
      </c>
      <c r="BC241" t="str">
        <f>IF(AZ241=1,IF(S241="","",IF(S241=N144,"Yes","No")),"")</f>
        <v/>
      </c>
      <c r="BD241" t="str">
        <f t="shared" si="71"/>
        <v/>
      </c>
      <c r="BE241" t="str">
        <f t="shared" si="72"/>
        <v/>
      </c>
      <c r="BF241" t="str">
        <f t="shared" si="73"/>
        <v>No</v>
      </c>
      <c r="BG241" t="str">
        <f t="shared" si="74"/>
        <v>No</v>
      </c>
      <c r="BH241" t="str">
        <f t="shared" si="75"/>
        <v/>
      </c>
    </row>
    <row r="242" spans="9:60" x14ac:dyDescent="0.3">
      <c r="I242" t="str">
        <f t="shared" si="76"/>
        <v>N/A</v>
      </c>
      <c r="J242" t="str">
        <f t="shared" si="77"/>
        <v>N/A</v>
      </c>
      <c r="K242" t="str">
        <f t="shared" si="78"/>
        <v>N/A</v>
      </c>
      <c r="L242" t="str">
        <f t="shared" si="79"/>
        <v>N/A</v>
      </c>
      <c r="M242" t="str">
        <f t="shared" si="80"/>
        <v>N/A</v>
      </c>
      <c r="N242" t="str">
        <f t="shared" si="81"/>
        <v>N/A</v>
      </c>
      <c r="P242">
        <f t="shared" si="58"/>
        <v>0</v>
      </c>
      <c r="Q242" t="str">
        <f>IFERROR(J144+MATCH(P242,J242:N242,0)-1,"")</f>
        <v/>
      </c>
      <c r="R242" t="str">
        <f t="shared" si="59"/>
        <v/>
      </c>
      <c r="S242" t="str">
        <f>IFERROR(J144+MATCH(R242,J242:N242,0)-1,"")</f>
        <v/>
      </c>
      <c r="T242" t="str">
        <f t="shared" si="60"/>
        <v/>
      </c>
      <c r="U242" t="str">
        <f t="shared" si="61"/>
        <v/>
      </c>
      <c r="V242" t="str">
        <f t="shared" si="62"/>
        <v/>
      </c>
      <c r="W242" t="str">
        <f t="shared" si="63"/>
        <v/>
      </c>
      <c r="X242" t="str">
        <f t="shared" si="64"/>
        <v/>
      </c>
      <c r="Y242" t="str">
        <f t="shared" si="65"/>
        <v/>
      </c>
      <c r="Z242" t="str">
        <f t="shared" si="66"/>
        <v/>
      </c>
      <c r="AA242">
        <f t="shared" si="67"/>
        <v>0</v>
      </c>
      <c r="AB242" t="str">
        <f>IFERROR(V144+MATCH(AA242,V242:Z242,0)-1,"")</f>
        <v/>
      </c>
      <c r="AC242" t="str">
        <f t="shared" si="68"/>
        <v/>
      </c>
      <c r="AE242" t="str">
        <f>IF(ISNUMBER(MATCH("N/A",J242:N242,0)),"",IFERROR((5 * SUMPRODUCT(J144:N144,J242:N242) - PRODUCT(SUM(J144:N144),SUM(J242:N242))) / ((5 * SUM((J144^2)+(K144^2)+(L144^2)+(M144^2)+(N144^2))) - SUM(J144:N144)^2),""))</f>
        <v/>
      </c>
      <c r="AF242" t="str">
        <f>IFERROR(CORREL(J144:N144,J242:N242),"")</f>
        <v/>
      </c>
      <c r="AZ242">
        <f t="shared" si="69"/>
        <v>0</v>
      </c>
      <c r="BA242" t="str">
        <f>IF(AZ242=1,IF(Q242="","",IF(Q242=N144,"Yes","No")),"")</f>
        <v/>
      </c>
      <c r="BB242" t="str">
        <f t="shared" si="70"/>
        <v/>
      </c>
      <c r="BC242" t="str">
        <f>IF(AZ242=1,IF(S242="","",IF(S242=N144,"Yes","No")),"")</f>
        <v/>
      </c>
      <c r="BD242" t="str">
        <f t="shared" si="71"/>
        <v/>
      </c>
      <c r="BE242" t="str">
        <f t="shared" si="72"/>
        <v/>
      </c>
      <c r="BF242" t="str">
        <f t="shared" si="73"/>
        <v>No</v>
      </c>
      <c r="BG242" t="str">
        <f t="shared" si="74"/>
        <v>No</v>
      </c>
      <c r="BH242" t="str">
        <f t="shared" si="75"/>
        <v/>
      </c>
    </row>
    <row r="243" spans="9:60" x14ac:dyDescent="0.3">
      <c r="I243" t="str">
        <f t="shared" si="76"/>
        <v>N/A</v>
      </c>
      <c r="J243" t="str">
        <f t="shared" si="77"/>
        <v>N/A</v>
      </c>
      <c r="K243" t="str">
        <f t="shared" si="78"/>
        <v>N/A</v>
      </c>
      <c r="L243" t="str">
        <f t="shared" si="79"/>
        <v>N/A</v>
      </c>
      <c r="M243" t="str">
        <f t="shared" si="80"/>
        <v>N/A</v>
      </c>
      <c r="N243" t="str">
        <f t="shared" si="81"/>
        <v>N/A</v>
      </c>
      <c r="P243">
        <f t="shared" si="58"/>
        <v>0</v>
      </c>
      <c r="Q243" t="str">
        <f>IFERROR(J144+MATCH(P243,J243:N243,0)-1,"")</f>
        <v/>
      </c>
      <c r="R243" t="str">
        <f t="shared" si="59"/>
        <v/>
      </c>
      <c r="S243" t="str">
        <f>IFERROR(J144+MATCH(R243,J243:N243,0)-1,"")</f>
        <v/>
      </c>
      <c r="T243" t="str">
        <f t="shared" si="60"/>
        <v/>
      </c>
      <c r="U243" t="str">
        <f t="shared" si="61"/>
        <v/>
      </c>
      <c r="V243" t="str">
        <f t="shared" si="62"/>
        <v/>
      </c>
      <c r="W243" t="str">
        <f t="shared" si="63"/>
        <v/>
      </c>
      <c r="X243" t="str">
        <f t="shared" si="64"/>
        <v/>
      </c>
      <c r="Y243" t="str">
        <f t="shared" si="65"/>
        <v/>
      </c>
      <c r="Z243" t="str">
        <f t="shared" si="66"/>
        <v/>
      </c>
      <c r="AA243">
        <f t="shared" si="67"/>
        <v>0</v>
      </c>
      <c r="AB243" t="str">
        <f>IFERROR(V144+MATCH(AA243,V243:Z243,0)-1,"")</f>
        <v/>
      </c>
      <c r="AC243" t="str">
        <f t="shared" si="68"/>
        <v/>
      </c>
      <c r="AE243" t="str">
        <f>IF(ISNUMBER(MATCH("N/A",J243:N243,0)),"",IFERROR((5 * SUMPRODUCT(J144:N144,J243:N243) - PRODUCT(SUM(J144:N144),SUM(J243:N243))) / ((5 * SUM((J144^2)+(K144^2)+(L144^2)+(M144^2)+(N144^2))) - SUM(J144:N144)^2),""))</f>
        <v/>
      </c>
      <c r="AF243" t="str">
        <f>IFERROR(CORREL(J144:N144,J243:N243),"")</f>
        <v/>
      </c>
      <c r="AZ243">
        <f t="shared" si="69"/>
        <v>0</v>
      </c>
      <c r="BA243" t="str">
        <f>IF(AZ243=1,IF(Q243="","",IF(Q243=N144,"Yes","No")),"")</f>
        <v/>
      </c>
      <c r="BB243" t="str">
        <f t="shared" si="70"/>
        <v/>
      </c>
      <c r="BC243" t="str">
        <f>IF(AZ243=1,IF(S243="","",IF(S243=N144,"Yes","No")),"")</f>
        <v/>
      </c>
      <c r="BD243" t="str">
        <f t="shared" si="71"/>
        <v/>
      </c>
      <c r="BE243" t="str">
        <f t="shared" si="72"/>
        <v/>
      </c>
      <c r="BF243" t="str">
        <f t="shared" si="73"/>
        <v>No</v>
      </c>
      <c r="BG243" t="str">
        <f t="shared" si="74"/>
        <v>No</v>
      </c>
      <c r="BH243" t="str">
        <f t="shared" si="75"/>
        <v/>
      </c>
    </row>
    <row r="244" spans="9:60" x14ac:dyDescent="0.3">
      <c r="I244" t="str">
        <f t="shared" si="76"/>
        <v>N/A</v>
      </c>
      <c r="J244" t="str">
        <f t="shared" si="77"/>
        <v>N/A</v>
      </c>
      <c r="K244" t="str">
        <f t="shared" si="78"/>
        <v>N/A</v>
      </c>
      <c r="L244" t="str">
        <f t="shared" si="79"/>
        <v>N/A</v>
      </c>
      <c r="M244" t="str">
        <f t="shared" si="80"/>
        <v>N/A</v>
      </c>
      <c r="N244" t="str">
        <f t="shared" si="81"/>
        <v>N/A</v>
      </c>
      <c r="P244">
        <f t="shared" si="58"/>
        <v>0</v>
      </c>
      <c r="Q244" t="str">
        <f>IFERROR(J144+MATCH(P244,J244:N244,0)-1,"")</f>
        <v/>
      </c>
      <c r="R244" t="str">
        <f t="shared" si="59"/>
        <v/>
      </c>
      <c r="S244" t="str">
        <f>IFERROR(J144+MATCH(R244,J244:N244,0)-1,"")</f>
        <v/>
      </c>
      <c r="T244" t="str">
        <f t="shared" si="60"/>
        <v/>
      </c>
      <c r="U244" t="str">
        <f t="shared" si="61"/>
        <v/>
      </c>
      <c r="V244" t="str">
        <f t="shared" si="62"/>
        <v/>
      </c>
      <c r="W244" t="str">
        <f t="shared" si="63"/>
        <v/>
      </c>
      <c r="X244" t="str">
        <f t="shared" si="64"/>
        <v/>
      </c>
      <c r="Y244" t="str">
        <f t="shared" si="65"/>
        <v/>
      </c>
      <c r="Z244" t="str">
        <f t="shared" si="66"/>
        <v/>
      </c>
      <c r="AA244">
        <f t="shared" si="67"/>
        <v>0</v>
      </c>
      <c r="AB244" t="str">
        <f>IFERROR(V144+MATCH(AA244,V244:Z244,0)-1,"")</f>
        <v/>
      </c>
      <c r="AC244" t="str">
        <f t="shared" si="68"/>
        <v/>
      </c>
      <c r="AE244" t="str">
        <f>IF(ISNUMBER(MATCH("N/A",J244:N244,0)),"",IFERROR((5 * SUMPRODUCT(J144:N144,J244:N244) - PRODUCT(SUM(J144:N144),SUM(J244:N244))) / ((5 * SUM((J144^2)+(K144^2)+(L144^2)+(M144^2)+(N144^2))) - SUM(J144:N144)^2),""))</f>
        <v/>
      </c>
      <c r="AF244" t="str">
        <f>IFERROR(CORREL(J144:N144,J244:N244),"")</f>
        <v/>
      </c>
      <c r="AZ244">
        <f t="shared" si="69"/>
        <v>0</v>
      </c>
      <c r="BA244" t="str">
        <f>IF(AZ244=1,IF(Q244="","",IF(Q244=N144,"Yes","No")),"")</f>
        <v/>
      </c>
      <c r="BB244" t="str">
        <f t="shared" si="70"/>
        <v/>
      </c>
      <c r="BC244" t="str">
        <f>IF(AZ244=1,IF(S244="","",IF(S244=N144,"Yes","No")),"")</f>
        <v/>
      </c>
      <c r="BD244" t="str">
        <f t="shared" si="71"/>
        <v/>
      </c>
      <c r="BE244" t="str">
        <f t="shared" si="72"/>
        <v/>
      </c>
      <c r="BF244" t="str">
        <f t="shared" si="73"/>
        <v>No</v>
      </c>
      <c r="BG244" t="str">
        <f t="shared" si="74"/>
        <v>No</v>
      </c>
      <c r="BH244" t="str">
        <f t="shared" si="75"/>
        <v/>
      </c>
    </row>
    <row r="245" spans="9:60" x14ac:dyDescent="0.3">
      <c r="I245" t="str">
        <f t="shared" si="76"/>
        <v>N/A</v>
      </c>
      <c r="J245" t="str">
        <f t="shared" si="77"/>
        <v>N/A</v>
      </c>
      <c r="K245" t="str">
        <f t="shared" si="78"/>
        <v>N/A</v>
      </c>
      <c r="L245" t="str">
        <f t="shared" si="79"/>
        <v>N/A</v>
      </c>
      <c r="M245" t="str">
        <f t="shared" si="80"/>
        <v>N/A</v>
      </c>
      <c r="N245" t="str">
        <f t="shared" si="81"/>
        <v>N/A</v>
      </c>
      <c r="P245">
        <f t="shared" si="58"/>
        <v>0</v>
      </c>
      <c r="Q245" t="str">
        <f>IFERROR(J144+MATCH(P245,J245:N245,0)-1,"")</f>
        <v/>
      </c>
      <c r="R245" t="str">
        <f t="shared" si="59"/>
        <v/>
      </c>
      <c r="S245" t="str">
        <f>IFERROR(J144+MATCH(R245,J245:N245,0)-1,"")</f>
        <v/>
      </c>
      <c r="T245" t="str">
        <f t="shared" si="60"/>
        <v/>
      </c>
      <c r="U245" t="str">
        <f t="shared" si="61"/>
        <v/>
      </c>
      <c r="V245" t="str">
        <f t="shared" si="62"/>
        <v/>
      </c>
      <c r="W245" t="str">
        <f t="shared" si="63"/>
        <v/>
      </c>
      <c r="X245" t="str">
        <f t="shared" si="64"/>
        <v/>
      </c>
      <c r="Y245" t="str">
        <f t="shared" si="65"/>
        <v/>
      </c>
      <c r="Z245" t="str">
        <f t="shared" si="66"/>
        <v/>
      </c>
      <c r="AA245">
        <f t="shared" si="67"/>
        <v>0</v>
      </c>
      <c r="AB245" t="str">
        <f>IFERROR(V144+MATCH(AA245,V245:Z245,0)-1,"")</f>
        <v/>
      </c>
      <c r="AC245" t="str">
        <f t="shared" si="68"/>
        <v/>
      </c>
      <c r="AE245" t="str">
        <f>IF(ISNUMBER(MATCH("N/A",J245:N245,0)),"",IFERROR((5 * SUMPRODUCT(J144:N144,J245:N245) - PRODUCT(SUM(J144:N144),SUM(J245:N245))) / ((5 * SUM((J144^2)+(K144^2)+(L144^2)+(M144^2)+(N144^2))) - SUM(J144:N144)^2),""))</f>
        <v/>
      </c>
      <c r="AF245" t="str">
        <f>IFERROR(CORREL(J144:N144,J245:N245),"")</f>
        <v/>
      </c>
      <c r="AZ245">
        <f t="shared" si="69"/>
        <v>0</v>
      </c>
      <c r="BA245" t="str">
        <f>IF(AZ245=1,IF(Q245="","",IF(Q245=N144,"Yes","No")),"")</f>
        <v/>
      </c>
      <c r="BB245" t="str">
        <f t="shared" si="70"/>
        <v/>
      </c>
      <c r="BC245" t="str">
        <f>IF(AZ245=1,IF(S245="","",IF(S245=N144,"Yes","No")),"")</f>
        <v/>
      </c>
      <c r="BD245" t="str">
        <f t="shared" si="71"/>
        <v/>
      </c>
      <c r="BE245" t="str">
        <f t="shared" si="72"/>
        <v/>
      </c>
      <c r="BF245" t="str">
        <f t="shared" si="73"/>
        <v>No</v>
      </c>
      <c r="BG245" t="str">
        <f t="shared" si="74"/>
        <v>No</v>
      </c>
      <c r="BH245" t="str">
        <f t="shared" si="75"/>
        <v/>
      </c>
    </row>
    <row r="246" spans="9:60" x14ac:dyDescent="0.3">
      <c r="P246">
        <f t="shared" si="58"/>
        <v>0</v>
      </c>
      <c r="Q246" t="str">
        <f>IFERROR(J144+MATCH(P246,J246:N246,0)-1,"")</f>
        <v/>
      </c>
      <c r="R246" t="str">
        <f t="shared" si="59"/>
        <v/>
      </c>
      <c r="S246" t="str">
        <f>IFERROR(J144+MATCH(R246,J246:N246,0)-1,"")</f>
        <v/>
      </c>
      <c r="T246" t="str">
        <f t="shared" si="60"/>
        <v/>
      </c>
      <c r="U246" t="str">
        <f t="shared" si="61"/>
        <v/>
      </c>
      <c r="V246" t="str">
        <f t="shared" si="62"/>
        <v/>
      </c>
      <c r="W246" t="str">
        <f t="shared" si="63"/>
        <v/>
      </c>
      <c r="X246" t="str">
        <f t="shared" si="64"/>
        <v/>
      </c>
      <c r="Y246" t="str">
        <f t="shared" si="65"/>
        <v/>
      </c>
      <c r="Z246" t="str">
        <f t="shared" si="66"/>
        <v/>
      </c>
      <c r="AA246">
        <f t="shared" si="67"/>
        <v>0</v>
      </c>
      <c r="AB246" t="str">
        <f>IFERROR(V144+MATCH(AA246,V246:Z246,0)-1,"")</f>
        <v/>
      </c>
      <c r="AC246" t="str">
        <f t="shared" si="68"/>
        <v/>
      </c>
      <c r="AE246" t="str">
        <f>IF(ISNUMBER(MATCH("N/A",J246:N246,0)),"",IFERROR((5 * SUMPRODUCT(J144:N144,J246:N246) - PRODUCT(SUM(J144:N144),SUM(J246:N246))) / ((5 * SUM((J144^2)+(K144^2)+(L144^2)+(M144^2)+(N144^2))) - SUM(J144:N144)^2),""))</f>
        <v/>
      </c>
      <c r="AF246" t="str">
        <f>IFERROR(CORREL(J144:N144,J246:N246),"")</f>
        <v/>
      </c>
      <c r="AZ246">
        <f t="shared" si="69"/>
        <v>0</v>
      </c>
      <c r="BA246" t="str">
        <f>IF(AZ246=1,IF(Q246="","",IF(Q246=N144,"Yes","No")),"")</f>
        <v/>
      </c>
      <c r="BB246" t="str">
        <f t="shared" si="70"/>
        <v/>
      </c>
      <c r="BC246" t="str">
        <f>IF(AZ246=1,IF(S246="","",IF(S246=N144,"Yes","No")),"")</f>
        <v/>
      </c>
      <c r="BD246" t="str">
        <f t="shared" si="71"/>
        <v/>
      </c>
      <c r="BE246" t="str">
        <f t="shared" si="72"/>
        <v/>
      </c>
      <c r="BF246" t="str">
        <f t="shared" si="73"/>
        <v>No</v>
      </c>
      <c r="BG246" t="str">
        <f t="shared" si="74"/>
        <v>No</v>
      </c>
      <c r="BH246" t="str">
        <f t="shared" si="75"/>
        <v/>
      </c>
    </row>
    <row r="247" spans="9:60" x14ac:dyDescent="0.3">
      <c r="I247" t="str">
        <f t="shared" ref="I247:I270" si="82">IF(AND(K247&gt; J247, L247&gt; K247, M247&gt; L247, N247&gt; M247), "pos_trend", IF(AND(K247&lt; J247, L247&lt; K247, M247&lt; L247, N247&lt; M247), "neg_trend", "N/A"))</f>
        <v>N/A</v>
      </c>
      <c r="J247" t="str">
        <f t="shared" ref="J247:J270" si="83">IFERROR(IF(TRIM(C247)="-", "N/A", IF(RIGHT(C247,1)=")",IF(RIGHT(C247,2)="T)",-1000000000000*VALUE(MID(C247,2,LEN(C247)-3)),IF(RIGHT(C247,2)="M)",-1000000*VALUE(MID(C247,2,LEN(C247)-3)),IF(RIGHT(C247,2)="B)",-1000000000*VALUE(MID(C247,2,LEN(C247)-3)),IF(RIGHT(C247,2)="k)",-1000*VALUE(MID(C247,2,LEN(C247)-3)),VALUE(SUBSTITUTE(C247,",","")))))),IF(RIGHT(C247,1)="T",1000000000000*VALUE(LEFT(C247,LEN(C247)-1)),IF(RIGHT(C247,1)="M",1000000*VALUE(LEFT(C247,LEN(C247)-1)),IF(RIGHT(C247,1)="B",1000000000*VALUE(LEFT(C247,LEN(C247)-1)),IF(RIGHT(C247,1)="%",0.01*VALUE(LEFT(C247,LEN(C247)-1)),IF(RIGHT(C247,1)="k",1000*VALUE(LEFT(C247,LEN(C247)-1)),VALUE(SUBSTITUTE(C247,",",""))))))))),"N/A")</f>
        <v>N/A</v>
      </c>
      <c r="K247" t="str">
        <f t="shared" ref="K247:K270" si="84">IFERROR(IF(TRIM(D247)="-", "N/A", IF(RIGHT(D247,1)=")",IF(RIGHT(D247,2)="T)",-1000000000000*VALUE(MID(D247,2,LEN(D247)-3)),IF(RIGHT(D247,2)="M)",-1000000*VALUE(MID(D247,2,LEN(D247)-3)),IF(RIGHT(D247,2)="B)",-1000000000*VALUE(MID(D247,2,LEN(D247)-3)),IF(RIGHT(D247,2)="k)",-1000*VALUE(MID(D247,2,LEN(D247)-3)),VALUE(SUBSTITUTE(D247,",","")))))),IF(RIGHT(D247,1)="T",1000000000000*VALUE(LEFT(D247,LEN(D247)-1)),IF(RIGHT(D247,1)="M",1000000*VALUE(LEFT(D247,LEN(D247)-1)),IF(RIGHT(D247,1)="B",1000000000*VALUE(LEFT(D247,LEN(D247)-1)),IF(RIGHT(D247,1)="%",0.01*VALUE(LEFT(D247,LEN(D247)-1)),IF(RIGHT(D247,1)="k",1000*VALUE(LEFT(D247,LEN(D247)-1)),VALUE(SUBSTITUTE(D247,",",""))))))))),"N/A")</f>
        <v>N/A</v>
      </c>
      <c r="L247" t="str">
        <f t="shared" ref="L247:L270" si="85">IFERROR(IF(TRIM(E247)="-", "N/A", IF(RIGHT(E247,1)=")",IF(RIGHT(E247,2)="T)",-1000000000000*VALUE(MID(E247,2,LEN(E247)-3)),IF(RIGHT(E247,2)="M)",-1000000*VALUE(MID(E247,2,LEN(E247)-3)),IF(RIGHT(E247,2)="B)",-1000000000*VALUE(MID(E247,2,LEN(E247)-3)),IF(RIGHT(E247,2)="k)",-1000*VALUE(MID(E247,2,LEN(E247)-3)),VALUE(SUBSTITUTE(E247,",","")))))),IF(RIGHT(E247,1)="T",1000000000000*VALUE(LEFT(E247,LEN(E247)-1)),IF(RIGHT(E247,1)="M",1000000*VALUE(LEFT(E247,LEN(E247)-1)),IF(RIGHT(E247,1)="B",1000000000*VALUE(LEFT(E247,LEN(E247)-1)),IF(RIGHT(E247,1)="%",0.01*VALUE(LEFT(E247,LEN(E247)-1)),IF(RIGHT(E247,1)="k",1000*VALUE(LEFT(E247,LEN(E247)-1)),VALUE(SUBSTITUTE(E247,",",""))))))))),"N/A")</f>
        <v>N/A</v>
      </c>
      <c r="M247" t="str">
        <f t="shared" ref="M247:M270" si="86">IFERROR(IF(TRIM(F247)="-", "N/A", IF(RIGHT(F247,1)=")",IF(RIGHT(F247,2)="T)",-1000000000000*VALUE(MID(F247,2,LEN(F247)-3)),IF(RIGHT(F247,2)="M)",-1000000*VALUE(MID(F247,2,LEN(F247)-3)),IF(RIGHT(F247,2)="B)",-1000000000*VALUE(MID(F247,2,LEN(F247)-3)),IF(RIGHT(F247,2)="k)",-1000*VALUE(MID(F247,2,LEN(F247)-3)),VALUE(SUBSTITUTE(F247,",","")))))),IF(RIGHT(F247,1)="T",1000000000000*VALUE(LEFT(F247,LEN(F247)-1)),IF(RIGHT(F247,1)="M",1000000*VALUE(LEFT(F247,LEN(F247)-1)),IF(RIGHT(F247,1)="B",1000000000*VALUE(LEFT(F247,LEN(F247)-1)),IF(RIGHT(F247,1)="%",0.01*VALUE(LEFT(F247,LEN(F247)-1)),IF(RIGHT(F247,1)="k",1000*VALUE(LEFT(F247,LEN(F247)-1)),VALUE(SUBSTITUTE(F247,",",""))))))))),"N/A")</f>
        <v>N/A</v>
      </c>
      <c r="N247" t="str">
        <f t="shared" ref="N247:N270" si="87">IFERROR(IF(TRIM(G247)="-", "N/A", IF(RIGHT(G247,1)=")",IF(RIGHT(G247,2)="T)",-1000000000000*VALUE(MID(G247,2,LEN(G247)-3)),IF(RIGHT(G247,2)="M)",-1000000*VALUE(MID(G247,2,LEN(G247)-3)),IF(RIGHT(G247,2)="B)",-1000000000*VALUE(MID(G247,2,LEN(G247)-3)),IF(RIGHT(G247,2)="k)",-1000*VALUE(MID(G247,2,LEN(G247)-3)),VALUE(SUBSTITUTE(G247,",","")))))),IF(RIGHT(G247,1)="T",1000000000000*VALUE(LEFT(G247,LEN(G247)-1)),IF(RIGHT(G247,1)="M",1000000*VALUE(LEFT(G247,LEN(G247)-1)),IF(RIGHT(G247,1)="B",1000000000*VALUE(LEFT(G247,LEN(G247)-1)),IF(RIGHT(G247,1)="%",0.01*VALUE(LEFT(G247,LEN(G247)-1)),IF(RIGHT(G247,1)="k",1000*VALUE(LEFT(G247,LEN(G247)-1)),VALUE(SUBSTITUTE(G247,",",""))))))))),"N/A")</f>
        <v>N/A</v>
      </c>
      <c r="P247">
        <f t="shared" si="58"/>
        <v>0</v>
      </c>
      <c r="Q247" t="str">
        <f>IFERROR(J144+MATCH(P247,J247:N247,0)-1,"")</f>
        <v/>
      </c>
      <c r="R247" t="str">
        <f t="shared" si="59"/>
        <v/>
      </c>
      <c r="S247" t="str">
        <f>IFERROR(J144+MATCH(R247,J247:N247,0)-1,"")</f>
        <v/>
      </c>
      <c r="T247" t="str">
        <f t="shared" si="60"/>
        <v/>
      </c>
      <c r="U247" t="str">
        <f t="shared" si="61"/>
        <v/>
      </c>
      <c r="V247" t="str">
        <f t="shared" si="62"/>
        <v/>
      </c>
      <c r="W247" t="str">
        <f t="shared" si="63"/>
        <v/>
      </c>
      <c r="X247" t="str">
        <f t="shared" si="64"/>
        <v/>
      </c>
      <c r="Y247" t="str">
        <f t="shared" si="65"/>
        <v/>
      </c>
      <c r="Z247" t="str">
        <f t="shared" si="66"/>
        <v/>
      </c>
      <c r="AA247">
        <f t="shared" si="67"/>
        <v>0</v>
      </c>
      <c r="AB247" t="str">
        <f>IFERROR(V144+MATCH(AA247,V247:Z247,0)-1,"")</f>
        <v/>
      </c>
      <c r="AC247" t="str">
        <f t="shared" si="68"/>
        <v/>
      </c>
      <c r="AE247" t="str">
        <f>IF(ISNUMBER(MATCH("N/A",J247:N247,0)),"",IFERROR((5 * SUMPRODUCT(J144:N144,J247:N247) - PRODUCT(SUM(J144:N144),SUM(J247:N247))) / ((5 * SUM((J144^2)+(K144^2)+(L144^2)+(M144^2)+(N144^2))) - SUM(J144:N144)^2),""))</f>
        <v/>
      </c>
      <c r="AF247" t="str">
        <f>IFERROR(CORREL(J144:N144,J247:N247),"")</f>
        <v/>
      </c>
      <c r="AZ247">
        <f t="shared" si="69"/>
        <v>0</v>
      </c>
      <c r="BA247" t="str">
        <f>IF(AZ247=1,IF(Q247="","",IF(Q247=N144,"Yes","No")),"")</f>
        <v/>
      </c>
      <c r="BB247" t="str">
        <f t="shared" si="70"/>
        <v/>
      </c>
      <c r="BC247" t="str">
        <f>IF(AZ247=1,IF(S247="","",IF(S247=N144,"Yes","No")),"")</f>
        <v/>
      </c>
      <c r="BD247" t="str">
        <f t="shared" si="71"/>
        <v/>
      </c>
      <c r="BE247" t="str">
        <f t="shared" si="72"/>
        <v/>
      </c>
      <c r="BF247" t="str">
        <f t="shared" si="73"/>
        <v>No</v>
      </c>
      <c r="BG247" t="str">
        <f t="shared" si="74"/>
        <v>No</v>
      </c>
      <c r="BH247" t="str">
        <f t="shared" si="75"/>
        <v/>
      </c>
    </row>
    <row r="248" spans="9:60" x14ac:dyDescent="0.3">
      <c r="I248" t="str">
        <f t="shared" si="82"/>
        <v>N/A</v>
      </c>
      <c r="J248" t="str">
        <f t="shared" si="83"/>
        <v>N/A</v>
      </c>
      <c r="K248" t="str">
        <f t="shared" si="84"/>
        <v>N/A</v>
      </c>
      <c r="L248" t="str">
        <f t="shared" si="85"/>
        <v>N/A</v>
      </c>
      <c r="M248" t="str">
        <f t="shared" si="86"/>
        <v>N/A</v>
      </c>
      <c r="N248" t="str">
        <f t="shared" si="87"/>
        <v>N/A</v>
      </c>
      <c r="P248">
        <f t="shared" si="58"/>
        <v>0</v>
      </c>
      <c r="Q248" t="str">
        <f>IFERROR(J144+MATCH(P248,J248:N248,0)-1,"")</f>
        <v/>
      </c>
      <c r="R248" t="str">
        <f t="shared" si="59"/>
        <v/>
      </c>
      <c r="S248" t="str">
        <f>IFERROR(J144+MATCH(R248,J248:N248,0)-1,"")</f>
        <v/>
      </c>
      <c r="T248" t="str">
        <f t="shared" si="60"/>
        <v/>
      </c>
      <c r="U248" t="str">
        <f t="shared" si="61"/>
        <v/>
      </c>
      <c r="V248" t="str">
        <f t="shared" si="62"/>
        <v/>
      </c>
      <c r="W248" t="str">
        <f t="shared" si="63"/>
        <v/>
      </c>
      <c r="X248" t="str">
        <f t="shared" si="64"/>
        <v/>
      </c>
      <c r="Y248" t="str">
        <f t="shared" si="65"/>
        <v/>
      </c>
      <c r="Z248" t="str">
        <f t="shared" si="66"/>
        <v/>
      </c>
      <c r="AA248">
        <f t="shared" si="67"/>
        <v>0</v>
      </c>
      <c r="AB248" t="str">
        <f>IFERROR(V144+MATCH(AA248,V248:Z248,0)-1,"")</f>
        <v/>
      </c>
      <c r="AC248" t="str">
        <f t="shared" si="68"/>
        <v/>
      </c>
      <c r="AE248" t="str">
        <f>IF(ISNUMBER(MATCH("N/A",J248:N248,0)),"",IFERROR((5 * SUMPRODUCT(J144:N144,J248:N248) - PRODUCT(SUM(J144:N144),SUM(J248:N248))) / ((5 * SUM((J144^2)+(K144^2)+(L144^2)+(M144^2)+(N144^2))) - SUM(J144:N144)^2),""))</f>
        <v/>
      </c>
      <c r="AF248" t="str">
        <f>IFERROR(CORREL(J144:N144,J248:N248),"")</f>
        <v/>
      </c>
      <c r="AZ248">
        <f t="shared" si="69"/>
        <v>0</v>
      </c>
      <c r="BA248" t="str">
        <f>IF(AZ248=1,IF(Q248="","",IF(Q248=N144,"Yes","No")),"")</f>
        <v/>
      </c>
      <c r="BB248" t="str">
        <f t="shared" si="70"/>
        <v/>
      </c>
      <c r="BC248" t="str">
        <f>IF(AZ248=1,IF(S248="","",IF(S248=N144,"Yes","No")),"")</f>
        <v/>
      </c>
      <c r="BD248" t="str">
        <f t="shared" si="71"/>
        <v/>
      </c>
      <c r="BE248" t="str">
        <f t="shared" si="72"/>
        <v/>
      </c>
      <c r="BF248" t="str">
        <f t="shared" si="73"/>
        <v>No</v>
      </c>
      <c r="BG248" t="str">
        <f t="shared" si="74"/>
        <v>No</v>
      </c>
      <c r="BH248" t="str">
        <f t="shared" si="75"/>
        <v/>
      </c>
    </row>
    <row r="249" spans="9:60" x14ac:dyDescent="0.3">
      <c r="I249" t="str">
        <f t="shared" si="82"/>
        <v>N/A</v>
      </c>
      <c r="J249" t="str">
        <f t="shared" si="83"/>
        <v>N/A</v>
      </c>
      <c r="K249" t="str">
        <f t="shared" si="84"/>
        <v>N/A</v>
      </c>
      <c r="L249" t="str">
        <f t="shared" si="85"/>
        <v>N/A</v>
      </c>
      <c r="M249" t="str">
        <f t="shared" si="86"/>
        <v>N/A</v>
      </c>
      <c r="N249" t="str">
        <f t="shared" si="87"/>
        <v>N/A</v>
      </c>
      <c r="P249">
        <f t="shared" si="58"/>
        <v>0</v>
      </c>
      <c r="Q249" t="str">
        <f>IFERROR(J144+MATCH(P249,J249:N249,0)-1,"")</f>
        <v/>
      </c>
      <c r="R249" t="str">
        <f t="shared" si="59"/>
        <v/>
      </c>
      <c r="S249" t="str">
        <f>IFERROR(J144+MATCH(R249,J249:N249,0)-1,"")</f>
        <v/>
      </c>
      <c r="T249" t="str">
        <f t="shared" si="60"/>
        <v/>
      </c>
      <c r="U249" t="str">
        <f t="shared" si="61"/>
        <v/>
      </c>
      <c r="V249" t="str">
        <f t="shared" si="62"/>
        <v/>
      </c>
      <c r="W249" t="str">
        <f t="shared" si="63"/>
        <v/>
      </c>
      <c r="X249" t="str">
        <f t="shared" si="64"/>
        <v/>
      </c>
      <c r="Y249" t="str">
        <f t="shared" si="65"/>
        <v/>
      </c>
      <c r="Z249" t="str">
        <f t="shared" si="66"/>
        <v/>
      </c>
      <c r="AA249">
        <f t="shared" si="67"/>
        <v>0</v>
      </c>
      <c r="AB249" t="str">
        <f>IFERROR(V144+MATCH(AA249,V249:Z249,0)-1,"")</f>
        <v/>
      </c>
      <c r="AC249" t="str">
        <f t="shared" si="68"/>
        <v/>
      </c>
      <c r="AE249" t="str">
        <f>IF(ISNUMBER(MATCH("N/A",J249:N249,0)),"",IFERROR((5 * SUMPRODUCT(J144:N144,J249:N249) - PRODUCT(SUM(J144:N144),SUM(J249:N249))) / ((5 * SUM((J144^2)+(K144^2)+(L144^2)+(M144^2)+(N144^2))) - SUM(J144:N144)^2),""))</f>
        <v/>
      </c>
      <c r="AF249" t="str">
        <f>IFERROR(CORREL(J144:N144,J249:N249),"")</f>
        <v/>
      </c>
      <c r="AZ249">
        <f t="shared" si="69"/>
        <v>0</v>
      </c>
      <c r="BA249" t="str">
        <f>IF(AZ249=1,IF(Q249="","",IF(Q249=N144,"Yes","No")),"")</f>
        <v/>
      </c>
      <c r="BB249" t="str">
        <f t="shared" si="70"/>
        <v/>
      </c>
      <c r="BC249" t="str">
        <f>IF(AZ249=1,IF(S249="","",IF(S249=N144,"Yes","No")),"")</f>
        <v/>
      </c>
      <c r="BD249" t="str">
        <f t="shared" si="71"/>
        <v/>
      </c>
      <c r="BE249" t="str">
        <f t="shared" si="72"/>
        <v/>
      </c>
      <c r="BF249" t="str">
        <f t="shared" si="73"/>
        <v>No</v>
      </c>
      <c r="BG249" t="str">
        <f t="shared" si="74"/>
        <v>No</v>
      </c>
      <c r="BH249" t="str">
        <f t="shared" si="75"/>
        <v/>
      </c>
    </row>
    <row r="250" spans="9:60" x14ac:dyDescent="0.3">
      <c r="I250" t="str">
        <f t="shared" si="82"/>
        <v>N/A</v>
      </c>
      <c r="J250" t="str">
        <f t="shared" si="83"/>
        <v>N/A</v>
      </c>
      <c r="K250" t="str">
        <f t="shared" si="84"/>
        <v>N/A</v>
      </c>
      <c r="L250" t="str">
        <f t="shared" si="85"/>
        <v>N/A</v>
      </c>
      <c r="M250" t="str">
        <f t="shared" si="86"/>
        <v>N/A</v>
      </c>
      <c r="N250" t="str">
        <f t="shared" si="87"/>
        <v>N/A</v>
      </c>
      <c r="P250">
        <f t="shared" si="58"/>
        <v>0</v>
      </c>
      <c r="Q250" t="str">
        <f>IFERROR(J144+MATCH(P250,J250:N250,0)-1,"")</f>
        <v/>
      </c>
      <c r="R250" t="str">
        <f t="shared" si="59"/>
        <v/>
      </c>
      <c r="S250" t="str">
        <f>IFERROR(J144+MATCH(R250,J250:N250,0)-1,"")</f>
        <v/>
      </c>
      <c r="T250" t="str">
        <f t="shared" si="60"/>
        <v/>
      </c>
      <c r="U250" t="str">
        <f t="shared" si="61"/>
        <v/>
      </c>
      <c r="V250" t="str">
        <f t="shared" si="62"/>
        <v/>
      </c>
      <c r="W250" t="str">
        <f t="shared" si="63"/>
        <v/>
      </c>
      <c r="X250" t="str">
        <f t="shared" si="64"/>
        <v/>
      </c>
      <c r="Y250" t="str">
        <f t="shared" si="65"/>
        <v/>
      </c>
      <c r="Z250" t="str">
        <f t="shared" si="66"/>
        <v/>
      </c>
      <c r="AA250">
        <f t="shared" si="67"/>
        <v>0</v>
      </c>
      <c r="AB250" t="str">
        <f>IFERROR(V144+MATCH(AA250,V250:Z250,0)-1,"")</f>
        <v/>
      </c>
      <c r="AC250" t="str">
        <f t="shared" si="68"/>
        <v/>
      </c>
      <c r="AE250" t="str">
        <f>IF(ISNUMBER(MATCH("N/A",J250:N250,0)),"",IFERROR((5 * SUMPRODUCT(J144:N144,J250:N250) - PRODUCT(SUM(J144:N144),SUM(J250:N250))) / ((5 * SUM((J144^2)+(K144^2)+(L144^2)+(M144^2)+(N144^2))) - SUM(J144:N144)^2),""))</f>
        <v/>
      </c>
      <c r="AF250" t="str">
        <f>IFERROR(CORREL(J144:N144,J250:N250),"")</f>
        <v/>
      </c>
      <c r="AZ250">
        <f t="shared" si="69"/>
        <v>0</v>
      </c>
      <c r="BA250" t="str">
        <f>IF(AZ250=1,IF(Q250="","",IF(Q250=N144,"Yes","No")),"")</f>
        <v/>
      </c>
      <c r="BB250" t="str">
        <f t="shared" si="70"/>
        <v/>
      </c>
      <c r="BC250" t="str">
        <f>IF(AZ250=1,IF(S250="","",IF(S250=N144,"Yes","No")),"")</f>
        <v/>
      </c>
      <c r="BD250" t="str">
        <f t="shared" si="71"/>
        <v/>
      </c>
      <c r="BE250" t="str">
        <f t="shared" si="72"/>
        <v/>
      </c>
      <c r="BF250" t="str">
        <f t="shared" si="73"/>
        <v>No</v>
      </c>
      <c r="BG250" t="str">
        <f t="shared" si="74"/>
        <v>No</v>
      </c>
      <c r="BH250" t="str">
        <f t="shared" si="75"/>
        <v/>
      </c>
    </row>
    <row r="251" spans="9:60" x14ac:dyDescent="0.3">
      <c r="I251" t="str">
        <f t="shared" si="82"/>
        <v>N/A</v>
      </c>
      <c r="J251" t="str">
        <f t="shared" si="83"/>
        <v>N/A</v>
      </c>
      <c r="K251" t="str">
        <f t="shared" si="84"/>
        <v>N/A</v>
      </c>
      <c r="L251" t="str">
        <f t="shared" si="85"/>
        <v>N/A</v>
      </c>
      <c r="M251" t="str">
        <f t="shared" si="86"/>
        <v>N/A</v>
      </c>
      <c r="N251" t="str">
        <f t="shared" si="87"/>
        <v>N/A</v>
      </c>
      <c r="P251">
        <f t="shared" si="58"/>
        <v>0</v>
      </c>
      <c r="Q251" t="str">
        <f>IFERROR(J144+MATCH(P251,J251:N251,0)-1,"")</f>
        <v/>
      </c>
      <c r="R251" t="str">
        <f t="shared" si="59"/>
        <v/>
      </c>
      <c r="S251" t="str">
        <f>IFERROR(J144+MATCH(R251,J251:N251,0)-1,"")</f>
        <v/>
      </c>
      <c r="T251" t="str">
        <f t="shared" si="60"/>
        <v/>
      </c>
      <c r="U251" t="str">
        <f t="shared" si="61"/>
        <v/>
      </c>
      <c r="V251" t="str">
        <f t="shared" si="62"/>
        <v/>
      </c>
      <c r="W251" t="str">
        <f t="shared" si="63"/>
        <v/>
      </c>
      <c r="X251" t="str">
        <f t="shared" si="64"/>
        <v/>
      </c>
      <c r="Y251" t="str">
        <f t="shared" si="65"/>
        <v/>
      </c>
      <c r="Z251" t="str">
        <f t="shared" si="66"/>
        <v/>
      </c>
      <c r="AA251">
        <f t="shared" si="67"/>
        <v>0</v>
      </c>
      <c r="AB251" t="str">
        <f>IFERROR(V144+MATCH(AA251,V251:Z251,0)-1,"")</f>
        <v/>
      </c>
      <c r="AC251" t="str">
        <f t="shared" si="68"/>
        <v/>
      </c>
      <c r="AE251" t="str">
        <f>IF(ISNUMBER(MATCH("N/A",J251:N251,0)),"",IFERROR((5 * SUMPRODUCT(J144:N144,J251:N251) - PRODUCT(SUM(J144:N144),SUM(J251:N251))) / ((5 * SUM((J144^2)+(K144^2)+(L144^2)+(M144^2)+(N144^2))) - SUM(J144:N144)^2),""))</f>
        <v/>
      </c>
      <c r="AF251" t="str">
        <f>IFERROR(CORREL(J144:N144,J251:N251),"")</f>
        <v/>
      </c>
      <c r="AZ251">
        <f t="shared" si="69"/>
        <v>0</v>
      </c>
      <c r="BA251" t="str">
        <f>IF(AZ251=1,IF(Q251="","",IF(Q251=N144,"Yes","No")),"")</f>
        <v/>
      </c>
      <c r="BB251" t="str">
        <f t="shared" si="70"/>
        <v/>
      </c>
      <c r="BC251" t="str">
        <f>IF(AZ251=1,IF(S251="","",IF(S251=N144,"Yes","No")),"")</f>
        <v/>
      </c>
      <c r="BD251" t="str">
        <f t="shared" si="71"/>
        <v/>
      </c>
      <c r="BE251" t="str">
        <f t="shared" si="72"/>
        <v/>
      </c>
      <c r="BF251" t="str">
        <f t="shared" si="73"/>
        <v>No</v>
      </c>
      <c r="BG251" t="str">
        <f t="shared" si="74"/>
        <v>No</v>
      </c>
      <c r="BH251" t="str">
        <f t="shared" si="75"/>
        <v/>
      </c>
    </row>
    <row r="252" spans="9:60" x14ac:dyDescent="0.3">
      <c r="I252" t="str">
        <f t="shared" si="82"/>
        <v>N/A</v>
      </c>
      <c r="J252" t="str">
        <f t="shared" si="83"/>
        <v>N/A</v>
      </c>
      <c r="K252" t="str">
        <f t="shared" si="84"/>
        <v>N/A</v>
      </c>
      <c r="L252" t="str">
        <f t="shared" si="85"/>
        <v>N/A</v>
      </c>
      <c r="M252" t="str">
        <f t="shared" si="86"/>
        <v>N/A</v>
      </c>
      <c r="N252" t="str">
        <f t="shared" si="87"/>
        <v>N/A</v>
      </c>
      <c r="P252">
        <f t="shared" si="58"/>
        <v>0</v>
      </c>
      <c r="Q252" t="str">
        <f>IFERROR(J144+MATCH(P252,J252:N252,0)-1,"")</f>
        <v/>
      </c>
      <c r="R252" t="str">
        <f t="shared" si="59"/>
        <v/>
      </c>
      <c r="S252" t="str">
        <f>IFERROR(J144+MATCH(R252,J252:N252,0)-1,"")</f>
        <v/>
      </c>
      <c r="T252" t="str">
        <f t="shared" si="60"/>
        <v/>
      </c>
      <c r="U252" t="str">
        <f t="shared" si="61"/>
        <v/>
      </c>
      <c r="V252" t="str">
        <f t="shared" si="62"/>
        <v/>
      </c>
      <c r="W252" t="str">
        <f t="shared" si="63"/>
        <v/>
      </c>
      <c r="X252" t="str">
        <f t="shared" si="64"/>
        <v/>
      </c>
      <c r="Y252" t="str">
        <f t="shared" si="65"/>
        <v/>
      </c>
      <c r="Z252" t="str">
        <f t="shared" si="66"/>
        <v/>
      </c>
      <c r="AA252">
        <f t="shared" si="67"/>
        <v>0</v>
      </c>
      <c r="AB252" t="str">
        <f>IFERROR(V144+MATCH(AA252,V252:Z252,0)-1,"")</f>
        <v/>
      </c>
      <c r="AC252" t="str">
        <f t="shared" si="68"/>
        <v/>
      </c>
      <c r="AE252" t="str">
        <f>IF(ISNUMBER(MATCH("N/A",J252:N252,0)),"",IFERROR((5 * SUMPRODUCT(J144:N144,J252:N252) - PRODUCT(SUM(J144:N144),SUM(J252:N252))) / ((5 * SUM((J144^2)+(K144^2)+(L144^2)+(M144^2)+(N144^2))) - SUM(J144:N144)^2),""))</f>
        <v/>
      </c>
      <c r="AF252" t="str">
        <f>IFERROR(CORREL(J144:N144,J252:N252),"")</f>
        <v/>
      </c>
      <c r="AZ252">
        <f t="shared" si="69"/>
        <v>0</v>
      </c>
      <c r="BA252" t="str">
        <f>IF(AZ252=1,IF(Q252="","",IF(Q252=N144,"Yes","No")),"")</f>
        <v/>
      </c>
      <c r="BB252" t="str">
        <f t="shared" si="70"/>
        <v/>
      </c>
      <c r="BC252" t="str">
        <f>IF(AZ252=1,IF(S252="","",IF(S252=N144,"Yes","No")),"")</f>
        <v/>
      </c>
      <c r="BD252" t="str">
        <f t="shared" si="71"/>
        <v/>
      </c>
      <c r="BE252" t="str">
        <f t="shared" si="72"/>
        <v/>
      </c>
      <c r="BF252" t="str">
        <f t="shared" si="73"/>
        <v>No</v>
      </c>
      <c r="BG252" t="str">
        <f t="shared" si="74"/>
        <v>No</v>
      </c>
      <c r="BH252" t="str">
        <f t="shared" si="75"/>
        <v/>
      </c>
    </row>
    <row r="253" spans="9:60" x14ac:dyDescent="0.3">
      <c r="I253" t="str">
        <f t="shared" si="82"/>
        <v>N/A</v>
      </c>
      <c r="J253" t="str">
        <f t="shared" si="83"/>
        <v>N/A</v>
      </c>
      <c r="K253" t="str">
        <f t="shared" si="84"/>
        <v>N/A</v>
      </c>
      <c r="L253" t="str">
        <f t="shared" si="85"/>
        <v>N/A</v>
      </c>
      <c r="M253" t="str">
        <f t="shared" si="86"/>
        <v>N/A</v>
      </c>
      <c r="N253" t="str">
        <f t="shared" si="87"/>
        <v>N/A</v>
      </c>
      <c r="P253">
        <f t="shared" si="58"/>
        <v>0</v>
      </c>
      <c r="Q253" t="str">
        <f>IFERROR(J144+MATCH(P253,J253:N253,0)-1,"")</f>
        <v/>
      </c>
      <c r="R253" t="str">
        <f t="shared" si="59"/>
        <v/>
      </c>
      <c r="S253" t="str">
        <f>IFERROR(J144+MATCH(R253,J253:N253,0)-1,"")</f>
        <v/>
      </c>
      <c r="T253" t="str">
        <f t="shared" si="60"/>
        <v/>
      </c>
      <c r="U253" t="str">
        <f t="shared" si="61"/>
        <v/>
      </c>
      <c r="V253" t="str">
        <f t="shared" si="62"/>
        <v/>
      </c>
      <c r="W253" t="str">
        <f t="shared" si="63"/>
        <v/>
      </c>
      <c r="X253" t="str">
        <f t="shared" si="64"/>
        <v/>
      </c>
      <c r="Y253" t="str">
        <f t="shared" si="65"/>
        <v/>
      </c>
      <c r="Z253" t="str">
        <f t="shared" si="66"/>
        <v/>
      </c>
      <c r="AA253">
        <f t="shared" si="67"/>
        <v>0</v>
      </c>
      <c r="AB253" t="str">
        <f>IFERROR(V144+MATCH(AA253,V253:Z253,0)-1,"")</f>
        <v/>
      </c>
      <c r="AC253" t="str">
        <f t="shared" si="68"/>
        <v/>
      </c>
      <c r="AE253" t="str">
        <f>IF(ISNUMBER(MATCH("N/A",J253:N253,0)),"",IFERROR((5 * SUMPRODUCT(J144:N144,J253:N253) - PRODUCT(SUM(J144:N144),SUM(J253:N253))) / ((5 * SUM((J144^2)+(K144^2)+(L144^2)+(M144^2)+(N144^2))) - SUM(J144:N144)^2),""))</f>
        <v/>
      </c>
      <c r="AF253" t="str">
        <f>IFERROR(CORREL(J144:N144,J253:N253),"")</f>
        <v/>
      </c>
      <c r="AZ253">
        <f t="shared" si="69"/>
        <v>0</v>
      </c>
      <c r="BA253" t="str">
        <f>IF(AZ253=1,IF(Q253="","",IF(Q253=N144,"Yes","No")),"")</f>
        <v/>
      </c>
      <c r="BB253" t="str">
        <f t="shared" si="70"/>
        <v/>
      </c>
      <c r="BC253" t="str">
        <f>IF(AZ253=1,IF(S253="","",IF(S253=N144,"Yes","No")),"")</f>
        <v/>
      </c>
      <c r="BD253" t="str">
        <f t="shared" si="71"/>
        <v/>
      </c>
      <c r="BE253" t="str">
        <f t="shared" si="72"/>
        <v/>
      </c>
      <c r="BF253" t="str">
        <f t="shared" si="73"/>
        <v>No</v>
      </c>
      <c r="BG253" t="str">
        <f t="shared" si="74"/>
        <v>No</v>
      </c>
      <c r="BH253" t="str">
        <f t="shared" si="75"/>
        <v/>
      </c>
    </row>
    <row r="254" spans="9:60" x14ac:dyDescent="0.3">
      <c r="I254" t="str">
        <f t="shared" si="82"/>
        <v>N/A</v>
      </c>
      <c r="J254" t="str">
        <f t="shared" si="83"/>
        <v>N/A</v>
      </c>
      <c r="K254" t="str">
        <f t="shared" si="84"/>
        <v>N/A</v>
      </c>
      <c r="L254" t="str">
        <f t="shared" si="85"/>
        <v>N/A</v>
      </c>
      <c r="M254" t="str">
        <f t="shared" si="86"/>
        <v>N/A</v>
      </c>
      <c r="N254" t="str">
        <f t="shared" si="87"/>
        <v>N/A</v>
      </c>
      <c r="P254">
        <f t="shared" si="58"/>
        <v>0</v>
      </c>
      <c r="Q254" t="str">
        <f>IFERROR(J144+MATCH(P254,J254:N254,0)-1,"")</f>
        <v/>
      </c>
      <c r="R254" t="str">
        <f t="shared" si="59"/>
        <v/>
      </c>
      <c r="S254" t="str">
        <f>IFERROR(J144+MATCH(R254,J254:N254,0)-1,"")</f>
        <v/>
      </c>
      <c r="T254" t="str">
        <f t="shared" si="60"/>
        <v/>
      </c>
      <c r="U254" t="str">
        <f t="shared" si="61"/>
        <v/>
      </c>
      <c r="V254" t="str">
        <f t="shared" si="62"/>
        <v/>
      </c>
      <c r="W254" t="str">
        <f t="shared" si="63"/>
        <v/>
      </c>
      <c r="X254" t="str">
        <f t="shared" si="64"/>
        <v/>
      </c>
      <c r="Y254" t="str">
        <f t="shared" si="65"/>
        <v/>
      </c>
      <c r="Z254" t="str">
        <f t="shared" si="66"/>
        <v/>
      </c>
      <c r="AA254">
        <f t="shared" si="67"/>
        <v>0</v>
      </c>
      <c r="AB254" t="str">
        <f>IFERROR(V144+MATCH(AA254,V254:Z254,0)-1,"")</f>
        <v/>
      </c>
      <c r="AC254" t="str">
        <f t="shared" si="68"/>
        <v/>
      </c>
      <c r="AE254" t="str">
        <f>IF(ISNUMBER(MATCH("N/A",J254:N254,0)),"",IFERROR((5 * SUMPRODUCT(J144:N144,J254:N254) - PRODUCT(SUM(J144:N144),SUM(J254:N254))) / ((5 * SUM((J144^2)+(K144^2)+(L144^2)+(M144^2)+(N144^2))) - SUM(J144:N144)^2),""))</f>
        <v/>
      </c>
      <c r="AF254" t="str">
        <f>IFERROR(CORREL(J144:N144,J254:N254),"")</f>
        <v/>
      </c>
      <c r="AZ254">
        <f t="shared" si="69"/>
        <v>0</v>
      </c>
      <c r="BA254" t="str">
        <f>IF(AZ254=1,IF(Q254="","",IF(Q254=N144,"Yes","No")),"")</f>
        <v/>
      </c>
      <c r="BB254" t="str">
        <f t="shared" si="70"/>
        <v/>
      </c>
      <c r="BC254" t="str">
        <f>IF(AZ254=1,IF(S254="","",IF(S254=N144,"Yes","No")),"")</f>
        <v/>
      </c>
      <c r="BD254" t="str">
        <f t="shared" si="71"/>
        <v/>
      </c>
      <c r="BE254" t="str">
        <f t="shared" si="72"/>
        <v/>
      </c>
      <c r="BF254" t="str">
        <f t="shared" si="73"/>
        <v>No</v>
      </c>
      <c r="BG254" t="str">
        <f t="shared" si="74"/>
        <v>No</v>
      </c>
      <c r="BH254" t="str">
        <f t="shared" si="75"/>
        <v/>
      </c>
    </row>
    <row r="255" spans="9:60" x14ac:dyDescent="0.3">
      <c r="I255" t="str">
        <f t="shared" si="82"/>
        <v>N/A</v>
      </c>
      <c r="J255" t="str">
        <f t="shared" si="83"/>
        <v>N/A</v>
      </c>
      <c r="K255" t="str">
        <f t="shared" si="84"/>
        <v>N/A</v>
      </c>
      <c r="L255" t="str">
        <f t="shared" si="85"/>
        <v>N/A</v>
      </c>
      <c r="M255" t="str">
        <f t="shared" si="86"/>
        <v>N/A</v>
      </c>
      <c r="N255" t="str">
        <f t="shared" si="87"/>
        <v>N/A</v>
      </c>
      <c r="P255">
        <f t="shared" si="58"/>
        <v>0</v>
      </c>
      <c r="Q255" t="str">
        <f>IFERROR(J144+MATCH(P255,J255:N255,0)-1,"")</f>
        <v/>
      </c>
      <c r="R255" t="str">
        <f t="shared" si="59"/>
        <v/>
      </c>
      <c r="S255" t="str">
        <f>IFERROR(J144+MATCH(R255,J255:N255,0)-1,"")</f>
        <v/>
      </c>
      <c r="T255" t="str">
        <f t="shared" si="60"/>
        <v/>
      </c>
      <c r="U255" t="str">
        <f t="shared" si="61"/>
        <v/>
      </c>
      <c r="V255" t="str">
        <f t="shared" si="62"/>
        <v/>
      </c>
      <c r="W255" t="str">
        <f t="shared" si="63"/>
        <v/>
      </c>
      <c r="X255" t="str">
        <f t="shared" si="64"/>
        <v/>
      </c>
      <c r="Y255" t="str">
        <f t="shared" si="65"/>
        <v/>
      </c>
      <c r="Z255" t="str">
        <f t="shared" si="66"/>
        <v/>
      </c>
      <c r="AA255">
        <f t="shared" si="67"/>
        <v>0</v>
      </c>
      <c r="AB255" t="str">
        <f>IFERROR(V144+MATCH(AA255,V255:Z255,0)-1,"")</f>
        <v/>
      </c>
      <c r="AC255" t="str">
        <f t="shared" si="68"/>
        <v/>
      </c>
      <c r="AE255" t="str">
        <f>IF(ISNUMBER(MATCH("N/A",J255:N255,0)),"",IFERROR((5 * SUMPRODUCT(J144:N144,J255:N255) - PRODUCT(SUM(J144:N144),SUM(J255:N255))) / ((5 * SUM((J144^2)+(K144^2)+(L144^2)+(M144^2)+(N144^2))) - SUM(J144:N144)^2),""))</f>
        <v/>
      </c>
      <c r="AF255" t="str">
        <f>IFERROR(CORREL(J144:N144,J255:N255),"")</f>
        <v/>
      </c>
      <c r="AZ255">
        <f t="shared" si="69"/>
        <v>0</v>
      </c>
      <c r="BA255" t="str">
        <f>IF(AZ255=1,IF(Q255="","",IF(Q255=N144,"Yes","No")),"")</f>
        <v/>
      </c>
      <c r="BB255" t="str">
        <f t="shared" si="70"/>
        <v/>
      </c>
      <c r="BC255" t="str">
        <f>IF(AZ255=1,IF(S255="","",IF(S255=N144,"Yes","No")),"")</f>
        <v/>
      </c>
      <c r="BD255" t="str">
        <f t="shared" si="71"/>
        <v/>
      </c>
      <c r="BE255" t="str">
        <f t="shared" si="72"/>
        <v/>
      </c>
      <c r="BF255" t="str">
        <f t="shared" si="73"/>
        <v>No</v>
      </c>
      <c r="BG255" t="str">
        <f t="shared" si="74"/>
        <v>No</v>
      </c>
      <c r="BH255" t="str">
        <f t="shared" si="75"/>
        <v/>
      </c>
    </row>
    <row r="256" spans="9:60" x14ac:dyDescent="0.3">
      <c r="I256" t="str">
        <f t="shared" si="82"/>
        <v>N/A</v>
      </c>
      <c r="J256" t="str">
        <f t="shared" si="83"/>
        <v>N/A</v>
      </c>
      <c r="K256" t="str">
        <f t="shared" si="84"/>
        <v>N/A</v>
      </c>
      <c r="L256" t="str">
        <f t="shared" si="85"/>
        <v>N/A</v>
      </c>
      <c r="M256" t="str">
        <f t="shared" si="86"/>
        <v>N/A</v>
      </c>
      <c r="N256" t="str">
        <f t="shared" si="87"/>
        <v>N/A</v>
      </c>
      <c r="P256">
        <f t="shared" si="58"/>
        <v>0</v>
      </c>
      <c r="Q256" t="str">
        <f>IFERROR(J144+MATCH(P256,J256:N256,0)-1,"")</f>
        <v/>
      </c>
      <c r="R256" t="str">
        <f t="shared" si="59"/>
        <v/>
      </c>
      <c r="S256" t="str">
        <f>IFERROR(J144+MATCH(R256,J256:N256,0)-1,"")</f>
        <v/>
      </c>
      <c r="T256" t="str">
        <f t="shared" si="60"/>
        <v/>
      </c>
      <c r="U256" t="str">
        <f t="shared" si="61"/>
        <v/>
      </c>
      <c r="V256" t="str">
        <f t="shared" si="62"/>
        <v/>
      </c>
      <c r="W256" t="str">
        <f t="shared" si="63"/>
        <v/>
      </c>
      <c r="X256" t="str">
        <f t="shared" si="64"/>
        <v/>
      </c>
      <c r="Y256" t="str">
        <f t="shared" si="65"/>
        <v/>
      </c>
      <c r="Z256" t="str">
        <f t="shared" si="66"/>
        <v/>
      </c>
      <c r="AA256">
        <f t="shared" si="67"/>
        <v>0</v>
      </c>
      <c r="AB256" t="str">
        <f>IFERROR(V144+MATCH(AA256,V256:Z256,0)-1,"")</f>
        <v/>
      </c>
      <c r="AC256" t="str">
        <f t="shared" si="68"/>
        <v/>
      </c>
      <c r="AE256" t="str">
        <f>IF(ISNUMBER(MATCH("N/A",J256:N256,0)),"",IFERROR((5 * SUMPRODUCT(J144:N144,J256:N256) - PRODUCT(SUM(J144:N144),SUM(J256:N256))) / ((5 * SUM((J144^2)+(K144^2)+(L144^2)+(M144^2)+(N144^2))) - SUM(J144:N144)^2),""))</f>
        <v/>
      </c>
      <c r="AF256" t="str">
        <f>IFERROR(CORREL(J144:N144,J256:N256),"")</f>
        <v/>
      </c>
      <c r="AZ256">
        <f t="shared" si="69"/>
        <v>0</v>
      </c>
      <c r="BA256" t="str">
        <f>IF(AZ256=1,IF(Q256="","",IF(Q256=N144,"Yes","No")),"")</f>
        <v/>
      </c>
      <c r="BB256" t="str">
        <f t="shared" si="70"/>
        <v/>
      </c>
      <c r="BC256" t="str">
        <f>IF(AZ256=1,IF(S256="","",IF(S256=N144,"Yes","No")),"")</f>
        <v/>
      </c>
      <c r="BD256" t="str">
        <f t="shared" si="71"/>
        <v/>
      </c>
      <c r="BE256" t="str">
        <f t="shared" si="72"/>
        <v/>
      </c>
      <c r="BF256" t="str">
        <f t="shared" si="73"/>
        <v>No</v>
      </c>
      <c r="BG256" t="str">
        <f t="shared" si="74"/>
        <v>No</v>
      </c>
      <c r="BH256" t="str">
        <f t="shared" si="75"/>
        <v/>
      </c>
    </row>
    <row r="257" spans="9:60" x14ac:dyDescent="0.3">
      <c r="I257" t="str">
        <f t="shared" si="82"/>
        <v>N/A</v>
      </c>
      <c r="J257" t="str">
        <f t="shared" si="83"/>
        <v>N/A</v>
      </c>
      <c r="K257" t="str">
        <f t="shared" si="84"/>
        <v>N/A</v>
      </c>
      <c r="L257" t="str">
        <f t="shared" si="85"/>
        <v>N/A</v>
      </c>
      <c r="M257" t="str">
        <f t="shared" si="86"/>
        <v>N/A</v>
      </c>
      <c r="N257" t="str">
        <f t="shared" si="87"/>
        <v>N/A</v>
      </c>
      <c r="P257">
        <f t="shared" si="58"/>
        <v>0</v>
      </c>
      <c r="Q257" t="str">
        <f>IFERROR(J144+MATCH(P257,J257:N257,0)-1,"")</f>
        <v/>
      </c>
      <c r="R257" t="str">
        <f t="shared" si="59"/>
        <v/>
      </c>
      <c r="S257" t="str">
        <f>IFERROR(J144+MATCH(R257,J257:N257,0)-1,"")</f>
        <v/>
      </c>
      <c r="T257" t="str">
        <f t="shared" si="60"/>
        <v/>
      </c>
      <c r="U257" t="str">
        <f t="shared" si="61"/>
        <v/>
      </c>
      <c r="V257" t="str">
        <f t="shared" si="62"/>
        <v/>
      </c>
      <c r="W257" t="str">
        <f t="shared" si="63"/>
        <v/>
      </c>
      <c r="X257" t="str">
        <f t="shared" si="64"/>
        <v/>
      </c>
      <c r="Y257" t="str">
        <f t="shared" si="65"/>
        <v/>
      </c>
      <c r="Z257" t="str">
        <f t="shared" si="66"/>
        <v/>
      </c>
      <c r="AA257">
        <f t="shared" si="67"/>
        <v>0</v>
      </c>
      <c r="AB257" t="str">
        <f>IFERROR(V144+MATCH(AA257,V257:Z257,0)-1,"")</f>
        <v/>
      </c>
      <c r="AC257" t="str">
        <f t="shared" si="68"/>
        <v/>
      </c>
      <c r="AE257" t="str">
        <f>IF(ISNUMBER(MATCH("N/A",J257:N257,0)),"",IFERROR((5 * SUMPRODUCT(J144:N144,J257:N257) - PRODUCT(SUM(J144:N144),SUM(J257:N257))) / ((5 * SUM((J144^2)+(K144^2)+(L144^2)+(M144^2)+(N144^2))) - SUM(J144:N144)^2),""))</f>
        <v/>
      </c>
      <c r="AF257" t="str">
        <f>IFERROR(CORREL(J144:N144,J257:N257),"")</f>
        <v/>
      </c>
      <c r="AZ257">
        <f t="shared" si="69"/>
        <v>0</v>
      </c>
      <c r="BA257" t="str">
        <f>IF(AZ257=1,IF(Q257="","",IF(Q257=N144,"Yes","No")),"")</f>
        <v/>
      </c>
      <c r="BB257" t="str">
        <f t="shared" si="70"/>
        <v/>
      </c>
      <c r="BC257" t="str">
        <f>IF(AZ257=1,IF(S257="","",IF(S257=N144,"Yes","No")),"")</f>
        <v/>
      </c>
      <c r="BD257" t="str">
        <f t="shared" si="71"/>
        <v/>
      </c>
      <c r="BE257" t="str">
        <f t="shared" si="72"/>
        <v/>
      </c>
      <c r="BF257" t="str">
        <f t="shared" si="73"/>
        <v>No</v>
      </c>
      <c r="BG257" t="str">
        <f t="shared" si="74"/>
        <v>No</v>
      </c>
      <c r="BH257" t="str">
        <f t="shared" si="75"/>
        <v/>
      </c>
    </row>
    <row r="258" spans="9:60" x14ac:dyDescent="0.3">
      <c r="I258" t="str">
        <f t="shared" si="82"/>
        <v>N/A</v>
      </c>
      <c r="J258" t="str">
        <f t="shared" si="83"/>
        <v>N/A</v>
      </c>
      <c r="K258" t="str">
        <f t="shared" si="84"/>
        <v>N/A</v>
      </c>
      <c r="L258" t="str">
        <f t="shared" si="85"/>
        <v>N/A</v>
      </c>
      <c r="M258" t="str">
        <f t="shared" si="86"/>
        <v>N/A</v>
      </c>
      <c r="N258" t="str">
        <f t="shared" si="87"/>
        <v>N/A</v>
      </c>
      <c r="P258">
        <f t="shared" si="58"/>
        <v>0</v>
      </c>
      <c r="Q258" t="str">
        <f>IFERROR(J144+MATCH(P258,J258:N258,0)-1,"")</f>
        <v/>
      </c>
      <c r="R258" t="str">
        <f t="shared" si="59"/>
        <v/>
      </c>
      <c r="S258" t="str">
        <f>IFERROR(J144+MATCH(R258,J258:N258,0)-1,"")</f>
        <v/>
      </c>
      <c r="T258" t="str">
        <f t="shared" si="60"/>
        <v/>
      </c>
      <c r="U258" t="str">
        <f t="shared" si="61"/>
        <v/>
      </c>
      <c r="V258" t="str">
        <f t="shared" si="62"/>
        <v/>
      </c>
      <c r="W258" t="str">
        <f t="shared" si="63"/>
        <v/>
      </c>
      <c r="X258" t="str">
        <f t="shared" si="64"/>
        <v/>
      </c>
      <c r="Y258" t="str">
        <f t="shared" si="65"/>
        <v/>
      </c>
      <c r="Z258" t="str">
        <f t="shared" si="66"/>
        <v/>
      </c>
      <c r="AA258">
        <f t="shared" si="67"/>
        <v>0</v>
      </c>
      <c r="AB258" t="str">
        <f>IFERROR(V144+MATCH(AA258,V258:Z258,0)-1,"")</f>
        <v/>
      </c>
      <c r="AC258" t="str">
        <f t="shared" si="68"/>
        <v/>
      </c>
      <c r="AE258" t="str">
        <f>IF(ISNUMBER(MATCH("N/A",J258:N258,0)),"",IFERROR((5 * SUMPRODUCT(J144:N144,J258:N258) - PRODUCT(SUM(J144:N144),SUM(J258:N258))) / ((5 * SUM((J144^2)+(K144^2)+(L144^2)+(M144^2)+(N144^2))) - SUM(J144:N144)^2),""))</f>
        <v/>
      </c>
      <c r="AF258" t="str">
        <f>IFERROR(CORREL(J144:N144,J258:N258),"")</f>
        <v/>
      </c>
      <c r="AZ258">
        <f t="shared" si="69"/>
        <v>0</v>
      </c>
      <c r="BA258" t="str">
        <f>IF(AZ258=1,IF(Q258="","",IF(Q258=N144,"Yes","No")),"")</f>
        <v/>
      </c>
      <c r="BB258" t="str">
        <f t="shared" si="70"/>
        <v/>
      </c>
      <c r="BC258" t="str">
        <f>IF(AZ258=1,IF(S258="","",IF(S258=N144,"Yes","No")),"")</f>
        <v/>
      </c>
      <c r="BD258" t="str">
        <f t="shared" si="71"/>
        <v/>
      </c>
      <c r="BE258" t="str">
        <f t="shared" si="72"/>
        <v/>
      </c>
      <c r="BF258" t="str">
        <f t="shared" si="73"/>
        <v>No</v>
      </c>
      <c r="BG258" t="str">
        <f t="shared" si="74"/>
        <v>No</v>
      </c>
      <c r="BH258" t="str">
        <f t="shared" si="75"/>
        <v/>
      </c>
    </row>
    <row r="259" spans="9:60" x14ac:dyDescent="0.3">
      <c r="I259" t="str">
        <f t="shared" si="82"/>
        <v>N/A</v>
      </c>
      <c r="J259" t="str">
        <f t="shared" si="83"/>
        <v>N/A</v>
      </c>
      <c r="K259" t="str">
        <f t="shared" si="84"/>
        <v>N/A</v>
      </c>
      <c r="L259" t="str">
        <f t="shared" si="85"/>
        <v>N/A</v>
      </c>
      <c r="M259" t="str">
        <f t="shared" si="86"/>
        <v>N/A</v>
      </c>
      <c r="N259" t="str">
        <f t="shared" si="87"/>
        <v>N/A</v>
      </c>
      <c r="P259">
        <f t="shared" si="58"/>
        <v>0</v>
      </c>
      <c r="Q259" t="str">
        <f>IFERROR(J144+MATCH(P259,J259:N259,0)-1,"")</f>
        <v/>
      </c>
      <c r="R259" t="str">
        <f t="shared" si="59"/>
        <v/>
      </c>
      <c r="S259" t="str">
        <f>IFERROR(J144+MATCH(R259,J259:N259,0)-1,"")</f>
        <v/>
      </c>
      <c r="T259" t="str">
        <f t="shared" si="60"/>
        <v/>
      </c>
      <c r="U259" t="str">
        <f t="shared" si="61"/>
        <v/>
      </c>
      <c r="V259" t="str">
        <f t="shared" si="62"/>
        <v/>
      </c>
      <c r="W259" t="str">
        <f t="shared" si="63"/>
        <v/>
      </c>
      <c r="X259" t="str">
        <f t="shared" si="64"/>
        <v/>
      </c>
      <c r="Y259" t="str">
        <f t="shared" si="65"/>
        <v/>
      </c>
      <c r="Z259" t="str">
        <f t="shared" si="66"/>
        <v/>
      </c>
      <c r="AA259">
        <f t="shared" si="67"/>
        <v>0</v>
      </c>
      <c r="AB259" t="str">
        <f>IFERROR(V144+MATCH(AA259,V259:Z259,0)-1,"")</f>
        <v/>
      </c>
      <c r="AC259" t="str">
        <f t="shared" si="68"/>
        <v/>
      </c>
      <c r="AE259" t="str">
        <f>IF(ISNUMBER(MATCH("N/A",J259:N259,0)),"",IFERROR((5 * SUMPRODUCT(J144:N144,J259:N259) - PRODUCT(SUM(J144:N144),SUM(J259:N259))) / ((5 * SUM((J144^2)+(K144^2)+(L144^2)+(M144^2)+(N144^2))) - SUM(J144:N144)^2),""))</f>
        <v/>
      </c>
      <c r="AF259" t="str">
        <f>IFERROR(CORREL(J144:N144,J259:N259),"")</f>
        <v/>
      </c>
      <c r="AZ259">
        <f t="shared" si="69"/>
        <v>0</v>
      </c>
      <c r="BA259" t="str">
        <f>IF(AZ259=1,IF(Q259="","",IF(Q259=N144,"Yes","No")),"")</f>
        <v/>
      </c>
      <c r="BB259" t="str">
        <f t="shared" si="70"/>
        <v/>
      </c>
      <c r="BC259" t="str">
        <f>IF(AZ259=1,IF(S259="","",IF(S259=N144,"Yes","No")),"")</f>
        <v/>
      </c>
      <c r="BD259" t="str">
        <f t="shared" si="71"/>
        <v/>
      </c>
      <c r="BE259" t="str">
        <f t="shared" si="72"/>
        <v/>
      </c>
      <c r="BF259" t="str">
        <f t="shared" si="73"/>
        <v>No</v>
      </c>
      <c r="BG259" t="str">
        <f t="shared" si="74"/>
        <v>No</v>
      </c>
      <c r="BH259" t="str">
        <f t="shared" si="75"/>
        <v/>
      </c>
    </row>
    <row r="260" spans="9:60" x14ac:dyDescent="0.3">
      <c r="I260" t="str">
        <f t="shared" si="82"/>
        <v>N/A</v>
      </c>
      <c r="J260" t="str">
        <f t="shared" si="83"/>
        <v>N/A</v>
      </c>
      <c r="K260" t="str">
        <f t="shared" si="84"/>
        <v>N/A</v>
      </c>
      <c r="L260" t="str">
        <f t="shared" si="85"/>
        <v>N/A</v>
      </c>
      <c r="M260" t="str">
        <f t="shared" si="86"/>
        <v>N/A</v>
      </c>
      <c r="N260" t="str">
        <f t="shared" si="87"/>
        <v>N/A</v>
      </c>
      <c r="P260">
        <f t="shared" si="58"/>
        <v>0</v>
      </c>
      <c r="Q260" t="str">
        <f>IFERROR(J144+MATCH(P260,J260:N260,0)-1,"")</f>
        <v/>
      </c>
      <c r="R260" t="str">
        <f t="shared" si="59"/>
        <v/>
      </c>
      <c r="S260" t="str">
        <f>IFERROR(J144+MATCH(R260,J260:N260,0)-1,"")</f>
        <v/>
      </c>
      <c r="T260" t="str">
        <f t="shared" si="60"/>
        <v/>
      </c>
      <c r="U260" t="str">
        <f t="shared" si="61"/>
        <v/>
      </c>
      <c r="V260" t="str">
        <f t="shared" si="62"/>
        <v/>
      </c>
      <c r="W260" t="str">
        <f t="shared" si="63"/>
        <v/>
      </c>
      <c r="X260" t="str">
        <f t="shared" si="64"/>
        <v/>
      </c>
      <c r="Y260" t="str">
        <f t="shared" si="65"/>
        <v/>
      </c>
      <c r="Z260" t="str">
        <f t="shared" si="66"/>
        <v/>
      </c>
      <c r="AA260">
        <f t="shared" si="67"/>
        <v>0</v>
      </c>
      <c r="AB260" t="str">
        <f>IFERROR(V144+MATCH(AA260,V260:Z260,0)-1,"")</f>
        <v/>
      </c>
      <c r="AC260" t="str">
        <f t="shared" si="68"/>
        <v/>
      </c>
      <c r="AE260" t="str">
        <f>IF(ISNUMBER(MATCH("N/A",J260:N260,0)),"",IFERROR((5 * SUMPRODUCT(J144:N144,J260:N260) - PRODUCT(SUM(J144:N144),SUM(J260:N260))) / ((5 * SUM((J144^2)+(K144^2)+(L144^2)+(M144^2)+(N144^2))) - SUM(J144:N144)^2),""))</f>
        <v/>
      </c>
      <c r="AF260" t="str">
        <f>IFERROR(CORREL(J144:N144,J260:N260),"")</f>
        <v/>
      </c>
      <c r="AZ260">
        <f t="shared" si="69"/>
        <v>0</v>
      </c>
      <c r="BA260" t="str">
        <f>IF(AZ260=1,IF(Q260="","",IF(Q260=N144,"Yes","No")),"")</f>
        <v/>
      </c>
      <c r="BB260" t="str">
        <f t="shared" si="70"/>
        <v/>
      </c>
      <c r="BC260" t="str">
        <f>IF(AZ260=1,IF(S260="","",IF(S260=N144,"Yes","No")),"")</f>
        <v/>
      </c>
      <c r="BD260" t="str">
        <f t="shared" si="71"/>
        <v/>
      </c>
      <c r="BE260" t="str">
        <f t="shared" si="72"/>
        <v/>
      </c>
      <c r="BF260" t="str">
        <f t="shared" si="73"/>
        <v>No</v>
      </c>
      <c r="BG260" t="str">
        <f t="shared" si="74"/>
        <v>No</v>
      </c>
      <c r="BH260" t="str">
        <f t="shared" si="75"/>
        <v/>
      </c>
    </row>
    <row r="261" spans="9:60" x14ac:dyDescent="0.3">
      <c r="I261" t="str">
        <f t="shared" si="82"/>
        <v>N/A</v>
      </c>
      <c r="J261" t="str">
        <f t="shared" si="83"/>
        <v>N/A</v>
      </c>
      <c r="K261" t="str">
        <f t="shared" si="84"/>
        <v>N/A</v>
      </c>
      <c r="L261" t="str">
        <f t="shared" si="85"/>
        <v>N/A</v>
      </c>
      <c r="M261" t="str">
        <f t="shared" si="86"/>
        <v>N/A</v>
      </c>
      <c r="N261" t="str">
        <f t="shared" si="87"/>
        <v>N/A</v>
      </c>
      <c r="P261">
        <f t="shared" si="58"/>
        <v>0</v>
      </c>
      <c r="Q261" t="str">
        <f>IFERROR(J144+MATCH(P261,J261:N261,0)-1,"")</f>
        <v/>
      </c>
      <c r="R261" t="str">
        <f t="shared" si="59"/>
        <v/>
      </c>
      <c r="S261" t="str">
        <f>IFERROR(J144+MATCH(R261,J261:N261,0)-1,"")</f>
        <v/>
      </c>
      <c r="T261" t="str">
        <f t="shared" si="60"/>
        <v/>
      </c>
      <c r="U261" t="str">
        <f t="shared" si="61"/>
        <v/>
      </c>
      <c r="V261" t="str">
        <f t="shared" si="62"/>
        <v/>
      </c>
      <c r="W261" t="str">
        <f t="shared" si="63"/>
        <v/>
      </c>
      <c r="X261" t="str">
        <f t="shared" si="64"/>
        <v/>
      </c>
      <c r="Y261" t="str">
        <f t="shared" si="65"/>
        <v/>
      </c>
      <c r="Z261" t="str">
        <f t="shared" si="66"/>
        <v/>
      </c>
      <c r="AA261">
        <f t="shared" si="67"/>
        <v>0</v>
      </c>
      <c r="AB261" t="str">
        <f>IFERROR(V144+MATCH(AA261,V261:Z261,0)-1,"")</f>
        <v/>
      </c>
      <c r="AC261" t="str">
        <f t="shared" si="68"/>
        <v/>
      </c>
      <c r="AE261" t="str">
        <f>IF(ISNUMBER(MATCH("N/A",J261:N261,0)),"",IFERROR((5 * SUMPRODUCT(J144:N144,J261:N261) - PRODUCT(SUM(J144:N144),SUM(J261:N261))) / ((5 * SUM((J144^2)+(K144^2)+(L144^2)+(M144^2)+(N144^2))) - SUM(J144:N144)^2),""))</f>
        <v/>
      </c>
      <c r="AF261" t="str">
        <f>IFERROR(CORREL(J144:N144,J261:N261),"")</f>
        <v/>
      </c>
      <c r="AZ261">
        <f t="shared" si="69"/>
        <v>0</v>
      </c>
      <c r="BA261" t="str">
        <f>IF(AZ261=1,IF(Q261="","",IF(Q261=N144,"Yes","No")),"")</f>
        <v/>
      </c>
      <c r="BB261" t="str">
        <f t="shared" si="70"/>
        <v/>
      </c>
      <c r="BC261" t="str">
        <f>IF(AZ261=1,IF(S261="","",IF(S261=N144,"Yes","No")),"")</f>
        <v/>
      </c>
      <c r="BD261" t="str">
        <f t="shared" si="71"/>
        <v/>
      </c>
      <c r="BE261" t="str">
        <f t="shared" si="72"/>
        <v/>
      </c>
      <c r="BF261" t="str">
        <f t="shared" si="73"/>
        <v>No</v>
      </c>
      <c r="BG261" t="str">
        <f t="shared" si="74"/>
        <v>No</v>
      </c>
      <c r="BH261" t="str">
        <f t="shared" si="75"/>
        <v/>
      </c>
    </row>
    <row r="262" spans="9:60" x14ac:dyDescent="0.3">
      <c r="I262" t="str">
        <f t="shared" si="82"/>
        <v>N/A</v>
      </c>
      <c r="J262" t="str">
        <f t="shared" si="83"/>
        <v>N/A</v>
      </c>
      <c r="K262" t="str">
        <f t="shared" si="84"/>
        <v>N/A</v>
      </c>
      <c r="L262" t="str">
        <f t="shared" si="85"/>
        <v>N/A</v>
      </c>
      <c r="M262" t="str">
        <f t="shared" si="86"/>
        <v>N/A</v>
      </c>
      <c r="N262" t="str">
        <f t="shared" si="87"/>
        <v>N/A</v>
      </c>
      <c r="P262">
        <f t="shared" si="58"/>
        <v>0</v>
      </c>
      <c r="Q262" t="str">
        <f>IFERROR(J144+MATCH(P262,J262:N262,0)-1,"")</f>
        <v/>
      </c>
      <c r="R262" t="str">
        <f t="shared" si="59"/>
        <v/>
      </c>
      <c r="S262" t="str">
        <f>IFERROR(J144+MATCH(R262,J262:N262,0)-1,"")</f>
        <v/>
      </c>
      <c r="T262" t="str">
        <f t="shared" si="60"/>
        <v/>
      </c>
      <c r="U262" t="str">
        <f t="shared" si="61"/>
        <v/>
      </c>
      <c r="V262" t="str">
        <f t="shared" si="62"/>
        <v/>
      </c>
      <c r="W262" t="str">
        <f t="shared" si="63"/>
        <v/>
      </c>
      <c r="X262" t="str">
        <f t="shared" si="64"/>
        <v/>
      </c>
      <c r="Y262" t="str">
        <f t="shared" si="65"/>
        <v/>
      </c>
      <c r="Z262" t="str">
        <f t="shared" si="66"/>
        <v/>
      </c>
      <c r="AA262">
        <f t="shared" si="67"/>
        <v>0</v>
      </c>
      <c r="AB262" t="str">
        <f>IFERROR(V144+MATCH(AA262,V262:Z262,0)-1,"")</f>
        <v/>
      </c>
      <c r="AC262" t="str">
        <f t="shared" si="68"/>
        <v/>
      </c>
      <c r="AE262" t="str">
        <f>IF(ISNUMBER(MATCH("N/A",J262:N262,0)),"",IFERROR((5 * SUMPRODUCT(J144:N144,J262:N262) - PRODUCT(SUM(J144:N144),SUM(J262:N262))) / ((5 * SUM((J144^2)+(K144^2)+(L144^2)+(M144^2)+(N144^2))) - SUM(J144:N144)^2),""))</f>
        <v/>
      </c>
      <c r="AF262" t="str">
        <f>IFERROR(CORREL(J144:N144,J262:N262),"")</f>
        <v/>
      </c>
      <c r="AZ262">
        <f t="shared" si="69"/>
        <v>0</v>
      </c>
      <c r="BA262" t="str">
        <f>IF(AZ262=1,IF(Q262="","",IF(Q262=N144,"Yes","No")),"")</f>
        <v/>
      </c>
      <c r="BB262" t="str">
        <f t="shared" si="70"/>
        <v/>
      </c>
      <c r="BC262" t="str">
        <f>IF(AZ262=1,IF(S262="","",IF(S262=N144,"Yes","No")),"")</f>
        <v/>
      </c>
      <c r="BD262" t="str">
        <f t="shared" si="71"/>
        <v/>
      </c>
      <c r="BE262" t="str">
        <f t="shared" si="72"/>
        <v/>
      </c>
      <c r="BF262" t="str">
        <f t="shared" si="73"/>
        <v>No</v>
      </c>
      <c r="BG262" t="str">
        <f t="shared" si="74"/>
        <v>No</v>
      </c>
      <c r="BH262" t="str">
        <f t="shared" si="75"/>
        <v/>
      </c>
    </row>
    <row r="263" spans="9:60" x14ac:dyDescent="0.3">
      <c r="I263" t="str">
        <f t="shared" si="82"/>
        <v>N/A</v>
      </c>
      <c r="J263" t="str">
        <f t="shared" si="83"/>
        <v>N/A</v>
      </c>
      <c r="K263" t="str">
        <f t="shared" si="84"/>
        <v>N/A</v>
      </c>
      <c r="L263" t="str">
        <f t="shared" si="85"/>
        <v>N/A</v>
      </c>
      <c r="M263" t="str">
        <f t="shared" si="86"/>
        <v>N/A</v>
      </c>
      <c r="N263" t="str">
        <f t="shared" si="87"/>
        <v>N/A</v>
      </c>
      <c r="P263">
        <f t="shared" si="58"/>
        <v>0</v>
      </c>
      <c r="Q263" t="str">
        <f>IFERROR(J144+MATCH(P263,J263:N263,0)-1,"")</f>
        <v/>
      </c>
      <c r="R263" t="str">
        <f t="shared" si="59"/>
        <v/>
      </c>
      <c r="S263" t="str">
        <f>IFERROR(J144+MATCH(R263,J263:N263,0)-1,"")</f>
        <v/>
      </c>
      <c r="T263" t="str">
        <f t="shared" si="60"/>
        <v/>
      </c>
      <c r="U263" t="str">
        <f t="shared" si="61"/>
        <v/>
      </c>
      <c r="V263" t="str">
        <f t="shared" si="62"/>
        <v/>
      </c>
      <c r="W263" t="str">
        <f t="shared" si="63"/>
        <v/>
      </c>
      <c r="X263" t="str">
        <f t="shared" si="64"/>
        <v/>
      </c>
      <c r="Y263" t="str">
        <f t="shared" si="65"/>
        <v/>
      </c>
      <c r="Z263" t="str">
        <f t="shared" si="66"/>
        <v/>
      </c>
      <c r="AA263">
        <f t="shared" si="67"/>
        <v>0</v>
      </c>
      <c r="AB263" t="str">
        <f>IFERROR(V144+MATCH(AA263,V263:Z263,0)-1,"")</f>
        <v/>
      </c>
      <c r="AC263" t="str">
        <f t="shared" si="68"/>
        <v/>
      </c>
      <c r="AE263" t="str">
        <f>IF(ISNUMBER(MATCH("N/A",J263:N263,0)),"",IFERROR((5 * SUMPRODUCT(J144:N144,J263:N263) - PRODUCT(SUM(J144:N144),SUM(J263:N263))) / ((5 * SUM((J144^2)+(K144^2)+(L144^2)+(M144^2)+(N144^2))) - SUM(J144:N144)^2),""))</f>
        <v/>
      </c>
      <c r="AF263" t="str">
        <f>IFERROR(CORREL(J144:N144,J263:N263),"")</f>
        <v/>
      </c>
      <c r="AZ263">
        <f t="shared" si="69"/>
        <v>0</v>
      </c>
      <c r="BA263" t="str">
        <f>IF(AZ263=1,IF(Q263="","",IF(Q263=N144,"Yes","No")),"")</f>
        <v/>
      </c>
      <c r="BB263" t="str">
        <f t="shared" si="70"/>
        <v/>
      </c>
      <c r="BC263" t="str">
        <f>IF(AZ263=1,IF(S263="","",IF(S263=N144,"Yes","No")),"")</f>
        <v/>
      </c>
      <c r="BD263" t="str">
        <f t="shared" si="71"/>
        <v/>
      </c>
      <c r="BE263" t="str">
        <f t="shared" si="72"/>
        <v/>
      </c>
      <c r="BF263" t="str">
        <f t="shared" si="73"/>
        <v>No</v>
      </c>
      <c r="BG263" t="str">
        <f t="shared" si="74"/>
        <v>No</v>
      </c>
      <c r="BH263" t="str">
        <f t="shared" si="75"/>
        <v/>
      </c>
    </row>
    <row r="264" spans="9:60" x14ac:dyDescent="0.3">
      <c r="I264" t="str">
        <f t="shared" si="82"/>
        <v>N/A</v>
      </c>
      <c r="J264" t="str">
        <f t="shared" si="83"/>
        <v>N/A</v>
      </c>
      <c r="K264" t="str">
        <f t="shared" si="84"/>
        <v>N/A</v>
      </c>
      <c r="L264" t="str">
        <f t="shared" si="85"/>
        <v>N/A</v>
      </c>
      <c r="M264" t="str">
        <f t="shared" si="86"/>
        <v>N/A</v>
      </c>
      <c r="N264" t="str">
        <f t="shared" si="87"/>
        <v>N/A</v>
      </c>
      <c r="P264">
        <f t="shared" si="58"/>
        <v>0</v>
      </c>
      <c r="Q264" t="str">
        <f>IFERROR(J144+MATCH(P264,J264:N264,0)-1,"")</f>
        <v/>
      </c>
      <c r="R264" t="str">
        <f t="shared" si="59"/>
        <v/>
      </c>
      <c r="S264" t="str">
        <f>IFERROR(J144+MATCH(R264,J264:N264,0)-1,"")</f>
        <v/>
      </c>
      <c r="T264" t="str">
        <f t="shared" si="60"/>
        <v/>
      </c>
      <c r="U264" t="str">
        <f t="shared" si="61"/>
        <v/>
      </c>
      <c r="V264" t="str">
        <f t="shared" si="62"/>
        <v/>
      </c>
      <c r="W264" t="str">
        <f t="shared" si="63"/>
        <v/>
      </c>
      <c r="X264" t="str">
        <f t="shared" si="64"/>
        <v/>
      </c>
      <c r="Y264" t="str">
        <f t="shared" si="65"/>
        <v/>
      </c>
      <c r="Z264" t="str">
        <f t="shared" si="66"/>
        <v/>
      </c>
      <c r="AA264">
        <f t="shared" si="67"/>
        <v>0</v>
      </c>
      <c r="AB264" t="str">
        <f>IFERROR(V144+MATCH(AA264,V264:Z264,0)-1,"")</f>
        <v/>
      </c>
      <c r="AC264" t="str">
        <f t="shared" si="68"/>
        <v/>
      </c>
      <c r="AE264" t="str">
        <f>IF(ISNUMBER(MATCH("N/A",J264:N264,0)),"",IFERROR((5 * SUMPRODUCT(J144:N144,J264:N264) - PRODUCT(SUM(J144:N144),SUM(J264:N264))) / ((5 * SUM((J144^2)+(K144^2)+(L144^2)+(M144^2)+(N144^2))) - SUM(J144:N144)^2),""))</f>
        <v/>
      </c>
      <c r="AF264" t="str">
        <f>IFERROR(CORREL(J144:N144,J264:N264),"")</f>
        <v/>
      </c>
      <c r="AZ264">
        <f t="shared" si="69"/>
        <v>0</v>
      </c>
      <c r="BA264" t="str">
        <f>IF(AZ264=1,IF(Q264="","",IF(Q264=N144,"Yes","No")),"")</f>
        <v/>
      </c>
      <c r="BB264" t="str">
        <f t="shared" si="70"/>
        <v/>
      </c>
      <c r="BC264" t="str">
        <f>IF(AZ264=1,IF(S264="","",IF(S264=N144,"Yes","No")),"")</f>
        <v/>
      </c>
      <c r="BD264" t="str">
        <f t="shared" si="71"/>
        <v/>
      </c>
      <c r="BE264" t="str">
        <f t="shared" si="72"/>
        <v/>
      </c>
      <c r="BF264" t="str">
        <f t="shared" si="73"/>
        <v>No</v>
      </c>
      <c r="BG264" t="str">
        <f t="shared" si="74"/>
        <v>No</v>
      </c>
      <c r="BH264" t="str">
        <f t="shared" si="75"/>
        <v/>
      </c>
    </row>
    <row r="265" spans="9:60" x14ac:dyDescent="0.3">
      <c r="I265" t="str">
        <f t="shared" si="82"/>
        <v>N/A</v>
      </c>
      <c r="J265" t="str">
        <f t="shared" si="83"/>
        <v>N/A</v>
      </c>
      <c r="K265" t="str">
        <f t="shared" si="84"/>
        <v>N/A</v>
      </c>
      <c r="L265" t="str">
        <f t="shared" si="85"/>
        <v>N/A</v>
      </c>
      <c r="M265" t="str">
        <f t="shared" si="86"/>
        <v>N/A</v>
      </c>
      <c r="N265" t="str">
        <f t="shared" si="87"/>
        <v>N/A</v>
      </c>
      <c r="P265">
        <f t="shared" si="58"/>
        <v>0</v>
      </c>
      <c r="Q265" t="str">
        <f>IFERROR(J144+MATCH(P265,J265:N265,0)-1,"")</f>
        <v/>
      </c>
      <c r="R265" t="str">
        <f t="shared" si="59"/>
        <v/>
      </c>
      <c r="S265" t="str">
        <f>IFERROR(J144+MATCH(R265,J265:N265,0)-1,"")</f>
        <v/>
      </c>
      <c r="T265" t="str">
        <f t="shared" si="60"/>
        <v/>
      </c>
      <c r="U265" t="str">
        <f t="shared" si="61"/>
        <v/>
      </c>
      <c r="V265" t="str">
        <f t="shared" si="62"/>
        <v/>
      </c>
      <c r="W265" t="str">
        <f t="shared" si="63"/>
        <v/>
      </c>
      <c r="X265" t="str">
        <f t="shared" si="64"/>
        <v/>
      </c>
      <c r="Y265" t="str">
        <f t="shared" si="65"/>
        <v/>
      </c>
      <c r="Z265" t="str">
        <f t="shared" si="66"/>
        <v/>
      </c>
      <c r="AA265">
        <f t="shared" si="67"/>
        <v>0</v>
      </c>
      <c r="AB265" t="str">
        <f>IFERROR(V144+MATCH(AA265,V265:Z265,0)-1,"")</f>
        <v/>
      </c>
      <c r="AC265" t="str">
        <f t="shared" si="68"/>
        <v/>
      </c>
      <c r="AE265" t="str">
        <f>IF(ISNUMBER(MATCH("N/A",J265:N265,0)),"",IFERROR((5 * SUMPRODUCT(J144:N144,J265:N265) - PRODUCT(SUM(J144:N144),SUM(J265:N265))) / ((5 * SUM((J144^2)+(K144^2)+(L144^2)+(M144^2)+(N144^2))) - SUM(J144:N144)^2),""))</f>
        <v/>
      </c>
      <c r="AF265" t="str">
        <f>IFERROR(CORREL(J144:N144,J265:N265),"")</f>
        <v/>
      </c>
      <c r="AZ265">
        <f t="shared" si="69"/>
        <v>0</v>
      </c>
      <c r="BA265" t="str">
        <f>IF(AZ265=1,IF(Q265="","",IF(Q265=N144,"Yes","No")),"")</f>
        <v/>
      </c>
      <c r="BB265" t="str">
        <f t="shared" si="70"/>
        <v/>
      </c>
      <c r="BC265" t="str">
        <f>IF(AZ265=1,IF(S265="","",IF(S265=N144,"Yes","No")),"")</f>
        <v/>
      </c>
      <c r="BD265" t="str">
        <f t="shared" si="71"/>
        <v/>
      </c>
      <c r="BE265" t="str">
        <f t="shared" si="72"/>
        <v/>
      </c>
      <c r="BF265" t="str">
        <f t="shared" si="73"/>
        <v>No</v>
      </c>
      <c r="BG265" t="str">
        <f t="shared" si="74"/>
        <v>No</v>
      </c>
      <c r="BH265" t="str">
        <f t="shared" si="75"/>
        <v/>
      </c>
    </row>
    <row r="266" spans="9:60" x14ac:dyDescent="0.3">
      <c r="I266" t="str">
        <f t="shared" si="82"/>
        <v>N/A</v>
      </c>
      <c r="J266" t="str">
        <f t="shared" si="83"/>
        <v>N/A</v>
      </c>
      <c r="K266" t="str">
        <f t="shared" si="84"/>
        <v>N/A</v>
      </c>
      <c r="L266" t="str">
        <f t="shared" si="85"/>
        <v>N/A</v>
      </c>
      <c r="M266" t="str">
        <f t="shared" si="86"/>
        <v>N/A</v>
      </c>
      <c r="N266" t="str">
        <f t="shared" si="87"/>
        <v>N/A</v>
      </c>
      <c r="P266">
        <f t="shared" si="58"/>
        <v>0</v>
      </c>
      <c r="Q266" t="str">
        <f>IFERROR(J144+MATCH(P266,J266:N266,0)-1,"")</f>
        <v/>
      </c>
      <c r="R266" t="str">
        <f t="shared" si="59"/>
        <v/>
      </c>
      <c r="S266" t="str">
        <f>IFERROR(J144+MATCH(R266,J266:N266,0)-1,"")</f>
        <v/>
      </c>
      <c r="T266" t="str">
        <f t="shared" si="60"/>
        <v/>
      </c>
      <c r="U266" t="str">
        <f t="shared" si="61"/>
        <v/>
      </c>
      <c r="V266" t="str">
        <f t="shared" si="62"/>
        <v/>
      </c>
      <c r="W266" t="str">
        <f t="shared" si="63"/>
        <v/>
      </c>
      <c r="X266" t="str">
        <f t="shared" si="64"/>
        <v/>
      </c>
      <c r="Y266" t="str">
        <f t="shared" si="65"/>
        <v/>
      </c>
      <c r="Z266" t="str">
        <f t="shared" si="66"/>
        <v/>
      </c>
      <c r="AA266">
        <f t="shared" si="67"/>
        <v>0</v>
      </c>
      <c r="AB266" t="str">
        <f>IFERROR(V144+MATCH(AA266,V266:Z266,0)-1,"")</f>
        <v/>
      </c>
      <c r="AC266" t="str">
        <f t="shared" si="68"/>
        <v/>
      </c>
      <c r="AE266" t="str">
        <f>IF(ISNUMBER(MATCH("N/A",J266:N266,0)),"",IFERROR((5 * SUMPRODUCT(J144:N144,J266:N266) - PRODUCT(SUM(J144:N144),SUM(J266:N266))) / ((5 * SUM((J144^2)+(K144^2)+(L144^2)+(M144^2)+(N144^2))) - SUM(J144:N144)^2),""))</f>
        <v/>
      </c>
      <c r="AF266" t="str">
        <f>IFERROR(CORREL(J144:N144,J266:N266),"")</f>
        <v/>
      </c>
      <c r="AZ266">
        <f t="shared" si="69"/>
        <v>0</v>
      </c>
      <c r="BA266" t="str">
        <f>IF(AZ266=1,IF(Q266="","",IF(Q266=N144,"Yes","No")),"")</f>
        <v/>
      </c>
      <c r="BB266" t="str">
        <f t="shared" si="70"/>
        <v/>
      </c>
      <c r="BC266" t="str">
        <f>IF(AZ266=1,IF(S266="","",IF(S266=N144,"Yes","No")),"")</f>
        <v/>
      </c>
      <c r="BD266" t="str">
        <f t="shared" si="71"/>
        <v/>
      </c>
      <c r="BE266" t="str">
        <f t="shared" si="72"/>
        <v/>
      </c>
      <c r="BF266" t="str">
        <f t="shared" si="73"/>
        <v>No</v>
      </c>
      <c r="BG266" t="str">
        <f t="shared" si="74"/>
        <v>No</v>
      </c>
      <c r="BH266" t="str">
        <f t="shared" si="75"/>
        <v/>
      </c>
    </row>
    <row r="267" spans="9:60" x14ac:dyDescent="0.3">
      <c r="I267" t="str">
        <f t="shared" si="82"/>
        <v>N/A</v>
      </c>
      <c r="J267" t="str">
        <f t="shared" si="83"/>
        <v>N/A</v>
      </c>
      <c r="K267" t="str">
        <f t="shared" si="84"/>
        <v>N/A</v>
      </c>
      <c r="L267" t="str">
        <f t="shared" si="85"/>
        <v>N/A</v>
      </c>
      <c r="M267" t="str">
        <f t="shared" si="86"/>
        <v>N/A</v>
      </c>
      <c r="N267" t="str">
        <f t="shared" si="87"/>
        <v>N/A</v>
      </c>
      <c r="P267">
        <f t="shared" si="58"/>
        <v>0</v>
      </c>
      <c r="Q267" t="str">
        <f>IFERROR(J144+MATCH(P267,J267:N267,0)-1,"")</f>
        <v/>
      </c>
      <c r="R267" t="str">
        <f t="shared" si="59"/>
        <v/>
      </c>
      <c r="S267" t="str">
        <f>IFERROR(J144+MATCH(R267,J267:N267,0)-1,"")</f>
        <v/>
      </c>
      <c r="T267" t="str">
        <f t="shared" si="60"/>
        <v/>
      </c>
      <c r="U267" t="str">
        <f t="shared" si="61"/>
        <v/>
      </c>
      <c r="V267" t="str">
        <f t="shared" si="62"/>
        <v/>
      </c>
      <c r="W267" t="str">
        <f t="shared" si="63"/>
        <v/>
      </c>
      <c r="X267" t="str">
        <f t="shared" si="64"/>
        <v/>
      </c>
      <c r="Y267" t="str">
        <f t="shared" si="65"/>
        <v/>
      </c>
      <c r="Z267" t="str">
        <f t="shared" si="66"/>
        <v/>
      </c>
      <c r="AA267">
        <f t="shared" si="67"/>
        <v>0</v>
      </c>
      <c r="AB267" t="str">
        <f>IFERROR(V144+MATCH(AA267,V267:Z267,0)-1,"")</f>
        <v/>
      </c>
      <c r="AC267" t="str">
        <f t="shared" si="68"/>
        <v/>
      </c>
      <c r="AE267" t="str">
        <f>IF(ISNUMBER(MATCH("N/A",J267:N267,0)),"",IFERROR((5 * SUMPRODUCT(J144:N144,J267:N267) - PRODUCT(SUM(J144:N144),SUM(J267:N267))) / ((5 * SUM((J144^2)+(K144^2)+(L144^2)+(M144^2)+(N144^2))) - SUM(J144:N144)^2),""))</f>
        <v/>
      </c>
      <c r="AF267" t="str">
        <f>IFERROR(CORREL(J144:N144,J267:N267),"")</f>
        <v/>
      </c>
      <c r="AZ267">
        <f t="shared" si="69"/>
        <v>0</v>
      </c>
      <c r="BA267" t="str">
        <f>IF(AZ267=1,IF(Q267="","",IF(Q267=N144,"Yes","No")),"")</f>
        <v/>
      </c>
      <c r="BB267" t="str">
        <f t="shared" si="70"/>
        <v/>
      </c>
      <c r="BC267" t="str">
        <f>IF(AZ267=1,IF(S267="","",IF(S267=N144,"Yes","No")),"")</f>
        <v/>
      </c>
      <c r="BD267" t="str">
        <f t="shared" si="71"/>
        <v/>
      </c>
      <c r="BE267" t="str">
        <f t="shared" si="72"/>
        <v/>
      </c>
      <c r="BF267" t="str">
        <f t="shared" si="73"/>
        <v>No</v>
      </c>
      <c r="BG267" t="str">
        <f t="shared" si="74"/>
        <v>No</v>
      </c>
      <c r="BH267" t="str">
        <f t="shared" si="75"/>
        <v/>
      </c>
    </row>
    <row r="268" spans="9:60" x14ac:dyDescent="0.3">
      <c r="I268" t="str">
        <f t="shared" si="82"/>
        <v>N/A</v>
      </c>
      <c r="J268" t="str">
        <f t="shared" si="83"/>
        <v>N/A</v>
      </c>
      <c r="K268" t="str">
        <f t="shared" si="84"/>
        <v>N/A</v>
      </c>
      <c r="L268" t="str">
        <f t="shared" si="85"/>
        <v>N/A</v>
      </c>
      <c r="M268" t="str">
        <f t="shared" si="86"/>
        <v>N/A</v>
      </c>
      <c r="N268" t="str">
        <f t="shared" si="87"/>
        <v>N/A</v>
      </c>
      <c r="P268">
        <f t="shared" si="58"/>
        <v>0</v>
      </c>
      <c r="Q268" t="str">
        <f>IFERROR(J144+MATCH(P268,J268:N268,0)-1,"")</f>
        <v/>
      </c>
      <c r="R268" t="str">
        <f t="shared" si="59"/>
        <v/>
      </c>
      <c r="S268" t="str">
        <f>IFERROR(J144+MATCH(R268,J268:N268,0)-1,"")</f>
        <v/>
      </c>
      <c r="T268" t="str">
        <f t="shared" si="60"/>
        <v/>
      </c>
      <c r="U268" t="str">
        <f t="shared" si="61"/>
        <v/>
      </c>
      <c r="V268" t="str">
        <f t="shared" si="62"/>
        <v/>
      </c>
      <c r="W268" t="str">
        <f t="shared" si="63"/>
        <v/>
      </c>
      <c r="X268" t="str">
        <f t="shared" si="64"/>
        <v/>
      </c>
      <c r="Y268" t="str">
        <f t="shared" si="65"/>
        <v/>
      </c>
      <c r="Z268" t="str">
        <f t="shared" si="66"/>
        <v/>
      </c>
      <c r="AA268">
        <f t="shared" si="67"/>
        <v>0</v>
      </c>
      <c r="AB268" t="str">
        <f>IFERROR(V144+MATCH(AA268,V268:Z268,0)-1,"")</f>
        <v/>
      </c>
      <c r="AC268" t="str">
        <f t="shared" si="68"/>
        <v/>
      </c>
      <c r="AE268" t="str">
        <f>IF(ISNUMBER(MATCH("N/A",J268:N268,0)),"",IFERROR((5 * SUMPRODUCT(J144:N144,J268:N268) - PRODUCT(SUM(J144:N144),SUM(J268:N268))) / ((5 * SUM((J144^2)+(K144^2)+(L144^2)+(M144^2)+(N144^2))) - SUM(J144:N144)^2),""))</f>
        <v/>
      </c>
      <c r="AF268" t="str">
        <f>IFERROR(CORREL(J144:N144,J268:N268),"")</f>
        <v/>
      </c>
      <c r="AZ268">
        <f t="shared" si="69"/>
        <v>0</v>
      </c>
      <c r="BA268" t="str">
        <f>IF(AZ268=1,IF(Q268="","",IF(Q268=N144,"Yes","No")),"")</f>
        <v/>
      </c>
      <c r="BB268" t="str">
        <f t="shared" si="70"/>
        <v/>
      </c>
      <c r="BC268" t="str">
        <f>IF(AZ268=1,IF(S268="","",IF(S268=N144,"Yes","No")),"")</f>
        <v/>
      </c>
      <c r="BD268" t="str">
        <f t="shared" si="71"/>
        <v/>
      </c>
      <c r="BE268" t="str">
        <f t="shared" si="72"/>
        <v/>
      </c>
      <c r="BF268" t="str">
        <f t="shared" si="73"/>
        <v>No</v>
      </c>
      <c r="BG268" t="str">
        <f t="shared" si="74"/>
        <v>No</v>
      </c>
      <c r="BH268" t="str">
        <f t="shared" si="75"/>
        <v/>
      </c>
    </row>
    <row r="269" spans="9:60" x14ac:dyDescent="0.3">
      <c r="I269" t="str">
        <f t="shared" si="82"/>
        <v>N/A</v>
      </c>
      <c r="J269" t="str">
        <f t="shared" si="83"/>
        <v>N/A</v>
      </c>
      <c r="K269" t="str">
        <f t="shared" si="84"/>
        <v>N/A</v>
      </c>
      <c r="L269" t="str">
        <f t="shared" si="85"/>
        <v>N/A</v>
      </c>
      <c r="M269" t="str">
        <f t="shared" si="86"/>
        <v>N/A</v>
      </c>
      <c r="N269" t="str">
        <f t="shared" si="87"/>
        <v>N/A</v>
      </c>
      <c r="P269">
        <f t="shared" si="58"/>
        <v>0</v>
      </c>
      <c r="Q269" t="str">
        <f>IFERROR(J144+MATCH(P269,J269:N269,0)-1,"")</f>
        <v/>
      </c>
      <c r="R269" t="str">
        <f t="shared" si="59"/>
        <v/>
      </c>
      <c r="S269" t="str">
        <f>IFERROR(J144+MATCH(R269,J269:N269,0)-1,"")</f>
        <v/>
      </c>
      <c r="T269" t="str">
        <f t="shared" si="60"/>
        <v/>
      </c>
      <c r="U269" t="str">
        <f t="shared" si="61"/>
        <v/>
      </c>
      <c r="V269" t="str">
        <f t="shared" si="62"/>
        <v/>
      </c>
      <c r="W269" t="str">
        <f t="shared" si="63"/>
        <v/>
      </c>
      <c r="X269" t="str">
        <f t="shared" si="64"/>
        <v/>
      </c>
      <c r="Y269" t="str">
        <f t="shared" si="65"/>
        <v/>
      </c>
      <c r="Z269" t="str">
        <f t="shared" si="66"/>
        <v/>
      </c>
      <c r="AA269">
        <f t="shared" si="67"/>
        <v>0</v>
      </c>
      <c r="AB269" t="str">
        <f>IFERROR(V144+MATCH(AA269,V269:Z269,0)-1,"")</f>
        <v/>
      </c>
      <c r="AC269" t="str">
        <f t="shared" si="68"/>
        <v/>
      </c>
      <c r="AE269" t="str">
        <f>IF(ISNUMBER(MATCH("N/A",J269:N269,0)),"",IFERROR((5 * SUMPRODUCT(J144:N144,J269:N269) - PRODUCT(SUM(J144:N144),SUM(J269:N269))) / ((5 * SUM((J144^2)+(K144^2)+(L144^2)+(M144^2)+(N144^2))) - SUM(J144:N144)^2),""))</f>
        <v/>
      </c>
      <c r="AF269" t="str">
        <f>IFERROR(CORREL(J144:N144,J269:N269),"")</f>
        <v/>
      </c>
      <c r="AZ269">
        <f t="shared" si="69"/>
        <v>0</v>
      </c>
      <c r="BA269" t="str">
        <f>IF(AZ269=1,IF(Q269="","",IF(Q269=N144,"Yes","No")),"")</f>
        <v/>
      </c>
      <c r="BB269" t="str">
        <f t="shared" si="70"/>
        <v/>
      </c>
      <c r="BC269" t="str">
        <f>IF(AZ269=1,IF(S269="","",IF(S269=N144,"Yes","No")),"")</f>
        <v/>
      </c>
      <c r="BD269" t="str">
        <f t="shared" si="71"/>
        <v/>
      </c>
      <c r="BE269" t="str">
        <f t="shared" si="72"/>
        <v/>
      </c>
      <c r="BF269" t="str">
        <f t="shared" si="73"/>
        <v>No</v>
      </c>
      <c r="BG269" t="str">
        <f t="shared" si="74"/>
        <v>No</v>
      </c>
      <c r="BH269" t="str">
        <f t="shared" si="75"/>
        <v/>
      </c>
    </row>
    <row r="270" spans="9:60" x14ac:dyDescent="0.3">
      <c r="I270" t="str">
        <f t="shared" si="82"/>
        <v>N/A</v>
      </c>
      <c r="J270" t="str">
        <f t="shared" si="83"/>
        <v>N/A</v>
      </c>
      <c r="K270" t="str">
        <f t="shared" si="84"/>
        <v>N/A</v>
      </c>
      <c r="L270" t="str">
        <f t="shared" si="85"/>
        <v>N/A</v>
      </c>
      <c r="M270" t="str">
        <f t="shared" si="86"/>
        <v>N/A</v>
      </c>
      <c r="N270" t="str">
        <f t="shared" si="87"/>
        <v>N/A</v>
      </c>
      <c r="P270">
        <f t="shared" si="58"/>
        <v>0</v>
      </c>
      <c r="Q270" t="str">
        <f>IFERROR(J144+MATCH(P270,J270:N270,0)-1,"")</f>
        <v/>
      </c>
      <c r="R270" t="str">
        <f t="shared" si="59"/>
        <v/>
      </c>
      <c r="S270" t="str">
        <f>IFERROR(J144+MATCH(R270,J270:N270,0)-1,"")</f>
        <v/>
      </c>
      <c r="T270" t="str">
        <f t="shared" si="60"/>
        <v/>
      </c>
      <c r="U270" t="str">
        <f t="shared" si="61"/>
        <v/>
      </c>
      <c r="V270" t="str">
        <f t="shared" si="62"/>
        <v/>
      </c>
      <c r="W270" t="str">
        <f t="shared" si="63"/>
        <v/>
      </c>
      <c r="X270" t="str">
        <f t="shared" si="64"/>
        <v/>
      </c>
      <c r="Y270" t="str">
        <f t="shared" si="65"/>
        <v/>
      </c>
      <c r="Z270" t="str">
        <f t="shared" si="66"/>
        <v/>
      </c>
      <c r="AA270">
        <f t="shared" si="67"/>
        <v>0</v>
      </c>
      <c r="AB270" t="str">
        <f>IFERROR(V144+MATCH(AA270,V270:Z270,0)-1,"")</f>
        <v/>
      </c>
      <c r="AC270" t="str">
        <f t="shared" si="68"/>
        <v/>
      </c>
      <c r="AE270" t="str">
        <f>IF(ISNUMBER(MATCH("N/A",J270:N270,0)),"",IFERROR((5 * SUMPRODUCT(J144:N144,J270:N270) - PRODUCT(SUM(J144:N144),SUM(J270:N270))) / ((5 * SUM((J144^2)+(K144^2)+(L144^2)+(M144^2)+(N144^2))) - SUM(J144:N144)^2),""))</f>
        <v/>
      </c>
      <c r="AF270" t="str">
        <f>IFERROR(CORREL(J144:N144,J270:N270),"")</f>
        <v/>
      </c>
      <c r="AZ270">
        <f t="shared" si="69"/>
        <v>0</v>
      </c>
      <c r="BA270" t="str">
        <f>IF(AZ270=1,IF(Q270="","",IF(Q270=N144,"Yes","No")),"")</f>
        <v/>
      </c>
      <c r="BB270" t="str">
        <f t="shared" si="70"/>
        <v/>
      </c>
      <c r="BC270" t="str">
        <f>IF(AZ270=1,IF(S270="","",IF(S270=N144,"Yes","No")),"")</f>
        <v/>
      </c>
      <c r="BD270" t="str">
        <f t="shared" si="71"/>
        <v/>
      </c>
      <c r="BE270" t="str">
        <f t="shared" si="72"/>
        <v/>
      </c>
      <c r="BF270" t="str">
        <f t="shared" si="73"/>
        <v>No</v>
      </c>
      <c r="BG270" t="str">
        <f t="shared" si="74"/>
        <v>No</v>
      </c>
      <c r="BH270" t="str">
        <f t="shared" si="75"/>
        <v/>
      </c>
    </row>
    <row r="271" spans="9:60" x14ac:dyDescent="0.3">
      <c r="P271">
        <f t="shared" si="58"/>
        <v>0</v>
      </c>
      <c r="Q271" t="str">
        <f>IFERROR(J144+MATCH(P271,J271:N271,0)-1,"")</f>
        <v/>
      </c>
      <c r="R271" t="str">
        <f t="shared" si="59"/>
        <v/>
      </c>
      <c r="S271" t="str">
        <f>IFERROR(J144+MATCH(R271,J271:N271,0)-1,"")</f>
        <v/>
      </c>
      <c r="T271" t="str">
        <f t="shared" si="60"/>
        <v/>
      </c>
      <c r="U271" t="str">
        <f t="shared" si="61"/>
        <v/>
      </c>
      <c r="V271" t="str">
        <f t="shared" si="62"/>
        <v/>
      </c>
      <c r="W271" t="str">
        <f t="shared" si="63"/>
        <v/>
      </c>
      <c r="X271" t="str">
        <f t="shared" si="64"/>
        <v/>
      </c>
      <c r="Y271" t="str">
        <f t="shared" si="65"/>
        <v/>
      </c>
      <c r="Z271" t="str">
        <f t="shared" si="66"/>
        <v/>
      </c>
      <c r="AA271">
        <f t="shared" si="67"/>
        <v>0</v>
      </c>
      <c r="AB271" t="str">
        <f>IFERROR(V144+MATCH(AA271,V271:Z271,0)-1,"")</f>
        <v/>
      </c>
      <c r="AC271" t="str">
        <f t="shared" si="68"/>
        <v/>
      </c>
      <c r="AE271" t="str">
        <f>IF(ISNUMBER(MATCH("N/A",J271:N271,0)),"",IFERROR((5 * SUMPRODUCT(J144:N144,J271:N271) - PRODUCT(SUM(J144:N144),SUM(J271:N271))) / ((5 * SUM((J144^2)+(K144^2)+(L144^2)+(M144^2)+(N144^2))) - SUM(J144:N144)^2),""))</f>
        <v/>
      </c>
      <c r="AF271" t="str">
        <f>IFERROR(CORREL(J144:N144,J271:N271),"")</f>
        <v/>
      </c>
      <c r="AZ271">
        <f t="shared" si="69"/>
        <v>0</v>
      </c>
      <c r="BA271" t="str">
        <f>IF(AZ271=1,IF(Q271="","",IF(Q271=N144,"Yes","No")),"")</f>
        <v/>
      </c>
      <c r="BB271" t="str">
        <f t="shared" si="70"/>
        <v/>
      </c>
      <c r="BC271" t="str">
        <f>IF(AZ271=1,IF(S271="","",IF(S271=N144,"Yes","No")),"")</f>
        <v/>
      </c>
      <c r="BD271" t="str">
        <f t="shared" si="71"/>
        <v/>
      </c>
      <c r="BE271" t="str">
        <f t="shared" si="72"/>
        <v/>
      </c>
      <c r="BF271" t="str">
        <f t="shared" si="73"/>
        <v>No</v>
      </c>
      <c r="BG271" t="str">
        <f t="shared" si="74"/>
        <v>No</v>
      </c>
      <c r="BH271" t="str">
        <f t="shared" si="75"/>
        <v/>
      </c>
    </row>
    <row r="272" spans="9:60" x14ac:dyDescent="0.3">
      <c r="I272" t="str">
        <f t="shared" ref="I272:I310" si="88">IF(AND(K272&gt; J272, L272&gt; K272, M272&gt; L272, N272&gt; M272), "pos_trend", IF(AND(K272&lt; J272, L272&lt; K272, M272&lt; L272, N272&lt; M272), "neg_trend", "N/A"))</f>
        <v>N/A</v>
      </c>
      <c r="J272" t="str">
        <f t="shared" ref="J272:J310" si="89">IFERROR(IF(TRIM(C272)="-", "N/A", IF(RIGHT(C272,1)=")",IF(RIGHT(C272,2)="T)",-1000000000000*VALUE(MID(C272,2,LEN(C272)-3)),IF(RIGHT(C272,2)="M)",-1000000*VALUE(MID(C272,2,LEN(C272)-3)),IF(RIGHT(C272,2)="B)",-1000000000*VALUE(MID(C272,2,LEN(C272)-3)),IF(RIGHT(C272,2)="k)",-1000*VALUE(MID(C272,2,LEN(C272)-3)),VALUE(SUBSTITUTE(C272,",","")))))),IF(RIGHT(C272,1)="T",1000000000000*VALUE(LEFT(C272,LEN(C272)-1)),IF(RIGHT(C272,1)="M",1000000*VALUE(LEFT(C272,LEN(C272)-1)),IF(RIGHT(C272,1)="B",1000000000*VALUE(LEFT(C272,LEN(C272)-1)),IF(RIGHT(C272,1)="%",0.01*VALUE(LEFT(C272,LEN(C272)-1)),IF(RIGHT(C272,1)="k",1000*VALUE(LEFT(C272,LEN(C272)-1)),VALUE(SUBSTITUTE(C272,",",""))))))))),"N/A")</f>
        <v>N/A</v>
      </c>
      <c r="K272" t="str">
        <f t="shared" ref="K272:K310" si="90">IFERROR(IF(TRIM(D272)="-", "N/A", IF(RIGHT(D272,1)=")",IF(RIGHT(D272,2)="T)",-1000000000000*VALUE(MID(D272,2,LEN(D272)-3)),IF(RIGHT(D272,2)="M)",-1000000*VALUE(MID(D272,2,LEN(D272)-3)),IF(RIGHT(D272,2)="B)",-1000000000*VALUE(MID(D272,2,LEN(D272)-3)),IF(RIGHT(D272,2)="k)",-1000*VALUE(MID(D272,2,LEN(D272)-3)),VALUE(SUBSTITUTE(D272,",","")))))),IF(RIGHT(D272,1)="T",1000000000000*VALUE(LEFT(D272,LEN(D272)-1)),IF(RIGHT(D272,1)="M",1000000*VALUE(LEFT(D272,LEN(D272)-1)),IF(RIGHT(D272,1)="B",1000000000*VALUE(LEFT(D272,LEN(D272)-1)),IF(RIGHT(D272,1)="%",0.01*VALUE(LEFT(D272,LEN(D272)-1)),IF(RIGHT(D272,1)="k",1000*VALUE(LEFT(D272,LEN(D272)-1)),VALUE(SUBSTITUTE(D272,",",""))))))))),"N/A")</f>
        <v>N/A</v>
      </c>
      <c r="L272" t="str">
        <f t="shared" ref="L272:L310" si="91">IFERROR(IF(TRIM(E272)="-", "N/A", IF(RIGHT(E272,1)=")",IF(RIGHT(E272,2)="T)",-1000000000000*VALUE(MID(E272,2,LEN(E272)-3)),IF(RIGHT(E272,2)="M)",-1000000*VALUE(MID(E272,2,LEN(E272)-3)),IF(RIGHT(E272,2)="B)",-1000000000*VALUE(MID(E272,2,LEN(E272)-3)),IF(RIGHT(E272,2)="k)",-1000*VALUE(MID(E272,2,LEN(E272)-3)),VALUE(SUBSTITUTE(E272,",","")))))),IF(RIGHT(E272,1)="T",1000000000000*VALUE(LEFT(E272,LEN(E272)-1)),IF(RIGHT(E272,1)="M",1000000*VALUE(LEFT(E272,LEN(E272)-1)),IF(RIGHT(E272,1)="B",1000000000*VALUE(LEFT(E272,LEN(E272)-1)),IF(RIGHT(E272,1)="%",0.01*VALUE(LEFT(E272,LEN(E272)-1)),IF(RIGHT(E272,1)="k",1000*VALUE(LEFT(E272,LEN(E272)-1)),VALUE(SUBSTITUTE(E272,",",""))))))))),"N/A")</f>
        <v>N/A</v>
      </c>
      <c r="M272" t="str">
        <f t="shared" ref="M272:M310" si="92">IFERROR(IF(TRIM(F272)="-", "N/A", IF(RIGHT(F272,1)=")",IF(RIGHT(F272,2)="T)",-1000000000000*VALUE(MID(F272,2,LEN(F272)-3)),IF(RIGHT(F272,2)="M)",-1000000*VALUE(MID(F272,2,LEN(F272)-3)),IF(RIGHT(F272,2)="B)",-1000000000*VALUE(MID(F272,2,LEN(F272)-3)),IF(RIGHT(F272,2)="k)",-1000*VALUE(MID(F272,2,LEN(F272)-3)),VALUE(SUBSTITUTE(F272,",","")))))),IF(RIGHT(F272,1)="T",1000000000000*VALUE(LEFT(F272,LEN(F272)-1)),IF(RIGHT(F272,1)="M",1000000*VALUE(LEFT(F272,LEN(F272)-1)),IF(RIGHT(F272,1)="B",1000000000*VALUE(LEFT(F272,LEN(F272)-1)),IF(RIGHT(F272,1)="%",0.01*VALUE(LEFT(F272,LEN(F272)-1)),IF(RIGHT(F272,1)="k",1000*VALUE(LEFT(F272,LEN(F272)-1)),VALUE(SUBSTITUTE(F272,",",""))))))))),"N/A")</f>
        <v>N/A</v>
      </c>
      <c r="N272" t="str">
        <f t="shared" ref="N272:N310" si="93">IFERROR(IF(TRIM(G272)="-", "N/A", IF(RIGHT(G272,1)=")",IF(RIGHT(G272,2)="T)",-1000000000000*VALUE(MID(G272,2,LEN(G272)-3)),IF(RIGHT(G272,2)="M)",-1000000*VALUE(MID(G272,2,LEN(G272)-3)),IF(RIGHT(G272,2)="B)",-1000000000*VALUE(MID(G272,2,LEN(G272)-3)),IF(RIGHT(G272,2)="k)",-1000*VALUE(MID(G272,2,LEN(G272)-3)),VALUE(SUBSTITUTE(G272,",","")))))),IF(RIGHT(G272,1)="T",1000000000000*VALUE(LEFT(G272,LEN(G272)-1)),IF(RIGHT(G272,1)="M",1000000*VALUE(LEFT(G272,LEN(G272)-1)),IF(RIGHT(G272,1)="B",1000000000*VALUE(LEFT(G272,LEN(G272)-1)),IF(RIGHT(G272,1)="%",0.01*VALUE(LEFT(G272,LEN(G272)-1)),IF(RIGHT(G272,1)="k",1000*VALUE(LEFT(G272,LEN(G272)-1)),VALUE(SUBSTITUTE(G272,",",""))))))))),"N/A")</f>
        <v>N/A</v>
      </c>
      <c r="P272">
        <f t="shared" si="58"/>
        <v>0</v>
      </c>
      <c r="Q272" t="str">
        <f>IFERROR(J144+MATCH(P272,J272:N272,0)-1,"")</f>
        <v/>
      </c>
      <c r="R272" t="str">
        <f t="shared" si="59"/>
        <v/>
      </c>
      <c r="S272" t="str">
        <f>IFERROR(J144+MATCH(R272,J272:N272,0)-1,"")</f>
        <v/>
      </c>
      <c r="T272" t="str">
        <f t="shared" si="60"/>
        <v/>
      </c>
      <c r="U272" t="str">
        <f t="shared" si="61"/>
        <v/>
      </c>
      <c r="V272" t="str">
        <f t="shared" si="62"/>
        <v/>
      </c>
      <c r="W272" t="str">
        <f t="shared" si="63"/>
        <v/>
      </c>
      <c r="X272" t="str">
        <f t="shared" si="64"/>
        <v/>
      </c>
      <c r="Y272" t="str">
        <f t="shared" si="65"/>
        <v/>
      </c>
      <c r="Z272" t="str">
        <f t="shared" si="66"/>
        <v/>
      </c>
      <c r="AA272">
        <f t="shared" si="67"/>
        <v>0</v>
      </c>
      <c r="AB272" t="str">
        <f>IFERROR(V144+MATCH(AA272,V272:Z272,0)-1,"")</f>
        <v/>
      </c>
      <c r="AC272" t="str">
        <f t="shared" si="68"/>
        <v/>
      </c>
      <c r="AE272" t="str">
        <f>IF(ISNUMBER(MATCH("N/A",J272:N272,0)),"",IFERROR((5 * SUMPRODUCT(J144:N144,J272:N272) - PRODUCT(SUM(J144:N144),SUM(J272:N272))) / ((5 * SUM((J144^2)+(K144^2)+(L144^2)+(M144^2)+(N144^2))) - SUM(J144:N144)^2),""))</f>
        <v/>
      </c>
      <c r="AF272" t="str">
        <f>IFERROR(CORREL(J144:N144,J272:N272),"")</f>
        <v/>
      </c>
      <c r="AZ272">
        <f t="shared" si="69"/>
        <v>0</v>
      </c>
      <c r="BA272" t="str">
        <f>IF(AZ272=1,IF(Q272="","",IF(Q272=N144,"Yes","No")),"")</f>
        <v/>
      </c>
      <c r="BB272" t="str">
        <f t="shared" si="70"/>
        <v/>
      </c>
      <c r="BC272" t="str">
        <f>IF(AZ272=1,IF(S272="","",IF(S272=N144,"Yes","No")),"")</f>
        <v/>
      </c>
      <c r="BD272" t="str">
        <f t="shared" si="71"/>
        <v/>
      </c>
      <c r="BE272" t="str">
        <f t="shared" si="72"/>
        <v/>
      </c>
      <c r="BF272" t="str">
        <f t="shared" si="73"/>
        <v>No</v>
      </c>
      <c r="BG272" t="str">
        <f t="shared" si="74"/>
        <v>No</v>
      </c>
      <c r="BH272" t="str">
        <f t="shared" si="75"/>
        <v/>
      </c>
    </row>
    <row r="273" spans="9:60" x14ac:dyDescent="0.3">
      <c r="I273" t="str">
        <f t="shared" si="88"/>
        <v>N/A</v>
      </c>
      <c r="J273" t="str">
        <f t="shared" si="89"/>
        <v>N/A</v>
      </c>
      <c r="K273" t="str">
        <f t="shared" si="90"/>
        <v>N/A</v>
      </c>
      <c r="L273" t="str">
        <f t="shared" si="91"/>
        <v>N/A</v>
      </c>
      <c r="M273" t="str">
        <f t="shared" si="92"/>
        <v>N/A</v>
      </c>
      <c r="N273" t="str">
        <f t="shared" si="93"/>
        <v>N/A</v>
      </c>
      <c r="P273">
        <f t="shared" ref="P273:P336" si="94">MAX(J273:N273)</f>
        <v>0</v>
      </c>
      <c r="Q273" t="str">
        <f>IFERROR(J144+MATCH(P273,J273:N273,0)-1,"")</f>
        <v/>
      </c>
      <c r="R273" t="str">
        <f t="shared" ref="R273:R336" si="95">IF(Q273="","",MIN(J273:N273))</f>
        <v/>
      </c>
      <c r="S273" t="str">
        <f>IFERROR(J144+MATCH(R273,J273:N273,0)-1,"")</f>
        <v/>
      </c>
      <c r="T273" t="str">
        <f t="shared" ref="T273:T336" si="96">IFERROR(AVERAGE(J273:N273),"")</f>
        <v/>
      </c>
      <c r="U273" t="str">
        <f t="shared" ref="U273:U336" si="97">IFERROR(STDEV(J273:N273),"")</f>
        <v/>
      </c>
      <c r="V273" t="str">
        <f t="shared" ref="V273:V336" si="98">IFERROR(IF(C273="-","",IF(ISBLANK(B273),"",IF(OR(ISNUMBER(FIND("Growth",B273)),ISNUMBER(FIND("Margin",B273))),"",(J273-T273)/U273))),"")</f>
        <v/>
      </c>
      <c r="W273" t="str">
        <f t="shared" ref="W273:W336" si="99">IFERROR(IF(OR(D273="-",ISBLANK(D273)),"",(K273-T273)/U273),"")</f>
        <v/>
      </c>
      <c r="X273" t="str">
        <f t="shared" ref="X273:X336" si="100">IFERROR(IF(OR(E273="-",ISBLANK(E273)),"",(L273-T273)/U273),"")</f>
        <v/>
      </c>
      <c r="Y273" t="str">
        <f t="shared" ref="Y273:Y336" si="101">IFERROR(IF(OR(F273="-",ISBLANK(F273)),"",(M273-T273)/U273),"")</f>
        <v/>
      </c>
      <c r="Z273" t="str">
        <f t="shared" ref="Z273:Z336" si="102">IFERROR(IF(OR(G273="-",ISBLANK(G273)),"",(N273-T273)/U273),"")</f>
        <v/>
      </c>
      <c r="AA273">
        <f t="shared" ref="AA273:AA336" si="103">IF(MAX(MAX(V273:Z273),ABS(MIN(V273:Z273)))=ABS(MIN(V273:Z273)),MIN(V273:Z273),MAX(V273:Z273))</f>
        <v>0</v>
      </c>
      <c r="AB273" t="str">
        <f>IFERROR(V144+MATCH(AA273,V273:Z273,0)-1,"")</f>
        <v/>
      </c>
      <c r="AC273" t="str">
        <f t="shared" ref="AC273:AC336" si="104">IF(AB273&lt;&gt;"",IF(S273=AB273,"Low",IF(AB273=Q273,"High","")),"")</f>
        <v/>
      </c>
      <c r="AE273" t="str">
        <f>IF(ISNUMBER(MATCH("N/A",J273:N273,0)),"",IFERROR((5 * SUMPRODUCT(J144:N144,J273:N273) - PRODUCT(SUM(J144:N144),SUM(J273:N273))) / ((5 * SUM((J144^2)+(K144^2)+(L144^2)+(M144^2)+(N144^2))) - SUM(J144:N144)^2),""))</f>
        <v/>
      </c>
      <c r="AF273" t="str">
        <f>IFERROR(CORREL(J144:N144,J273:N273),"")</f>
        <v/>
      </c>
      <c r="AZ273">
        <f t="shared" ref="AZ273:AZ336" si="105">IF(Q273=S273,0,1)</f>
        <v>0</v>
      </c>
      <c r="BA273" t="str">
        <f>IF(AZ273=1,IF(Q273="","",IF(Q273=N144,"Yes","No")),"")</f>
        <v/>
      </c>
      <c r="BB273" t="str">
        <f t="shared" ref="BB273:BB336" si="106">IF(BA273="Yes",P273,"")</f>
        <v/>
      </c>
      <c r="BC273" t="str">
        <f>IF(AZ273=1,IF(S273="","",IF(S273=N144,"Yes","No")),"")</f>
        <v/>
      </c>
      <c r="BD273" t="str">
        <f t="shared" ref="BD273:BD336" si="107">IF(BC273="Yes",R273,"")</f>
        <v/>
      </c>
      <c r="BE273" t="str">
        <f t="shared" ref="BE273:BE336" si="108">IFERROR(IF(SIGN(AE273)=1,"Increasing",IF(SIGN(AE273)=-1,"Decreasing","")),"")</f>
        <v/>
      </c>
      <c r="BF273" t="str">
        <f t="shared" ref="BF273:BF336" si="109">IF(OR(AND(BE273="Increasing",BA273="Yes"),AND(BE273="Decreasing",BC273="Yes")),"Yes","No")</f>
        <v>No</v>
      </c>
      <c r="BG273" t="str">
        <f t="shared" ref="BG273:BG336" si="110">IF(I273="pos_trend","Yes","No")</f>
        <v>No</v>
      </c>
      <c r="BH273" t="str">
        <f t="shared" ref="BH273:BH336" si="111">IF(AF273&lt;&gt;"",IF(ABS(AF273)&gt;0.8,"Yes","No"),"")</f>
        <v/>
      </c>
    </row>
    <row r="274" spans="9:60" x14ac:dyDescent="0.3">
      <c r="I274" t="str">
        <f t="shared" si="88"/>
        <v>N/A</v>
      </c>
      <c r="J274" t="str">
        <f t="shared" si="89"/>
        <v>N/A</v>
      </c>
      <c r="K274" t="str">
        <f t="shared" si="90"/>
        <v>N/A</v>
      </c>
      <c r="L274" t="str">
        <f t="shared" si="91"/>
        <v>N/A</v>
      </c>
      <c r="M274" t="str">
        <f t="shared" si="92"/>
        <v>N/A</v>
      </c>
      <c r="N274" t="str">
        <f t="shared" si="93"/>
        <v>N/A</v>
      </c>
      <c r="P274">
        <f t="shared" si="94"/>
        <v>0</v>
      </c>
      <c r="Q274" t="str">
        <f>IFERROR(J144+MATCH(P274,J274:N274,0)-1,"")</f>
        <v/>
      </c>
      <c r="R274" t="str">
        <f t="shared" si="95"/>
        <v/>
      </c>
      <c r="S274" t="str">
        <f>IFERROR(J144+MATCH(R274,J274:N274,0)-1,"")</f>
        <v/>
      </c>
      <c r="T274" t="str">
        <f t="shared" si="96"/>
        <v/>
      </c>
      <c r="U274" t="str">
        <f t="shared" si="97"/>
        <v/>
      </c>
      <c r="V274" t="str">
        <f t="shared" si="98"/>
        <v/>
      </c>
      <c r="W274" t="str">
        <f t="shared" si="99"/>
        <v/>
      </c>
      <c r="X274" t="str">
        <f t="shared" si="100"/>
        <v/>
      </c>
      <c r="Y274" t="str">
        <f t="shared" si="101"/>
        <v/>
      </c>
      <c r="Z274" t="str">
        <f t="shared" si="102"/>
        <v/>
      </c>
      <c r="AA274">
        <f t="shared" si="103"/>
        <v>0</v>
      </c>
      <c r="AB274" t="str">
        <f>IFERROR(V144+MATCH(AA274,V274:Z274,0)-1,"")</f>
        <v/>
      </c>
      <c r="AC274" t="str">
        <f t="shared" si="104"/>
        <v/>
      </c>
      <c r="AE274" t="str">
        <f>IF(ISNUMBER(MATCH("N/A",J274:N274,0)),"",IFERROR((5 * SUMPRODUCT(J144:N144,J274:N274) - PRODUCT(SUM(J144:N144),SUM(J274:N274))) / ((5 * SUM((J144^2)+(K144^2)+(L144^2)+(M144^2)+(N144^2))) - SUM(J144:N144)^2),""))</f>
        <v/>
      </c>
      <c r="AF274" t="str">
        <f>IFERROR(CORREL(J144:N144,J274:N274),"")</f>
        <v/>
      </c>
      <c r="AZ274">
        <f t="shared" si="105"/>
        <v>0</v>
      </c>
      <c r="BA274" t="str">
        <f>IF(AZ274=1,IF(Q274="","",IF(Q274=N144,"Yes","No")),"")</f>
        <v/>
      </c>
      <c r="BB274" t="str">
        <f t="shared" si="106"/>
        <v/>
      </c>
      <c r="BC274" t="str">
        <f>IF(AZ274=1,IF(S274="","",IF(S274=N144,"Yes","No")),"")</f>
        <v/>
      </c>
      <c r="BD274" t="str">
        <f t="shared" si="107"/>
        <v/>
      </c>
      <c r="BE274" t="str">
        <f t="shared" si="108"/>
        <v/>
      </c>
      <c r="BF274" t="str">
        <f t="shared" si="109"/>
        <v>No</v>
      </c>
      <c r="BG274" t="str">
        <f t="shared" si="110"/>
        <v>No</v>
      </c>
      <c r="BH274" t="str">
        <f t="shared" si="111"/>
        <v/>
      </c>
    </row>
    <row r="275" spans="9:60" x14ac:dyDescent="0.3">
      <c r="I275" t="str">
        <f t="shared" si="88"/>
        <v>N/A</v>
      </c>
      <c r="J275" t="str">
        <f t="shared" si="89"/>
        <v>N/A</v>
      </c>
      <c r="K275" t="str">
        <f t="shared" si="90"/>
        <v>N/A</v>
      </c>
      <c r="L275" t="str">
        <f t="shared" si="91"/>
        <v>N/A</v>
      </c>
      <c r="M275" t="str">
        <f t="shared" si="92"/>
        <v>N/A</v>
      </c>
      <c r="N275" t="str">
        <f t="shared" si="93"/>
        <v>N/A</v>
      </c>
      <c r="P275">
        <f t="shared" si="94"/>
        <v>0</v>
      </c>
      <c r="Q275" t="str">
        <f>IFERROR(J144+MATCH(P275,J275:N275,0)-1,"")</f>
        <v/>
      </c>
      <c r="R275" t="str">
        <f t="shared" si="95"/>
        <v/>
      </c>
      <c r="S275" t="str">
        <f>IFERROR(J144+MATCH(R275,J275:N275,0)-1,"")</f>
        <v/>
      </c>
      <c r="T275" t="str">
        <f t="shared" si="96"/>
        <v/>
      </c>
      <c r="U275" t="str">
        <f t="shared" si="97"/>
        <v/>
      </c>
      <c r="V275" t="str">
        <f t="shared" si="98"/>
        <v/>
      </c>
      <c r="W275" t="str">
        <f t="shared" si="99"/>
        <v/>
      </c>
      <c r="X275" t="str">
        <f t="shared" si="100"/>
        <v/>
      </c>
      <c r="Y275" t="str">
        <f t="shared" si="101"/>
        <v/>
      </c>
      <c r="Z275" t="str">
        <f t="shared" si="102"/>
        <v/>
      </c>
      <c r="AA275">
        <f t="shared" si="103"/>
        <v>0</v>
      </c>
      <c r="AB275" t="str">
        <f>IFERROR(V144+MATCH(AA275,V275:Z275,0)-1,"")</f>
        <v/>
      </c>
      <c r="AC275" t="str">
        <f t="shared" si="104"/>
        <v/>
      </c>
      <c r="AE275" t="str">
        <f>IF(ISNUMBER(MATCH("N/A",J275:N275,0)),"",IFERROR((5 * SUMPRODUCT(J144:N144,J275:N275) - PRODUCT(SUM(J144:N144),SUM(J275:N275))) / ((5 * SUM((J144^2)+(K144^2)+(L144^2)+(M144^2)+(N144^2))) - SUM(J144:N144)^2),""))</f>
        <v/>
      </c>
      <c r="AF275" t="str">
        <f>IFERROR(CORREL(J144:N144,J275:N275),"")</f>
        <v/>
      </c>
      <c r="AZ275">
        <f t="shared" si="105"/>
        <v>0</v>
      </c>
      <c r="BA275" t="str">
        <f>IF(AZ275=1,IF(Q275="","",IF(Q275=N144,"Yes","No")),"")</f>
        <v/>
      </c>
      <c r="BB275" t="str">
        <f t="shared" si="106"/>
        <v/>
      </c>
      <c r="BC275" t="str">
        <f>IF(AZ275=1,IF(S275="","",IF(S275=N144,"Yes","No")),"")</f>
        <v/>
      </c>
      <c r="BD275" t="str">
        <f t="shared" si="107"/>
        <v/>
      </c>
      <c r="BE275" t="str">
        <f t="shared" si="108"/>
        <v/>
      </c>
      <c r="BF275" t="str">
        <f t="shared" si="109"/>
        <v>No</v>
      </c>
      <c r="BG275" t="str">
        <f t="shared" si="110"/>
        <v>No</v>
      </c>
      <c r="BH275" t="str">
        <f t="shared" si="111"/>
        <v/>
      </c>
    </row>
    <row r="276" spans="9:60" x14ac:dyDescent="0.3">
      <c r="I276" t="str">
        <f t="shared" si="88"/>
        <v>N/A</v>
      </c>
      <c r="J276" t="str">
        <f t="shared" si="89"/>
        <v>N/A</v>
      </c>
      <c r="K276" t="str">
        <f t="shared" si="90"/>
        <v>N/A</v>
      </c>
      <c r="L276" t="str">
        <f t="shared" si="91"/>
        <v>N/A</v>
      </c>
      <c r="M276" t="str">
        <f t="shared" si="92"/>
        <v>N/A</v>
      </c>
      <c r="N276" t="str">
        <f t="shared" si="93"/>
        <v>N/A</v>
      </c>
      <c r="P276">
        <f t="shared" si="94"/>
        <v>0</v>
      </c>
      <c r="Q276" t="str">
        <f>IFERROR(J144+MATCH(P276,J276:N276,0)-1,"")</f>
        <v/>
      </c>
      <c r="R276" t="str">
        <f t="shared" si="95"/>
        <v/>
      </c>
      <c r="S276" t="str">
        <f>IFERROR(J144+MATCH(R276,J276:N276,0)-1,"")</f>
        <v/>
      </c>
      <c r="T276" t="str">
        <f t="shared" si="96"/>
        <v/>
      </c>
      <c r="U276" t="str">
        <f t="shared" si="97"/>
        <v/>
      </c>
      <c r="V276" t="str">
        <f t="shared" si="98"/>
        <v/>
      </c>
      <c r="W276" t="str">
        <f t="shared" si="99"/>
        <v/>
      </c>
      <c r="X276" t="str">
        <f t="shared" si="100"/>
        <v/>
      </c>
      <c r="Y276" t="str">
        <f t="shared" si="101"/>
        <v/>
      </c>
      <c r="Z276" t="str">
        <f t="shared" si="102"/>
        <v/>
      </c>
      <c r="AA276">
        <f t="shared" si="103"/>
        <v>0</v>
      </c>
      <c r="AB276" t="str">
        <f>IFERROR(V144+MATCH(AA276,V276:Z276,0)-1,"")</f>
        <v/>
      </c>
      <c r="AC276" t="str">
        <f t="shared" si="104"/>
        <v/>
      </c>
      <c r="AE276" t="str">
        <f>IF(ISNUMBER(MATCH("N/A",J276:N276,0)),"",IFERROR((5 * SUMPRODUCT(J144:N144,J276:N276) - PRODUCT(SUM(J144:N144),SUM(J276:N276))) / ((5 * SUM((J144^2)+(K144^2)+(L144^2)+(M144^2)+(N144^2))) - SUM(J144:N144)^2),""))</f>
        <v/>
      </c>
      <c r="AF276" t="str">
        <f>IFERROR(CORREL(J144:N144,J276:N276),"")</f>
        <v/>
      </c>
      <c r="AZ276">
        <f t="shared" si="105"/>
        <v>0</v>
      </c>
      <c r="BA276" t="str">
        <f>IF(AZ276=1,IF(Q276="","",IF(Q276=N144,"Yes","No")),"")</f>
        <v/>
      </c>
      <c r="BB276" t="str">
        <f t="shared" si="106"/>
        <v/>
      </c>
      <c r="BC276" t="str">
        <f>IF(AZ276=1,IF(S276="","",IF(S276=N144,"Yes","No")),"")</f>
        <v/>
      </c>
      <c r="BD276" t="str">
        <f t="shared" si="107"/>
        <v/>
      </c>
      <c r="BE276" t="str">
        <f t="shared" si="108"/>
        <v/>
      </c>
      <c r="BF276" t="str">
        <f t="shared" si="109"/>
        <v>No</v>
      </c>
      <c r="BG276" t="str">
        <f t="shared" si="110"/>
        <v>No</v>
      </c>
      <c r="BH276" t="str">
        <f t="shared" si="111"/>
        <v/>
      </c>
    </row>
    <row r="277" spans="9:60" x14ac:dyDescent="0.3">
      <c r="I277" t="str">
        <f t="shared" si="88"/>
        <v>N/A</v>
      </c>
      <c r="J277" t="str">
        <f t="shared" si="89"/>
        <v>N/A</v>
      </c>
      <c r="K277" t="str">
        <f t="shared" si="90"/>
        <v>N/A</v>
      </c>
      <c r="L277" t="str">
        <f t="shared" si="91"/>
        <v>N/A</v>
      </c>
      <c r="M277" t="str">
        <f t="shared" si="92"/>
        <v>N/A</v>
      </c>
      <c r="N277" t="str">
        <f t="shared" si="93"/>
        <v>N/A</v>
      </c>
      <c r="P277">
        <f t="shared" si="94"/>
        <v>0</v>
      </c>
      <c r="Q277" t="str">
        <f>IFERROR(J144+MATCH(P277,J277:N277,0)-1,"")</f>
        <v/>
      </c>
      <c r="R277" t="str">
        <f t="shared" si="95"/>
        <v/>
      </c>
      <c r="S277" t="str">
        <f>IFERROR(J144+MATCH(R277,J277:N277,0)-1,"")</f>
        <v/>
      </c>
      <c r="T277" t="str">
        <f t="shared" si="96"/>
        <v/>
      </c>
      <c r="U277" t="str">
        <f t="shared" si="97"/>
        <v/>
      </c>
      <c r="V277" t="str">
        <f t="shared" si="98"/>
        <v/>
      </c>
      <c r="W277" t="str">
        <f t="shared" si="99"/>
        <v/>
      </c>
      <c r="X277" t="str">
        <f t="shared" si="100"/>
        <v/>
      </c>
      <c r="Y277" t="str">
        <f t="shared" si="101"/>
        <v/>
      </c>
      <c r="Z277" t="str">
        <f t="shared" si="102"/>
        <v/>
      </c>
      <c r="AA277">
        <f t="shared" si="103"/>
        <v>0</v>
      </c>
      <c r="AB277" t="str">
        <f>IFERROR(V144+MATCH(AA277,V277:Z277,0)-1,"")</f>
        <v/>
      </c>
      <c r="AC277" t="str">
        <f t="shared" si="104"/>
        <v/>
      </c>
      <c r="AE277" t="str">
        <f>IF(ISNUMBER(MATCH("N/A",J277:N277,0)),"",IFERROR((5 * SUMPRODUCT(J144:N144,J277:N277) - PRODUCT(SUM(J144:N144),SUM(J277:N277))) / ((5 * SUM((J144^2)+(K144^2)+(L144^2)+(M144^2)+(N144^2))) - SUM(J144:N144)^2),""))</f>
        <v/>
      </c>
      <c r="AF277" t="str">
        <f>IFERROR(CORREL(J144:N144,J277:N277),"")</f>
        <v/>
      </c>
      <c r="AZ277">
        <f t="shared" si="105"/>
        <v>0</v>
      </c>
      <c r="BA277" t="str">
        <f>IF(AZ277=1,IF(Q277="","",IF(Q277=N144,"Yes","No")),"")</f>
        <v/>
      </c>
      <c r="BB277" t="str">
        <f t="shared" si="106"/>
        <v/>
      </c>
      <c r="BC277" t="str">
        <f>IF(AZ277=1,IF(S277="","",IF(S277=N144,"Yes","No")),"")</f>
        <v/>
      </c>
      <c r="BD277" t="str">
        <f t="shared" si="107"/>
        <v/>
      </c>
      <c r="BE277" t="str">
        <f t="shared" si="108"/>
        <v/>
      </c>
      <c r="BF277" t="str">
        <f t="shared" si="109"/>
        <v>No</v>
      </c>
      <c r="BG277" t="str">
        <f t="shared" si="110"/>
        <v>No</v>
      </c>
      <c r="BH277" t="str">
        <f t="shared" si="111"/>
        <v/>
      </c>
    </row>
    <row r="278" spans="9:60" x14ac:dyDescent="0.3">
      <c r="I278" t="str">
        <f t="shared" si="88"/>
        <v>N/A</v>
      </c>
      <c r="J278" t="str">
        <f t="shared" si="89"/>
        <v>N/A</v>
      </c>
      <c r="K278" t="str">
        <f t="shared" si="90"/>
        <v>N/A</v>
      </c>
      <c r="L278" t="str">
        <f t="shared" si="91"/>
        <v>N/A</v>
      </c>
      <c r="M278" t="str">
        <f t="shared" si="92"/>
        <v>N/A</v>
      </c>
      <c r="N278" t="str">
        <f t="shared" si="93"/>
        <v>N/A</v>
      </c>
      <c r="P278">
        <f t="shared" si="94"/>
        <v>0</v>
      </c>
      <c r="Q278" t="str">
        <f>IFERROR(J144+MATCH(P278,J278:N278,0)-1,"")</f>
        <v/>
      </c>
      <c r="R278" t="str">
        <f t="shared" si="95"/>
        <v/>
      </c>
      <c r="S278" t="str">
        <f>IFERROR(J144+MATCH(R278,J278:N278,0)-1,"")</f>
        <v/>
      </c>
      <c r="T278" t="str">
        <f t="shared" si="96"/>
        <v/>
      </c>
      <c r="U278" t="str">
        <f t="shared" si="97"/>
        <v/>
      </c>
      <c r="V278" t="str">
        <f t="shared" si="98"/>
        <v/>
      </c>
      <c r="W278" t="str">
        <f t="shared" si="99"/>
        <v/>
      </c>
      <c r="X278" t="str">
        <f t="shared" si="100"/>
        <v/>
      </c>
      <c r="Y278" t="str">
        <f t="shared" si="101"/>
        <v/>
      </c>
      <c r="Z278" t="str">
        <f t="shared" si="102"/>
        <v/>
      </c>
      <c r="AA278">
        <f t="shared" si="103"/>
        <v>0</v>
      </c>
      <c r="AB278" t="str">
        <f>IFERROR(V144+MATCH(AA278,V278:Z278,0)-1,"")</f>
        <v/>
      </c>
      <c r="AC278" t="str">
        <f t="shared" si="104"/>
        <v/>
      </c>
      <c r="AE278" t="str">
        <f>IF(ISNUMBER(MATCH("N/A",J278:N278,0)),"",IFERROR((5 * SUMPRODUCT(J144:N144,J278:N278) - PRODUCT(SUM(J144:N144),SUM(J278:N278))) / ((5 * SUM((J144^2)+(K144^2)+(L144^2)+(M144^2)+(N144^2))) - SUM(J144:N144)^2),""))</f>
        <v/>
      </c>
      <c r="AF278" t="str">
        <f>IFERROR(CORREL(J144:N144,J278:N278),"")</f>
        <v/>
      </c>
      <c r="AZ278">
        <f t="shared" si="105"/>
        <v>0</v>
      </c>
      <c r="BA278" t="str">
        <f>IF(AZ278=1,IF(Q278="","",IF(Q278=N144,"Yes","No")),"")</f>
        <v/>
      </c>
      <c r="BB278" t="str">
        <f t="shared" si="106"/>
        <v/>
      </c>
      <c r="BC278" t="str">
        <f>IF(AZ278=1,IF(S278="","",IF(S278=N144,"Yes","No")),"")</f>
        <v/>
      </c>
      <c r="BD278" t="str">
        <f t="shared" si="107"/>
        <v/>
      </c>
      <c r="BE278" t="str">
        <f t="shared" si="108"/>
        <v/>
      </c>
      <c r="BF278" t="str">
        <f t="shared" si="109"/>
        <v>No</v>
      </c>
      <c r="BG278" t="str">
        <f t="shared" si="110"/>
        <v>No</v>
      </c>
      <c r="BH278" t="str">
        <f t="shared" si="111"/>
        <v/>
      </c>
    </row>
    <row r="279" spans="9:60" x14ac:dyDescent="0.3">
      <c r="I279" t="str">
        <f t="shared" si="88"/>
        <v>N/A</v>
      </c>
      <c r="J279" t="str">
        <f t="shared" si="89"/>
        <v>N/A</v>
      </c>
      <c r="K279" t="str">
        <f t="shared" si="90"/>
        <v>N/A</v>
      </c>
      <c r="L279" t="str">
        <f t="shared" si="91"/>
        <v>N/A</v>
      </c>
      <c r="M279" t="str">
        <f t="shared" si="92"/>
        <v>N/A</v>
      </c>
      <c r="N279" t="str">
        <f t="shared" si="93"/>
        <v>N/A</v>
      </c>
      <c r="P279">
        <f t="shared" si="94"/>
        <v>0</v>
      </c>
      <c r="Q279" t="str">
        <f>IFERROR(J144+MATCH(P279,J279:N279,0)-1,"")</f>
        <v/>
      </c>
      <c r="R279" t="str">
        <f t="shared" si="95"/>
        <v/>
      </c>
      <c r="S279" t="str">
        <f>IFERROR(J144+MATCH(R279,J279:N279,0)-1,"")</f>
        <v/>
      </c>
      <c r="T279" t="str">
        <f t="shared" si="96"/>
        <v/>
      </c>
      <c r="U279" t="str">
        <f t="shared" si="97"/>
        <v/>
      </c>
      <c r="V279" t="str">
        <f t="shared" si="98"/>
        <v/>
      </c>
      <c r="W279" t="str">
        <f t="shared" si="99"/>
        <v/>
      </c>
      <c r="X279" t="str">
        <f t="shared" si="100"/>
        <v/>
      </c>
      <c r="Y279" t="str">
        <f t="shared" si="101"/>
        <v/>
      </c>
      <c r="Z279" t="str">
        <f t="shared" si="102"/>
        <v/>
      </c>
      <c r="AA279">
        <f t="shared" si="103"/>
        <v>0</v>
      </c>
      <c r="AB279" t="str">
        <f>IFERROR(V144+MATCH(AA279,V279:Z279,0)-1,"")</f>
        <v/>
      </c>
      <c r="AC279" t="str">
        <f t="shared" si="104"/>
        <v/>
      </c>
      <c r="AE279" t="str">
        <f>IF(ISNUMBER(MATCH("N/A",J279:N279,0)),"",IFERROR((5 * SUMPRODUCT(J144:N144,J279:N279) - PRODUCT(SUM(J144:N144),SUM(J279:N279))) / ((5 * SUM((J144^2)+(K144^2)+(L144^2)+(M144^2)+(N144^2))) - SUM(J144:N144)^2),""))</f>
        <v/>
      </c>
      <c r="AF279" t="str">
        <f>IFERROR(CORREL(J144:N144,J279:N279),"")</f>
        <v/>
      </c>
      <c r="AZ279">
        <f t="shared" si="105"/>
        <v>0</v>
      </c>
      <c r="BA279" t="str">
        <f>IF(AZ279=1,IF(Q279="","",IF(Q279=N144,"Yes","No")),"")</f>
        <v/>
      </c>
      <c r="BB279" t="str">
        <f t="shared" si="106"/>
        <v/>
      </c>
      <c r="BC279" t="str">
        <f>IF(AZ279=1,IF(S279="","",IF(S279=N144,"Yes","No")),"")</f>
        <v/>
      </c>
      <c r="BD279" t="str">
        <f t="shared" si="107"/>
        <v/>
      </c>
      <c r="BE279" t="str">
        <f t="shared" si="108"/>
        <v/>
      </c>
      <c r="BF279" t="str">
        <f t="shared" si="109"/>
        <v>No</v>
      </c>
      <c r="BG279" t="str">
        <f t="shared" si="110"/>
        <v>No</v>
      </c>
      <c r="BH279" t="str">
        <f t="shared" si="111"/>
        <v/>
      </c>
    </row>
    <row r="280" spans="9:60" x14ac:dyDescent="0.3">
      <c r="I280" t="str">
        <f t="shared" si="88"/>
        <v>N/A</v>
      </c>
      <c r="J280" t="str">
        <f t="shared" si="89"/>
        <v>N/A</v>
      </c>
      <c r="K280" t="str">
        <f t="shared" si="90"/>
        <v>N/A</v>
      </c>
      <c r="L280" t="str">
        <f t="shared" si="91"/>
        <v>N/A</v>
      </c>
      <c r="M280" t="str">
        <f t="shared" si="92"/>
        <v>N/A</v>
      </c>
      <c r="N280" t="str">
        <f t="shared" si="93"/>
        <v>N/A</v>
      </c>
      <c r="P280">
        <f t="shared" si="94"/>
        <v>0</v>
      </c>
      <c r="Q280" t="str">
        <f>IFERROR(J144+MATCH(P280,J280:N280,0)-1,"")</f>
        <v/>
      </c>
      <c r="R280" t="str">
        <f t="shared" si="95"/>
        <v/>
      </c>
      <c r="S280" t="str">
        <f>IFERROR(J144+MATCH(R280,J280:N280,0)-1,"")</f>
        <v/>
      </c>
      <c r="T280" t="str">
        <f t="shared" si="96"/>
        <v/>
      </c>
      <c r="U280" t="str">
        <f t="shared" si="97"/>
        <v/>
      </c>
      <c r="V280" t="str">
        <f t="shared" si="98"/>
        <v/>
      </c>
      <c r="W280" t="str">
        <f t="shared" si="99"/>
        <v/>
      </c>
      <c r="X280" t="str">
        <f t="shared" si="100"/>
        <v/>
      </c>
      <c r="Y280" t="str">
        <f t="shared" si="101"/>
        <v/>
      </c>
      <c r="Z280" t="str">
        <f t="shared" si="102"/>
        <v/>
      </c>
      <c r="AA280">
        <f t="shared" si="103"/>
        <v>0</v>
      </c>
      <c r="AB280" t="str">
        <f>IFERROR(V144+MATCH(AA280,V280:Z280,0)-1,"")</f>
        <v/>
      </c>
      <c r="AC280" t="str">
        <f t="shared" si="104"/>
        <v/>
      </c>
      <c r="AE280" t="str">
        <f>IF(ISNUMBER(MATCH("N/A",J280:N280,0)),"",IFERROR((5 * SUMPRODUCT(J144:N144,J280:N280) - PRODUCT(SUM(J144:N144),SUM(J280:N280))) / ((5 * SUM((J144^2)+(K144^2)+(L144^2)+(M144^2)+(N144^2))) - SUM(J144:N144)^2),""))</f>
        <v/>
      </c>
      <c r="AF280" t="str">
        <f>IFERROR(CORREL(J144:N144,J280:N280),"")</f>
        <v/>
      </c>
      <c r="AZ280">
        <f t="shared" si="105"/>
        <v>0</v>
      </c>
      <c r="BA280" t="str">
        <f>IF(AZ280=1,IF(Q280="","",IF(Q280=N144,"Yes","No")),"")</f>
        <v/>
      </c>
      <c r="BB280" t="str">
        <f t="shared" si="106"/>
        <v/>
      </c>
      <c r="BC280" t="str">
        <f>IF(AZ280=1,IF(S280="","",IF(S280=N144,"Yes","No")),"")</f>
        <v/>
      </c>
      <c r="BD280" t="str">
        <f t="shared" si="107"/>
        <v/>
      </c>
      <c r="BE280" t="str">
        <f t="shared" si="108"/>
        <v/>
      </c>
      <c r="BF280" t="str">
        <f t="shared" si="109"/>
        <v>No</v>
      </c>
      <c r="BG280" t="str">
        <f t="shared" si="110"/>
        <v>No</v>
      </c>
      <c r="BH280" t="str">
        <f t="shared" si="111"/>
        <v/>
      </c>
    </row>
    <row r="281" spans="9:60" x14ac:dyDescent="0.3">
      <c r="I281" t="str">
        <f t="shared" si="88"/>
        <v>N/A</v>
      </c>
      <c r="J281" t="str">
        <f t="shared" si="89"/>
        <v>N/A</v>
      </c>
      <c r="K281" t="str">
        <f t="shared" si="90"/>
        <v>N/A</v>
      </c>
      <c r="L281" t="str">
        <f t="shared" si="91"/>
        <v>N/A</v>
      </c>
      <c r="M281" t="str">
        <f t="shared" si="92"/>
        <v>N/A</v>
      </c>
      <c r="N281" t="str">
        <f t="shared" si="93"/>
        <v>N/A</v>
      </c>
      <c r="P281">
        <f t="shared" si="94"/>
        <v>0</v>
      </c>
      <c r="Q281" t="str">
        <f>IFERROR(J144+MATCH(P281,J281:N281,0)-1,"")</f>
        <v/>
      </c>
      <c r="R281" t="str">
        <f t="shared" si="95"/>
        <v/>
      </c>
      <c r="S281" t="str">
        <f>IFERROR(J144+MATCH(R281,J281:N281,0)-1,"")</f>
        <v/>
      </c>
      <c r="T281" t="str">
        <f t="shared" si="96"/>
        <v/>
      </c>
      <c r="U281" t="str">
        <f t="shared" si="97"/>
        <v/>
      </c>
      <c r="V281" t="str">
        <f t="shared" si="98"/>
        <v/>
      </c>
      <c r="W281" t="str">
        <f t="shared" si="99"/>
        <v/>
      </c>
      <c r="X281" t="str">
        <f t="shared" si="100"/>
        <v/>
      </c>
      <c r="Y281" t="str">
        <f t="shared" si="101"/>
        <v/>
      </c>
      <c r="Z281" t="str">
        <f t="shared" si="102"/>
        <v/>
      </c>
      <c r="AA281">
        <f t="shared" si="103"/>
        <v>0</v>
      </c>
      <c r="AB281" t="str">
        <f>IFERROR(V144+MATCH(AA281,V281:Z281,0)-1,"")</f>
        <v/>
      </c>
      <c r="AC281" t="str">
        <f t="shared" si="104"/>
        <v/>
      </c>
      <c r="AE281" t="str">
        <f>IF(ISNUMBER(MATCH("N/A",J281:N281,0)),"",IFERROR((5 * SUMPRODUCT(J144:N144,J281:N281) - PRODUCT(SUM(J144:N144),SUM(J281:N281))) / ((5 * SUM((J144^2)+(K144^2)+(L144^2)+(M144^2)+(N144^2))) - SUM(J144:N144)^2),""))</f>
        <v/>
      </c>
      <c r="AF281" t="str">
        <f>IFERROR(CORREL(J144:N144,J281:N281),"")</f>
        <v/>
      </c>
      <c r="AZ281">
        <f t="shared" si="105"/>
        <v>0</v>
      </c>
      <c r="BA281" t="str">
        <f>IF(AZ281=1,IF(Q281="","",IF(Q281=N144,"Yes","No")),"")</f>
        <v/>
      </c>
      <c r="BB281" t="str">
        <f t="shared" si="106"/>
        <v/>
      </c>
      <c r="BC281" t="str">
        <f>IF(AZ281=1,IF(S281="","",IF(S281=N144,"Yes","No")),"")</f>
        <v/>
      </c>
      <c r="BD281" t="str">
        <f t="shared" si="107"/>
        <v/>
      </c>
      <c r="BE281" t="str">
        <f t="shared" si="108"/>
        <v/>
      </c>
      <c r="BF281" t="str">
        <f t="shared" si="109"/>
        <v>No</v>
      </c>
      <c r="BG281" t="str">
        <f t="shared" si="110"/>
        <v>No</v>
      </c>
      <c r="BH281" t="str">
        <f t="shared" si="111"/>
        <v/>
      </c>
    </row>
    <row r="282" spans="9:60" x14ac:dyDescent="0.3">
      <c r="I282" t="str">
        <f t="shared" si="88"/>
        <v>N/A</v>
      </c>
      <c r="J282" t="str">
        <f t="shared" si="89"/>
        <v>N/A</v>
      </c>
      <c r="K282" t="str">
        <f t="shared" si="90"/>
        <v>N/A</v>
      </c>
      <c r="L282" t="str">
        <f t="shared" si="91"/>
        <v>N/A</v>
      </c>
      <c r="M282" t="str">
        <f t="shared" si="92"/>
        <v>N/A</v>
      </c>
      <c r="N282" t="str">
        <f t="shared" si="93"/>
        <v>N/A</v>
      </c>
      <c r="P282">
        <f t="shared" si="94"/>
        <v>0</v>
      </c>
      <c r="Q282" t="str">
        <f>IFERROR(J144+MATCH(P282,J282:N282,0)-1,"")</f>
        <v/>
      </c>
      <c r="R282" t="str">
        <f t="shared" si="95"/>
        <v/>
      </c>
      <c r="S282" t="str">
        <f>IFERROR(J144+MATCH(R282,J282:N282,0)-1,"")</f>
        <v/>
      </c>
      <c r="T282" t="str">
        <f t="shared" si="96"/>
        <v/>
      </c>
      <c r="U282" t="str">
        <f t="shared" si="97"/>
        <v/>
      </c>
      <c r="V282" t="str">
        <f t="shared" si="98"/>
        <v/>
      </c>
      <c r="W282" t="str">
        <f t="shared" si="99"/>
        <v/>
      </c>
      <c r="X282" t="str">
        <f t="shared" si="100"/>
        <v/>
      </c>
      <c r="Y282" t="str">
        <f t="shared" si="101"/>
        <v/>
      </c>
      <c r="Z282" t="str">
        <f t="shared" si="102"/>
        <v/>
      </c>
      <c r="AA282">
        <f t="shared" si="103"/>
        <v>0</v>
      </c>
      <c r="AB282" t="str">
        <f>IFERROR(V144+MATCH(AA282,V282:Z282,0)-1,"")</f>
        <v/>
      </c>
      <c r="AC282" t="str">
        <f t="shared" si="104"/>
        <v/>
      </c>
      <c r="AE282" t="str">
        <f>IF(ISNUMBER(MATCH("N/A",J282:N282,0)),"",IFERROR((5 * SUMPRODUCT(J144:N144,J282:N282) - PRODUCT(SUM(J144:N144),SUM(J282:N282))) / ((5 * SUM((J144^2)+(K144^2)+(L144^2)+(M144^2)+(N144^2))) - SUM(J144:N144)^2),""))</f>
        <v/>
      </c>
      <c r="AF282" t="str">
        <f>IFERROR(CORREL(J144:N144,J282:N282),"")</f>
        <v/>
      </c>
      <c r="AZ282">
        <f t="shared" si="105"/>
        <v>0</v>
      </c>
      <c r="BA282" t="str">
        <f>IF(AZ282=1,IF(Q282="","",IF(Q282=N144,"Yes","No")),"")</f>
        <v/>
      </c>
      <c r="BB282" t="str">
        <f t="shared" si="106"/>
        <v/>
      </c>
      <c r="BC282" t="str">
        <f>IF(AZ282=1,IF(S282="","",IF(S282=N144,"Yes","No")),"")</f>
        <v/>
      </c>
      <c r="BD282" t="str">
        <f t="shared" si="107"/>
        <v/>
      </c>
      <c r="BE282" t="str">
        <f t="shared" si="108"/>
        <v/>
      </c>
      <c r="BF282" t="str">
        <f t="shared" si="109"/>
        <v>No</v>
      </c>
      <c r="BG282" t="str">
        <f t="shared" si="110"/>
        <v>No</v>
      </c>
      <c r="BH282" t="str">
        <f t="shared" si="111"/>
        <v/>
      </c>
    </row>
    <row r="283" spans="9:60" x14ac:dyDescent="0.3">
      <c r="I283" t="str">
        <f t="shared" si="88"/>
        <v>N/A</v>
      </c>
      <c r="J283" t="str">
        <f t="shared" si="89"/>
        <v>N/A</v>
      </c>
      <c r="K283" t="str">
        <f t="shared" si="90"/>
        <v>N/A</v>
      </c>
      <c r="L283" t="str">
        <f t="shared" si="91"/>
        <v>N/A</v>
      </c>
      <c r="M283" t="str">
        <f t="shared" si="92"/>
        <v>N/A</v>
      </c>
      <c r="N283" t="str">
        <f t="shared" si="93"/>
        <v>N/A</v>
      </c>
      <c r="P283">
        <f t="shared" si="94"/>
        <v>0</v>
      </c>
      <c r="Q283" t="str">
        <f>IFERROR(J144+MATCH(P283,J283:N283,0)-1,"")</f>
        <v/>
      </c>
      <c r="R283" t="str">
        <f t="shared" si="95"/>
        <v/>
      </c>
      <c r="S283" t="str">
        <f>IFERROR(J144+MATCH(R283,J283:N283,0)-1,"")</f>
        <v/>
      </c>
      <c r="T283" t="str">
        <f t="shared" si="96"/>
        <v/>
      </c>
      <c r="U283" t="str">
        <f t="shared" si="97"/>
        <v/>
      </c>
      <c r="V283" t="str">
        <f t="shared" si="98"/>
        <v/>
      </c>
      <c r="W283" t="str">
        <f t="shared" si="99"/>
        <v/>
      </c>
      <c r="X283" t="str">
        <f t="shared" si="100"/>
        <v/>
      </c>
      <c r="Y283" t="str">
        <f t="shared" si="101"/>
        <v/>
      </c>
      <c r="Z283" t="str">
        <f t="shared" si="102"/>
        <v/>
      </c>
      <c r="AA283">
        <f t="shared" si="103"/>
        <v>0</v>
      </c>
      <c r="AB283" t="str">
        <f>IFERROR(V144+MATCH(AA283,V283:Z283,0)-1,"")</f>
        <v/>
      </c>
      <c r="AC283" t="str">
        <f t="shared" si="104"/>
        <v/>
      </c>
      <c r="AE283" t="str">
        <f>IF(ISNUMBER(MATCH("N/A",J283:N283,0)),"",IFERROR((5 * SUMPRODUCT(J144:N144,J283:N283) - PRODUCT(SUM(J144:N144),SUM(J283:N283))) / ((5 * SUM((J144^2)+(K144^2)+(L144^2)+(M144^2)+(N144^2))) - SUM(J144:N144)^2),""))</f>
        <v/>
      </c>
      <c r="AF283" t="str">
        <f>IFERROR(CORREL(J144:N144,J283:N283),"")</f>
        <v/>
      </c>
      <c r="AZ283">
        <f t="shared" si="105"/>
        <v>0</v>
      </c>
      <c r="BA283" t="str">
        <f>IF(AZ283=1,IF(Q283="","",IF(Q283=N144,"Yes","No")),"")</f>
        <v/>
      </c>
      <c r="BB283" t="str">
        <f t="shared" si="106"/>
        <v/>
      </c>
      <c r="BC283" t="str">
        <f>IF(AZ283=1,IF(S283="","",IF(S283=N144,"Yes","No")),"")</f>
        <v/>
      </c>
      <c r="BD283" t="str">
        <f t="shared" si="107"/>
        <v/>
      </c>
      <c r="BE283" t="str">
        <f t="shared" si="108"/>
        <v/>
      </c>
      <c r="BF283" t="str">
        <f t="shared" si="109"/>
        <v>No</v>
      </c>
      <c r="BG283" t="str">
        <f t="shared" si="110"/>
        <v>No</v>
      </c>
      <c r="BH283" t="str">
        <f t="shared" si="111"/>
        <v/>
      </c>
    </row>
    <row r="284" spans="9:60" x14ac:dyDescent="0.3">
      <c r="I284" t="str">
        <f t="shared" si="88"/>
        <v>N/A</v>
      </c>
      <c r="J284" t="str">
        <f t="shared" si="89"/>
        <v>N/A</v>
      </c>
      <c r="K284" t="str">
        <f t="shared" si="90"/>
        <v>N/A</v>
      </c>
      <c r="L284" t="str">
        <f t="shared" si="91"/>
        <v>N/A</v>
      </c>
      <c r="M284" t="str">
        <f t="shared" si="92"/>
        <v>N/A</v>
      </c>
      <c r="N284" t="str">
        <f t="shared" si="93"/>
        <v>N/A</v>
      </c>
      <c r="P284">
        <f t="shared" si="94"/>
        <v>0</v>
      </c>
      <c r="Q284" t="str">
        <f>IFERROR(J144+MATCH(P284,J284:N284,0)-1,"")</f>
        <v/>
      </c>
      <c r="R284" t="str">
        <f t="shared" si="95"/>
        <v/>
      </c>
      <c r="S284" t="str">
        <f>IFERROR(J144+MATCH(R284,J284:N284,0)-1,"")</f>
        <v/>
      </c>
      <c r="T284" t="str">
        <f t="shared" si="96"/>
        <v/>
      </c>
      <c r="U284" t="str">
        <f t="shared" si="97"/>
        <v/>
      </c>
      <c r="V284" t="str">
        <f t="shared" si="98"/>
        <v/>
      </c>
      <c r="W284" t="str">
        <f t="shared" si="99"/>
        <v/>
      </c>
      <c r="X284" t="str">
        <f t="shared" si="100"/>
        <v/>
      </c>
      <c r="Y284" t="str">
        <f t="shared" si="101"/>
        <v/>
      </c>
      <c r="Z284" t="str">
        <f t="shared" si="102"/>
        <v/>
      </c>
      <c r="AA284">
        <f t="shared" si="103"/>
        <v>0</v>
      </c>
      <c r="AB284" t="str">
        <f>IFERROR(V144+MATCH(AA284,V284:Z284,0)-1,"")</f>
        <v/>
      </c>
      <c r="AC284" t="str">
        <f t="shared" si="104"/>
        <v/>
      </c>
      <c r="AE284" t="str">
        <f>IF(ISNUMBER(MATCH("N/A",J284:N284,0)),"",IFERROR((5 * SUMPRODUCT(J144:N144,J284:N284) - PRODUCT(SUM(J144:N144),SUM(J284:N284))) / ((5 * SUM((J144^2)+(K144^2)+(L144^2)+(M144^2)+(N144^2))) - SUM(J144:N144)^2),""))</f>
        <v/>
      </c>
      <c r="AF284" t="str">
        <f>IFERROR(CORREL(J144:N144,J284:N284),"")</f>
        <v/>
      </c>
      <c r="AZ284">
        <f t="shared" si="105"/>
        <v>0</v>
      </c>
      <c r="BA284" t="str">
        <f>IF(AZ284=1,IF(Q284="","",IF(Q284=N144,"Yes","No")),"")</f>
        <v/>
      </c>
      <c r="BB284" t="str">
        <f t="shared" si="106"/>
        <v/>
      </c>
      <c r="BC284" t="str">
        <f>IF(AZ284=1,IF(S284="","",IF(S284=N144,"Yes","No")),"")</f>
        <v/>
      </c>
      <c r="BD284" t="str">
        <f t="shared" si="107"/>
        <v/>
      </c>
      <c r="BE284" t="str">
        <f t="shared" si="108"/>
        <v/>
      </c>
      <c r="BF284" t="str">
        <f t="shared" si="109"/>
        <v>No</v>
      </c>
      <c r="BG284" t="str">
        <f t="shared" si="110"/>
        <v>No</v>
      </c>
      <c r="BH284" t="str">
        <f t="shared" si="111"/>
        <v/>
      </c>
    </row>
    <row r="285" spans="9:60" x14ac:dyDescent="0.3">
      <c r="I285" t="str">
        <f t="shared" si="88"/>
        <v>N/A</v>
      </c>
      <c r="J285" t="str">
        <f t="shared" si="89"/>
        <v>N/A</v>
      </c>
      <c r="K285" t="str">
        <f t="shared" si="90"/>
        <v>N/A</v>
      </c>
      <c r="L285" t="str">
        <f t="shared" si="91"/>
        <v>N/A</v>
      </c>
      <c r="M285" t="str">
        <f t="shared" si="92"/>
        <v>N/A</v>
      </c>
      <c r="N285" t="str">
        <f t="shared" si="93"/>
        <v>N/A</v>
      </c>
      <c r="P285">
        <f t="shared" si="94"/>
        <v>0</v>
      </c>
      <c r="Q285" t="str">
        <f>IFERROR(J144+MATCH(P285,J285:N285,0)-1,"")</f>
        <v/>
      </c>
      <c r="R285" t="str">
        <f t="shared" si="95"/>
        <v/>
      </c>
      <c r="S285" t="str">
        <f>IFERROR(J144+MATCH(R285,J285:N285,0)-1,"")</f>
        <v/>
      </c>
      <c r="T285" t="str">
        <f t="shared" si="96"/>
        <v/>
      </c>
      <c r="U285" t="str">
        <f t="shared" si="97"/>
        <v/>
      </c>
      <c r="V285" t="str">
        <f t="shared" si="98"/>
        <v/>
      </c>
      <c r="W285" t="str">
        <f t="shared" si="99"/>
        <v/>
      </c>
      <c r="X285" t="str">
        <f t="shared" si="100"/>
        <v/>
      </c>
      <c r="Y285" t="str">
        <f t="shared" si="101"/>
        <v/>
      </c>
      <c r="Z285" t="str">
        <f t="shared" si="102"/>
        <v/>
      </c>
      <c r="AA285">
        <f t="shared" si="103"/>
        <v>0</v>
      </c>
      <c r="AB285" t="str">
        <f>IFERROR(V144+MATCH(AA285,V285:Z285,0)-1,"")</f>
        <v/>
      </c>
      <c r="AC285" t="str">
        <f t="shared" si="104"/>
        <v/>
      </c>
      <c r="AE285" t="str">
        <f>IF(ISNUMBER(MATCH("N/A",J285:N285,0)),"",IFERROR((5 * SUMPRODUCT(J144:N144,J285:N285) - PRODUCT(SUM(J144:N144),SUM(J285:N285))) / ((5 * SUM((J144^2)+(K144^2)+(L144^2)+(M144^2)+(N144^2))) - SUM(J144:N144)^2),""))</f>
        <v/>
      </c>
      <c r="AF285" t="str">
        <f>IFERROR(CORREL(J144:N144,J285:N285),"")</f>
        <v/>
      </c>
      <c r="AZ285">
        <f t="shared" si="105"/>
        <v>0</v>
      </c>
      <c r="BA285" t="str">
        <f>IF(AZ285=1,IF(Q285="","",IF(Q285=N144,"Yes","No")),"")</f>
        <v/>
      </c>
      <c r="BB285" t="str">
        <f t="shared" si="106"/>
        <v/>
      </c>
      <c r="BC285" t="str">
        <f>IF(AZ285=1,IF(S285="","",IF(S285=N144,"Yes","No")),"")</f>
        <v/>
      </c>
      <c r="BD285" t="str">
        <f t="shared" si="107"/>
        <v/>
      </c>
      <c r="BE285" t="str">
        <f t="shared" si="108"/>
        <v/>
      </c>
      <c r="BF285" t="str">
        <f t="shared" si="109"/>
        <v>No</v>
      </c>
      <c r="BG285" t="str">
        <f t="shared" si="110"/>
        <v>No</v>
      </c>
      <c r="BH285" t="str">
        <f t="shared" si="111"/>
        <v/>
      </c>
    </row>
    <row r="286" spans="9:60" x14ac:dyDescent="0.3">
      <c r="I286" t="str">
        <f t="shared" si="88"/>
        <v>N/A</v>
      </c>
      <c r="J286" t="str">
        <f t="shared" si="89"/>
        <v>N/A</v>
      </c>
      <c r="K286" t="str">
        <f t="shared" si="90"/>
        <v>N/A</v>
      </c>
      <c r="L286" t="str">
        <f t="shared" si="91"/>
        <v>N/A</v>
      </c>
      <c r="M286" t="str">
        <f t="shared" si="92"/>
        <v>N/A</v>
      </c>
      <c r="N286" t="str">
        <f t="shared" si="93"/>
        <v>N/A</v>
      </c>
      <c r="P286">
        <f t="shared" si="94"/>
        <v>0</v>
      </c>
      <c r="Q286" t="str">
        <f>IFERROR(J144+MATCH(P286,J286:N286,0)-1,"")</f>
        <v/>
      </c>
      <c r="R286" t="str">
        <f t="shared" si="95"/>
        <v/>
      </c>
      <c r="S286" t="str">
        <f>IFERROR(J144+MATCH(R286,J286:N286,0)-1,"")</f>
        <v/>
      </c>
      <c r="T286" t="str">
        <f t="shared" si="96"/>
        <v/>
      </c>
      <c r="U286" t="str">
        <f t="shared" si="97"/>
        <v/>
      </c>
      <c r="V286" t="str">
        <f t="shared" si="98"/>
        <v/>
      </c>
      <c r="W286" t="str">
        <f t="shared" si="99"/>
        <v/>
      </c>
      <c r="X286" t="str">
        <f t="shared" si="100"/>
        <v/>
      </c>
      <c r="Y286" t="str">
        <f t="shared" si="101"/>
        <v/>
      </c>
      <c r="Z286" t="str">
        <f t="shared" si="102"/>
        <v/>
      </c>
      <c r="AA286">
        <f t="shared" si="103"/>
        <v>0</v>
      </c>
      <c r="AB286" t="str">
        <f>IFERROR(V144+MATCH(AA286,V286:Z286,0)-1,"")</f>
        <v/>
      </c>
      <c r="AC286" t="str">
        <f t="shared" si="104"/>
        <v/>
      </c>
      <c r="AE286" t="str">
        <f>IF(ISNUMBER(MATCH("N/A",J286:N286,0)),"",IFERROR((5 * SUMPRODUCT(J144:N144,J286:N286) - PRODUCT(SUM(J144:N144),SUM(J286:N286))) / ((5 * SUM((J144^2)+(K144^2)+(L144^2)+(M144^2)+(N144^2))) - SUM(J144:N144)^2),""))</f>
        <v/>
      </c>
      <c r="AF286" t="str">
        <f>IFERROR(CORREL(J144:N144,J286:N286),"")</f>
        <v/>
      </c>
      <c r="AZ286">
        <f t="shared" si="105"/>
        <v>0</v>
      </c>
      <c r="BA286" t="str">
        <f>IF(AZ286=1,IF(Q286="","",IF(Q286=N144,"Yes","No")),"")</f>
        <v/>
      </c>
      <c r="BB286" t="str">
        <f t="shared" si="106"/>
        <v/>
      </c>
      <c r="BC286" t="str">
        <f>IF(AZ286=1,IF(S286="","",IF(S286=N144,"Yes","No")),"")</f>
        <v/>
      </c>
      <c r="BD286" t="str">
        <f t="shared" si="107"/>
        <v/>
      </c>
      <c r="BE286" t="str">
        <f t="shared" si="108"/>
        <v/>
      </c>
      <c r="BF286" t="str">
        <f t="shared" si="109"/>
        <v>No</v>
      </c>
      <c r="BG286" t="str">
        <f t="shared" si="110"/>
        <v>No</v>
      </c>
      <c r="BH286" t="str">
        <f t="shared" si="111"/>
        <v/>
      </c>
    </row>
    <row r="287" spans="9:60" x14ac:dyDescent="0.3">
      <c r="I287" t="str">
        <f t="shared" si="88"/>
        <v>N/A</v>
      </c>
      <c r="J287" t="str">
        <f t="shared" si="89"/>
        <v>N/A</v>
      </c>
      <c r="K287" t="str">
        <f t="shared" si="90"/>
        <v>N/A</v>
      </c>
      <c r="L287" t="str">
        <f t="shared" si="91"/>
        <v>N/A</v>
      </c>
      <c r="M287" t="str">
        <f t="shared" si="92"/>
        <v>N/A</v>
      </c>
      <c r="N287" t="str">
        <f t="shared" si="93"/>
        <v>N/A</v>
      </c>
      <c r="P287">
        <f t="shared" si="94"/>
        <v>0</v>
      </c>
      <c r="Q287" t="str">
        <f>IFERROR(J144+MATCH(P287,J287:N287,0)-1,"")</f>
        <v/>
      </c>
      <c r="R287" t="str">
        <f t="shared" si="95"/>
        <v/>
      </c>
      <c r="S287" t="str">
        <f>IFERROR(J144+MATCH(R287,J287:N287,0)-1,"")</f>
        <v/>
      </c>
      <c r="T287" t="str">
        <f t="shared" si="96"/>
        <v/>
      </c>
      <c r="U287" t="str">
        <f t="shared" si="97"/>
        <v/>
      </c>
      <c r="V287" t="str">
        <f t="shared" si="98"/>
        <v/>
      </c>
      <c r="W287" t="str">
        <f t="shared" si="99"/>
        <v/>
      </c>
      <c r="X287" t="str">
        <f t="shared" si="100"/>
        <v/>
      </c>
      <c r="Y287" t="str">
        <f t="shared" si="101"/>
        <v/>
      </c>
      <c r="Z287" t="str">
        <f t="shared" si="102"/>
        <v/>
      </c>
      <c r="AA287">
        <f t="shared" si="103"/>
        <v>0</v>
      </c>
      <c r="AB287" t="str">
        <f>IFERROR(V144+MATCH(AA287,V287:Z287,0)-1,"")</f>
        <v/>
      </c>
      <c r="AC287" t="str">
        <f t="shared" si="104"/>
        <v/>
      </c>
      <c r="AE287" t="str">
        <f>IF(ISNUMBER(MATCH("N/A",J287:N287,0)),"",IFERROR((5 * SUMPRODUCT(J144:N144,J287:N287) - PRODUCT(SUM(J144:N144),SUM(J287:N287))) / ((5 * SUM((J144^2)+(K144^2)+(L144^2)+(M144^2)+(N144^2))) - SUM(J144:N144)^2),""))</f>
        <v/>
      </c>
      <c r="AF287" t="str">
        <f>IFERROR(CORREL(J144:N144,J287:N287),"")</f>
        <v/>
      </c>
      <c r="AZ287">
        <f t="shared" si="105"/>
        <v>0</v>
      </c>
      <c r="BA287" t="str">
        <f>IF(AZ287=1,IF(Q287="","",IF(Q287=N144,"Yes","No")),"")</f>
        <v/>
      </c>
      <c r="BB287" t="str">
        <f t="shared" si="106"/>
        <v/>
      </c>
      <c r="BC287" t="str">
        <f>IF(AZ287=1,IF(S287="","",IF(S287=N144,"Yes","No")),"")</f>
        <v/>
      </c>
      <c r="BD287" t="str">
        <f t="shared" si="107"/>
        <v/>
      </c>
      <c r="BE287" t="str">
        <f t="shared" si="108"/>
        <v/>
      </c>
      <c r="BF287" t="str">
        <f t="shared" si="109"/>
        <v>No</v>
      </c>
      <c r="BG287" t="str">
        <f t="shared" si="110"/>
        <v>No</v>
      </c>
      <c r="BH287" t="str">
        <f t="shared" si="111"/>
        <v/>
      </c>
    </row>
    <row r="288" spans="9:60" x14ac:dyDescent="0.3">
      <c r="I288" t="str">
        <f t="shared" si="88"/>
        <v>N/A</v>
      </c>
      <c r="J288" t="str">
        <f t="shared" si="89"/>
        <v>N/A</v>
      </c>
      <c r="K288" t="str">
        <f t="shared" si="90"/>
        <v>N/A</v>
      </c>
      <c r="L288" t="str">
        <f t="shared" si="91"/>
        <v>N/A</v>
      </c>
      <c r="M288" t="str">
        <f t="shared" si="92"/>
        <v>N/A</v>
      </c>
      <c r="N288" t="str">
        <f t="shared" si="93"/>
        <v>N/A</v>
      </c>
      <c r="P288">
        <f t="shared" si="94"/>
        <v>0</v>
      </c>
      <c r="Q288" t="str">
        <f>IFERROR(J144+MATCH(P288,J288:N288,0)-1,"")</f>
        <v/>
      </c>
      <c r="R288" t="str">
        <f t="shared" si="95"/>
        <v/>
      </c>
      <c r="S288" t="str">
        <f>IFERROR(J144+MATCH(R288,J288:N288,0)-1,"")</f>
        <v/>
      </c>
      <c r="T288" t="str">
        <f t="shared" si="96"/>
        <v/>
      </c>
      <c r="U288" t="str">
        <f t="shared" si="97"/>
        <v/>
      </c>
      <c r="V288" t="str">
        <f t="shared" si="98"/>
        <v/>
      </c>
      <c r="W288" t="str">
        <f t="shared" si="99"/>
        <v/>
      </c>
      <c r="X288" t="str">
        <f t="shared" si="100"/>
        <v/>
      </c>
      <c r="Y288" t="str">
        <f t="shared" si="101"/>
        <v/>
      </c>
      <c r="Z288" t="str">
        <f t="shared" si="102"/>
        <v/>
      </c>
      <c r="AA288">
        <f t="shared" si="103"/>
        <v>0</v>
      </c>
      <c r="AB288" t="str">
        <f>IFERROR(V144+MATCH(AA288,V288:Z288,0)-1,"")</f>
        <v/>
      </c>
      <c r="AC288" t="str">
        <f t="shared" si="104"/>
        <v/>
      </c>
      <c r="AE288" t="str">
        <f>IF(ISNUMBER(MATCH("N/A",J288:N288,0)),"",IFERROR((5 * SUMPRODUCT(J144:N144,J288:N288) - PRODUCT(SUM(J144:N144),SUM(J288:N288))) / ((5 * SUM((J144^2)+(K144^2)+(L144^2)+(M144^2)+(N144^2))) - SUM(J144:N144)^2),""))</f>
        <v/>
      </c>
      <c r="AF288" t="str">
        <f>IFERROR(CORREL(J144:N144,J288:N288),"")</f>
        <v/>
      </c>
      <c r="AZ288">
        <f t="shared" si="105"/>
        <v>0</v>
      </c>
      <c r="BA288" t="str">
        <f>IF(AZ288=1,IF(Q288="","",IF(Q288=N144,"Yes","No")),"")</f>
        <v/>
      </c>
      <c r="BB288" t="str">
        <f t="shared" si="106"/>
        <v/>
      </c>
      <c r="BC288" t="str">
        <f>IF(AZ288=1,IF(S288="","",IF(S288=N144,"Yes","No")),"")</f>
        <v/>
      </c>
      <c r="BD288" t="str">
        <f t="shared" si="107"/>
        <v/>
      </c>
      <c r="BE288" t="str">
        <f t="shared" si="108"/>
        <v/>
      </c>
      <c r="BF288" t="str">
        <f t="shared" si="109"/>
        <v>No</v>
      </c>
      <c r="BG288" t="str">
        <f t="shared" si="110"/>
        <v>No</v>
      </c>
      <c r="BH288" t="str">
        <f t="shared" si="111"/>
        <v/>
      </c>
    </row>
    <row r="289" spans="9:60" x14ac:dyDescent="0.3">
      <c r="I289" t="str">
        <f t="shared" si="88"/>
        <v>N/A</v>
      </c>
      <c r="J289" t="str">
        <f t="shared" si="89"/>
        <v>N/A</v>
      </c>
      <c r="K289" t="str">
        <f t="shared" si="90"/>
        <v>N/A</v>
      </c>
      <c r="L289" t="str">
        <f t="shared" si="91"/>
        <v>N/A</v>
      </c>
      <c r="M289" t="str">
        <f t="shared" si="92"/>
        <v>N/A</v>
      </c>
      <c r="N289" t="str">
        <f t="shared" si="93"/>
        <v>N/A</v>
      </c>
      <c r="P289">
        <f t="shared" si="94"/>
        <v>0</v>
      </c>
      <c r="Q289" t="str">
        <f>IFERROR(J144+MATCH(P289,J289:N289,0)-1,"")</f>
        <v/>
      </c>
      <c r="R289" t="str">
        <f t="shared" si="95"/>
        <v/>
      </c>
      <c r="S289" t="str">
        <f>IFERROR(J144+MATCH(R289,J289:N289,0)-1,"")</f>
        <v/>
      </c>
      <c r="T289" t="str">
        <f t="shared" si="96"/>
        <v/>
      </c>
      <c r="U289" t="str">
        <f t="shared" si="97"/>
        <v/>
      </c>
      <c r="V289" t="str">
        <f t="shared" si="98"/>
        <v/>
      </c>
      <c r="W289" t="str">
        <f t="shared" si="99"/>
        <v/>
      </c>
      <c r="X289" t="str">
        <f t="shared" si="100"/>
        <v/>
      </c>
      <c r="Y289" t="str">
        <f t="shared" si="101"/>
        <v/>
      </c>
      <c r="Z289" t="str">
        <f t="shared" si="102"/>
        <v/>
      </c>
      <c r="AA289">
        <f t="shared" si="103"/>
        <v>0</v>
      </c>
      <c r="AB289" t="str">
        <f>IFERROR(V144+MATCH(AA289,V289:Z289,0)-1,"")</f>
        <v/>
      </c>
      <c r="AC289" t="str">
        <f t="shared" si="104"/>
        <v/>
      </c>
      <c r="AE289" t="str">
        <f>IF(ISNUMBER(MATCH("N/A",J289:N289,0)),"",IFERROR((5 * SUMPRODUCT(J144:N144,J289:N289) - PRODUCT(SUM(J144:N144),SUM(J289:N289))) / ((5 * SUM((J144^2)+(K144^2)+(L144^2)+(M144^2)+(N144^2))) - SUM(J144:N144)^2),""))</f>
        <v/>
      </c>
      <c r="AF289" t="str">
        <f>IFERROR(CORREL(J144:N144,J289:N289),"")</f>
        <v/>
      </c>
      <c r="AZ289">
        <f t="shared" si="105"/>
        <v>0</v>
      </c>
      <c r="BA289" t="str">
        <f>IF(AZ289=1,IF(Q289="","",IF(Q289=N144,"Yes","No")),"")</f>
        <v/>
      </c>
      <c r="BB289" t="str">
        <f t="shared" si="106"/>
        <v/>
      </c>
      <c r="BC289" t="str">
        <f>IF(AZ289=1,IF(S289="","",IF(S289=N144,"Yes","No")),"")</f>
        <v/>
      </c>
      <c r="BD289" t="str">
        <f t="shared" si="107"/>
        <v/>
      </c>
      <c r="BE289" t="str">
        <f t="shared" si="108"/>
        <v/>
      </c>
      <c r="BF289" t="str">
        <f t="shared" si="109"/>
        <v>No</v>
      </c>
      <c r="BG289" t="str">
        <f t="shared" si="110"/>
        <v>No</v>
      </c>
      <c r="BH289" t="str">
        <f t="shared" si="111"/>
        <v/>
      </c>
    </row>
    <row r="290" spans="9:60" x14ac:dyDescent="0.3">
      <c r="I290" t="str">
        <f t="shared" si="88"/>
        <v>N/A</v>
      </c>
      <c r="J290" t="str">
        <f t="shared" si="89"/>
        <v>N/A</v>
      </c>
      <c r="K290" t="str">
        <f t="shared" si="90"/>
        <v>N/A</v>
      </c>
      <c r="L290" t="str">
        <f t="shared" si="91"/>
        <v>N/A</v>
      </c>
      <c r="M290" t="str">
        <f t="shared" si="92"/>
        <v>N/A</v>
      </c>
      <c r="N290" t="str">
        <f t="shared" si="93"/>
        <v>N/A</v>
      </c>
      <c r="P290">
        <f t="shared" si="94"/>
        <v>0</v>
      </c>
      <c r="Q290" t="str">
        <f>IFERROR(J144+MATCH(P290,J290:N290,0)-1,"")</f>
        <v/>
      </c>
      <c r="R290" t="str">
        <f t="shared" si="95"/>
        <v/>
      </c>
      <c r="S290" t="str">
        <f>IFERROR(J144+MATCH(R290,J290:N290,0)-1,"")</f>
        <v/>
      </c>
      <c r="T290" t="str">
        <f t="shared" si="96"/>
        <v/>
      </c>
      <c r="U290" t="str">
        <f t="shared" si="97"/>
        <v/>
      </c>
      <c r="V290" t="str">
        <f t="shared" si="98"/>
        <v/>
      </c>
      <c r="W290" t="str">
        <f t="shared" si="99"/>
        <v/>
      </c>
      <c r="X290" t="str">
        <f t="shared" si="100"/>
        <v/>
      </c>
      <c r="Y290" t="str">
        <f t="shared" si="101"/>
        <v/>
      </c>
      <c r="Z290" t="str">
        <f t="shared" si="102"/>
        <v/>
      </c>
      <c r="AA290">
        <f t="shared" si="103"/>
        <v>0</v>
      </c>
      <c r="AB290" t="str">
        <f>IFERROR(V144+MATCH(AA290,V290:Z290,0)-1,"")</f>
        <v/>
      </c>
      <c r="AC290" t="str">
        <f t="shared" si="104"/>
        <v/>
      </c>
      <c r="AE290" t="str">
        <f>IF(ISNUMBER(MATCH("N/A",J290:N290,0)),"",IFERROR((5 * SUMPRODUCT(J144:N144,J290:N290) - PRODUCT(SUM(J144:N144),SUM(J290:N290))) / ((5 * SUM((J144^2)+(K144^2)+(L144^2)+(M144^2)+(N144^2))) - SUM(J144:N144)^2),""))</f>
        <v/>
      </c>
      <c r="AF290" t="str">
        <f>IFERROR(CORREL(J144:N144,J290:N290),"")</f>
        <v/>
      </c>
      <c r="AZ290">
        <f t="shared" si="105"/>
        <v>0</v>
      </c>
      <c r="BA290" t="str">
        <f>IF(AZ290=1,IF(Q290="","",IF(Q290=N144,"Yes","No")),"")</f>
        <v/>
      </c>
      <c r="BB290" t="str">
        <f t="shared" si="106"/>
        <v/>
      </c>
      <c r="BC290" t="str">
        <f>IF(AZ290=1,IF(S290="","",IF(S290=N144,"Yes","No")),"")</f>
        <v/>
      </c>
      <c r="BD290" t="str">
        <f t="shared" si="107"/>
        <v/>
      </c>
      <c r="BE290" t="str">
        <f t="shared" si="108"/>
        <v/>
      </c>
      <c r="BF290" t="str">
        <f t="shared" si="109"/>
        <v>No</v>
      </c>
      <c r="BG290" t="str">
        <f t="shared" si="110"/>
        <v>No</v>
      </c>
      <c r="BH290" t="str">
        <f t="shared" si="111"/>
        <v/>
      </c>
    </row>
    <row r="291" spans="9:60" x14ac:dyDescent="0.3">
      <c r="I291" t="str">
        <f t="shared" si="88"/>
        <v>N/A</v>
      </c>
      <c r="J291" t="str">
        <f t="shared" si="89"/>
        <v>N/A</v>
      </c>
      <c r="K291" t="str">
        <f t="shared" si="90"/>
        <v>N/A</v>
      </c>
      <c r="L291" t="str">
        <f t="shared" si="91"/>
        <v>N/A</v>
      </c>
      <c r="M291" t="str">
        <f t="shared" si="92"/>
        <v>N/A</v>
      </c>
      <c r="N291" t="str">
        <f t="shared" si="93"/>
        <v>N/A</v>
      </c>
      <c r="P291">
        <f t="shared" si="94"/>
        <v>0</v>
      </c>
      <c r="Q291" t="str">
        <f>IFERROR(J144+MATCH(P291,J291:N291,0)-1,"")</f>
        <v/>
      </c>
      <c r="R291" t="str">
        <f t="shared" si="95"/>
        <v/>
      </c>
      <c r="S291" t="str">
        <f>IFERROR(J144+MATCH(R291,J291:N291,0)-1,"")</f>
        <v/>
      </c>
      <c r="T291" t="str">
        <f t="shared" si="96"/>
        <v/>
      </c>
      <c r="U291" t="str">
        <f t="shared" si="97"/>
        <v/>
      </c>
      <c r="V291" t="str">
        <f t="shared" si="98"/>
        <v/>
      </c>
      <c r="W291" t="str">
        <f t="shared" si="99"/>
        <v/>
      </c>
      <c r="X291" t="str">
        <f t="shared" si="100"/>
        <v/>
      </c>
      <c r="Y291" t="str">
        <f t="shared" si="101"/>
        <v/>
      </c>
      <c r="Z291" t="str">
        <f t="shared" si="102"/>
        <v/>
      </c>
      <c r="AA291">
        <f t="shared" si="103"/>
        <v>0</v>
      </c>
      <c r="AB291" t="str">
        <f>IFERROR(V144+MATCH(AA291,V291:Z291,0)-1,"")</f>
        <v/>
      </c>
      <c r="AC291" t="str">
        <f t="shared" si="104"/>
        <v/>
      </c>
      <c r="AE291" t="str">
        <f>IF(ISNUMBER(MATCH("N/A",J291:N291,0)),"",IFERROR((5 * SUMPRODUCT(J144:N144,J291:N291) - PRODUCT(SUM(J144:N144),SUM(J291:N291))) / ((5 * SUM((J144^2)+(K144^2)+(L144^2)+(M144^2)+(N144^2))) - SUM(J144:N144)^2),""))</f>
        <v/>
      </c>
      <c r="AF291" t="str">
        <f>IFERROR(CORREL(J144:N144,J291:N291),"")</f>
        <v/>
      </c>
      <c r="AZ291">
        <f t="shared" si="105"/>
        <v>0</v>
      </c>
      <c r="BA291" t="str">
        <f>IF(AZ291=1,IF(Q291="","",IF(Q291=N144,"Yes","No")),"")</f>
        <v/>
      </c>
      <c r="BB291" t="str">
        <f t="shared" si="106"/>
        <v/>
      </c>
      <c r="BC291" t="str">
        <f>IF(AZ291=1,IF(S291="","",IF(S291=N144,"Yes","No")),"")</f>
        <v/>
      </c>
      <c r="BD291" t="str">
        <f t="shared" si="107"/>
        <v/>
      </c>
      <c r="BE291" t="str">
        <f t="shared" si="108"/>
        <v/>
      </c>
      <c r="BF291" t="str">
        <f t="shared" si="109"/>
        <v>No</v>
      </c>
      <c r="BG291" t="str">
        <f t="shared" si="110"/>
        <v>No</v>
      </c>
      <c r="BH291" t="str">
        <f t="shared" si="111"/>
        <v/>
      </c>
    </row>
    <row r="292" spans="9:60" x14ac:dyDescent="0.3">
      <c r="I292" t="str">
        <f t="shared" si="88"/>
        <v>N/A</v>
      </c>
      <c r="J292" t="str">
        <f t="shared" si="89"/>
        <v>N/A</v>
      </c>
      <c r="K292" t="str">
        <f t="shared" si="90"/>
        <v>N/A</v>
      </c>
      <c r="L292" t="str">
        <f t="shared" si="91"/>
        <v>N/A</v>
      </c>
      <c r="M292" t="str">
        <f t="shared" si="92"/>
        <v>N/A</v>
      </c>
      <c r="N292" t="str">
        <f t="shared" si="93"/>
        <v>N/A</v>
      </c>
      <c r="P292">
        <f t="shared" si="94"/>
        <v>0</v>
      </c>
      <c r="Q292" t="str">
        <f>IFERROR(J144+MATCH(P292,J292:N292,0)-1,"")</f>
        <v/>
      </c>
      <c r="R292" t="str">
        <f t="shared" si="95"/>
        <v/>
      </c>
      <c r="S292" t="str">
        <f>IFERROR(J144+MATCH(R292,J292:N292,0)-1,"")</f>
        <v/>
      </c>
      <c r="T292" t="str">
        <f t="shared" si="96"/>
        <v/>
      </c>
      <c r="U292" t="str">
        <f t="shared" si="97"/>
        <v/>
      </c>
      <c r="V292" t="str">
        <f t="shared" si="98"/>
        <v/>
      </c>
      <c r="W292" t="str">
        <f t="shared" si="99"/>
        <v/>
      </c>
      <c r="X292" t="str">
        <f t="shared" si="100"/>
        <v/>
      </c>
      <c r="Y292" t="str">
        <f t="shared" si="101"/>
        <v/>
      </c>
      <c r="Z292" t="str">
        <f t="shared" si="102"/>
        <v/>
      </c>
      <c r="AA292">
        <f t="shared" si="103"/>
        <v>0</v>
      </c>
      <c r="AB292" t="str">
        <f>IFERROR(V144+MATCH(AA292,V292:Z292,0)-1,"")</f>
        <v/>
      </c>
      <c r="AC292" t="str">
        <f t="shared" si="104"/>
        <v/>
      </c>
      <c r="AE292" t="str">
        <f>IF(ISNUMBER(MATCH("N/A",J292:N292,0)),"",IFERROR((5 * SUMPRODUCT(J144:N144,J292:N292) - PRODUCT(SUM(J144:N144),SUM(J292:N292))) / ((5 * SUM((J144^2)+(K144^2)+(L144^2)+(M144^2)+(N144^2))) - SUM(J144:N144)^2),""))</f>
        <v/>
      </c>
      <c r="AF292" t="str">
        <f>IFERROR(CORREL(J144:N144,J292:N292),"")</f>
        <v/>
      </c>
      <c r="AZ292">
        <f t="shared" si="105"/>
        <v>0</v>
      </c>
      <c r="BA292" t="str">
        <f>IF(AZ292=1,IF(Q292="","",IF(Q292=N144,"Yes","No")),"")</f>
        <v/>
      </c>
      <c r="BB292" t="str">
        <f t="shared" si="106"/>
        <v/>
      </c>
      <c r="BC292" t="str">
        <f>IF(AZ292=1,IF(S292="","",IF(S292=N144,"Yes","No")),"")</f>
        <v/>
      </c>
      <c r="BD292" t="str">
        <f t="shared" si="107"/>
        <v/>
      </c>
      <c r="BE292" t="str">
        <f t="shared" si="108"/>
        <v/>
      </c>
      <c r="BF292" t="str">
        <f t="shared" si="109"/>
        <v>No</v>
      </c>
      <c r="BG292" t="str">
        <f t="shared" si="110"/>
        <v>No</v>
      </c>
      <c r="BH292" t="str">
        <f t="shared" si="111"/>
        <v/>
      </c>
    </row>
    <row r="293" spans="9:60" x14ac:dyDescent="0.3">
      <c r="I293" t="str">
        <f t="shared" si="88"/>
        <v>N/A</v>
      </c>
      <c r="J293" t="str">
        <f t="shared" si="89"/>
        <v>N/A</v>
      </c>
      <c r="K293" t="str">
        <f t="shared" si="90"/>
        <v>N/A</v>
      </c>
      <c r="L293" t="str">
        <f t="shared" si="91"/>
        <v>N/A</v>
      </c>
      <c r="M293" t="str">
        <f t="shared" si="92"/>
        <v>N/A</v>
      </c>
      <c r="N293" t="str">
        <f t="shared" si="93"/>
        <v>N/A</v>
      </c>
      <c r="P293">
        <f t="shared" si="94"/>
        <v>0</v>
      </c>
      <c r="Q293" t="str">
        <f>IFERROR(J144+MATCH(P293,J293:N293,0)-1,"")</f>
        <v/>
      </c>
      <c r="R293" t="str">
        <f t="shared" si="95"/>
        <v/>
      </c>
      <c r="S293" t="str">
        <f>IFERROR(J144+MATCH(R293,J293:N293,0)-1,"")</f>
        <v/>
      </c>
      <c r="T293" t="str">
        <f t="shared" si="96"/>
        <v/>
      </c>
      <c r="U293" t="str">
        <f t="shared" si="97"/>
        <v/>
      </c>
      <c r="V293" t="str">
        <f t="shared" si="98"/>
        <v/>
      </c>
      <c r="W293" t="str">
        <f t="shared" si="99"/>
        <v/>
      </c>
      <c r="X293" t="str">
        <f t="shared" si="100"/>
        <v/>
      </c>
      <c r="Y293" t="str">
        <f t="shared" si="101"/>
        <v/>
      </c>
      <c r="Z293" t="str">
        <f t="shared" si="102"/>
        <v/>
      </c>
      <c r="AA293">
        <f t="shared" si="103"/>
        <v>0</v>
      </c>
      <c r="AB293" t="str">
        <f>IFERROR(V144+MATCH(AA293,V293:Z293,0)-1,"")</f>
        <v/>
      </c>
      <c r="AC293" t="str">
        <f t="shared" si="104"/>
        <v/>
      </c>
      <c r="AE293" t="str">
        <f>IF(ISNUMBER(MATCH("N/A",J293:N293,0)),"",IFERROR((5 * SUMPRODUCT(J144:N144,J293:N293) - PRODUCT(SUM(J144:N144),SUM(J293:N293))) / ((5 * SUM((J144^2)+(K144^2)+(L144^2)+(M144^2)+(N144^2))) - SUM(J144:N144)^2),""))</f>
        <v/>
      </c>
      <c r="AF293" t="str">
        <f>IFERROR(CORREL(J144:N144,J293:N293),"")</f>
        <v/>
      </c>
      <c r="AZ293">
        <f t="shared" si="105"/>
        <v>0</v>
      </c>
      <c r="BA293" t="str">
        <f>IF(AZ293=1,IF(Q293="","",IF(Q293=N144,"Yes","No")),"")</f>
        <v/>
      </c>
      <c r="BB293" t="str">
        <f t="shared" si="106"/>
        <v/>
      </c>
      <c r="BC293" t="str">
        <f>IF(AZ293=1,IF(S293="","",IF(S293=N144,"Yes","No")),"")</f>
        <v/>
      </c>
      <c r="BD293" t="str">
        <f t="shared" si="107"/>
        <v/>
      </c>
      <c r="BE293" t="str">
        <f t="shared" si="108"/>
        <v/>
      </c>
      <c r="BF293" t="str">
        <f t="shared" si="109"/>
        <v>No</v>
      </c>
      <c r="BG293" t="str">
        <f t="shared" si="110"/>
        <v>No</v>
      </c>
      <c r="BH293" t="str">
        <f t="shared" si="111"/>
        <v/>
      </c>
    </row>
    <row r="294" spans="9:60" x14ac:dyDescent="0.3">
      <c r="I294" t="str">
        <f t="shared" si="88"/>
        <v>N/A</v>
      </c>
      <c r="J294" t="str">
        <f t="shared" si="89"/>
        <v>N/A</v>
      </c>
      <c r="K294" t="str">
        <f t="shared" si="90"/>
        <v>N/A</v>
      </c>
      <c r="L294" t="str">
        <f t="shared" si="91"/>
        <v>N/A</v>
      </c>
      <c r="M294" t="str">
        <f t="shared" si="92"/>
        <v>N/A</v>
      </c>
      <c r="N294" t="str">
        <f t="shared" si="93"/>
        <v>N/A</v>
      </c>
      <c r="P294">
        <f t="shared" si="94"/>
        <v>0</v>
      </c>
      <c r="Q294" t="str">
        <f>IFERROR(J144+MATCH(P294,J294:N294,0)-1,"")</f>
        <v/>
      </c>
      <c r="R294" t="str">
        <f t="shared" si="95"/>
        <v/>
      </c>
      <c r="S294" t="str">
        <f>IFERROR(J144+MATCH(R294,J294:N294,0)-1,"")</f>
        <v/>
      </c>
      <c r="T294" t="str">
        <f t="shared" si="96"/>
        <v/>
      </c>
      <c r="U294" t="str">
        <f t="shared" si="97"/>
        <v/>
      </c>
      <c r="V294" t="str">
        <f t="shared" si="98"/>
        <v/>
      </c>
      <c r="W294" t="str">
        <f t="shared" si="99"/>
        <v/>
      </c>
      <c r="X294" t="str">
        <f t="shared" si="100"/>
        <v/>
      </c>
      <c r="Y294" t="str">
        <f t="shared" si="101"/>
        <v/>
      </c>
      <c r="Z294" t="str">
        <f t="shared" si="102"/>
        <v/>
      </c>
      <c r="AA294">
        <f t="shared" si="103"/>
        <v>0</v>
      </c>
      <c r="AB294" t="str">
        <f>IFERROR(V144+MATCH(AA294,V294:Z294,0)-1,"")</f>
        <v/>
      </c>
      <c r="AC294" t="str">
        <f t="shared" si="104"/>
        <v/>
      </c>
      <c r="AE294" t="str">
        <f>IF(ISNUMBER(MATCH("N/A",J294:N294,0)),"",IFERROR((5 * SUMPRODUCT(J144:N144,J294:N294) - PRODUCT(SUM(J144:N144),SUM(J294:N294))) / ((5 * SUM((J144^2)+(K144^2)+(L144^2)+(M144^2)+(N144^2))) - SUM(J144:N144)^2),""))</f>
        <v/>
      </c>
      <c r="AF294" t="str">
        <f>IFERROR(CORREL(J144:N144,J294:N294),"")</f>
        <v/>
      </c>
      <c r="AZ294">
        <f t="shared" si="105"/>
        <v>0</v>
      </c>
      <c r="BA294" t="str">
        <f>IF(AZ294=1,IF(Q294="","",IF(Q294=N144,"Yes","No")),"")</f>
        <v/>
      </c>
      <c r="BB294" t="str">
        <f t="shared" si="106"/>
        <v/>
      </c>
      <c r="BC294" t="str">
        <f>IF(AZ294=1,IF(S294="","",IF(S294=N144,"Yes","No")),"")</f>
        <v/>
      </c>
      <c r="BD294" t="str">
        <f t="shared" si="107"/>
        <v/>
      </c>
      <c r="BE294" t="str">
        <f t="shared" si="108"/>
        <v/>
      </c>
      <c r="BF294" t="str">
        <f t="shared" si="109"/>
        <v>No</v>
      </c>
      <c r="BG294" t="str">
        <f t="shared" si="110"/>
        <v>No</v>
      </c>
      <c r="BH294" t="str">
        <f t="shared" si="111"/>
        <v/>
      </c>
    </row>
    <row r="295" spans="9:60" x14ac:dyDescent="0.3">
      <c r="I295" t="str">
        <f t="shared" si="88"/>
        <v>N/A</v>
      </c>
      <c r="J295" t="str">
        <f t="shared" si="89"/>
        <v>N/A</v>
      </c>
      <c r="K295" t="str">
        <f t="shared" si="90"/>
        <v>N/A</v>
      </c>
      <c r="L295" t="str">
        <f t="shared" si="91"/>
        <v>N/A</v>
      </c>
      <c r="M295" t="str">
        <f t="shared" si="92"/>
        <v>N/A</v>
      </c>
      <c r="N295" t="str">
        <f t="shared" si="93"/>
        <v>N/A</v>
      </c>
      <c r="P295">
        <f t="shared" si="94"/>
        <v>0</v>
      </c>
      <c r="Q295" t="str">
        <f>IFERROR(J144+MATCH(P295,J295:N295,0)-1,"")</f>
        <v/>
      </c>
      <c r="R295" t="str">
        <f t="shared" si="95"/>
        <v/>
      </c>
      <c r="S295" t="str">
        <f>IFERROR(J144+MATCH(R295,J295:N295,0)-1,"")</f>
        <v/>
      </c>
      <c r="T295" t="str">
        <f t="shared" si="96"/>
        <v/>
      </c>
      <c r="U295" t="str">
        <f t="shared" si="97"/>
        <v/>
      </c>
      <c r="V295" t="str">
        <f t="shared" si="98"/>
        <v/>
      </c>
      <c r="W295" t="str">
        <f t="shared" si="99"/>
        <v/>
      </c>
      <c r="X295" t="str">
        <f t="shared" si="100"/>
        <v/>
      </c>
      <c r="Y295" t="str">
        <f t="shared" si="101"/>
        <v/>
      </c>
      <c r="Z295" t="str">
        <f t="shared" si="102"/>
        <v/>
      </c>
      <c r="AA295">
        <f t="shared" si="103"/>
        <v>0</v>
      </c>
      <c r="AB295" t="str">
        <f>IFERROR(V144+MATCH(AA295,V295:Z295,0)-1,"")</f>
        <v/>
      </c>
      <c r="AC295" t="str">
        <f t="shared" si="104"/>
        <v/>
      </c>
      <c r="AE295" t="str">
        <f>IF(ISNUMBER(MATCH("N/A",J295:N295,0)),"",IFERROR((5 * SUMPRODUCT(J144:N144,J295:N295) - PRODUCT(SUM(J144:N144),SUM(J295:N295))) / ((5 * SUM((J144^2)+(K144^2)+(L144^2)+(M144^2)+(N144^2))) - SUM(J144:N144)^2),""))</f>
        <v/>
      </c>
      <c r="AF295" t="str">
        <f>IFERROR(CORREL(J144:N144,J295:N295),"")</f>
        <v/>
      </c>
      <c r="AZ295">
        <f t="shared" si="105"/>
        <v>0</v>
      </c>
      <c r="BA295" t="str">
        <f>IF(AZ295=1,IF(Q295="","",IF(Q295=N144,"Yes","No")),"")</f>
        <v/>
      </c>
      <c r="BB295" t="str">
        <f t="shared" si="106"/>
        <v/>
      </c>
      <c r="BC295" t="str">
        <f>IF(AZ295=1,IF(S295="","",IF(S295=N144,"Yes","No")),"")</f>
        <v/>
      </c>
      <c r="BD295" t="str">
        <f t="shared" si="107"/>
        <v/>
      </c>
      <c r="BE295" t="str">
        <f t="shared" si="108"/>
        <v/>
      </c>
      <c r="BF295" t="str">
        <f t="shared" si="109"/>
        <v>No</v>
      </c>
      <c r="BG295" t="str">
        <f t="shared" si="110"/>
        <v>No</v>
      </c>
      <c r="BH295" t="str">
        <f t="shared" si="111"/>
        <v/>
      </c>
    </row>
    <row r="296" spans="9:60" x14ac:dyDescent="0.3">
      <c r="I296" t="str">
        <f t="shared" si="88"/>
        <v>N/A</v>
      </c>
      <c r="J296" t="str">
        <f t="shared" si="89"/>
        <v>N/A</v>
      </c>
      <c r="K296" t="str">
        <f t="shared" si="90"/>
        <v>N/A</v>
      </c>
      <c r="L296" t="str">
        <f t="shared" si="91"/>
        <v>N/A</v>
      </c>
      <c r="M296" t="str">
        <f t="shared" si="92"/>
        <v>N/A</v>
      </c>
      <c r="N296" t="str">
        <f t="shared" si="93"/>
        <v>N/A</v>
      </c>
      <c r="P296">
        <f t="shared" si="94"/>
        <v>0</v>
      </c>
      <c r="Q296" t="str">
        <f>IFERROR(J144+MATCH(P296,J296:N296,0)-1,"")</f>
        <v/>
      </c>
      <c r="R296" t="str">
        <f t="shared" si="95"/>
        <v/>
      </c>
      <c r="S296" t="str">
        <f>IFERROR(J144+MATCH(R296,J296:N296,0)-1,"")</f>
        <v/>
      </c>
      <c r="T296" t="str">
        <f t="shared" si="96"/>
        <v/>
      </c>
      <c r="U296" t="str">
        <f t="shared" si="97"/>
        <v/>
      </c>
      <c r="V296" t="str">
        <f t="shared" si="98"/>
        <v/>
      </c>
      <c r="W296" t="str">
        <f t="shared" si="99"/>
        <v/>
      </c>
      <c r="X296" t="str">
        <f t="shared" si="100"/>
        <v/>
      </c>
      <c r="Y296" t="str">
        <f t="shared" si="101"/>
        <v/>
      </c>
      <c r="Z296" t="str">
        <f t="shared" si="102"/>
        <v/>
      </c>
      <c r="AA296">
        <f t="shared" si="103"/>
        <v>0</v>
      </c>
      <c r="AB296" t="str">
        <f>IFERROR(V144+MATCH(AA296,V296:Z296,0)-1,"")</f>
        <v/>
      </c>
      <c r="AC296" t="str">
        <f t="shared" si="104"/>
        <v/>
      </c>
      <c r="AE296" t="str">
        <f>IF(ISNUMBER(MATCH("N/A",J296:N296,0)),"",IFERROR((5 * SUMPRODUCT(J144:N144,J296:N296) - PRODUCT(SUM(J144:N144),SUM(J296:N296))) / ((5 * SUM((J144^2)+(K144^2)+(L144^2)+(M144^2)+(N144^2))) - SUM(J144:N144)^2),""))</f>
        <v/>
      </c>
      <c r="AF296" t="str">
        <f>IFERROR(CORREL(J144:N144,J296:N296),"")</f>
        <v/>
      </c>
      <c r="AZ296">
        <f t="shared" si="105"/>
        <v>0</v>
      </c>
      <c r="BA296" t="str">
        <f>IF(AZ296=1,IF(Q296="","",IF(Q296=N144,"Yes","No")),"")</f>
        <v/>
      </c>
      <c r="BB296" t="str">
        <f t="shared" si="106"/>
        <v/>
      </c>
      <c r="BC296" t="str">
        <f>IF(AZ296=1,IF(S296="","",IF(S296=N144,"Yes","No")),"")</f>
        <v/>
      </c>
      <c r="BD296" t="str">
        <f t="shared" si="107"/>
        <v/>
      </c>
      <c r="BE296" t="str">
        <f t="shared" si="108"/>
        <v/>
      </c>
      <c r="BF296" t="str">
        <f t="shared" si="109"/>
        <v>No</v>
      </c>
      <c r="BG296" t="str">
        <f t="shared" si="110"/>
        <v>No</v>
      </c>
      <c r="BH296" t="str">
        <f t="shared" si="111"/>
        <v/>
      </c>
    </row>
    <row r="297" spans="9:60" x14ac:dyDescent="0.3">
      <c r="I297" t="str">
        <f t="shared" si="88"/>
        <v>N/A</v>
      </c>
      <c r="J297" t="str">
        <f t="shared" si="89"/>
        <v>N/A</v>
      </c>
      <c r="K297" t="str">
        <f t="shared" si="90"/>
        <v>N/A</v>
      </c>
      <c r="L297" t="str">
        <f t="shared" si="91"/>
        <v>N/A</v>
      </c>
      <c r="M297" t="str">
        <f t="shared" si="92"/>
        <v>N/A</v>
      </c>
      <c r="N297" t="str">
        <f t="shared" si="93"/>
        <v>N/A</v>
      </c>
      <c r="P297">
        <f t="shared" si="94"/>
        <v>0</v>
      </c>
      <c r="Q297" t="str">
        <f>IFERROR(J144+MATCH(P297,J297:N297,0)-1,"")</f>
        <v/>
      </c>
      <c r="R297" t="str">
        <f t="shared" si="95"/>
        <v/>
      </c>
      <c r="S297" t="str">
        <f>IFERROR(J144+MATCH(R297,J297:N297,0)-1,"")</f>
        <v/>
      </c>
      <c r="T297" t="str">
        <f t="shared" si="96"/>
        <v/>
      </c>
      <c r="U297" t="str">
        <f t="shared" si="97"/>
        <v/>
      </c>
      <c r="V297" t="str">
        <f t="shared" si="98"/>
        <v/>
      </c>
      <c r="W297" t="str">
        <f t="shared" si="99"/>
        <v/>
      </c>
      <c r="X297" t="str">
        <f t="shared" si="100"/>
        <v/>
      </c>
      <c r="Y297" t="str">
        <f t="shared" si="101"/>
        <v/>
      </c>
      <c r="Z297" t="str">
        <f t="shared" si="102"/>
        <v/>
      </c>
      <c r="AA297">
        <f t="shared" si="103"/>
        <v>0</v>
      </c>
      <c r="AB297" t="str">
        <f>IFERROR(V144+MATCH(AA297,V297:Z297,0)-1,"")</f>
        <v/>
      </c>
      <c r="AC297" t="str">
        <f t="shared" si="104"/>
        <v/>
      </c>
      <c r="AE297" t="str">
        <f>IF(ISNUMBER(MATCH("N/A",J297:N297,0)),"",IFERROR((5 * SUMPRODUCT(J144:N144,J297:N297) - PRODUCT(SUM(J144:N144),SUM(J297:N297))) / ((5 * SUM((J144^2)+(K144^2)+(L144^2)+(M144^2)+(N144^2))) - SUM(J144:N144)^2),""))</f>
        <v/>
      </c>
      <c r="AF297" t="str">
        <f>IFERROR(CORREL(J144:N144,J297:N297),"")</f>
        <v/>
      </c>
      <c r="AZ297">
        <f t="shared" si="105"/>
        <v>0</v>
      </c>
      <c r="BA297" t="str">
        <f>IF(AZ297=1,IF(Q297="","",IF(Q297=N144,"Yes","No")),"")</f>
        <v/>
      </c>
      <c r="BB297" t="str">
        <f t="shared" si="106"/>
        <v/>
      </c>
      <c r="BC297" t="str">
        <f>IF(AZ297=1,IF(S297="","",IF(S297=N144,"Yes","No")),"")</f>
        <v/>
      </c>
      <c r="BD297" t="str">
        <f t="shared" si="107"/>
        <v/>
      </c>
      <c r="BE297" t="str">
        <f t="shared" si="108"/>
        <v/>
      </c>
      <c r="BF297" t="str">
        <f t="shared" si="109"/>
        <v>No</v>
      </c>
      <c r="BG297" t="str">
        <f t="shared" si="110"/>
        <v>No</v>
      </c>
      <c r="BH297" t="str">
        <f t="shared" si="111"/>
        <v/>
      </c>
    </row>
    <row r="298" spans="9:60" x14ac:dyDescent="0.3">
      <c r="I298" t="str">
        <f t="shared" si="88"/>
        <v>N/A</v>
      </c>
      <c r="J298" t="str">
        <f t="shared" si="89"/>
        <v>N/A</v>
      </c>
      <c r="K298" t="str">
        <f t="shared" si="90"/>
        <v>N/A</v>
      </c>
      <c r="L298" t="str">
        <f t="shared" si="91"/>
        <v>N/A</v>
      </c>
      <c r="M298" t="str">
        <f t="shared" si="92"/>
        <v>N/A</v>
      </c>
      <c r="N298" t="str">
        <f t="shared" si="93"/>
        <v>N/A</v>
      </c>
      <c r="P298">
        <f t="shared" si="94"/>
        <v>0</v>
      </c>
      <c r="Q298" t="str">
        <f>IFERROR(J144+MATCH(P298,J298:N298,0)-1,"")</f>
        <v/>
      </c>
      <c r="R298" t="str">
        <f t="shared" si="95"/>
        <v/>
      </c>
      <c r="S298" t="str">
        <f>IFERROR(J144+MATCH(R298,J298:N298,0)-1,"")</f>
        <v/>
      </c>
      <c r="T298" t="str">
        <f t="shared" si="96"/>
        <v/>
      </c>
      <c r="U298" t="str">
        <f t="shared" si="97"/>
        <v/>
      </c>
      <c r="V298" t="str">
        <f t="shared" si="98"/>
        <v/>
      </c>
      <c r="W298" t="str">
        <f t="shared" si="99"/>
        <v/>
      </c>
      <c r="X298" t="str">
        <f t="shared" si="100"/>
        <v/>
      </c>
      <c r="Y298" t="str">
        <f t="shared" si="101"/>
        <v/>
      </c>
      <c r="Z298" t="str">
        <f t="shared" si="102"/>
        <v/>
      </c>
      <c r="AA298">
        <f t="shared" si="103"/>
        <v>0</v>
      </c>
      <c r="AB298" t="str">
        <f>IFERROR(V144+MATCH(AA298,V298:Z298,0)-1,"")</f>
        <v/>
      </c>
      <c r="AC298" t="str">
        <f t="shared" si="104"/>
        <v/>
      </c>
      <c r="AE298" t="str">
        <f>IF(ISNUMBER(MATCH("N/A",J298:N298,0)),"",IFERROR((5 * SUMPRODUCT(J144:N144,J298:N298) - PRODUCT(SUM(J144:N144),SUM(J298:N298))) / ((5 * SUM((J144^2)+(K144^2)+(L144^2)+(M144^2)+(N144^2))) - SUM(J144:N144)^2),""))</f>
        <v/>
      </c>
      <c r="AF298" t="str">
        <f>IFERROR(CORREL(J144:N144,J298:N298),"")</f>
        <v/>
      </c>
      <c r="AZ298">
        <f t="shared" si="105"/>
        <v>0</v>
      </c>
      <c r="BA298" t="str">
        <f>IF(AZ298=1,IF(Q298="","",IF(Q298=N144,"Yes","No")),"")</f>
        <v/>
      </c>
      <c r="BB298" t="str">
        <f t="shared" si="106"/>
        <v/>
      </c>
      <c r="BC298" t="str">
        <f>IF(AZ298=1,IF(S298="","",IF(S298=N144,"Yes","No")),"")</f>
        <v/>
      </c>
      <c r="BD298" t="str">
        <f t="shared" si="107"/>
        <v/>
      </c>
      <c r="BE298" t="str">
        <f t="shared" si="108"/>
        <v/>
      </c>
      <c r="BF298" t="str">
        <f t="shared" si="109"/>
        <v>No</v>
      </c>
      <c r="BG298" t="str">
        <f t="shared" si="110"/>
        <v>No</v>
      </c>
      <c r="BH298" t="str">
        <f t="shared" si="111"/>
        <v/>
      </c>
    </row>
    <row r="299" spans="9:60" x14ac:dyDescent="0.3">
      <c r="I299" t="str">
        <f t="shared" si="88"/>
        <v>N/A</v>
      </c>
      <c r="J299" t="str">
        <f t="shared" si="89"/>
        <v>N/A</v>
      </c>
      <c r="K299" t="str">
        <f t="shared" si="90"/>
        <v>N/A</v>
      </c>
      <c r="L299" t="str">
        <f t="shared" si="91"/>
        <v>N/A</v>
      </c>
      <c r="M299" t="str">
        <f t="shared" si="92"/>
        <v>N/A</v>
      </c>
      <c r="N299" t="str">
        <f t="shared" si="93"/>
        <v>N/A</v>
      </c>
      <c r="P299">
        <f t="shared" si="94"/>
        <v>0</v>
      </c>
      <c r="Q299" t="str">
        <f>IFERROR(J144+MATCH(P299,J299:N299,0)-1,"")</f>
        <v/>
      </c>
      <c r="R299" t="str">
        <f t="shared" si="95"/>
        <v/>
      </c>
      <c r="S299" t="str">
        <f>IFERROR(J144+MATCH(R299,J299:N299,0)-1,"")</f>
        <v/>
      </c>
      <c r="T299" t="str">
        <f t="shared" si="96"/>
        <v/>
      </c>
      <c r="U299" t="str">
        <f t="shared" si="97"/>
        <v/>
      </c>
      <c r="V299" t="str">
        <f t="shared" si="98"/>
        <v/>
      </c>
      <c r="W299" t="str">
        <f t="shared" si="99"/>
        <v/>
      </c>
      <c r="X299" t="str">
        <f t="shared" si="100"/>
        <v/>
      </c>
      <c r="Y299" t="str">
        <f t="shared" si="101"/>
        <v/>
      </c>
      <c r="Z299" t="str">
        <f t="shared" si="102"/>
        <v/>
      </c>
      <c r="AA299">
        <f t="shared" si="103"/>
        <v>0</v>
      </c>
      <c r="AB299" t="str">
        <f>IFERROR(V144+MATCH(AA299,V299:Z299,0)-1,"")</f>
        <v/>
      </c>
      <c r="AC299" t="str">
        <f t="shared" si="104"/>
        <v/>
      </c>
      <c r="AE299" t="str">
        <f>IF(ISNUMBER(MATCH("N/A",J299:N299,0)),"",IFERROR((5 * SUMPRODUCT(J144:N144,J299:N299) - PRODUCT(SUM(J144:N144),SUM(J299:N299))) / ((5 * SUM((J144^2)+(K144^2)+(L144^2)+(M144^2)+(N144^2))) - SUM(J144:N144)^2),""))</f>
        <v/>
      </c>
      <c r="AF299" t="str">
        <f>IFERROR(CORREL(J144:N144,J299:N299),"")</f>
        <v/>
      </c>
      <c r="AZ299">
        <f t="shared" si="105"/>
        <v>0</v>
      </c>
      <c r="BA299" t="str">
        <f>IF(AZ299=1,IF(Q299="","",IF(Q299=N144,"Yes","No")),"")</f>
        <v/>
      </c>
      <c r="BB299" t="str">
        <f t="shared" si="106"/>
        <v/>
      </c>
      <c r="BC299" t="str">
        <f>IF(AZ299=1,IF(S299="","",IF(S299=N144,"Yes","No")),"")</f>
        <v/>
      </c>
      <c r="BD299" t="str">
        <f t="shared" si="107"/>
        <v/>
      </c>
      <c r="BE299" t="str">
        <f t="shared" si="108"/>
        <v/>
      </c>
      <c r="BF299" t="str">
        <f t="shared" si="109"/>
        <v>No</v>
      </c>
      <c r="BG299" t="str">
        <f t="shared" si="110"/>
        <v>No</v>
      </c>
      <c r="BH299" t="str">
        <f t="shared" si="111"/>
        <v/>
      </c>
    </row>
    <row r="300" spans="9:60" x14ac:dyDescent="0.3">
      <c r="I300" t="str">
        <f t="shared" si="88"/>
        <v>N/A</v>
      </c>
      <c r="J300" t="str">
        <f t="shared" si="89"/>
        <v>N/A</v>
      </c>
      <c r="K300" t="str">
        <f t="shared" si="90"/>
        <v>N/A</v>
      </c>
      <c r="L300" t="str">
        <f t="shared" si="91"/>
        <v>N/A</v>
      </c>
      <c r="M300" t="str">
        <f t="shared" si="92"/>
        <v>N/A</v>
      </c>
      <c r="N300" t="str">
        <f t="shared" si="93"/>
        <v>N/A</v>
      </c>
      <c r="P300">
        <f t="shared" si="94"/>
        <v>0</v>
      </c>
      <c r="Q300" t="str">
        <f>IFERROR(J144+MATCH(P300,J300:N300,0)-1,"")</f>
        <v/>
      </c>
      <c r="R300" t="str">
        <f t="shared" si="95"/>
        <v/>
      </c>
      <c r="S300" t="str">
        <f>IFERROR(J144+MATCH(R300,J300:N300,0)-1,"")</f>
        <v/>
      </c>
      <c r="T300" t="str">
        <f t="shared" si="96"/>
        <v/>
      </c>
      <c r="U300" t="str">
        <f t="shared" si="97"/>
        <v/>
      </c>
      <c r="V300" t="str">
        <f t="shared" si="98"/>
        <v/>
      </c>
      <c r="W300" t="str">
        <f t="shared" si="99"/>
        <v/>
      </c>
      <c r="X300" t="str">
        <f t="shared" si="100"/>
        <v/>
      </c>
      <c r="Y300" t="str">
        <f t="shared" si="101"/>
        <v/>
      </c>
      <c r="Z300" t="str">
        <f t="shared" si="102"/>
        <v/>
      </c>
      <c r="AA300">
        <f t="shared" si="103"/>
        <v>0</v>
      </c>
      <c r="AB300" t="str">
        <f>IFERROR(V144+MATCH(AA300,V300:Z300,0)-1,"")</f>
        <v/>
      </c>
      <c r="AC300" t="str">
        <f t="shared" si="104"/>
        <v/>
      </c>
      <c r="AE300" t="str">
        <f>IF(ISNUMBER(MATCH("N/A",J300:N300,0)),"",IFERROR((5 * SUMPRODUCT(J144:N144,J300:N300) - PRODUCT(SUM(J144:N144),SUM(J300:N300))) / ((5 * SUM((J144^2)+(K144^2)+(L144^2)+(M144^2)+(N144^2))) - SUM(J144:N144)^2),""))</f>
        <v/>
      </c>
      <c r="AF300" t="str">
        <f>IFERROR(CORREL(J144:N144,J300:N300),"")</f>
        <v/>
      </c>
      <c r="AZ300">
        <f t="shared" si="105"/>
        <v>0</v>
      </c>
      <c r="BA300" t="str">
        <f>IF(AZ300=1,IF(Q300="","",IF(Q300=N144,"Yes","No")),"")</f>
        <v/>
      </c>
      <c r="BB300" t="str">
        <f t="shared" si="106"/>
        <v/>
      </c>
      <c r="BC300" t="str">
        <f>IF(AZ300=1,IF(S300="","",IF(S300=N144,"Yes","No")),"")</f>
        <v/>
      </c>
      <c r="BD300" t="str">
        <f t="shared" si="107"/>
        <v/>
      </c>
      <c r="BE300" t="str">
        <f t="shared" si="108"/>
        <v/>
      </c>
      <c r="BF300" t="str">
        <f t="shared" si="109"/>
        <v>No</v>
      </c>
      <c r="BG300" t="str">
        <f t="shared" si="110"/>
        <v>No</v>
      </c>
      <c r="BH300" t="str">
        <f t="shared" si="111"/>
        <v/>
      </c>
    </row>
    <row r="301" spans="9:60" x14ac:dyDescent="0.3">
      <c r="I301" t="str">
        <f t="shared" si="88"/>
        <v>N/A</v>
      </c>
      <c r="J301" t="str">
        <f t="shared" si="89"/>
        <v>N/A</v>
      </c>
      <c r="K301" t="str">
        <f t="shared" si="90"/>
        <v>N/A</v>
      </c>
      <c r="L301" t="str">
        <f t="shared" si="91"/>
        <v>N/A</v>
      </c>
      <c r="M301" t="str">
        <f t="shared" si="92"/>
        <v>N/A</v>
      </c>
      <c r="N301" t="str">
        <f t="shared" si="93"/>
        <v>N/A</v>
      </c>
      <c r="P301">
        <f t="shared" si="94"/>
        <v>0</v>
      </c>
      <c r="Q301" t="str">
        <f>IFERROR(J144+MATCH(P301,J301:N301,0)-1,"")</f>
        <v/>
      </c>
      <c r="R301" t="str">
        <f t="shared" si="95"/>
        <v/>
      </c>
      <c r="S301" t="str">
        <f>IFERROR(J144+MATCH(R301,J301:N301,0)-1,"")</f>
        <v/>
      </c>
      <c r="T301" t="str">
        <f t="shared" si="96"/>
        <v/>
      </c>
      <c r="U301" t="str">
        <f t="shared" si="97"/>
        <v/>
      </c>
      <c r="V301" t="str">
        <f t="shared" si="98"/>
        <v/>
      </c>
      <c r="W301" t="str">
        <f t="shared" si="99"/>
        <v/>
      </c>
      <c r="X301" t="str">
        <f t="shared" si="100"/>
        <v/>
      </c>
      <c r="Y301" t="str">
        <f t="shared" si="101"/>
        <v/>
      </c>
      <c r="Z301" t="str">
        <f t="shared" si="102"/>
        <v/>
      </c>
      <c r="AA301">
        <f t="shared" si="103"/>
        <v>0</v>
      </c>
      <c r="AB301" t="str">
        <f>IFERROR(V144+MATCH(AA301,V301:Z301,0)-1,"")</f>
        <v/>
      </c>
      <c r="AC301" t="str">
        <f t="shared" si="104"/>
        <v/>
      </c>
      <c r="AE301" t="str">
        <f>IF(ISNUMBER(MATCH("N/A",J301:N301,0)),"",IFERROR((5 * SUMPRODUCT(J144:N144,J301:N301) - PRODUCT(SUM(J144:N144),SUM(J301:N301))) / ((5 * SUM((J144^2)+(K144^2)+(L144^2)+(M144^2)+(N144^2))) - SUM(J144:N144)^2),""))</f>
        <v/>
      </c>
      <c r="AF301" t="str">
        <f>IFERROR(CORREL(J144:N144,J301:N301),"")</f>
        <v/>
      </c>
      <c r="AZ301">
        <f t="shared" si="105"/>
        <v>0</v>
      </c>
      <c r="BA301" t="str">
        <f>IF(AZ301=1,IF(Q301="","",IF(Q301=N144,"Yes","No")),"")</f>
        <v/>
      </c>
      <c r="BB301" t="str">
        <f t="shared" si="106"/>
        <v/>
      </c>
      <c r="BC301" t="str">
        <f>IF(AZ301=1,IF(S301="","",IF(S301=N144,"Yes","No")),"")</f>
        <v/>
      </c>
      <c r="BD301" t="str">
        <f t="shared" si="107"/>
        <v/>
      </c>
      <c r="BE301" t="str">
        <f t="shared" si="108"/>
        <v/>
      </c>
      <c r="BF301" t="str">
        <f t="shared" si="109"/>
        <v>No</v>
      </c>
      <c r="BG301" t="str">
        <f t="shared" si="110"/>
        <v>No</v>
      </c>
      <c r="BH301" t="str">
        <f t="shared" si="111"/>
        <v/>
      </c>
    </row>
    <row r="302" spans="9:60" x14ac:dyDescent="0.3">
      <c r="I302" t="str">
        <f t="shared" si="88"/>
        <v>N/A</v>
      </c>
      <c r="J302" t="str">
        <f t="shared" si="89"/>
        <v>N/A</v>
      </c>
      <c r="K302" t="str">
        <f t="shared" si="90"/>
        <v>N/A</v>
      </c>
      <c r="L302" t="str">
        <f t="shared" si="91"/>
        <v>N/A</v>
      </c>
      <c r="M302" t="str">
        <f t="shared" si="92"/>
        <v>N/A</v>
      </c>
      <c r="N302" t="str">
        <f t="shared" si="93"/>
        <v>N/A</v>
      </c>
      <c r="P302">
        <f t="shared" si="94"/>
        <v>0</v>
      </c>
      <c r="Q302" t="str">
        <f>IFERROR(J144+MATCH(P302,J302:N302,0)-1,"")</f>
        <v/>
      </c>
      <c r="R302" t="str">
        <f t="shared" si="95"/>
        <v/>
      </c>
      <c r="S302" t="str">
        <f>IFERROR(J144+MATCH(R302,J302:N302,0)-1,"")</f>
        <v/>
      </c>
      <c r="T302" t="str">
        <f t="shared" si="96"/>
        <v/>
      </c>
      <c r="U302" t="str">
        <f t="shared" si="97"/>
        <v/>
      </c>
      <c r="V302" t="str">
        <f t="shared" si="98"/>
        <v/>
      </c>
      <c r="W302" t="str">
        <f t="shared" si="99"/>
        <v/>
      </c>
      <c r="X302" t="str">
        <f t="shared" si="100"/>
        <v/>
      </c>
      <c r="Y302" t="str">
        <f t="shared" si="101"/>
        <v/>
      </c>
      <c r="Z302" t="str">
        <f t="shared" si="102"/>
        <v/>
      </c>
      <c r="AA302">
        <f t="shared" si="103"/>
        <v>0</v>
      </c>
      <c r="AB302" t="str">
        <f>IFERROR(V144+MATCH(AA302,V302:Z302,0)-1,"")</f>
        <v/>
      </c>
      <c r="AC302" t="str">
        <f t="shared" si="104"/>
        <v/>
      </c>
      <c r="AE302" t="str">
        <f>IF(ISNUMBER(MATCH("N/A",J302:N302,0)),"",IFERROR((5 * SUMPRODUCT(J144:N144,J302:N302) - PRODUCT(SUM(J144:N144),SUM(J302:N302))) / ((5 * SUM((J144^2)+(K144^2)+(L144^2)+(M144^2)+(N144^2))) - SUM(J144:N144)^2),""))</f>
        <v/>
      </c>
      <c r="AF302" t="str">
        <f>IFERROR(CORREL(J144:N144,J302:N302),"")</f>
        <v/>
      </c>
      <c r="AZ302">
        <f t="shared" si="105"/>
        <v>0</v>
      </c>
      <c r="BA302" t="str">
        <f>IF(AZ302=1,IF(Q302="","",IF(Q302=N144,"Yes","No")),"")</f>
        <v/>
      </c>
      <c r="BB302" t="str">
        <f t="shared" si="106"/>
        <v/>
      </c>
      <c r="BC302" t="str">
        <f>IF(AZ302=1,IF(S302="","",IF(S302=N144,"Yes","No")),"")</f>
        <v/>
      </c>
      <c r="BD302" t="str">
        <f t="shared" si="107"/>
        <v/>
      </c>
      <c r="BE302" t="str">
        <f t="shared" si="108"/>
        <v/>
      </c>
      <c r="BF302" t="str">
        <f t="shared" si="109"/>
        <v>No</v>
      </c>
      <c r="BG302" t="str">
        <f t="shared" si="110"/>
        <v>No</v>
      </c>
      <c r="BH302" t="str">
        <f t="shared" si="111"/>
        <v/>
      </c>
    </row>
    <row r="303" spans="9:60" x14ac:dyDescent="0.3">
      <c r="I303" t="str">
        <f t="shared" si="88"/>
        <v>N/A</v>
      </c>
      <c r="J303" t="str">
        <f t="shared" si="89"/>
        <v>N/A</v>
      </c>
      <c r="K303" t="str">
        <f t="shared" si="90"/>
        <v>N/A</v>
      </c>
      <c r="L303" t="str">
        <f t="shared" si="91"/>
        <v>N/A</v>
      </c>
      <c r="M303" t="str">
        <f t="shared" si="92"/>
        <v>N/A</v>
      </c>
      <c r="N303" t="str">
        <f t="shared" si="93"/>
        <v>N/A</v>
      </c>
      <c r="P303">
        <f t="shared" si="94"/>
        <v>0</v>
      </c>
      <c r="Q303" t="str">
        <f>IFERROR(J144+MATCH(P303,J303:N303,0)-1,"")</f>
        <v/>
      </c>
      <c r="R303" t="str">
        <f t="shared" si="95"/>
        <v/>
      </c>
      <c r="S303" t="str">
        <f>IFERROR(J144+MATCH(R303,J303:N303,0)-1,"")</f>
        <v/>
      </c>
      <c r="T303" t="str">
        <f t="shared" si="96"/>
        <v/>
      </c>
      <c r="U303" t="str">
        <f t="shared" si="97"/>
        <v/>
      </c>
      <c r="V303" t="str">
        <f t="shared" si="98"/>
        <v/>
      </c>
      <c r="W303" t="str">
        <f t="shared" si="99"/>
        <v/>
      </c>
      <c r="X303" t="str">
        <f t="shared" si="100"/>
        <v/>
      </c>
      <c r="Y303" t="str">
        <f t="shared" si="101"/>
        <v/>
      </c>
      <c r="Z303" t="str">
        <f t="shared" si="102"/>
        <v/>
      </c>
      <c r="AA303">
        <f t="shared" si="103"/>
        <v>0</v>
      </c>
      <c r="AB303" t="str">
        <f>IFERROR(V144+MATCH(AA303,V303:Z303,0)-1,"")</f>
        <v/>
      </c>
      <c r="AC303" t="str">
        <f t="shared" si="104"/>
        <v/>
      </c>
      <c r="AE303" t="str">
        <f>IF(ISNUMBER(MATCH("N/A",J303:N303,0)),"",IFERROR((5 * SUMPRODUCT(J144:N144,J303:N303) - PRODUCT(SUM(J144:N144),SUM(J303:N303))) / ((5 * SUM((J144^2)+(K144^2)+(L144^2)+(M144^2)+(N144^2))) - SUM(J144:N144)^2),""))</f>
        <v/>
      </c>
      <c r="AF303" t="str">
        <f>IFERROR(CORREL(J144:N144,J303:N303),"")</f>
        <v/>
      </c>
      <c r="AZ303">
        <f t="shared" si="105"/>
        <v>0</v>
      </c>
      <c r="BA303" t="str">
        <f>IF(AZ303=1,IF(Q303="","",IF(Q303=N144,"Yes","No")),"")</f>
        <v/>
      </c>
      <c r="BB303" t="str">
        <f t="shared" si="106"/>
        <v/>
      </c>
      <c r="BC303" t="str">
        <f>IF(AZ303=1,IF(S303="","",IF(S303=N144,"Yes","No")),"")</f>
        <v/>
      </c>
      <c r="BD303" t="str">
        <f t="shared" si="107"/>
        <v/>
      </c>
      <c r="BE303" t="str">
        <f t="shared" si="108"/>
        <v/>
      </c>
      <c r="BF303" t="str">
        <f t="shared" si="109"/>
        <v>No</v>
      </c>
      <c r="BG303" t="str">
        <f t="shared" si="110"/>
        <v>No</v>
      </c>
      <c r="BH303" t="str">
        <f t="shared" si="111"/>
        <v/>
      </c>
    </row>
    <row r="304" spans="9:60" x14ac:dyDescent="0.3">
      <c r="I304" t="str">
        <f t="shared" si="88"/>
        <v>N/A</v>
      </c>
      <c r="J304" t="str">
        <f t="shared" si="89"/>
        <v>N/A</v>
      </c>
      <c r="K304" t="str">
        <f t="shared" si="90"/>
        <v>N/A</v>
      </c>
      <c r="L304" t="str">
        <f t="shared" si="91"/>
        <v>N/A</v>
      </c>
      <c r="M304" t="str">
        <f t="shared" si="92"/>
        <v>N/A</v>
      </c>
      <c r="N304" t="str">
        <f t="shared" si="93"/>
        <v>N/A</v>
      </c>
      <c r="P304">
        <f t="shared" si="94"/>
        <v>0</v>
      </c>
      <c r="Q304" t="str">
        <f>IFERROR(J144+MATCH(P304,J304:N304,0)-1,"")</f>
        <v/>
      </c>
      <c r="R304" t="str">
        <f t="shared" si="95"/>
        <v/>
      </c>
      <c r="S304" t="str">
        <f>IFERROR(J144+MATCH(R304,J304:N304,0)-1,"")</f>
        <v/>
      </c>
      <c r="T304" t="str">
        <f t="shared" si="96"/>
        <v/>
      </c>
      <c r="U304" t="str">
        <f t="shared" si="97"/>
        <v/>
      </c>
      <c r="V304" t="str">
        <f t="shared" si="98"/>
        <v/>
      </c>
      <c r="W304" t="str">
        <f t="shared" si="99"/>
        <v/>
      </c>
      <c r="X304" t="str">
        <f t="shared" si="100"/>
        <v/>
      </c>
      <c r="Y304" t="str">
        <f t="shared" si="101"/>
        <v/>
      </c>
      <c r="Z304" t="str">
        <f t="shared" si="102"/>
        <v/>
      </c>
      <c r="AA304">
        <f t="shared" si="103"/>
        <v>0</v>
      </c>
      <c r="AB304" t="str">
        <f>IFERROR(V144+MATCH(AA304,V304:Z304,0)-1,"")</f>
        <v/>
      </c>
      <c r="AC304" t="str">
        <f t="shared" si="104"/>
        <v/>
      </c>
      <c r="AE304" t="str">
        <f>IF(ISNUMBER(MATCH("N/A",J304:N304,0)),"",IFERROR((5 * SUMPRODUCT(J144:N144,J304:N304) - PRODUCT(SUM(J144:N144),SUM(J304:N304))) / ((5 * SUM((J144^2)+(K144^2)+(L144^2)+(M144^2)+(N144^2))) - SUM(J144:N144)^2),""))</f>
        <v/>
      </c>
      <c r="AF304" t="str">
        <f>IFERROR(CORREL(J144:N144,J304:N304),"")</f>
        <v/>
      </c>
      <c r="AZ304">
        <f t="shared" si="105"/>
        <v>0</v>
      </c>
      <c r="BA304" t="str">
        <f>IF(AZ304=1,IF(Q304="","",IF(Q304=N144,"Yes","No")),"")</f>
        <v/>
      </c>
      <c r="BB304" t="str">
        <f t="shared" si="106"/>
        <v/>
      </c>
      <c r="BC304" t="str">
        <f>IF(AZ304=1,IF(S304="","",IF(S304=N144,"Yes","No")),"")</f>
        <v/>
      </c>
      <c r="BD304" t="str">
        <f t="shared" si="107"/>
        <v/>
      </c>
      <c r="BE304" t="str">
        <f t="shared" si="108"/>
        <v/>
      </c>
      <c r="BF304" t="str">
        <f t="shared" si="109"/>
        <v>No</v>
      </c>
      <c r="BG304" t="str">
        <f t="shared" si="110"/>
        <v>No</v>
      </c>
      <c r="BH304" t="str">
        <f t="shared" si="111"/>
        <v/>
      </c>
    </row>
    <row r="305" spans="9:60" x14ac:dyDescent="0.3">
      <c r="I305" t="str">
        <f t="shared" si="88"/>
        <v>N/A</v>
      </c>
      <c r="J305" t="str">
        <f t="shared" si="89"/>
        <v>N/A</v>
      </c>
      <c r="K305" t="str">
        <f t="shared" si="90"/>
        <v>N/A</v>
      </c>
      <c r="L305" t="str">
        <f t="shared" si="91"/>
        <v>N/A</v>
      </c>
      <c r="M305" t="str">
        <f t="shared" si="92"/>
        <v>N/A</v>
      </c>
      <c r="N305" t="str">
        <f t="shared" si="93"/>
        <v>N/A</v>
      </c>
      <c r="P305">
        <f t="shared" si="94"/>
        <v>0</v>
      </c>
      <c r="Q305" t="str">
        <f>IFERROR(J144+MATCH(P305,J305:N305,0)-1,"")</f>
        <v/>
      </c>
      <c r="R305" t="str">
        <f t="shared" si="95"/>
        <v/>
      </c>
      <c r="S305" t="str">
        <f>IFERROR(J144+MATCH(R305,J305:N305,0)-1,"")</f>
        <v/>
      </c>
      <c r="T305" t="str">
        <f t="shared" si="96"/>
        <v/>
      </c>
      <c r="U305" t="str">
        <f t="shared" si="97"/>
        <v/>
      </c>
      <c r="V305" t="str">
        <f t="shared" si="98"/>
        <v/>
      </c>
      <c r="W305" t="str">
        <f t="shared" si="99"/>
        <v/>
      </c>
      <c r="X305" t="str">
        <f t="shared" si="100"/>
        <v/>
      </c>
      <c r="Y305" t="str">
        <f t="shared" si="101"/>
        <v/>
      </c>
      <c r="Z305" t="str">
        <f t="shared" si="102"/>
        <v/>
      </c>
      <c r="AA305">
        <f t="shared" si="103"/>
        <v>0</v>
      </c>
      <c r="AB305" t="str">
        <f>IFERROR(V144+MATCH(AA305,V305:Z305,0)-1,"")</f>
        <v/>
      </c>
      <c r="AC305" t="str">
        <f t="shared" si="104"/>
        <v/>
      </c>
      <c r="AE305" t="str">
        <f>IF(ISNUMBER(MATCH("N/A",J305:N305,0)),"",IFERROR((5 * SUMPRODUCT(J144:N144,J305:N305) - PRODUCT(SUM(J144:N144),SUM(J305:N305))) / ((5 * SUM((J144^2)+(K144^2)+(L144^2)+(M144^2)+(N144^2))) - SUM(J144:N144)^2),""))</f>
        <v/>
      </c>
      <c r="AF305" t="str">
        <f>IFERROR(CORREL(J144:N144,J305:N305),"")</f>
        <v/>
      </c>
      <c r="AZ305">
        <f t="shared" si="105"/>
        <v>0</v>
      </c>
      <c r="BA305" t="str">
        <f>IF(AZ305=1,IF(Q305="","",IF(Q305=N144,"Yes","No")),"")</f>
        <v/>
      </c>
      <c r="BB305" t="str">
        <f t="shared" si="106"/>
        <v/>
      </c>
      <c r="BC305" t="str">
        <f>IF(AZ305=1,IF(S305="","",IF(S305=N144,"Yes","No")),"")</f>
        <v/>
      </c>
      <c r="BD305" t="str">
        <f t="shared" si="107"/>
        <v/>
      </c>
      <c r="BE305" t="str">
        <f t="shared" si="108"/>
        <v/>
      </c>
      <c r="BF305" t="str">
        <f t="shared" si="109"/>
        <v>No</v>
      </c>
      <c r="BG305" t="str">
        <f t="shared" si="110"/>
        <v>No</v>
      </c>
      <c r="BH305" t="str">
        <f t="shared" si="111"/>
        <v/>
      </c>
    </row>
    <row r="306" spans="9:60" x14ac:dyDescent="0.3">
      <c r="I306" t="str">
        <f t="shared" si="88"/>
        <v>N/A</v>
      </c>
      <c r="J306" t="str">
        <f t="shared" si="89"/>
        <v>N/A</v>
      </c>
      <c r="K306" t="str">
        <f t="shared" si="90"/>
        <v>N/A</v>
      </c>
      <c r="L306" t="str">
        <f t="shared" si="91"/>
        <v>N/A</v>
      </c>
      <c r="M306" t="str">
        <f t="shared" si="92"/>
        <v>N/A</v>
      </c>
      <c r="N306" t="str">
        <f t="shared" si="93"/>
        <v>N/A</v>
      </c>
      <c r="P306">
        <f t="shared" si="94"/>
        <v>0</v>
      </c>
      <c r="Q306" t="str">
        <f>IFERROR(J144+MATCH(P306,J306:N306,0)-1,"")</f>
        <v/>
      </c>
      <c r="R306" t="str">
        <f t="shared" si="95"/>
        <v/>
      </c>
      <c r="S306" t="str">
        <f>IFERROR(J144+MATCH(R306,J306:N306,0)-1,"")</f>
        <v/>
      </c>
      <c r="T306" t="str">
        <f t="shared" si="96"/>
        <v/>
      </c>
      <c r="U306" t="str">
        <f t="shared" si="97"/>
        <v/>
      </c>
      <c r="V306" t="str">
        <f t="shared" si="98"/>
        <v/>
      </c>
      <c r="W306" t="str">
        <f t="shared" si="99"/>
        <v/>
      </c>
      <c r="X306" t="str">
        <f t="shared" si="100"/>
        <v/>
      </c>
      <c r="Y306" t="str">
        <f t="shared" si="101"/>
        <v/>
      </c>
      <c r="Z306" t="str">
        <f t="shared" si="102"/>
        <v/>
      </c>
      <c r="AA306">
        <f t="shared" si="103"/>
        <v>0</v>
      </c>
      <c r="AB306" t="str">
        <f>IFERROR(V144+MATCH(AA306,V306:Z306,0)-1,"")</f>
        <v/>
      </c>
      <c r="AC306" t="str">
        <f t="shared" si="104"/>
        <v/>
      </c>
      <c r="AE306" t="str">
        <f>IF(ISNUMBER(MATCH("N/A",J306:N306,0)),"",IFERROR((5 * SUMPRODUCT(J144:N144,J306:N306) - PRODUCT(SUM(J144:N144),SUM(J306:N306))) / ((5 * SUM((J144^2)+(K144^2)+(L144^2)+(M144^2)+(N144^2))) - SUM(J144:N144)^2),""))</f>
        <v/>
      </c>
      <c r="AF306" t="str">
        <f>IFERROR(CORREL(J144:N144,J306:N306),"")</f>
        <v/>
      </c>
      <c r="AZ306">
        <f t="shared" si="105"/>
        <v>0</v>
      </c>
      <c r="BA306" t="str">
        <f>IF(AZ306=1,IF(Q306="","",IF(Q306=N144,"Yes","No")),"")</f>
        <v/>
      </c>
      <c r="BB306" t="str">
        <f t="shared" si="106"/>
        <v/>
      </c>
      <c r="BC306" t="str">
        <f>IF(AZ306=1,IF(S306="","",IF(S306=N144,"Yes","No")),"")</f>
        <v/>
      </c>
      <c r="BD306" t="str">
        <f t="shared" si="107"/>
        <v/>
      </c>
      <c r="BE306" t="str">
        <f t="shared" si="108"/>
        <v/>
      </c>
      <c r="BF306" t="str">
        <f t="shared" si="109"/>
        <v>No</v>
      </c>
      <c r="BG306" t="str">
        <f t="shared" si="110"/>
        <v>No</v>
      </c>
      <c r="BH306" t="str">
        <f t="shared" si="111"/>
        <v/>
      </c>
    </row>
    <row r="307" spans="9:60" x14ac:dyDescent="0.3">
      <c r="I307" t="str">
        <f t="shared" si="88"/>
        <v>N/A</v>
      </c>
      <c r="J307" t="str">
        <f t="shared" si="89"/>
        <v>N/A</v>
      </c>
      <c r="K307" t="str">
        <f t="shared" si="90"/>
        <v>N/A</v>
      </c>
      <c r="L307" t="str">
        <f t="shared" si="91"/>
        <v>N/A</v>
      </c>
      <c r="M307" t="str">
        <f t="shared" si="92"/>
        <v>N/A</v>
      </c>
      <c r="N307" t="str">
        <f t="shared" si="93"/>
        <v>N/A</v>
      </c>
      <c r="P307">
        <f t="shared" si="94"/>
        <v>0</v>
      </c>
      <c r="Q307" t="str">
        <f>IFERROR(J144+MATCH(P307,J307:N307,0)-1,"")</f>
        <v/>
      </c>
      <c r="R307" t="str">
        <f t="shared" si="95"/>
        <v/>
      </c>
      <c r="S307" t="str">
        <f>IFERROR(J144+MATCH(R307,J307:N307,0)-1,"")</f>
        <v/>
      </c>
      <c r="T307" t="str">
        <f t="shared" si="96"/>
        <v/>
      </c>
      <c r="U307" t="str">
        <f t="shared" si="97"/>
        <v/>
      </c>
      <c r="V307" t="str">
        <f t="shared" si="98"/>
        <v/>
      </c>
      <c r="W307" t="str">
        <f t="shared" si="99"/>
        <v/>
      </c>
      <c r="X307" t="str">
        <f t="shared" si="100"/>
        <v/>
      </c>
      <c r="Y307" t="str">
        <f t="shared" si="101"/>
        <v/>
      </c>
      <c r="Z307" t="str">
        <f t="shared" si="102"/>
        <v/>
      </c>
      <c r="AA307">
        <f t="shared" si="103"/>
        <v>0</v>
      </c>
      <c r="AB307" t="str">
        <f>IFERROR(V144+MATCH(AA307,V307:Z307,0)-1,"")</f>
        <v/>
      </c>
      <c r="AC307" t="str">
        <f t="shared" si="104"/>
        <v/>
      </c>
      <c r="AE307" t="str">
        <f>IF(ISNUMBER(MATCH("N/A",J307:N307,0)),"",IFERROR((5 * SUMPRODUCT(J144:N144,J307:N307) - PRODUCT(SUM(J144:N144),SUM(J307:N307))) / ((5 * SUM((J144^2)+(K144^2)+(L144^2)+(M144^2)+(N144^2))) - SUM(J144:N144)^2),""))</f>
        <v/>
      </c>
      <c r="AF307" t="str">
        <f>IFERROR(CORREL(J144:N144,J307:N307),"")</f>
        <v/>
      </c>
      <c r="AZ307">
        <f t="shared" si="105"/>
        <v>0</v>
      </c>
      <c r="BA307" t="str">
        <f>IF(AZ307=1,IF(Q307="","",IF(Q307=N144,"Yes","No")),"")</f>
        <v/>
      </c>
      <c r="BB307" t="str">
        <f t="shared" si="106"/>
        <v/>
      </c>
      <c r="BC307" t="str">
        <f>IF(AZ307=1,IF(S307="","",IF(S307=N144,"Yes","No")),"")</f>
        <v/>
      </c>
      <c r="BD307" t="str">
        <f t="shared" si="107"/>
        <v/>
      </c>
      <c r="BE307" t="str">
        <f t="shared" si="108"/>
        <v/>
      </c>
      <c r="BF307" t="str">
        <f t="shared" si="109"/>
        <v>No</v>
      </c>
      <c r="BG307" t="str">
        <f t="shared" si="110"/>
        <v>No</v>
      </c>
      <c r="BH307" t="str">
        <f t="shared" si="111"/>
        <v/>
      </c>
    </row>
    <row r="308" spans="9:60" x14ac:dyDescent="0.3">
      <c r="I308" t="str">
        <f t="shared" si="88"/>
        <v>N/A</v>
      </c>
      <c r="J308" t="str">
        <f t="shared" si="89"/>
        <v>N/A</v>
      </c>
      <c r="K308" t="str">
        <f t="shared" si="90"/>
        <v>N/A</v>
      </c>
      <c r="L308" t="str">
        <f t="shared" si="91"/>
        <v>N/A</v>
      </c>
      <c r="M308" t="str">
        <f t="shared" si="92"/>
        <v>N/A</v>
      </c>
      <c r="N308" t="str">
        <f t="shared" si="93"/>
        <v>N/A</v>
      </c>
      <c r="P308">
        <f t="shared" si="94"/>
        <v>0</v>
      </c>
      <c r="Q308" t="str">
        <f>IFERROR(J144+MATCH(P308,J308:N308,0)-1,"")</f>
        <v/>
      </c>
      <c r="R308" t="str">
        <f t="shared" si="95"/>
        <v/>
      </c>
      <c r="S308" t="str">
        <f>IFERROR(J144+MATCH(R308,J308:N308,0)-1,"")</f>
        <v/>
      </c>
      <c r="T308" t="str">
        <f t="shared" si="96"/>
        <v/>
      </c>
      <c r="U308" t="str">
        <f t="shared" si="97"/>
        <v/>
      </c>
      <c r="V308" t="str">
        <f t="shared" si="98"/>
        <v/>
      </c>
      <c r="W308" t="str">
        <f t="shared" si="99"/>
        <v/>
      </c>
      <c r="X308" t="str">
        <f t="shared" si="100"/>
        <v/>
      </c>
      <c r="Y308" t="str">
        <f t="shared" si="101"/>
        <v/>
      </c>
      <c r="Z308" t="str">
        <f t="shared" si="102"/>
        <v/>
      </c>
      <c r="AA308">
        <f t="shared" si="103"/>
        <v>0</v>
      </c>
      <c r="AB308" t="str">
        <f>IFERROR(V144+MATCH(AA308,V308:Z308,0)-1,"")</f>
        <v/>
      </c>
      <c r="AC308" t="str">
        <f t="shared" si="104"/>
        <v/>
      </c>
      <c r="AE308" t="str">
        <f>IF(ISNUMBER(MATCH("N/A",J308:N308,0)),"",IFERROR((5 * SUMPRODUCT(J144:N144,J308:N308) - PRODUCT(SUM(J144:N144),SUM(J308:N308))) / ((5 * SUM((J144^2)+(K144^2)+(L144^2)+(M144^2)+(N144^2))) - SUM(J144:N144)^2),""))</f>
        <v/>
      </c>
      <c r="AF308" t="str">
        <f>IFERROR(CORREL(J144:N144,J308:N308),"")</f>
        <v/>
      </c>
      <c r="AZ308">
        <f t="shared" si="105"/>
        <v>0</v>
      </c>
      <c r="BA308" t="str">
        <f>IF(AZ308=1,IF(Q308="","",IF(Q308=N144,"Yes","No")),"")</f>
        <v/>
      </c>
      <c r="BB308" t="str">
        <f t="shared" si="106"/>
        <v/>
      </c>
      <c r="BC308" t="str">
        <f>IF(AZ308=1,IF(S308="","",IF(S308=N144,"Yes","No")),"")</f>
        <v/>
      </c>
      <c r="BD308" t="str">
        <f t="shared" si="107"/>
        <v/>
      </c>
      <c r="BE308" t="str">
        <f t="shared" si="108"/>
        <v/>
      </c>
      <c r="BF308" t="str">
        <f t="shared" si="109"/>
        <v>No</v>
      </c>
      <c r="BG308" t="str">
        <f t="shared" si="110"/>
        <v>No</v>
      </c>
      <c r="BH308" t="str">
        <f t="shared" si="111"/>
        <v/>
      </c>
    </row>
    <row r="309" spans="9:60" x14ac:dyDescent="0.3">
      <c r="I309" t="str">
        <f t="shared" si="88"/>
        <v>N/A</v>
      </c>
      <c r="J309" t="str">
        <f t="shared" si="89"/>
        <v>N/A</v>
      </c>
      <c r="K309" t="str">
        <f t="shared" si="90"/>
        <v>N/A</v>
      </c>
      <c r="L309" t="str">
        <f t="shared" si="91"/>
        <v>N/A</v>
      </c>
      <c r="M309" t="str">
        <f t="shared" si="92"/>
        <v>N/A</v>
      </c>
      <c r="N309" t="str">
        <f t="shared" si="93"/>
        <v>N/A</v>
      </c>
      <c r="P309">
        <f t="shared" si="94"/>
        <v>0</v>
      </c>
      <c r="Q309" t="str">
        <f>IFERROR(J144+MATCH(P309,J309:N309,0)-1,"")</f>
        <v/>
      </c>
      <c r="R309" t="str">
        <f t="shared" si="95"/>
        <v/>
      </c>
      <c r="S309" t="str">
        <f>IFERROR(J144+MATCH(R309,J309:N309,0)-1,"")</f>
        <v/>
      </c>
      <c r="T309" t="str">
        <f t="shared" si="96"/>
        <v/>
      </c>
      <c r="U309" t="str">
        <f t="shared" si="97"/>
        <v/>
      </c>
      <c r="V309" t="str">
        <f t="shared" si="98"/>
        <v/>
      </c>
      <c r="W309" t="str">
        <f t="shared" si="99"/>
        <v/>
      </c>
      <c r="X309" t="str">
        <f t="shared" si="100"/>
        <v/>
      </c>
      <c r="Y309" t="str">
        <f t="shared" si="101"/>
        <v/>
      </c>
      <c r="Z309" t="str">
        <f t="shared" si="102"/>
        <v/>
      </c>
      <c r="AA309">
        <f t="shared" si="103"/>
        <v>0</v>
      </c>
      <c r="AB309" t="str">
        <f>IFERROR(V144+MATCH(AA309,V309:Z309,0)-1,"")</f>
        <v/>
      </c>
      <c r="AC309" t="str">
        <f t="shared" si="104"/>
        <v/>
      </c>
      <c r="AE309" t="str">
        <f>IF(ISNUMBER(MATCH("N/A",J309:N309,0)),"",IFERROR((5 * SUMPRODUCT(J144:N144,J309:N309) - PRODUCT(SUM(J144:N144),SUM(J309:N309))) / ((5 * SUM((J144^2)+(K144^2)+(L144^2)+(M144^2)+(N144^2))) - SUM(J144:N144)^2),""))</f>
        <v/>
      </c>
      <c r="AF309" t="str">
        <f>IFERROR(CORREL(J144:N144,J309:N309),"")</f>
        <v/>
      </c>
      <c r="AZ309">
        <f t="shared" si="105"/>
        <v>0</v>
      </c>
      <c r="BA309" t="str">
        <f>IF(AZ309=1,IF(Q309="","",IF(Q309=N144,"Yes","No")),"")</f>
        <v/>
      </c>
      <c r="BB309" t="str">
        <f t="shared" si="106"/>
        <v/>
      </c>
      <c r="BC309" t="str">
        <f>IF(AZ309=1,IF(S309="","",IF(S309=N144,"Yes","No")),"")</f>
        <v/>
      </c>
      <c r="BD309" t="str">
        <f t="shared" si="107"/>
        <v/>
      </c>
      <c r="BE309" t="str">
        <f t="shared" si="108"/>
        <v/>
      </c>
      <c r="BF309" t="str">
        <f t="shared" si="109"/>
        <v>No</v>
      </c>
      <c r="BG309" t="str">
        <f t="shared" si="110"/>
        <v>No</v>
      </c>
      <c r="BH309" t="str">
        <f t="shared" si="111"/>
        <v/>
      </c>
    </row>
    <row r="310" spans="9:60" x14ac:dyDescent="0.3">
      <c r="I310" t="str">
        <f t="shared" si="88"/>
        <v>N/A</v>
      </c>
      <c r="J310" t="str">
        <f t="shared" si="89"/>
        <v>N/A</v>
      </c>
      <c r="K310" t="str">
        <f t="shared" si="90"/>
        <v>N/A</v>
      </c>
      <c r="L310" t="str">
        <f t="shared" si="91"/>
        <v>N/A</v>
      </c>
      <c r="M310" t="str">
        <f t="shared" si="92"/>
        <v>N/A</v>
      </c>
      <c r="N310" t="str">
        <f t="shared" si="93"/>
        <v>N/A</v>
      </c>
      <c r="P310">
        <f t="shared" si="94"/>
        <v>0</v>
      </c>
      <c r="Q310" t="str">
        <f>IFERROR(J144+MATCH(P310,J310:N310,0)-1,"")</f>
        <v/>
      </c>
      <c r="R310" t="str">
        <f t="shared" si="95"/>
        <v/>
      </c>
      <c r="S310" t="str">
        <f>IFERROR(J144+MATCH(R310,J310:N310,0)-1,"")</f>
        <v/>
      </c>
      <c r="T310" t="str">
        <f t="shared" si="96"/>
        <v/>
      </c>
      <c r="U310" t="str">
        <f t="shared" si="97"/>
        <v/>
      </c>
      <c r="V310" t="str">
        <f t="shared" si="98"/>
        <v/>
      </c>
      <c r="W310" t="str">
        <f t="shared" si="99"/>
        <v/>
      </c>
      <c r="X310" t="str">
        <f t="shared" si="100"/>
        <v/>
      </c>
      <c r="Y310" t="str">
        <f t="shared" si="101"/>
        <v/>
      </c>
      <c r="Z310" t="str">
        <f t="shared" si="102"/>
        <v/>
      </c>
      <c r="AA310">
        <f t="shared" si="103"/>
        <v>0</v>
      </c>
      <c r="AB310" t="str">
        <f>IFERROR(V144+MATCH(AA310,V310:Z310,0)-1,"")</f>
        <v/>
      </c>
      <c r="AC310" t="str">
        <f t="shared" si="104"/>
        <v/>
      </c>
      <c r="AE310" t="str">
        <f>IF(ISNUMBER(MATCH("N/A",J310:N310,0)),"",IFERROR((5 * SUMPRODUCT(J144:N144,J310:N310) - PRODUCT(SUM(J144:N144),SUM(J310:N310))) / ((5 * SUM((J144^2)+(K144^2)+(L144^2)+(M144^2)+(N144^2))) - SUM(J144:N144)^2),""))</f>
        <v/>
      </c>
      <c r="AF310" t="str">
        <f>IFERROR(CORREL(J144:N144,J310:N310),"")</f>
        <v/>
      </c>
      <c r="AZ310">
        <f t="shared" si="105"/>
        <v>0</v>
      </c>
      <c r="BA310" t="str">
        <f>IF(AZ310=1,IF(Q310="","",IF(Q310=N144,"Yes","No")),"")</f>
        <v/>
      </c>
      <c r="BB310" t="str">
        <f t="shared" si="106"/>
        <v/>
      </c>
      <c r="BC310" t="str">
        <f>IF(AZ310=1,IF(S310="","",IF(S310=N144,"Yes","No")),"")</f>
        <v/>
      </c>
      <c r="BD310" t="str">
        <f t="shared" si="107"/>
        <v/>
      </c>
      <c r="BE310" t="str">
        <f t="shared" si="108"/>
        <v/>
      </c>
      <c r="BF310" t="str">
        <f t="shared" si="109"/>
        <v>No</v>
      </c>
      <c r="BG310" t="str">
        <f t="shared" si="110"/>
        <v>No</v>
      </c>
      <c r="BH310" t="str">
        <f t="shared" si="111"/>
        <v/>
      </c>
    </row>
    <row r="311" spans="9:60" x14ac:dyDescent="0.3">
      <c r="P311">
        <f t="shared" si="94"/>
        <v>0</v>
      </c>
      <c r="Q311" t="str">
        <f>IFERROR(J144+MATCH(P311,J311:N311,0)-1,"")</f>
        <v/>
      </c>
      <c r="R311" t="str">
        <f t="shared" si="95"/>
        <v/>
      </c>
      <c r="S311" t="str">
        <f>IFERROR(J144+MATCH(R311,J311:N311,0)-1,"")</f>
        <v/>
      </c>
      <c r="T311" t="str">
        <f t="shared" si="96"/>
        <v/>
      </c>
      <c r="U311" t="str">
        <f t="shared" si="97"/>
        <v/>
      </c>
      <c r="V311" t="str">
        <f t="shared" si="98"/>
        <v/>
      </c>
      <c r="W311" t="str">
        <f t="shared" si="99"/>
        <v/>
      </c>
      <c r="X311" t="str">
        <f t="shared" si="100"/>
        <v/>
      </c>
      <c r="Y311" t="str">
        <f t="shared" si="101"/>
        <v/>
      </c>
      <c r="Z311" t="str">
        <f t="shared" si="102"/>
        <v/>
      </c>
      <c r="AA311">
        <f t="shared" si="103"/>
        <v>0</v>
      </c>
      <c r="AB311" t="str">
        <f>IFERROR(V144+MATCH(AA311,V311:Z311,0)-1,"")</f>
        <v/>
      </c>
      <c r="AC311" t="str">
        <f t="shared" si="104"/>
        <v/>
      </c>
      <c r="AE311" t="str">
        <f>IF(ISNUMBER(MATCH("N/A",J311:N311,0)),"",IFERROR((5 * SUMPRODUCT(J144:N144,J311:N311) - PRODUCT(SUM(J144:N144),SUM(J311:N311))) / ((5 * SUM((J144^2)+(K144^2)+(L144^2)+(M144^2)+(N144^2))) - SUM(J144:N144)^2),""))</f>
        <v/>
      </c>
      <c r="AF311" t="str">
        <f>IFERROR(CORREL(J144:N144,J311:N311),"")</f>
        <v/>
      </c>
      <c r="AZ311">
        <f t="shared" si="105"/>
        <v>0</v>
      </c>
      <c r="BA311" t="str">
        <f>IF(AZ311=1,IF(Q311="","",IF(Q311=N144,"Yes","No")),"")</f>
        <v/>
      </c>
      <c r="BB311" t="str">
        <f t="shared" si="106"/>
        <v/>
      </c>
      <c r="BC311" t="str">
        <f>IF(AZ311=1,IF(S311="","",IF(S311=N144,"Yes","No")),"")</f>
        <v/>
      </c>
      <c r="BD311" t="str">
        <f t="shared" si="107"/>
        <v/>
      </c>
      <c r="BE311" t="str">
        <f t="shared" si="108"/>
        <v/>
      </c>
      <c r="BF311" t="str">
        <f t="shared" si="109"/>
        <v>No</v>
      </c>
      <c r="BG311" t="str">
        <f t="shared" si="110"/>
        <v>No</v>
      </c>
      <c r="BH311" t="str">
        <f t="shared" si="111"/>
        <v/>
      </c>
    </row>
    <row r="312" spans="9:60" x14ac:dyDescent="0.3">
      <c r="I312" t="str">
        <f t="shared" ref="I312:I327" si="112">IF(AND(K312&gt; J312, L312&gt; K312, M312&gt; L312, N312&gt; M312), "pos_trend", IF(AND(K312&lt; J312, L312&lt; K312, M312&lt; L312, N312&lt; M312), "neg_trend", "N/A"))</f>
        <v>N/A</v>
      </c>
      <c r="J312" t="str">
        <f t="shared" ref="J312:J327" si="113">IFERROR(IF(TRIM(C312)="-", "N/A", IF(RIGHT(C312,1)=")",IF(RIGHT(C312,2)="T)",-1000000000000*VALUE(MID(C312,2,LEN(C312)-3)),IF(RIGHT(C312,2)="M)",-1000000*VALUE(MID(C312,2,LEN(C312)-3)),IF(RIGHT(C312,2)="B)",-1000000000*VALUE(MID(C312,2,LEN(C312)-3)),IF(RIGHT(C312,2)="k)",-1000*VALUE(MID(C312,2,LEN(C312)-3)),VALUE(SUBSTITUTE(C312,",","")))))),IF(RIGHT(C312,1)="T",1000000000000*VALUE(LEFT(C312,LEN(C312)-1)),IF(RIGHT(C312,1)="M",1000000*VALUE(LEFT(C312,LEN(C312)-1)),IF(RIGHT(C312,1)="B",1000000000*VALUE(LEFT(C312,LEN(C312)-1)),IF(RIGHT(C312,1)="%",0.01*VALUE(LEFT(C312,LEN(C312)-1)),IF(RIGHT(C312,1)="k",1000*VALUE(LEFT(C312,LEN(C312)-1)),VALUE(SUBSTITUTE(C312,",",""))))))))),"N/A")</f>
        <v>N/A</v>
      </c>
      <c r="K312" t="str">
        <f t="shared" ref="K312:K327" si="114">IFERROR(IF(TRIM(D312)="-", "N/A", IF(RIGHT(D312,1)=")",IF(RIGHT(D312,2)="T)",-1000000000000*VALUE(MID(D312,2,LEN(D312)-3)),IF(RIGHT(D312,2)="M)",-1000000*VALUE(MID(D312,2,LEN(D312)-3)),IF(RIGHT(D312,2)="B)",-1000000000*VALUE(MID(D312,2,LEN(D312)-3)),IF(RIGHT(D312,2)="k)",-1000*VALUE(MID(D312,2,LEN(D312)-3)),VALUE(SUBSTITUTE(D312,",","")))))),IF(RIGHT(D312,1)="T",1000000000000*VALUE(LEFT(D312,LEN(D312)-1)),IF(RIGHT(D312,1)="M",1000000*VALUE(LEFT(D312,LEN(D312)-1)),IF(RIGHT(D312,1)="B",1000000000*VALUE(LEFT(D312,LEN(D312)-1)),IF(RIGHT(D312,1)="%",0.01*VALUE(LEFT(D312,LEN(D312)-1)),IF(RIGHT(D312,1)="k",1000*VALUE(LEFT(D312,LEN(D312)-1)),VALUE(SUBSTITUTE(D312,",",""))))))))),"N/A")</f>
        <v>N/A</v>
      </c>
      <c r="L312" t="str">
        <f t="shared" ref="L312:L327" si="115">IFERROR(IF(TRIM(E312)="-", "N/A", IF(RIGHT(E312,1)=")",IF(RIGHT(E312,2)="T)",-1000000000000*VALUE(MID(E312,2,LEN(E312)-3)),IF(RIGHT(E312,2)="M)",-1000000*VALUE(MID(E312,2,LEN(E312)-3)),IF(RIGHT(E312,2)="B)",-1000000000*VALUE(MID(E312,2,LEN(E312)-3)),IF(RIGHT(E312,2)="k)",-1000*VALUE(MID(E312,2,LEN(E312)-3)),VALUE(SUBSTITUTE(E312,",","")))))),IF(RIGHT(E312,1)="T",1000000000000*VALUE(LEFT(E312,LEN(E312)-1)),IF(RIGHT(E312,1)="M",1000000*VALUE(LEFT(E312,LEN(E312)-1)),IF(RIGHT(E312,1)="B",1000000000*VALUE(LEFT(E312,LEN(E312)-1)),IF(RIGHT(E312,1)="%",0.01*VALUE(LEFT(E312,LEN(E312)-1)),IF(RIGHT(E312,1)="k",1000*VALUE(LEFT(E312,LEN(E312)-1)),VALUE(SUBSTITUTE(E312,",",""))))))))),"N/A")</f>
        <v>N/A</v>
      </c>
      <c r="M312" t="str">
        <f t="shared" ref="M312:M327" si="116">IFERROR(IF(TRIM(F312)="-", "N/A", IF(RIGHT(F312,1)=")",IF(RIGHT(F312,2)="T)",-1000000000000*VALUE(MID(F312,2,LEN(F312)-3)),IF(RIGHT(F312,2)="M)",-1000000*VALUE(MID(F312,2,LEN(F312)-3)),IF(RIGHT(F312,2)="B)",-1000000000*VALUE(MID(F312,2,LEN(F312)-3)),IF(RIGHT(F312,2)="k)",-1000*VALUE(MID(F312,2,LEN(F312)-3)),VALUE(SUBSTITUTE(F312,",","")))))),IF(RIGHT(F312,1)="T",1000000000000*VALUE(LEFT(F312,LEN(F312)-1)),IF(RIGHT(F312,1)="M",1000000*VALUE(LEFT(F312,LEN(F312)-1)),IF(RIGHT(F312,1)="B",1000000000*VALUE(LEFT(F312,LEN(F312)-1)),IF(RIGHT(F312,1)="%",0.01*VALUE(LEFT(F312,LEN(F312)-1)),IF(RIGHT(F312,1)="k",1000*VALUE(LEFT(F312,LEN(F312)-1)),VALUE(SUBSTITUTE(F312,",",""))))))))),"N/A")</f>
        <v>N/A</v>
      </c>
      <c r="N312" t="str">
        <f t="shared" ref="N312:N327" si="117">IFERROR(IF(TRIM(G312)="-", "N/A", IF(RIGHT(G312,1)=")",IF(RIGHT(G312,2)="T)",-1000000000000*VALUE(MID(G312,2,LEN(G312)-3)),IF(RIGHT(G312,2)="M)",-1000000*VALUE(MID(G312,2,LEN(G312)-3)),IF(RIGHT(G312,2)="B)",-1000000000*VALUE(MID(G312,2,LEN(G312)-3)),IF(RIGHT(G312,2)="k)",-1000*VALUE(MID(G312,2,LEN(G312)-3)),VALUE(SUBSTITUTE(G312,",","")))))),IF(RIGHT(G312,1)="T",1000000000000*VALUE(LEFT(G312,LEN(G312)-1)),IF(RIGHT(G312,1)="M",1000000*VALUE(LEFT(G312,LEN(G312)-1)),IF(RIGHT(G312,1)="B",1000000000*VALUE(LEFT(G312,LEN(G312)-1)),IF(RIGHT(G312,1)="%",0.01*VALUE(LEFT(G312,LEN(G312)-1)),IF(RIGHT(G312,1)="k",1000*VALUE(LEFT(G312,LEN(G312)-1)),VALUE(SUBSTITUTE(G312,",",""))))))))),"N/A")</f>
        <v>N/A</v>
      </c>
      <c r="P312">
        <f t="shared" si="94"/>
        <v>0</v>
      </c>
      <c r="Q312" t="str">
        <f>IFERROR(J144+MATCH(P312,J312:N312,0)-1,"")</f>
        <v/>
      </c>
      <c r="R312" t="str">
        <f t="shared" si="95"/>
        <v/>
      </c>
      <c r="S312" t="str">
        <f>IFERROR(J144+MATCH(R312,J312:N312,0)-1,"")</f>
        <v/>
      </c>
      <c r="T312" t="str">
        <f t="shared" si="96"/>
        <v/>
      </c>
      <c r="U312" t="str">
        <f t="shared" si="97"/>
        <v/>
      </c>
      <c r="V312" t="str">
        <f t="shared" si="98"/>
        <v/>
      </c>
      <c r="W312" t="str">
        <f t="shared" si="99"/>
        <v/>
      </c>
      <c r="X312" t="str">
        <f t="shared" si="100"/>
        <v/>
      </c>
      <c r="Y312" t="str">
        <f t="shared" si="101"/>
        <v/>
      </c>
      <c r="Z312" t="str">
        <f t="shared" si="102"/>
        <v/>
      </c>
      <c r="AA312">
        <f t="shared" si="103"/>
        <v>0</v>
      </c>
      <c r="AB312" t="str">
        <f>IFERROR(V144+MATCH(AA312,V312:Z312,0)-1,"")</f>
        <v/>
      </c>
      <c r="AC312" t="str">
        <f t="shared" si="104"/>
        <v/>
      </c>
      <c r="AE312" t="str">
        <f>IF(ISNUMBER(MATCH("N/A",J312:N312,0)),"",IFERROR((5 * SUMPRODUCT(J144:N144,J312:N312) - PRODUCT(SUM(J144:N144),SUM(J312:N312))) / ((5 * SUM((J144^2)+(K144^2)+(L144^2)+(M144^2)+(N144^2))) - SUM(J144:N144)^2),""))</f>
        <v/>
      </c>
      <c r="AF312" t="str">
        <f>IFERROR(CORREL(J144:N144,J312:N312),"")</f>
        <v/>
      </c>
      <c r="AZ312">
        <f t="shared" si="105"/>
        <v>0</v>
      </c>
      <c r="BA312" t="str">
        <f>IF(AZ312=1,IF(Q312="","",IF(Q312=N144,"Yes","No")),"")</f>
        <v/>
      </c>
      <c r="BB312" t="str">
        <f t="shared" si="106"/>
        <v/>
      </c>
      <c r="BC312" t="str">
        <f>IF(AZ312=1,IF(S312="","",IF(S312=N144,"Yes","No")),"")</f>
        <v/>
      </c>
      <c r="BD312" t="str">
        <f t="shared" si="107"/>
        <v/>
      </c>
      <c r="BE312" t="str">
        <f t="shared" si="108"/>
        <v/>
      </c>
      <c r="BF312" t="str">
        <f t="shared" si="109"/>
        <v>No</v>
      </c>
      <c r="BG312" t="str">
        <f t="shared" si="110"/>
        <v>No</v>
      </c>
      <c r="BH312" t="str">
        <f t="shared" si="111"/>
        <v/>
      </c>
    </row>
    <row r="313" spans="9:60" x14ac:dyDescent="0.3">
      <c r="I313" t="str">
        <f t="shared" si="112"/>
        <v>N/A</v>
      </c>
      <c r="J313" t="str">
        <f t="shared" si="113"/>
        <v>N/A</v>
      </c>
      <c r="K313" t="str">
        <f t="shared" si="114"/>
        <v>N/A</v>
      </c>
      <c r="L313" t="str">
        <f t="shared" si="115"/>
        <v>N/A</v>
      </c>
      <c r="M313" t="str">
        <f t="shared" si="116"/>
        <v>N/A</v>
      </c>
      <c r="N313" t="str">
        <f t="shared" si="117"/>
        <v>N/A</v>
      </c>
      <c r="P313">
        <f t="shared" si="94"/>
        <v>0</v>
      </c>
      <c r="Q313" t="str">
        <f>IFERROR(J144+MATCH(P313,J313:N313,0)-1,"")</f>
        <v/>
      </c>
      <c r="R313" t="str">
        <f t="shared" si="95"/>
        <v/>
      </c>
      <c r="S313" t="str">
        <f>IFERROR(J144+MATCH(R313,J313:N313,0)-1,"")</f>
        <v/>
      </c>
      <c r="T313" t="str">
        <f t="shared" si="96"/>
        <v/>
      </c>
      <c r="U313" t="str">
        <f t="shared" si="97"/>
        <v/>
      </c>
      <c r="V313" t="str">
        <f t="shared" si="98"/>
        <v/>
      </c>
      <c r="W313" t="str">
        <f t="shared" si="99"/>
        <v/>
      </c>
      <c r="X313" t="str">
        <f t="shared" si="100"/>
        <v/>
      </c>
      <c r="Y313" t="str">
        <f t="shared" si="101"/>
        <v/>
      </c>
      <c r="Z313" t="str">
        <f t="shared" si="102"/>
        <v/>
      </c>
      <c r="AA313">
        <f t="shared" si="103"/>
        <v>0</v>
      </c>
      <c r="AB313" t="str">
        <f>IFERROR(V144+MATCH(AA313,V313:Z313,0)-1,"")</f>
        <v/>
      </c>
      <c r="AC313" t="str">
        <f t="shared" si="104"/>
        <v/>
      </c>
      <c r="AE313" t="str">
        <f>IF(ISNUMBER(MATCH("N/A",J313:N313,0)),"",IFERROR((5 * SUMPRODUCT(J144:N144,J313:N313) - PRODUCT(SUM(J144:N144),SUM(J313:N313))) / ((5 * SUM((J144^2)+(K144^2)+(L144^2)+(M144^2)+(N144^2))) - SUM(J144:N144)^2),""))</f>
        <v/>
      </c>
      <c r="AF313" t="str">
        <f>IFERROR(CORREL(J144:N144,J313:N313),"")</f>
        <v/>
      </c>
      <c r="AZ313">
        <f t="shared" si="105"/>
        <v>0</v>
      </c>
      <c r="BA313" t="str">
        <f>IF(AZ313=1,IF(Q313="","",IF(Q313=N144,"Yes","No")),"")</f>
        <v/>
      </c>
      <c r="BB313" t="str">
        <f t="shared" si="106"/>
        <v/>
      </c>
      <c r="BC313" t="str">
        <f>IF(AZ313=1,IF(S313="","",IF(S313=N144,"Yes","No")),"")</f>
        <v/>
      </c>
      <c r="BD313" t="str">
        <f t="shared" si="107"/>
        <v/>
      </c>
      <c r="BE313" t="str">
        <f t="shared" si="108"/>
        <v/>
      </c>
      <c r="BF313" t="str">
        <f t="shared" si="109"/>
        <v>No</v>
      </c>
      <c r="BG313" t="str">
        <f t="shared" si="110"/>
        <v>No</v>
      </c>
      <c r="BH313" t="str">
        <f t="shared" si="111"/>
        <v/>
      </c>
    </row>
    <row r="314" spans="9:60" x14ac:dyDescent="0.3">
      <c r="I314" t="str">
        <f t="shared" si="112"/>
        <v>N/A</v>
      </c>
      <c r="J314" t="str">
        <f t="shared" si="113"/>
        <v>N/A</v>
      </c>
      <c r="K314" t="str">
        <f t="shared" si="114"/>
        <v>N/A</v>
      </c>
      <c r="L314" t="str">
        <f t="shared" si="115"/>
        <v>N/A</v>
      </c>
      <c r="M314" t="str">
        <f t="shared" si="116"/>
        <v>N/A</v>
      </c>
      <c r="N314" t="str">
        <f t="shared" si="117"/>
        <v>N/A</v>
      </c>
      <c r="P314">
        <f t="shared" si="94"/>
        <v>0</v>
      </c>
      <c r="Q314" t="str">
        <f>IFERROR(J144+MATCH(P314,J314:N314,0)-1,"")</f>
        <v/>
      </c>
      <c r="R314" t="str">
        <f t="shared" si="95"/>
        <v/>
      </c>
      <c r="S314" t="str">
        <f>IFERROR(J144+MATCH(R314,J314:N314,0)-1,"")</f>
        <v/>
      </c>
      <c r="T314" t="str">
        <f t="shared" si="96"/>
        <v/>
      </c>
      <c r="U314" t="str">
        <f t="shared" si="97"/>
        <v/>
      </c>
      <c r="V314" t="str">
        <f t="shared" si="98"/>
        <v/>
      </c>
      <c r="W314" t="str">
        <f t="shared" si="99"/>
        <v/>
      </c>
      <c r="X314" t="str">
        <f t="shared" si="100"/>
        <v/>
      </c>
      <c r="Y314" t="str">
        <f t="shared" si="101"/>
        <v/>
      </c>
      <c r="Z314" t="str">
        <f t="shared" si="102"/>
        <v/>
      </c>
      <c r="AA314">
        <f t="shared" si="103"/>
        <v>0</v>
      </c>
      <c r="AB314" t="str">
        <f>IFERROR(V144+MATCH(AA314,V314:Z314,0)-1,"")</f>
        <v/>
      </c>
      <c r="AC314" t="str">
        <f t="shared" si="104"/>
        <v/>
      </c>
      <c r="AE314" t="str">
        <f>IF(ISNUMBER(MATCH("N/A",J314:N314,0)),"",IFERROR((5 * SUMPRODUCT(J144:N144,J314:N314) - PRODUCT(SUM(J144:N144),SUM(J314:N314))) / ((5 * SUM((J144^2)+(K144^2)+(L144^2)+(M144^2)+(N144^2))) - SUM(J144:N144)^2),""))</f>
        <v/>
      </c>
      <c r="AF314" t="str">
        <f>IFERROR(CORREL(J144:N144,J314:N314),"")</f>
        <v/>
      </c>
      <c r="AZ314">
        <f t="shared" si="105"/>
        <v>0</v>
      </c>
      <c r="BA314" t="str">
        <f>IF(AZ314=1,IF(Q314="","",IF(Q314=N144,"Yes","No")),"")</f>
        <v/>
      </c>
      <c r="BB314" t="str">
        <f t="shared" si="106"/>
        <v/>
      </c>
      <c r="BC314" t="str">
        <f>IF(AZ314=1,IF(S314="","",IF(S314=N144,"Yes","No")),"")</f>
        <v/>
      </c>
      <c r="BD314" t="str">
        <f t="shared" si="107"/>
        <v/>
      </c>
      <c r="BE314" t="str">
        <f t="shared" si="108"/>
        <v/>
      </c>
      <c r="BF314" t="str">
        <f t="shared" si="109"/>
        <v>No</v>
      </c>
      <c r="BG314" t="str">
        <f t="shared" si="110"/>
        <v>No</v>
      </c>
      <c r="BH314" t="str">
        <f t="shared" si="111"/>
        <v/>
      </c>
    </row>
    <row r="315" spans="9:60" x14ac:dyDescent="0.3">
      <c r="I315" t="str">
        <f t="shared" si="112"/>
        <v>N/A</v>
      </c>
      <c r="J315" t="str">
        <f t="shared" si="113"/>
        <v>N/A</v>
      </c>
      <c r="K315" t="str">
        <f t="shared" si="114"/>
        <v>N/A</v>
      </c>
      <c r="L315" t="str">
        <f t="shared" si="115"/>
        <v>N/A</v>
      </c>
      <c r="M315" t="str">
        <f t="shared" si="116"/>
        <v>N/A</v>
      </c>
      <c r="N315" t="str">
        <f t="shared" si="117"/>
        <v>N/A</v>
      </c>
      <c r="P315">
        <f t="shared" si="94"/>
        <v>0</v>
      </c>
      <c r="Q315" t="str">
        <f>IFERROR(J144+MATCH(P315,J315:N315,0)-1,"")</f>
        <v/>
      </c>
      <c r="R315" t="str">
        <f t="shared" si="95"/>
        <v/>
      </c>
      <c r="S315" t="str">
        <f>IFERROR(J144+MATCH(R315,J315:N315,0)-1,"")</f>
        <v/>
      </c>
      <c r="T315" t="str">
        <f t="shared" si="96"/>
        <v/>
      </c>
      <c r="U315" t="str">
        <f t="shared" si="97"/>
        <v/>
      </c>
      <c r="V315" t="str">
        <f t="shared" si="98"/>
        <v/>
      </c>
      <c r="W315" t="str">
        <f t="shared" si="99"/>
        <v/>
      </c>
      <c r="X315" t="str">
        <f t="shared" si="100"/>
        <v/>
      </c>
      <c r="Y315" t="str">
        <f t="shared" si="101"/>
        <v/>
      </c>
      <c r="Z315" t="str">
        <f t="shared" si="102"/>
        <v/>
      </c>
      <c r="AA315">
        <f t="shared" si="103"/>
        <v>0</v>
      </c>
      <c r="AB315" t="str">
        <f>IFERROR(V144+MATCH(AA315,V315:Z315,0)-1,"")</f>
        <v/>
      </c>
      <c r="AC315" t="str">
        <f t="shared" si="104"/>
        <v/>
      </c>
      <c r="AE315" t="str">
        <f>IF(ISNUMBER(MATCH("N/A",J315:N315,0)),"",IFERROR((5 * SUMPRODUCT(J144:N144,J315:N315) - PRODUCT(SUM(J144:N144),SUM(J315:N315))) / ((5 * SUM((J144^2)+(K144^2)+(L144^2)+(M144^2)+(N144^2))) - SUM(J144:N144)^2),""))</f>
        <v/>
      </c>
      <c r="AF315" t="str">
        <f>IFERROR(CORREL(J144:N144,J315:N315),"")</f>
        <v/>
      </c>
      <c r="AZ315">
        <f t="shared" si="105"/>
        <v>0</v>
      </c>
      <c r="BA315" t="str">
        <f>IF(AZ315=1,IF(Q315="","",IF(Q315=N144,"Yes","No")),"")</f>
        <v/>
      </c>
      <c r="BB315" t="str">
        <f t="shared" si="106"/>
        <v/>
      </c>
      <c r="BC315" t="str">
        <f>IF(AZ315=1,IF(S315="","",IF(S315=N144,"Yes","No")),"")</f>
        <v/>
      </c>
      <c r="BD315" t="str">
        <f t="shared" si="107"/>
        <v/>
      </c>
      <c r="BE315" t="str">
        <f t="shared" si="108"/>
        <v/>
      </c>
      <c r="BF315" t="str">
        <f t="shared" si="109"/>
        <v>No</v>
      </c>
      <c r="BG315" t="str">
        <f t="shared" si="110"/>
        <v>No</v>
      </c>
      <c r="BH315" t="str">
        <f t="shared" si="111"/>
        <v/>
      </c>
    </row>
    <row r="316" spans="9:60" x14ac:dyDescent="0.3">
      <c r="I316" t="str">
        <f t="shared" si="112"/>
        <v>N/A</v>
      </c>
      <c r="J316" t="str">
        <f t="shared" si="113"/>
        <v>N/A</v>
      </c>
      <c r="K316" t="str">
        <f t="shared" si="114"/>
        <v>N/A</v>
      </c>
      <c r="L316" t="str">
        <f t="shared" si="115"/>
        <v>N/A</v>
      </c>
      <c r="M316" t="str">
        <f t="shared" si="116"/>
        <v>N/A</v>
      </c>
      <c r="N316" t="str">
        <f t="shared" si="117"/>
        <v>N/A</v>
      </c>
      <c r="P316">
        <f t="shared" si="94"/>
        <v>0</v>
      </c>
      <c r="Q316" t="str">
        <f>IFERROR(J144+MATCH(P316,J316:N316,0)-1,"")</f>
        <v/>
      </c>
      <c r="R316" t="str">
        <f t="shared" si="95"/>
        <v/>
      </c>
      <c r="S316" t="str">
        <f>IFERROR(J144+MATCH(R316,J316:N316,0)-1,"")</f>
        <v/>
      </c>
      <c r="T316" t="str">
        <f t="shared" si="96"/>
        <v/>
      </c>
      <c r="U316" t="str">
        <f t="shared" si="97"/>
        <v/>
      </c>
      <c r="V316" t="str">
        <f t="shared" si="98"/>
        <v/>
      </c>
      <c r="W316" t="str">
        <f t="shared" si="99"/>
        <v/>
      </c>
      <c r="X316" t="str">
        <f t="shared" si="100"/>
        <v/>
      </c>
      <c r="Y316" t="str">
        <f t="shared" si="101"/>
        <v/>
      </c>
      <c r="Z316" t="str">
        <f t="shared" si="102"/>
        <v/>
      </c>
      <c r="AA316">
        <f t="shared" si="103"/>
        <v>0</v>
      </c>
      <c r="AB316" t="str">
        <f>IFERROR(V144+MATCH(AA316,V316:Z316,0)-1,"")</f>
        <v/>
      </c>
      <c r="AC316" t="str">
        <f t="shared" si="104"/>
        <v/>
      </c>
      <c r="AE316" t="str">
        <f>IF(ISNUMBER(MATCH("N/A",J316:N316,0)),"",IFERROR((5 * SUMPRODUCT(J144:N144,J316:N316) - PRODUCT(SUM(J144:N144),SUM(J316:N316))) / ((5 * SUM((J144^2)+(K144^2)+(L144^2)+(M144^2)+(N144^2))) - SUM(J144:N144)^2),""))</f>
        <v/>
      </c>
      <c r="AF316" t="str">
        <f>IFERROR(CORREL(J144:N144,J316:N316),"")</f>
        <v/>
      </c>
      <c r="AZ316">
        <f t="shared" si="105"/>
        <v>0</v>
      </c>
      <c r="BA316" t="str">
        <f>IF(AZ316=1,IF(Q316="","",IF(Q316=N144,"Yes","No")),"")</f>
        <v/>
      </c>
      <c r="BB316" t="str">
        <f t="shared" si="106"/>
        <v/>
      </c>
      <c r="BC316" t="str">
        <f>IF(AZ316=1,IF(S316="","",IF(S316=N144,"Yes","No")),"")</f>
        <v/>
      </c>
      <c r="BD316" t="str">
        <f t="shared" si="107"/>
        <v/>
      </c>
      <c r="BE316" t="str">
        <f t="shared" si="108"/>
        <v/>
      </c>
      <c r="BF316" t="str">
        <f t="shared" si="109"/>
        <v>No</v>
      </c>
      <c r="BG316" t="str">
        <f t="shared" si="110"/>
        <v>No</v>
      </c>
      <c r="BH316" t="str">
        <f t="shared" si="111"/>
        <v/>
      </c>
    </row>
    <row r="317" spans="9:60" x14ac:dyDescent="0.3">
      <c r="I317" t="str">
        <f t="shared" si="112"/>
        <v>N/A</v>
      </c>
      <c r="J317" t="str">
        <f t="shared" si="113"/>
        <v>N/A</v>
      </c>
      <c r="K317" t="str">
        <f t="shared" si="114"/>
        <v>N/A</v>
      </c>
      <c r="L317" t="str">
        <f t="shared" si="115"/>
        <v>N/A</v>
      </c>
      <c r="M317" t="str">
        <f t="shared" si="116"/>
        <v>N/A</v>
      </c>
      <c r="N317" t="str">
        <f t="shared" si="117"/>
        <v>N/A</v>
      </c>
      <c r="P317">
        <f t="shared" si="94"/>
        <v>0</v>
      </c>
      <c r="Q317" t="str">
        <f>IFERROR(J144+MATCH(P317,J317:N317,0)-1,"")</f>
        <v/>
      </c>
      <c r="R317" t="str">
        <f t="shared" si="95"/>
        <v/>
      </c>
      <c r="S317" t="str">
        <f>IFERROR(J144+MATCH(R317,J317:N317,0)-1,"")</f>
        <v/>
      </c>
      <c r="T317" t="str">
        <f t="shared" si="96"/>
        <v/>
      </c>
      <c r="U317" t="str">
        <f t="shared" si="97"/>
        <v/>
      </c>
      <c r="V317" t="str">
        <f t="shared" si="98"/>
        <v/>
      </c>
      <c r="W317" t="str">
        <f t="shared" si="99"/>
        <v/>
      </c>
      <c r="X317" t="str">
        <f t="shared" si="100"/>
        <v/>
      </c>
      <c r="Y317" t="str">
        <f t="shared" si="101"/>
        <v/>
      </c>
      <c r="Z317" t="str">
        <f t="shared" si="102"/>
        <v/>
      </c>
      <c r="AA317">
        <f t="shared" si="103"/>
        <v>0</v>
      </c>
      <c r="AB317" t="str">
        <f>IFERROR(V144+MATCH(AA317,V317:Z317,0)-1,"")</f>
        <v/>
      </c>
      <c r="AC317" t="str">
        <f t="shared" si="104"/>
        <v/>
      </c>
      <c r="AE317" t="str">
        <f>IF(ISNUMBER(MATCH("N/A",J317:N317,0)),"",IFERROR((5 * SUMPRODUCT(J144:N144,J317:N317) - PRODUCT(SUM(J144:N144),SUM(J317:N317))) / ((5 * SUM((J144^2)+(K144^2)+(L144^2)+(M144^2)+(N144^2))) - SUM(J144:N144)^2),""))</f>
        <v/>
      </c>
      <c r="AF317" t="str">
        <f>IFERROR(CORREL(J144:N144,J317:N317),"")</f>
        <v/>
      </c>
      <c r="AZ317">
        <f t="shared" si="105"/>
        <v>0</v>
      </c>
      <c r="BA317" t="str">
        <f>IF(AZ317=1,IF(Q317="","",IF(Q317=N144,"Yes","No")),"")</f>
        <v/>
      </c>
      <c r="BB317" t="str">
        <f t="shared" si="106"/>
        <v/>
      </c>
      <c r="BC317" t="str">
        <f>IF(AZ317=1,IF(S317="","",IF(S317=N144,"Yes","No")),"")</f>
        <v/>
      </c>
      <c r="BD317" t="str">
        <f t="shared" si="107"/>
        <v/>
      </c>
      <c r="BE317" t="str">
        <f t="shared" si="108"/>
        <v/>
      </c>
      <c r="BF317" t="str">
        <f t="shared" si="109"/>
        <v>No</v>
      </c>
      <c r="BG317" t="str">
        <f t="shared" si="110"/>
        <v>No</v>
      </c>
      <c r="BH317" t="str">
        <f t="shared" si="111"/>
        <v/>
      </c>
    </row>
    <row r="318" spans="9:60" x14ac:dyDescent="0.3">
      <c r="I318" t="str">
        <f t="shared" si="112"/>
        <v>N/A</v>
      </c>
      <c r="J318" t="str">
        <f t="shared" si="113"/>
        <v>N/A</v>
      </c>
      <c r="K318" t="str">
        <f t="shared" si="114"/>
        <v>N/A</v>
      </c>
      <c r="L318" t="str">
        <f t="shared" si="115"/>
        <v>N/A</v>
      </c>
      <c r="M318" t="str">
        <f t="shared" si="116"/>
        <v>N/A</v>
      </c>
      <c r="N318" t="str">
        <f t="shared" si="117"/>
        <v>N/A</v>
      </c>
      <c r="P318">
        <f t="shared" si="94"/>
        <v>0</v>
      </c>
      <c r="Q318" t="str">
        <f>IFERROR(J144+MATCH(P318,J318:N318,0)-1,"")</f>
        <v/>
      </c>
      <c r="R318" t="str">
        <f t="shared" si="95"/>
        <v/>
      </c>
      <c r="S318" t="str">
        <f>IFERROR(J144+MATCH(R318,J318:N318,0)-1,"")</f>
        <v/>
      </c>
      <c r="T318" t="str">
        <f t="shared" si="96"/>
        <v/>
      </c>
      <c r="U318" t="str">
        <f t="shared" si="97"/>
        <v/>
      </c>
      <c r="V318" t="str">
        <f t="shared" si="98"/>
        <v/>
      </c>
      <c r="W318" t="str">
        <f t="shared" si="99"/>
        <v/>
      </c>
      <c r="X318" t="str">
        <f t="shared" si="100"/>
        <v/>
      </c>
      <c r="Y318" t="str">
        <f t="shared" si="101"/>
        <v/>
      </c>
      <c r="Z318" t="str">
        <f t="shared" si="102"/>
        <v/>
      </c>
      <c r="AA318">
        <f t="shared" si="103"/>
        <v>0</v>
      </c>
      <c r="AB318" t="str">
        <f>IFERROR(V144+MATCH(AA318,V318:Z318,0)-1,"")</f>
        <v/>
      </c>
      <c r="AC318" t="str">
        <f t="shared" si="104"/>
        <v/>
      </c>
      <c r="AE318" t="str">
        <f>IF(ISNUMBER(MATCH("N/A",J318:N318,0)),"",IFERROR((5 * SUMPRODUCT(J144:N144,J318:N318) - PRODUCT(SUM(J144:N144),SUM(J318:N318))) / ((5 * SUM((J144^2)+(K144^2)+(L144^2)+(M144^2)+(N144^2))) - SUM(J144:N144)^2),""))</f>
        <v/>
      </c>
      <c r="AF318" t="str">
        <f>IFERROR(CORREL(J144:N144,J318:N318),"")</f>
        <v/>
      </c>
      <c r="AZ318">
        <f t="shared" si="105"/>
        <v>0</v>
      </c>
      <c r="BA318" t="str">
        <f>IF(AZ318=1,IF(Q318="","",IF(Q318=N144,"Yes","No")),"")</f>
        <v/>
      </c>
      <c r="BB318" t="str">
        <f t="shared" si="106"/>
        <v/>
      </c>
      <c r="BC318" t="str">
        <f>IF(AZ318=1,IF(S318="","",IF(S318=N144,"Yes","No")),"")</f>
        <v/>
      </c>
      <c r="BD318" t="str">
        <f t="shared" si="107"/>
        <v/>
      </c>
      <c r="BE318" t="str">
        <f t="shared" si="108"/>
        <v/>
      </c>
      <c r="BF318" t="str">
        <f t="shared" si="109"/>
        <v>No</v>
      </c>
      <c r="BG318" t="str">
        <f t="shared" si="110"/>
        <v>No</v>
      </c>
      <c r="BH318" t="str">
        <f t="shared" si="111"/>
        <v/>
      </c>
    </row>
    <row r="319" spans="9:60" x14ac:dyDescent="0.3">
      <c r="I319" t="str">
        <f t="shared" si="112"/>
        <v>N/A</v>
      </c>
      <c r="J319" t="str">
        <f t="shared" si="113"/>
        <v>N/A</v>
      </c>
      <c r="K319" t="str">
        <f t="shared" si="114"/>
        <v>N/A</v>
      </c>
      <c r="L319" t="str">
        <f t="shared" si="115"/>
        <v>N/A</v>
      </c>
      <c r="M319" t="str">
        <f t="shared" si="116"/>
        <v>N/A</v>
      </c>
      <c r="N319" t="str">
        <f t="shared" si="117"/>
        <v>N/A</v>
      </c>
      <c r="P319">
        <f t="shared" si="94"/>
        <v>0</v>
      </c>
      <c r="Q319" t="str">
        <f>IFERROR(J144+MATCH(P319,J319:N319,0)-1,"")</f>
        <v/>
      </c>
      <c r="R319" t="str">
        <f t="shared" si="95"/>
        <v/>
      </c>
      <c r="S319" t="str">
        <f>IFERROR(J144+MATCH(R319,J319:N319,0)-1,"")</f>
        <v/>
      </c>
      <c r="T319" t="str">
        <f t="shared" si="96"/>
        <v/>
      </c>
      <c r="U319" t="str">
        <f t="shared" si="97"/>
        <v/>
      </c>
      <c r="V319" t="str">
        <f t="shared" si="98"/>
        <v/>
      </c>
      <c r="W319" t="str">
        <f t="shared" si="99"/>
        <v/>
      </c>
      <c r="X319" t="str">
        <f t="shared" si="100"/>
        <v/>
      </c>
      <c r="Y319" t="str">
        <f t="shared" si="101"/>
        <v/>
      </c>
      <c r="Z319" t="str">
        <f t="shared" si="102"/>
        <v/>
      </c>
      <c r="AA319">
        <f t="shared" si="103"/>
        <v>0</v>
      </c>
      <c r="AB319" t="str">
        <f>IFERROR(V144+MATCH(AA319,V319:Z319,0)-1,"")</f>
        <v/>
      </c>
      <c r="AC319" t="str">
        <f t="shared" si="104"/>
        <v/>
      </c>
      <c r="AE319" t="str">
        <f>IF(ISNUMBER(MATCH("N/A",J319:N319,0)),"",IFERROR((5 * SUMPRODUCT(J144:N144,J319:N319) - PRODUCT(SUM(J144:N144),SUM(J319:N319))) / ((5 * SUM((J144^2)+(K144^2)+(L144^2)+(M144^2)+(N144^2))) - SUM(J144:N144)^2),""))</f>
        <v/>
      </c>
      <c r="AF319" t="str">
        <f>IFERROR(CORREL(J144:N144,J319:N319),"")</f>
        <v/>
      </c>
      <c r="AZ319">
        <f t="shared" si="105"/>
        <v>0</v>
      </c>
      <c r="BA319" t="str">
        <f>IF(AZ319=1,IF(Q319="","",IF(Q319=N144,"Yes","No")),"")</f>
        <v/>
      </c>
      <c r="BB319" t="str">
        <f t="shared" si="106"/>
        <v/>
      </c>
      <c r="BC319" t="str">
        <f>IF(AZ319=1,IF(S319="","",IF(S319=N144,"Yes","No")),"")</f>
        <v/>
      </c>
      <c r="BD319" t="str">
        <f t="shared" si="107"/>
        <v/>
      </c>
      <c r="BE319" t="str">
        <f t="shared" si="108"/>
        <v/>
      </c>
      <c r="BF319" t="str">
        <f t="shared" si="109"/>
        <v>No</v>
      </c>
      <c r="BG319" t="str">
        <f t="shared" si="110"/>
        <v>No</v>
      </c>
      <c r="BH319" t="str">
        <f t="shared" si="111"/>
        <v/>
      </c>
    </row>
    <row r="320" spans="9:60" x14ac:dyDescent="0.3">
      <c r="I320" t="str">
        <f t="shared" si="112"/>
        <v>N/A</v>
      </c>
      <c r="J320" t="str">
        <f t="shared" si="113"/>
        <v>N/A</v>
      </c>
      <c r="K320" t="str">
        <f t="shared" si="114"/>
        <v>N/A</v>
      </c>
      <c r="L320" t="str">
        <f t="shared" si="115"/>
        <v>N/A</v>
      </c>
      <c r="M320" t="str">
        <f t="shared" si="116"/>
        <v>N/A</v>
      </c>
      <c r="N320" t="str">
        <f t="shared" si="117"/>
        <v>N/A</v>
      </c>
      <c r="P320">
        <f t="shared" si="94"/>
        <v>0</v>
      </c>
      <c r="Q320" t="str">
        <f>IFERROR(J144+MATCH(P320,J320:N320,0)-1,"")</f>
        <v/>
      </c>
      <c r="R320" t="str">
        <f t="shared" si="95"/>
        <v/>
      </c>
      <c r="S320" t="str">
        <f>IFERROR(J144+MATCH(R320,J320:N320,0)-1,"")</f>
        <v/>
      </c>
      <c r="T320" t="str">
        <f t="shared" si="96"/>
        <v/>
      </c>
      <c r="U320" t="str">
        <f t="shared" si="97"/>
        <v/>
      </c>
      <c r="V320" t="str">
        <f t="shared" si="98"/>
        <v/>
      </c>
      <c r="W320" t="str">
        <f t="shared" si="99"/>
        <v/>
      </c>
      <c r="X320" t="str">
        <f t="shared" si="100"/>
        <v/>
      </c>
      <c r="Y320" t="str">
        <f t="shared" si="101"/>
        <v/>
      </c>
      <c r="Z320" t="str">
        <f t="shared" si="102"/>
        <v/>
      </c>
      <c r="AA320">
        <f t="shared" si="103"/>
        <v>0</v>
      </c>
      <c r="AB320" t="str">
        <f>IFERROR(V144+MATCH(AA320,V320:Z320,0)-1,"")</f>
        <v/>
      </c>
      <c r="AC320" t="str">
        <f t="shared" si="104"/>
        <v/>
      </c>
      <c r="AE320" t="str">
        <f>IF(ISNUMBER(MATCH("N/A",J320:N320,0)),"",IFERROR((5 * SUMPRODUCT(J144:N144,J320:N320) - PRODUCT(SUM(J144:N144),SUM(J320:N320))) / ((5 * SUM((J144^2)+(K144^2)+(L144^2)+(M144^2)+(N144^2))) - SUM(J144:N144)^2),""))</f>
        <v/>
      </c>
      <c r="AF320" t="str">
        <f>IFERROR(CORREL(J144:N144,J320:N320),"")</f>
        <v/>
      </c>
      <c r="AZ320">
        <f t="shared" si="105"/>
        <v>0</v>
      </c>
      <c r="BA320" t="str">
        <f>IF(AZ320=1,IF(Q320="","",IF(Q320=N144,"Yes","No")),"")</f>
        <v/>
      </c>
      <c r="BB320" t="str">
        <f t="shared" si="106"/>
        <v/>
      </c>
      <c r="BC320" t="str">
        <f>IF(AZ320=1,IF(S320="","",IF(S320=N144,"Yes","No")),"")</f>
        <v/>
      </c>
      <c r="BD320" t="str">
        <f t="shared" si="107"/>
        <v/>
      </c>
      <c r="BE320" t="str">
        <f t="shared" si="108"/>
        <v/>
      </c>
      <c r="BF320" t="str">
        <f t="shared" si="109"/>
        <v>No</v>
      </c>
      <c r="BG320" t="str">
        <f t="shared" si="110"/>
        <v>No</v>
      </c>
      <c r="BH320" t="str">
        <f t="shared" si="111"/>
        <v/>
      </c>
    </row>
    <row r="321" spans="9:60" x14ac:dyDescent="0.3">
      <c r="I321" t="str">
        <f t="shared" si="112"/>
        <v>N/A</v>
      </c>
      <c r="J321" t="str">
        <f t="shared" si="113"/>
        <v>N/A</v>
      </c>
      <c r="K321" t="str">
        <f t="shared" si="114"/>
        <v>N/A</v>
      </c>
      <c r="L321" t="str">
        <f t="shared" si="115"/>
        <v>N/A</v>
      </c>
      <c r="M321" t="str">
        <f t="shared" si="116"/>
        <v>N/A</v>
      </c>
      <c r="N321" t="str">
        <f t="shared" si="117"/>
        <v>N/A</v>
      </c>
      <c r="P321">
        <f t="shared" si="94"/>
        <v>0</v>
      </c>
      <c r="Q321" t="str">
        <f>IFERROR(J144+MATCH(P321,J321:N321,0)-1,"")</f>
        <v/>
      </c>
      <c r="R321" t="str">
        <f t="shared" si="95"/>
        <v/>
      </c>
      <c r="S321" t="str">
        <f>IFERROR(J144+MATCH(R321,J321:N321,0)-1,"")</f>
        <v/>
      </c>
      <c r="T321" t="str">
        <f t="shared" si="96"/>
        <v/>
      </c>
      <c r="U321" t="str">
        <f t="shared" si="97"/>
        <v/>
      </c>
      <c r="V321" t="str">
        <f t="shared" si="98"/>
        <v/>
      </c>
      <c r="W321" t="str">
        <f t="shared" si="99"/>
        <v/>
      </c>
      <c r="X321" t="str">
        <f t="shared" si="100"/>
        <v/>
      </c>
      <c r="Y321" t="str">
        <f t="shared" si="101"/>
        <v/>
      </c>
      <c r="Z321" t="str">
        <f t="shared" si="102"/>
        <v/>
      </c>
      <c r="AA321">
        <f t="shared" si="103"/>
        <v>0</v>
      </c>
      <c r="AB321" t="str">
        <f>IFERROR(V144+MATCH(AA321,V321:Z321,0)-1,"")</f>
        <v/>
      </c>
      <c r="AC321" t="str">
        <f t="shared" si="104"/>
        <v/>
      </c>
      <c r="AE321" t="str">
        <f>IF(ISNUMBER(MATCH("N/A",J321:N321,0)),"",IFERROR((5 * SUMPRODUCT(J144:N144,J321:N321) - PRODUCT(SUM(J144:N144),SUM(J321:N321))) / ((5 * SUM((J144^2)+(K144^2)+(L144^2)+(M144^2)+(N144^2))) - SUM(J144:N144)^2),""))</f>
        <v/>
      </c>
      <c r="AF321" t="str">
        <f>IFERROR(CORREL(J144:N144,J321:N321),"")</f>
        <v/>
      </c>
      <c r="AZ321">
        <f t="shared" si="105"/>
        <v>0</v>
      </c>
      <c r="BA321" t="str">
        <f>IF(AZ321=1,IF(Q321="","",IF(Q321=N144,"Yes","No")),"")</f>
        <v/>
      </c>
      <c r="BB321" t="str">
        <f t="shared" si="106"/>
        <v/>
      </c>
      <c r="BC321" t="str">
        <f>IF(AZ321=1,IF(S321="","",IF(S321=N144,"Yes","No")),"")</f>
        <v/>
      </c>
      <c r="BD321" t="str">
        <f t="shared" si="107"/>
        <v/>
      </c>
      <c r="BE321" t="str">
        <f t="shared" si="108"/>
        <v/>
      </c>
      <c r="BF321" t="str">
        <f t="shared" si="109"/>
        <v>No</v>
      </c>
      <c r="BG321" t="str">
        <f t="shared" si="110"/>
        <v>No</v>
      </c>
      <c r="BH321" t="str">
        <f t="shared" si="111"/>
        <v/>
      </c>
    </row>
    <row r="322" spans="9:60" x14ac:dyDescent="0.3">
      <c r="I322" t="str">
        <f t="shared" si="112"/>
        <v>N/A</v>
      </c>
      <c r="J322" t="str">
        <f t="shared" si="113"/>
        <v>N/A</v>
      </c>
      <c r="K322" t="str">
        <f t="shared" si="114"/>
        <v>N/A</v>
      </c>
      <c r="L322" t="str">
        <f t="shared" si="115"/>
        <v>N/A</v>
      </c>
      <c r="M322" t="str">
        <f t="shared" si="116"/>
        <v>N/A</v>
      </c>
      <c r="N322" t="str">
        <f t="shared" si="117"/>
        <v>N/A</v>
      </c>
      <c r="P322">
        <f t="shared" si="94"/>
        <v>0</v>
      </c>
      <c r="Q322" t="str">
        <f>IFERROR(J144+MATCH(P322,J322:N322,0)-1,"")</f>
        <v/>
      </c>
      <c r="R322" t="str">
        <f t="shared" si="95"/>
        <v/>
      </c>
      <c r="S322" t="str">
        <f>IFERROR(J144+MATCH(R322,J322:N322,0)-1,"")</f>
        <v/>
      </c>
      <c r="T322" t="str">
        <f t="shared" si="96"/>
        <v/>
      </c>
      <c r="U322" t="str">
        <f t="shared" si="97"/>
        <v/>
      </c>
      <c r="V322" t="str">
        <f t="shared" si="98"/>
        <v/>
      </c>
      <c r="W322" t="str">
        <f t="shared" si="99"/>
        <v/>
      </c>
      <c r="X322" t="str">
        <f t="shared" si="100"/>
        <v/>
      </c>
      <c r="Y322" t="str">
        <f t="shared" si="101"/>
        <v/>
      </c>
      <c r="Z322" t="str">
        <f t="shared" si="102"/>
        <v/>
      </c>
      <c r="AA322">
        <f t="shared" si="103"/>
        <v>0</v>
      </c>
      <c r="AB322" t="str">
        <f>IFERROR(V144+MATCH(AA322,V322:Z322,0)-1,"")</f>
        <v/>
      </c>
      <c r="AC322" t="str">
        <f t="shared" si="104"/>
        <v/>
      </c>
      <c r="AE322" t="str">
        <f>IF(ISNUMBER(MATCH("N/A",J322:N322,0)),"",IFERROR((5 * SUMPRODUCT(J144:N144,J322:N322) - PRODUCT(SUM(J144:N144),SUM(J322:N322))) / ((5 * SUM((J144^2)+(K144^2)+(L144^2)+(M144^2)+(N144^2))) - SUM(J144:N144)^2),""))</f>
        <v/>
      </c>
      <c r="AF322" t="str">
        <f>IFERROR(CORREL(J144:N144,J322:N322),"")</f>
        <v/>
      </c>
      <c r="AZ322">
        <f t="shared" si="105"/>
        <v>0</v>
      </c>
      <c r="BA322" t="str">
        <f>IF(AZ322=1,IF(Q322="","",IF(Q322=N144,"Yes","No")),"")</f>
        <v/>
      </c>
      <c r="BB322" t="str">
        <f t="shared" si="106"/>
        <v/>
      </c>
      <c r="BC322" t="str">
        <f>IF(AZ322=1,IF(S322="","",IF(S322=N144,"Yes","No")),"")</f>
        <v/>
      </c>
      <c r="BD322" t="str">
        <f t="shared" si="107"/>
        <v/>
      </c>
      <c r="BE322" t="str">
        <f t="shared" si="108"/>
        <v/>
      </c>
      <c r="BF322" t="str">
        <f t="shared" si="109"/>
        <v>No</v>
      </c>
      <c r="BG322" t="str">
        <f t="shared" si="110"/>
        <v>No</v>
      </c>
      <c r="BH322" t="str">
        <f t="shared" si="111"/>
        <v/>
      </c>
    </row>
    <row r="323" spans="9:60" x14ac:dyDescent="0.3">
      <c r="I323" t="str">
        <f t="shared" si="112"/>
        <v>N/A</v>
      </c>
      <c r="J323" t="str">
        <f t="shared" si="113"/>
        <v>N/A</v>
      </c>
      <c r="K323" t="str">
        <f t="shared" si="114"/>
        <v>N/A</v>
      </c>
      <c r="L323" t="str">
        <f t="shared" si="115"/>
        <v>N/A</v>
      </c>
      <c r="M323" t="str">
        <f t="shared" si="116"/>
        <v>N/A</v>
      </c>
      <c r="N323" t="str">
        <f t="shared" si="117"/>
        <v>N/A</v>
      </c>
      <c r="P323">
        <f t="shared" si="94"/>
        <v>0</v>
      </c>
      <c r="Q323" t="str">
        <f>IFERROR(J144+MATCH(P323,J323:N323,0)-1,"")</f>
        <v/>
      </c>
      <c r="R323" t="str">
        <f t="shared" si="95"/>
        <v/>
      </c>
      <c r="S323" t="str">
        <f>IFERROR(J144+MATCH(R323,J323:N323,0)-1,"")</f>
        <v/>
      </c>
      <c r="T323" t="str">
        <f t="shared" si="96"/>
        <v/>
      </c>
      <c r="U323" t="str">
        <f t="shared" si="97"/>
        <v/>
      </c>
      <c r="V323" t="str">
        <f t="shared" si="98"/>
        <v/>
      </c>
      <c r="W323" t="str">
        <f t="shared" si="99"/>
        <v/>
      </c>
      <c r="X323" t="str">
        <f t="shared" si="100"/>
        <v/>
      </c>
      <c r="Y323" t="str">
        <f t="shared" si="101"/>
        <v/>
      </c>
      <c r="Z323" t="str">
        <f t="shared" si="102"/>
        <v/>
      </c>
      <c r="AA323">
        <f t="shared" si="103"/>
        <v>0</v>
      </c>
      <c r="AB323" t="str">
        <f>IFERROR(V144+MATCH(AA323,V323:Z323,0)-1,"")</f>
        <v/>
      </c>
      <c r="AC323" t="str">
        <f t="shared" si="104"/>
        <v/>
      </c>
      <c r="AE323" t="str">
        <f>IF(ISNUMBER(MATCH("N/A",J323:N323,0)),"",IFERROR((5 * SUMPRODUCT(J144:N144,J323:N323) - PRODUCT(SUM(J144:N144),SUM(J323:N323))) / ((5 * SUM((J144^2)+(K144^2)+(L144^2)+(M144^2)+(N144^2))) - SUM(J144:N144)^2),""))</f>
        <v/>
      </c>
      <c r="AF323" t="str">
        <f>IFERROR(CORREL(J144:N144,J323:N323),"")</f>
        <v/>
      </c>
      <c r="AZ323">
        <f t="shared" si="105"/>
        <v>0</v>
      </c>
      <c r="BA323" t="str">
        <f>IF(AZ323=1,IF(Q323="","",IF(Q323=N144,"Yes","No")),"")</f>
        <v/>
      </c>
      <c r="BB323" t="str">
        <f t="shared" si="106"/>
        <v/>
      </c>
      <c r="BC323" t="str">
        <f>IF(AZ323=1,IF(S323="","",IF(S323=N144,"Yes","No")),"")</f>
        <v/>
      </c>
      <c r="BD323" t="str">
        <f t="shared" si="107"/>
        <v/>
      </c>
      <c r="BE323" t="str">
        <f t="shared" si="108"/>
        <v/>
      </c>
      <c r="BF323" t="str">
        <f t="shared" si="109"/>
        <v>No</v>
      </c>
      <c r="BG323" t="str">
        <f t="shared" si="110"/>
        <v>No</v>
      </c>
      <c r="BH323" t="str">
        <f t="shared" si="111"/>
        <v/>
      </c>
    </row>
    <row r="324" spans="9:60" x14ac:dyDescent="0.3">
      <c r="I324" t="str">
        <f t="shared" si="112"/>
        <v>N/A</v>
      </c>
      <c r="J324" t="str">
        <f t="shared" si="113"/>
        <v>N/A</v>
      </c>
      <c r="K324" t="str">
        <f t="shared" si="114"/>
        <v>N/A</v>
      </c>
      <c r="L324" t="str">
        <f t="shared" si="115"/>
        <v>N/A</v>
      </c>
      <c r="M324" t="str">
        <f t="shared" si="116"/>
        <v>N/A</v>
      </c>
      <c r="N324" t="str">
        <f t="shared" si="117"/>
        <v>N/A</v>
      </c>
      <c r="P324">
        <f t="shared" si="94"/>
        <v>0</v>
      </c>
      <c r="Q324" t="str">
        <f>IFERROR(J144+MATCH(P324,J324:N324,0)-1,"")</f>
        <v/>
      </c>
      <c r="R324" t="str">
        <f t="shared" si="95"/>
        <v/>
      </c>
      <c r="S324" t="str">
        <f>IFERROR(J144+MATCH(R324,J324:N324,0)-1,"")</f>
        <v/>
      </c>
      <c r="T324" t="str">
        <f t="shared" si="96"/>
        <v/>
      </c>
      <c r="U324" t="str">
        <f t="shared" si="97"/>
        <v/>
      </c>
      <c r="V324" t="str">
        <f t="shared" si="98"/>
        <v/>
      </c>
      <c r="W324" t="str">
        <f t="shared" si="99"/>
        <v/>
      </c>
      <c r="X324" t="str">
        <f t="shared" si="100"/>
        <v/>
      </c>
      <c r="Y324" t="str">
        <f t="shared" si="101"/>
        <v/>
      </c>
      <c r="Z324" t="str">
        <f t="shared" si="102"/>
        <v/>
      </c>
      <c r="AA324">
        <f t="shared" si="103"/>
        <v>0</v>
      </c>
      <c r="AB324" t="str">
        <f>IFERROR(V144+MATCH(AA324,V324:Z324,0)-1,"")</f>
        <v/>
      </c>
      <c r="AC324" t="str">
        <f t="shared" si="104"/>
        <v/>
      </c>
      <c r="AE324" t="str">
        <f>IF(ISNUMBER(MATCH("N/A",J324:N324,0)),"",IFERROR((5 * SUMPRODUCT(J144:N144,J324:N324) - PRODUCT(SUM(J144:N144),SUM(J324:N324))) / ((5 * SUM((J144^2)+(K144^2)+(L144^2)+(M144^2)+(N144^2))) - SUM(J144:N144)^2),""))</f>
        <v/>
      </c>
      <c r="AF324" t="str">
        <f>IFERROR(CORREL(J144:N144,J324:N324),"")</f>
        <v/>
      </c>
      <c r="AZ324">
        <f t="shared" si="105"/>
        <v>0</v>
      </c>
      <c r="BA324" t="str">
        <f>IF(AZ324=1,IF(Q324="","",IF(Q324=N144,"Yes","No")),"")</f>
        <v/>
      </c>
      <c r="BB324" t="str">
        <f t="shared" si="106"/>
        <v/>
      </c>
      <c r="BC324" t="str">
        <f>IF(AZ324=1,IF(S324="","",IF(S324=N144,"Yes","No")),"")</f>
        <v/>
      </c>
      <c r="BD324" t="str">
        <f t="shared" si="107"/>
        <v/>
      </c>
      <c r="BE324" t="str">
        <f t="shared" si="108"/>
        <v/>
      </c>
      <c r="BF324" t="str">
        <f t="shared" si="109"/>
        <v>No</v>
      </c>
      <c r="BG324" t="str">
        <f t="shared" si="110"/>
        <v>No</v>
      </c>
      <c r="BH324" t="str">
        <f t="shared" si="111"/>
        <v/>
      </c>
    </row>
    <row r="325" spans="9:60" x14ac:dyDescent="0.3">
      <c r="I325" t="str">
        <f t="shared" si="112"/>
        <v>N/A</v>
      </c>
      <c r="J325" t="str">
        <f t="shared" si="113"/>
        <v>N/A</v>
      </c>
      <c r="K325" t="str">
        <f t="shared" si="114"/>
        <v>N/A</v>
      </c>
      <c r="L325" t="str">
        <f t="shared" si="115"/>
        <v>N/A</v>
      </c>
      <c r="M325" t="str">
        <f t="shared" si="116"/>
        <v>N/A</v>
      </c>
      <c r="N325" t="str">
        <f t="shared" si="117"/>
        <v>N/A</v>
      </c>
      <c r="P325">
        <f t="shared" si="94"/>
        <v>0</v>
      </c>
      <c r="Q325" t="str">
        <f>IFERROR(J144+MATCH(P325,J325:N325,0)-1,"")</f>
        <v/>
      </c>
      <c r="R325" t="str">
        <f t="shared" si="95"/>
        <v/>
      </c>
      <c r="S325" t="str">
        <f>IFERROR(J144+MATCH(R325,J325:N325,0)-1,"")</f>
        <v/>
      </c>
      <c r="T325" t="str">
        <f t="shared" si="96"/>
        <v/>
      </c>
      <c r="U325" t="str">
        <f t="shared" si="97"/>
        <v/>
      </c>
      <c r="V325" t="str">
        <f t="shared" si="98"/>
        <v/>
      </c>
      <c r="W325" t="str">
        <f t="shared" si="99"/>
        <v/>
      </c>
      <c r="X325" t="str">
        <f t="shared" si="100"/>
        <v/>
      </c>
      <c r="Y325" t="str">
        <f t="shared" si="101"/>
        <v/>
      </c>
      <c r="Z325" t="str">
        <f t="shared" si="102"/>
        <v/>
      </c>
      <c r="AA325">
        <f t="shared" si="103"/>
        <v>0</v>
      </c>
      <c r="AB325" t="str">
        <f>IFERROR(V144+MATCH(AA325,V325:Z325,0)-1,"")</f>
        <v/>
      </c>
      <c r="AC325" t="str">
        <f t="shared" si="104"/>
        <v/>
      </c>
      <c r="AE325" t="str">
        <f>IF(ISNUMBER(MATCH("N/A",J325:N325,0)),"",IFERROR((5 * SUMPRODUCT(J144:N144,J325:N325) - PRODUCT(SUM(J144:N144),SUM(J325:N325))) / ((5 * SUM((J144^2)+(K144^2)+(L144^2)+(M144^2)+(N144^2))) - SUM(J144:N144)^2),""))</f>
        <v/>
      </c>
      <c r="AF325" t="str">
        <f>IFERROR(CORREL(J144:N144,J325:N325),"")</f>
        <v/>
      </c>
      <c r="AZ325">
        <f t="shared" si="105"/>
        <v>0</v>
      </c>
      <c r="BA325" t="str">
        <f>IF(AZ325=1,IF(Q325="","",IF(Q325=N144,"Yes","No")),"")</f>
        <v/>
      </c>
      <c r="BB325" t="str">
        <f t="shared" si="106"/>
        <v/>
      </c>
      <c r="BC325" t="str">
        <f>IF(AZ325=1,IF(S325="","",IF(S325=N144,"Yes","No")),"")</f>
        <v/>
      </c>
      <c r="BD325" t="str">
        <f t="shared" si="107"/>
        <v/>
      </c>
      <c r="BE325" t="str">
        <f t="shared" si="108"/>
        <v/>
      </c>
      <c r="BF325" t="str">
        <f t="shared" si="109"/>
        <v>No</v>
      </c>
      <c r="BG325" t="str">
        <f t="shared" si="110"/>
        <v>No</v>
      </c>
      <c r="BH325" t="str">
        <f t="shared" si="111"/>
        <v/>
      </c>
    </row>
    <row r="326" spans="9:60" x14ac:dyDescent="0.3">
      <c r="I326" t="str">
        <f t="shared" si="112"/>
        <v>N/A</v>
      </c>
      <c r="J326" t="str">
        <f t="shared" si="113"/>
        <v>N/A</v>
      </c>
      <c r="K326" t="str">
        <f t="shared" si="114"/>
        <v>N/A</v>
      </c>
      <c r="L326" t="str">
        <f t="shared" si="115"/>
        <v>N/A</v>
      </c>
      <c r="M326" t="str">
        <f t="shared" si="116"/>
        <v>N/A</v>
      </c>
      <c r="N326" t="str">
        <f t="shared" si="117"/>
        <v>N/A</v>
      </c>
      <c r="P326">
        <f t="shared" si="94"/>
        <v>0</v>
      </c>
      <c r="Q326" t="str">
        <f>IFERROR(J144+MATCH(P326,J326:N326,0)-1,"")</f>
        <v/>
      </c>
      <c r="R326" t="str">
        <f t="shared" si="95"/>
        <v/>
      </c>
      <c r="S326" t="str">
        <f>IFERROR(J144+MATCH(R326,J326:N326,0)-1,"")</f>
        <v/>
      </c>
      <c r="T326" t="str">
        <f t="shared" si="96"/>
        <v/>
      </c>
      <c r="U326" t="str">
        <f t="shared" si="97"/>
        <v/>
      </c>
      <c r="V326" t="str">
        <f t="shared" si="98"/>
        <v/>
      </c>
      <c r="W326" t="str">
        <f t="shared" si="99"/>
        <v/>
      </c>
      <c r="X326" t="str">
        <f t="shared" si="100"/>
        <v/>
      </c>
      <c r="Y326" t="str">
        <f t="shared" si="101"/>
        <v/>
      </c>
      <c r="Z326" t="str">
        <f t="shared" si="102"/>
        <v/>
      </c>
      <c r="AA326">
        <f t="shared" si="103"/>
        <v>0</v>
      </c>
      <c r="AB326" t="str">
        <f>IFERROR(V144+MATCH(AA326,V326:Z326,0)-1,"")</f>
        <v/>
      </c>
      <c r="AC326" t="str">
        <f t="shared" si="104"/>
        <v/>
      </c>
      <c r="AE326" t="str">
        <f>IF(ISNUMBER(MATCH("N/A",J326:N326,0)),"",IFERROR((5 * SUMPRODUCT(J144:N144,J326:N326) - PRODUCT(SUM(J144:N144),SUM(J326:N326))) / ((5 * SUM((J144^2)+(K144^2)+(L144^2)+(M144^2)+(N144^2))) - SUM(J144:N144)^2),""))</f>
        <v/>
      </c>
      <c r="AF326" t="str">
        <f>IFERROR(CORREL(J144:N144,J326:N326),"")</f>
        <v/>
      </c>
      <c r="AZ326">
        <f t="shared" si="105"/>
        <v>0</v>
      </c>
      <c r="BA326" t="str">
        <f>IF(AZ326=1,IF(Q326="","",IF(Q326=N144,"Yes","No")),"")</f>
        <v/>
      </c>
      <c r="BB326" t="str">
        <f t="shared" si="106"/>
        <v/>
      </c>
      <c r="BC326" t="str">
        <f>IF(AZ326=1,IF(S326="","",IF(S326=N144,"Yes","No")),"")</f>
        <v/>
      </c>
      <c r="BD326" t="str">
        <f t="shared" si="107"/>
        <v/>
      </c>
      <c r="BE326" t="str">
        <f t="shared" si="108"/>
        <v/>
      </c>
      <c r="BF326" t="str">
        <f t="shared" si="109"/>
        <v>No</v>
      </c>
      <c r="BG326" t="str">
        <f t="shared" si="110"/>
        <v>No</v>
      </c>
      <c r="BH326" t="str">
        <f t="shared" si="111"/>
        <v/>
      </c>
    </row>
    <row r="327" spans="9:60" x14ac:dyDescent="0.3">
      <c r="I327" t="str">
        <f t="shared" si="112"/>
        <v>N/A</v>
      </c>
      <c r="J327" t="str">
        <f t="shared" si="113"/>
        <v>N/A</v>
      </c>
      <c r="K327" t="str">
        <f t="shared" si="114"/>
        <v>N/A</v>
      </c>
      <c r="L327" t="str">
        <f t="shared" si="115"/>
        <v>N/A</v>
      </c>
      <c r="M327" t="str">
        <f t="shared" si="116"/>
        <v>N/A</v>
      </c>
      <c r="N327" t="str">
        <f t="shared" si="117"/>
        <v>N/A</v>
      </c>
      <c r="P327">
        <f t="shared" si="94"/>
        <v>0</v>
      </c>
      <c r="Q327" t="str">
        <f>IFERROR(J144+MATCH(P327,J327:N327,0)-1,"")</f>
        <v/>
      </c>
      <c r="R327" t="str">
        <f t="shared" si="95"/>
        <v/>
      </c>
      <c r="S327" t="str">
        <f>IFERROR(J144+MATCH(R327,J327:N327,0)-1,"")</f>
        <v/>
      </c>
      <c r="T327" t="str">
        <f t="shared" si="96"/>
        <v/>
      </c>
      <c r="U327" t="str">
        <f t="shared" si="97"/>
        <v/>
      </c>
      <c r="V327" t="str">
        <f t="shared" si="98"/>
        <v/>
      </c>
      <c r="W327" t="str">
        <f t="shared" si="99"/>
        <v/>
      </c>
      <c r="X327" t="str">
        <f t="shared" si="100"/>
        <v/>
      </c>
      <c r="Y327" t="str">
        <f t="shared" si="101"/>
        <v/>
      </c>
      <c r="Z327" t="str">
        <f t="shared" si="102"/>
        <v/>
      </c>
      <c r="AA327">
        <f t="shared" si="103"/>
        <v>0</v>
      </c>
      <c r="AB327" t="str">
        <f>IFERROR(V144+MATCH(AA327,V327:Z327,0)-1,"")</f>
        <v/>
      </c>
      <c r="AC327" t="str">
        <f t="shared" si="104"/>
        <v/>
      </c>
      <c r="AE327" t="str">
        <f>IF(ISNUMBER(MATCH("N/A",J327:N327,0)),"",IFERROR((5 * SUMPRODUCT(J144:N144,J327:N327) - PRODUCT(SUM(J144:N144),SUM(J327:N327))) / ((5 * SUM((J144^2)+(K144^2)+(L144^2)+(M144^2)+(N144^2))) - SUM(J144:N144)^2),""))</f>
        <v/>
      </c>
      <c r="AF327" t="str">
        <f>IFERROR(CORREL(J144:N144,J327:N327),"")</f>
        <v/>
      </c>
      <c r="AZ327">
        <f t="shared" si="105"/>
        <v>0</v>
      </c>
      <c r="BA327" t="str">
        <f>IF(AZ327=1,IF(Q327="","",IF(Q327=N144,"Yes","No")),"")</f>
        <v/>
      </c>
      <c r="BB327" t="str">
        <f t="shared" si="106"/>
        <v/>
      </c>
      <c r="BC327" t="str">
        <f>IF(AZ327=1,IF(S327="","",IF(S327=N144,"Yes","No")),"")</f>
        <v/>
      </c>
      <c r="BD327" t="str">
        <f t="shared" si="107"/>
        <v/>
      </c>
      <c r="BE327" t="str">
        <f t="shared" si="108"/>
        <v/>
      </c>
      <c r="BF327" t="str">
        <f t="shared" si="109"/>
        <v>No</v>
      </c>
      <c r="BG327" t="str">
        <f t="shared" si="110"/>
        <v>No</v>
      </c>
      <c r="BH327" t="str">
        <f t="shared" si="111"/>
        <v/>
      </c>
    </row>
    <row r="328" spans="9:60" x14ac:dyDescent="0.3">
      <c r="P328">
        <f t="shared" si="94"/>
        <v>0</v>
      </c>
      <c r="Q328" t="str">
        <f>IFERROR(J144+MATCH(P328,J328:N328,0)-1,"")</f>
        <v/>
      </c>
      <c r="R328" t="str">
        <f t="shared" si="95"/>
        <v/>
      </c>
      <c r="S328" t="str">
        <f>IFERROR(J144+MATCH(R328,J328:N328,0)-1,"")</f>
        <v/>
      </c>
      <c r="T328" t="str">
        <f t="shared" si="96"/>
        <v/>
      </c>
      <c r="U328" t="str">
        <f t="shared" si="97"/>
        <v/>
      </c>
      <c r="V328" t="str">
        <f t="shared" si="98"/>
        <v/>
      </c>
      <c r="W328" t="str">
        <f t="shared" si="99"/>
        <v/>
      </c>
      <c r="X328" t="str">
        <f t="shared" si="100"/>
        <v/>
      </c>
      <c r="Y328" t="str">
        <f t="shared" si="101"/>
        <v/>
      </c>
      <c r="Z328" t="str">
        <f t="shared" si="102"/>
        <v/>
      </c>
      <c r="AA328">
        <f t="shared" si="103"/>
        <v>0</v>
      </c>
      <c r="AB328" t="str">
        <f>IFERROR(V144+MATCH(AA328,V328:Z328,0)-1,"")</f>
        <v/>
      </c>
      <c r="AC328" t="str">
        <f t="shared" si="104"/>
        <v/>
      </c>
      <c r="AE328" t="str">
        <f>IF(ISNUMBER(MATCH("N/A",J328:N328,0)),"",IFERROR((5 * SUMPRODUCT(J144:N144,J328:N328) - PRODUCT(SUM(J144:N144),SUM(J328:N328))) / ((5 * SUM((J144^2)+(K144^2)+(L144^2)+(M144^2)+(N144^2))) - SUM(J144:N144)^2),""))</f>
        <v/>
      </c>
      <c r="AF328" t="str">
        <f>IFERROR(CORREL(J144:N144,J328:N328),"")</f>
        <v/>
      </c>
      <c r="AZ328">
        <f t="shared" si="105"/>
        <v>0</v>
      </c>
      <c r="BA328" t="str">
        <f>IF(AZ328=1,IF(Q328="","",IF(Q328=N144,"Yes","No")),"")</f>
        <v/>
      </c>
      <c r="BB328" t="str">
        <f t="shared" si="106"/>
        <v/>
      </c>
      <c r="BC328" t="str">
        <f>IF(AZ328=1,IF(S328="","",IF(S328=N144,"Yes","No")),"")</f>
        <v/>
      </c>
      <c r="BD328" t="str">
        <f t="shared" si="107"/>
        <v/>
      </c>
      <c r="BE328" t="str">
        <f t="shared" si="108"/>
        <v/>
      </c>
      <c r="BF328" t="str">
        <f t="shared" si="109"/>
        <v>No</v>
      </c>
      <c r="BG328" t="str">
        <f t="shared" si="110"/>
        <v>No</v>
      </c>
      <c r="BH328" t="str">
        <f t="shared" si="111"/>
        <v/>
      </c>
    </row>
    <row r="329" spans="9:60" x14ac:dyDescent="0.3">
      <c r="I329" t="str">
        <f t="shared" ref="I329:I360" si="118">IF(AND(K329&gt; J329, L329&gt; K329, M329&gt; L329, N329&gt; M329), "pos_trend", IF(AND(K329&lt; J329, L329&lt; K329, M329&lt; L329, N329&lt; M329), "neg_trend", "N/A"))</f>
        <v>N/A</v>
      </c>
      <c r="J329" t="str">
        <f t="shared" ref="J329:J360" si="119">IFERROR(IF(TRIM(C329)="-", "N/A", IF(RIGHT(C329,1)=")",IF(RIGHT(C329,2)="T)",-1000000000000*VALUE(MID(C329,2,LEN(C329)-3)),IF(RIGHT(C329,2)="M)",-1000000*VALUE(MID(C329,2,LEN(C329)-3)),IF(RIGHT(C329,2)="B)",-1000000000*VALUE(MID(C329,2,LEN(C329)-3)),IF(RIGHT(C329,2)="k)",-1000*VALUE(MID(C329,2,LEN(C329)-3)),VALUE(SUBSTITUTE(C329,",","")))))),IF(RIGHT(C329,1)="T",1000000000000*VALUE(LEFT(C329,LEN(C329)-1)),IF(RIGHT(C329,1)="M",1000000*VALUE(LEFT(C329,LEN(C329)-1)),IF(RIGHT(C329,1)="B",1000000000*VALUE(LEFT(C329,LEN(C329)-1)),IF(RIGHT(C329,1)="%",0.01*VALUE(LEFT(C329,LEN(C329)-1)),IF(RIGHT(C329,1)="k",1000*VALUE(LEFT(C329,LEN(C329)-1)),VALUE(SUBSTITUTE(C329,",",""))))))))),"N/A")</f>
        <v>N/A</v>
      </c>
      <c r="K329" t="str">
        <f t="shared" ref="K329:K360" si="120">IFERROR(IF(TRIM(D329)="-", "N/A", IF(RIGHT(D329,1)=")",IF(RIGHT(D329,2)="T)",-1000000000000*VALUE(MID(D329,2,LEN(D329)-3)),IF(RIGHT(D329,2)="M)",-1000000*VALUE(MID(D329,2,LEN(D329)-3)),IF(RIGHT(D329,2)="B)",-1000000000*VALUE(MID(D329,2,LEN(D329)-3)),IF(RIGHT(D329,2)="k)",-1000*VALUE(MID(D329,2,LEN(D329)-3)),VALUE(SUBSTITUTE(D329,",","")))))),IF(RIGHT(D329,1)="T",1000000000000*VALUE(LEFT(D329,LEN(D329)-1)),IF(RIGHT(D329,1)="M",1000000*VALUE(LEFT(D329,LEN(D329)-1)),IF(RIGHT(D329,1)="B",1000000000*VALUE(LEFT(D329,LEN(D329)-1)),IF(RIGHT(D329,1)="%",0.01*VALUE(LEFT(D329,LEN(D329)-1)),IF(RIGHT(D329,1)="k",1000*VALUE(LEFT(D329,LEN(D329)-1)),VALUE(SUBSTITUTE(D329,",",""))))))))),"N/A")</f>
        <v>N/A</v>
      </c>
      <c r="L329" t="str">
        <f t="shared" ref="L329:L360" si="121">IFERROR(IF(TRIM(E329)="-", "N/A", IF(RIGHT(E329,1)=")",IF(RIGHT(E329,2)="T)",-1000000000000*VALUE(MID(E329,2,LEN(E329)-3)),IF(RIGHT(E329,2)="M)",-1000000*VALUE(MID(E329,2,LEN(E329)-3)),IF(RIGHT(E329,2)="B)",-1000000000*VALUE(MID(E329,2,LEN(E329)-3)),IF(RIGHT(E329,2)="k)",-1000*VALUE(MID(E329,2,LEN(E329)-3)),VALUE(SUBSTITUTE(E329,",","")))))),IF(RIGHT(E329,1)="T",1000000000000*VALUE(LEFT(E329,LEN(E329)-1)),IF(RIGHT(E329,1)="M",1000000*VALUE(LEFT(E329,LEN(E329)-1)),IF(RIGHT(E329,1)="B",1000000000*VALUE(LEFT(E329,LEN(E329)-1)),IF(RIGHT(E329,1)="%",0.01*VALUE(LEFT(E329,LEN(E329)-1)),IF(RIGHT(E329,1)="k",1000*VALUE(LEFT(E329,LEN(E329)-1)),VALUE(SUBSTITUTE(E329,",",""))))))))),"N/A")</f>
        <v>N/A</v>
      </c>
      <c r="M329" t="str">
        <f t="shared" ref="M329:M360" si="122">IFERROR(IF(TRIM(F329)="-", "N/A", IF(RIGHT(F329,1)=")",IF(RIGHT(F329,2)="T)",-1000000000000*VALUE(MID(F329,2,LEN(F329)-3)),IF(RIGHT(F329,2)="M)",-1000000*VALUE(MID(F329,2,LEN(F329)-3)),IF(RIGHT(F329,2)="B)",-1000000000*VALUE(MID(F329,2,LEN(F329)-3)),IF(RIGHT(F329,2)="k)",-1000*VALUE(MID(F329,2,LEN(F329)-3)),VALUE(SUBSTITUTE(F329,",","")))))),IF(RIGHT(F329,1)="T",1000000000000*VALUE(LEFT(F329,LEN(F329)-1)),IF(RIGHT(F329,1)="M",1000000*VALUE(LEFT(F329,LEN(F329)-1)),IF(RIGHT(F329,1)="B",1000000000*VALUE(LEFT(F329,LEN(F329)-1)),IF(RIGHT(F329,1)="%",0.01*VALUE(LEFT(F329,LEN(F329)-1)),IF(RIGHT(F329,1)="k",1000*VALUE(LEFT(F329,LEN(F329)-1)),VALUE(SUBSTITUTE(F329,",",""))))))))),"N/A")</f>
        <v>N/A</v>
      </c>
      <c r="N329" t="str">
        <f t="shared" ref="N329:N360" si="123">IFERROR(IF(TRIM(G329)="-", "N/A", IF(RIGHT(G329,1)=")",IF(RIGHT(G329,2)="T)",-1000000000000*VALUE(MID(G329,2,LEN(G329)-3)),IF(RIGHT(G329,2)="M)",-1000000*VALUE(MID(G329,2,LEN(G329)-3)),IF(RIGHT(G329,2)="B)",-1000000000*VALUE(MID(G329,2,LEN(G329)-3)),IF(RIGHT(G329,2)="k)",-1000*VALUE(MID(G329,2,LEN(G329)-3)),VALUE(SUBSTITUTE(G329,",","")))))),IF(RIGHT(G329,1)="T",1000000000000*VALUE(LEFT(G329,LEN(G329)-1)),IF(RIGHT(G329,1)="M",1000000*VALUE(LEFT(G329,LEN(G329)-1)),IF(RIGHT(G329,1)="B",1000000000*VALUE(LEFT(G329,LEN(G329)-1)),IF(RIGHT(G329,1)="%",0.01*VALUE(LEFT(G329,LEN(G329)-1)),IF(RIGHT(G329,1)="k",1000*VALUE(LEFT(G329,LEN(G329)-1)),VALUE(SUBSTITUTE(G329,",",""))))))))),"N/A")</f>
        <v>N/A</v>
      </c>
      <c r="P329">
        <f t="shared" si="94"/>
        <v>0</v>
      </c>
      <c r="Q329" t="str">
        <f>IFERROR(J144+MATCH(P329,J329:N329,0)-1,"")</f>
        <v/>
      </c>
      <c r="R329" t="str">
        <f t="shared" si="95"/>
        <v/>
      </c>
      <c r="S329" t="str">
        <f>IFERROR(J144+MATCH(R329,J329:N329,0)-1,"")</f>
        <v/>
      </c>
      <c r="T329" t="str">
        <f t="shared" si="96"/>
        <v/>
      </c>
      <c r="U329" t="str">
        <f t="shared" si="97"/>
        <v/>
      </c>
      <c r="V329" t="str">
        <f t="shared" si="98"/>
        <v/>
      </c>
      <c r="W329" t="str">
        <f t="shared" si="99"/>
        <v/>
      </c>
      <c r="X329" t="str">
        <f t="shared" si="100"/>
        <v/>
      </c>
      <c r="Y329" t="str">
        <f t="shared" si="101"/>
        <v/>
      </c>
      <c r="Z329" t="str">
        <f t="shared" si="102"/>
        <v/>
      </c>
      <c r="AA329">
        <f t="shared" si="103"/>
        <v>0</v>
      </c>
      <c r="AB329" t="str">
        <f>IFERROR(V144+MATCH(AA329,V329:Z329,0)-1,"")</f>
        <v/>
      </c>
      <c r="AC329" t="str">
        <f t="shared" si="104"/>
        <v/>
      </c>
      <c r="AE329" t="str">
        <f>IF(ISNUMBER(MATCH("N/A",J329:N329,0)),"",IFERROR((5 * SUMPRODUCT(J144:N144,J329:N329) - PRODUCT(SUM(J144:N144),SUM(J329:N329))) / ((5 * SUM((J144^2)+(K144^2)+(L144^2)+(M144^2)+(N144^2))) - SUM(J144:N144)^2),""))</f>
        <v/>
      </c>
      <c r="AF329" t="str">
        <f>IFERROR(CORREL(J144:N144,J329:N329),"")</f>
        <v/>
      </c>
      <c r="AZ329">
        <f t="shared" si="105"/>
        <v>0</v>
      </c>
      <c r="BA329" t="str">
        <f>IF(AZ329=1,IF(Q329="","",IF(Q329=N144,"Yes","No")),"")</f>
        <v/>
      </c>
      <c r="BB329" t="str">
        <f t="shared" si="106"/>
        <v/>
      </c>
      <c r="BC329" t="str">
        <f>IF(AZ329=1,IF(S329="","",IF(S329=N144,"Yes","No")),"")</f>
        <v/>
      </c>
      <c r="BD329" t="str">
        <f t="shared" si="107"/>
        <v/>
      </c>
      <c r="BE329" t="str">
        <f t="shared" si="108"/>
        <v/>
      </c>
      <c r="BF329" t="str">
        <f t="shared" si="109"/>
        <v>No</v>
      </c>
      <c r="BG329" t="str">
        <f t="shared" si="110"/>
        <v>No</v>
      </c>
      <c r="BH329" t="str">
        <f t="shared" si="111"/>
        <v/>
      </c>
    </row>
    <row r="330" spans="9:60" x14ac:dyDescent="0.3">
      <c r="I330" t="str">
        <f t="shared" si="118"/>
        <v>N/A</v>
      </c>
      <c r="J330" t="str">
        <f t="shared" si="119"/>
        <v>N/A</v>
      </c>
      <c r="K330" t="str">
        <f t="shared" si="120"/>
        <v>N/A</v>
      </c>
      <c r="L330" t="str">
        <f t="shared" si="121"/>
        <v>N/A</v>
      </c>
      <c r="M330" t="str">
        <f t="shared" si="122"/>
        <v>N/A</v>
      </c>
      <c r="N330" t="str">
        <f t="shared" si="123"/>
        <v>N/A</v>
      </c>
      <c r="P330">
        <f t="shared" si="94"/>
        <v>0</v>
      </c>
      <c r="Q330" t="str">
        <f>IFERROR(J144+MATCH(P330,J330:N330,0)-1,"")</f>
        <v/>
      </c>
      <c r="R330" t="str">
        <f t="shared" si="95"/>
        <v/>
      </c>
      <c r="S330" t="str">
        <f>IFERROR(J144+MATCH(R330,J330:N330,0)-1,"")</f>
        <v/>
      </c>
      <c r="T330" t="str">
        <f t="shared" si="96"/>
        <v/>
      </c>
      <c r="U330" t="str">
        <f t="shared" si="97"/>
        <v/>
      </c>
      <c r="V330" t="str">
        <f t="shared" si="98"/>
        <v/>
      </c>
      <c r="W330" t="str">
        <f t="shared" si="99"/>
        <v/>
      </c>
      <c r="X330" t="str">
        <f t="shared" si="100"/>
        <v/>
      </c>
      <c r="Y330" t="str">
        <f t="shared" si="101"/>
        <v/>
      </c>
      <c r="Z330" t="str">
        <f t="shared" si="102"/>
        <v/>
      </c>
      <c r="AA330">
        <f t="shared" si="103"/>
        <v>0</v>
      </c>
      <c r="AB330" t="str">
        <f>IFERROR(V144+MATCH(AA330,V330:Z330,0)-1,"")</f>
        <v/>
      </c>
      <c r="AC330" t="str">
        <f t="shared" si="104"/>
        <v/>
      </c>
      <c r="AE330" t="str">
        <f>IF(ISNUMBER(MATCH("N/A",J330:N330,0)),"",IFERROR((5 * SUMPRODUCT(J144:N144,J330:N330) - PRODUCT(SUM(J144:N144),SUM(J330:N330))) / ((5 * SUM((J144^2)+(K144^2)+(L144^2)+(M144^2)+(N144^2))) - SUM(J144:N144)^2),""))</f>
        <v/>
      </c>
      <c r="AF330" t="str">
        <f>IFERROR(CORREL(J144:N144,J330:N330),"")</f>
        <v/>
      </c>
      <c r="AZ330">
        <f t="shared" si="105"/>
        <v>0</v>
      </c>
      <c r="BA330" t="str">
        <f>IF(AZ330=1,IF(Q330="","",IF(Q330=N144,"Yes","No")),"")</f>
        <v/>
      </c>
      <c r="BB330" t="str">
        <f t="shared" si="106"/>
        <v/>
      </c>
      <c r="BC330" t="str">
        <f>IF(AZ330=1,IF(S330="","",IF(S330=N144,"Yes","No")),"")</f>
        <v/>
      </c>
      <c r="BD330" t="str">
        <f t="shared" si="107"/>
        <v/>
      </c>
      <c r="BE330" t="str">
        <f t="shared" si="108"/>
        <v/>
      </c>
      <c r="BF330" t="str">
        <f t="shared" si="109"/>
        <v>No</v>
      </c>
      <c r="BG330" t="str">
        <f t="shared" si="110"/>
        <v>No</v>
      </c>
      <c r="BH330" t="str">
        <f t="shared" si="111"/>
        <v/>
      </c>
    </row>
    <row r="331" spans="9:60" x14ac:dyDescent="0.3">
      <c r="I331" t="str">
        <f t="shared" si="118"/>
        <v>N/A</v>
      </c>
      <c r="J331" t="str">
        <f t="shared" si="119"/>
        <v>N/A</v>
      </c>
      <c r="K331" t="str">
        <f t="shared" si="120"/>
        <v>N/A</v>
      </c>
      <c r="L331" t="str">
        <f t="shared" si="121"/>
        <v>N/A</v>
      </c>
      <c r="M331" t="str">
        <f t="shared" si="122"/>
        <v>N/A</v>
      </c>
      <c r="N331" t="str">
        <f t="shared" si="123"/>
        <v>N/A</v>
      </c>
      <c r="P331">
        <f t="shared" si="94"/>
        <v>0</v>
      </c>
      <c r="Q331" t="str">
        <f>IFERROR(J144+MATCH(P331,J331:N331,0)-1,"")</f>
        <v/>
      </c>
      <c r="R331" t="str">
        <f t="shared" si="95"/>
        <v/>
      </c>
      <c r="S331" t="str">
        <f>IFERROR(J144+MATCH(R331,J331:N331,0)-1,"")</f>
        <v/>
      </c>
      <c r="T331" t="str">
        <f t="shared" si="96"/>
        <v/>
      </c>
      <c r="U331" t="str">
        <f t="shared" si="97"/>
        <v/>
      </c>
      <c r="V331" t="str">
        <f t="shared" si="98"/>
        <v/>
      </c>
      <c r="W331" t="str">
        <f t="shared" si="99"/>
        <v/>
      </c>
      <c r="X331" t="str">
        <f t="shared" si="100"/>
        <v/>
      </c>
      <c r="Y331" t="str">
        <f t="shared" si="101"/>
        <v/>
      </c>
      <c r="Z331" t="str">
        <f t="shared" si="102"/>
        <v/>
      </c>
      <c r="AA331">
        <f t="shared" si="103"/>
        <v>0</v>
      </c>
      <c r="AB331" t="str">
        <f>IFERROR(V144+MATCH(AA331,V331:Z331,0)-1,"")</f>
        <v/>
      </c>
      <c r="AC331" t="str">
        <f t="shared" si="104"/>
        <v/>
      </c>
      <c r="AE331" t="str">
        <f>IF(ISNUMBER(MATCH("N/A",J331:N331,0)),"",IFERROR((5 * SUMPRODUCT(J144:N144,J331:N331) - PRODUCT(SUM(J144:N144),SUM(J331:N331))) / ((5 * SUM((J144^2)+(K144^2)+(L144^2)+(M144^2)+(N144^2))) - SUM(J144:N144)^2),""))</f>
        <v/>
      </c>
      <c r="AF331" t="str">
        <f>IFERROR(CORREL(J144:N144,J331:N331),"")</f>
        <v/>
      </c>
      <c r="AZ331">
        <f t="shared" si="105"/>
        <v>0</v>
      </c>
      <c r="BA331" t="str">
        <f>IF(AZ331=1,IF(Q331="","",IF(Q331=N144,"Yes","No")),"")</f>
        <v/>
      </c>
      <c r="BB331" t="str">
        <f t="shared" si="106"/>
        <v/>
      </c>
      <c r="BC331" t="str">
        <f>IF(AZ331=1,IF(S331="","",IF(S331=N144,"Yes","No")),"")</f>
        <v/>
      </c>
      <c r="BD331" t="str">
        <f t="shared" si="107"/>
        <v/>
      </c>
      <c r="BE331" t="str">
        <f t="shared" si="108"/>
        <v/>
      </c>
      <c r="BF331" t="str">
        <f t="shared" si="109"/>
        <v>No</v>
      </c>
      <c r="BG331" t="str">
        <f t="shared" si="110"/>
        <v>No</v>
      </c>
      <c r="BH331" t="str">
        <f t="shared" si="111"/>
        <v/>
      </c>
    </row>
    <row r="332" spans="9:60" x14ac:dyDescent="0.3">
      <c r="I332" t="str">
        <f t="shared" si="118"/>
        <v>N/A</v>
      </c>
      <c r="J332" t="str">
        <f t="shared" si="119"/>
        <v>N/A</v>
      </c>
      <c r="K332" t="str">
        <f t="shared" si="120"/>
        <v>N/A</v>
      </c>
      <c r="L332" t="str">
        <f t="shared" si="121"/>
        <v>N/A</v>
      </c>
      <c r="M332" t="str">
        <f t="shared" si="122"/>
        <v>N/A</v>
      </c>
      <c r="N332" t="str">
        <f t="shared" si="123"/>
        <v>N/A</v>
      </c>
      <c r="P332">
        <f t="shared" si="94"/>
        <v>0</v>
      </c>
      <c r="Q332" t="str">
        <f>IFERROR(J144+MATCH(P332,J332:N332,0)-1,"")</f>
        <v/>
      </c>
      <c r="R332" t="str">
        <f t="shared" si="95"/>
        <v/>
      </c>
      <c r="S332" t="str">
        <f>IFERROR(J144+MATCH(R332,J332:N332,0)-1,"")</f>
        <v/>
      </c>
      <c r="T332" t="str">
        <f t="shared" si="96"/>
        <v/>
      </c>
      <c r="U332" t="str">
        <f t="shared" si="97"/>
        <v/>
      </c>
      <c r="V332" t="str">
        <f t="shared" si="98"/>
        <v/>
      </c>
      <c r="W332" t="str">
        <f t="shared" si="99"/>
        <v/>
      </c>
      <c r="X332" t="str">
        <f t="shared" si="100"/>
        <v/>
      </c>
      <c r="Y332" t="str">
        <f t="shared" si="101"/>
        <v/>
      </c>
      <c r="Z332" t="str">
        <f t="shared" si="102"/>
        <v/>
      </c>
      <c r="AA332">
        <f t="shared" si="103"/>
        <v>0</v>
      </c>
      <c r="AB332" t="str">
        <f>IFERROR(V144+MATCH(AA332,V332:Z332,0)-1,"")</f>
        <v/>
      </c>
      <c r="AC332" t="str">
        <f t="shared" si="104"/>
        <v/>
      </c>
      <c r="AE332" t="str">
        <f>IF(ISNUMBER(MATCH("N/A",J332:N332,0)),"",IFERROR((5 * SUMPRODUCT(J144:N144,J332:N332) - PRODUCT(SUM(J144:N144),SUM(J332:N332))) / ((5 * SUM((J144^2)+(K144^2)+(L144^2)+(M144^2)+(N144^2))) - SUM(J144:N144)^2),""))</f>
        <v/>
      </c>
      <c r="AF332" t="str">
        <f>IFERROR(CORREL(J144:N144,J332:N332),"")</f>
        <v/>
      </c>
      <c r="AZ332">
        <f t="shared" si="105"/>
        <v>0</v>
      </c>
      <c r="BA332" t="str">
        <f>IF(AZ332=1,IF(Q332="","",IF(Q332=N144,"Yes","No")),"")</f>
        <v/>
      </c>
      <c r="BB332" t="str">
        <f t="shared" si="106"/>
        <v/>
      </c>
      <c r="BC332" t="str">
        <f>IF(AZ332=1,IF(S332="","",IF(S332=N144,"Yes","No")),"")</f>
        <v/>
      </c>
      <c r="BD332" t="str">
        <f t="shared" si="107"/>
        <v/>
      </c>
      <c r="BE332" t="str">
        <f t="shared" si="108"/>
        <v/>
      </c>
      <c r="BF332" t="str">
        <f t="shared" si="109"/>
        <v>No</v>
      </c>
      <c r="BG332" t="str">
        <f t="shared" si="110"/>
        <v>No</v>
      </c>
      <c r="BH332" t="str">
        <f t="shared" si="111"/>
        <v/>
      </c>
    </row>
    <row r="333" spans="9:60" x14ac:dyDescent="0.3">
      <c r="I333" t="str">
        <f t="shared" si="118"/>
        <v>N/A</v>
      </c>
      <c r="J333" t="str">
        <f t="shared" si="119"/>
        <v>N/A</v>
      </c>
      <c r="K333" t="str">
        <f t="shared" si="120"/>
        <v>N/A</v>
      </c>
      <c r="L333" t="str">
        <f t="shared" si="121"/>
        <v>N/A</v>
      </c>
      <c r="M333" t="str">
        <f t="shared" si="122"/>
        <v>N/A</v>
      </c>
      <c r="N333" t="str">
        <f t="shared" si="123"/>
        <v>N/A</v>
      </c>
      <c r="P333">
        <f t="shared" si="94"/>
        <v>0</v>
      </c>
      <c r="Q333" t="str">
        <f>IFERROR(J144+MATCH(P333,J333:N333,0)-1,"")</f>
        <v/>
      </c>
      <c r="R333" t="str">
        <f t="shared" si="95"/>
        <v/>
      </c>
      <c r="S333" t="str">
        <f>IFERROR(J144+MATCH(R333,J333:N333,0)-1,"")</f>
        <v/>
      </c>
      <c r="T333" t="str">
        <f t="shared" si="96"/>
        <v/>
      </c>
      <c r="U333" t="str">
        <f t="shared" si="97"/>
        <v/>
      </c>
      <c r="V333" t="str">
        <f t="shared" si="98"/>
        <v/>
      </c>
      <c r="W333" t="str">
        <f t="shared" si="99"/>
        <v/>
      </c>
      <c r="X333" t="str">
        <f t="shared" si="100"/>
        <v/>
      </c>
      <c r="Y333" t="str">
        <f t="shared" si="101"/>
        <v/>
      </c>
      <c r="Z333" t="str">
        <f t="shared" si="102"/>
        <v/>
      </c>
      <c r="AA333">
        <f t="shared" si="103"/>
        <v>0</v>
      </c>
      <c r="AB333" t="str">
        <f>IFERROR(V144+MATCH(AA333,V333:Z333,0)-1,"")</f>
        <v/>
      </c>
      <c r="AC333" t="str">
        <f t="shared" si="104"/>
        <v/>
      </c>
      <c r="AE333" t="str">
        <f>IF(ISNUMBER(MATCH("N/A",J333:N333,0)),"",IFERROR((5 * SUMPRODUCT(J144:N144,J333:N333) - PRODUCT(SUM(J144:N144),SUM(J333:N333))) / ((5 * SUM((J144^2)+(K144^2)+(L144^2)+(M144^2)+(N144^2))) - SUM(J144:N144)^2),""))</f>
        <v/>
      </c>
      <c r="AF333" t="str">
        <f>IFERROR(CORREL(J144:N144,J333:N333),"")</f>
        <v/>
      </c>
      <c r="AZ333">
        <f t="shared" si="105"/>
        <v>0</v>
      </c>
      <c r="BA333" t="str">
        <f>IF(AZ333=1,IF(Q333="","",IF(Q333=N144,"Yes","No")),"")</f>
        <v/>
      </c>
      <c r="BB333" t="str">
        <f t="shared" si="106"/>
        <v/>
      </c>
      <c r="BC333" t="str">
        <f>IF(AZ333=1,IF(S333="","",IF(S333=N144,"Yes","No")),"")</f>
        <v/>
      </c>
      <c r="BD333" t="str">
        <f t="shared" si="107"/>
        <v/>
      </c>
      <c r="BE333" t="str">
        <f t="shared" si="108"/>
        <v/>
      </c>
      <c r="BF333" t="str">
        <f t="shared" si="109"/>
        <v>No</v>
      </c>
      <c r="BG333" t="str">
        <f t="shared" si="110"/>
        <v>No</v>
      </c>
      <c r="BH333" t="str">
        <f t="shared" si="111"/>
        <v/>
      </c>
    </row>
    <row r="334" spans="9:60" x14ac:dyDescent="0.3">
      <c r="I334" t="str">
        <f t="shared" si="118"/>
        <v>N/A</v>
      </c>
      <c r="J334" t="str">
        <f t="shared" si="119"/>
        <v>N/A</v>
      </c>
      <c r="K334" t="str">
        <f t="shared" si="120"/>
        <v>N/A</v>
      </c>
      <c r="L334" t="str">
        <f t="shared" si="121"/>
        <v>N/A</v>
      </c>
      <c r="M334" t="str">
        <f t="shared" si="122"/>
        <v>N/A</v>
      </c>
      <c r="N334" t="str">
        <f t="shared" si="123"/>
        <v>N/A</v>
      </c>
      <c r="P334">
        <f t="shared" si="94"/>
        <v>0</v>
      </c>
      <c r="Q334" t="str">
        <f>IFERROR(J144+MATCH(P334,J334:N334,0)-1,"")</f>
        <v/>
      </c>
      <c r="R334" t="str">
        <f t="shared" si="95"/>
        <v/>
      </c>
      <c r="S334" t="str">
        <f>IFERROR(J144+MATCH(R334,J334:N334,0)-1,"")</f>
        <v/>
      </c>
      <c r="T334" t="str">
        <f t="shared" si="96"/>
        <v/>
      </c>
      <c r="U334" t="str">
        <f t="shared" si="97"/>
        <v/>
      </c>
      <c r="V334" t="str">
        <f t="shared" si="98"/>
        <v/>
      </c>
      <c r="W334" t="str">
        <f t="shared" si="99"/>
        <v/>
      </c>
      <c r="X334" t="str">
        <f t="shared" si="100"/>
        <v/>
      </c>
      <c r="Y334" t="str">
        <f t="shared" si="101"/>
        <v/>
      </c>
      <c r="Z334" t="str">
        <f t="shared" si="102"/>
        <v/>
      </c>
      <c r="AA334">
        <f t="shared" si="103"/>
        <v>0</v>
      </c>
      <c r="AB334" t="str">
        <f>IFERROR(V144+MATCH(AA334,V334:Z334,0)-1,"")</f>
        <v/>
      </c>
      <c r="AC334" t="str">
        <f t="shared" si="104"/>
        <v/>
      </c>
      <c r="AE334" t="str">
        <f>IF(ISNUMBER(MATCH("N/A",J334:N334,0)),"",IFERROR((5 * SUMPRODUCT(J144:N144,J334:N334) - PRODUCT(SUM(J144:N144),SUM(J334:N334))) / ((5 * SUM((J144^2)+(K144^2)+(L144^2)+(M144^2)+(N144^2))) - SUM(J144:N144)^2),""))</f>
        <v/>
      </c>
      <c r="AF334" t="str">
        <f>IFERROR(CORREL(J144:N144,J334:N334),"")</f>
        <v/>
      </c>
      <c r="AZ334">
        <f t="shared" si="105"/>
        <v>0</v>
      </c>
      <c r="BA334" t="str">
        <f>IF(AZ334=1,IF(Q334="","",IF(Q334=N144,"Yes","No")),"")</f>
        <v/>
      </c>
      <c r="BB334" t="str">
        <f t="shared" si="106"/>
        <v/>
      </c>
      <c r="BC334" t="str">
        <f>IF(AZ334=1,IF(S334="","",IF(S334=N144,"Yes","No")),"")</f>
        <v/>
      </c>
      <c r="BD334" t="str">
        <f t="shared" si="107"/>
        <v/>
      </c>
      <c r="BE334" t="str">
        <f t="shared" si="108"/>
        <v/>
      </c>
      <c r="BF334" t="str">
        <f t="shared" si="109"/>
        <v>No</v>
      </c>
      <c r="BG334" t="str">
        <f t="shared" si="110"/>
        <v>No</v>
      </c>
      <c r="BH334" t="str">
        <f t="shared" si="111"/>
        <v/>
      </c>
    </row>
    <row r="335" spans="9:60" x14ac:dyDescent="0.3">
      <c r="I335" t="str">
        <f t="shared" si="118"/>
        <v>N/A</v>
      </c>
      <c r="J335" t="str">
        <f t="shared" si="119"/>
        <v>N/A</v>
      </c>
      <c r="K335" t="str">
        <f t="shared" si="120"/>
        <v>N/A</v>
      </c>
      <c r="L335" t="str">
        <f t="shared" si="121"/>
        <v>N/A</v>
      </c>
      <c r="M335" t="str">
        <f t="shared" si="122"/>
        <v>N/A</v>
      </c>
      <c r="N335" t="str">
        <f t="shared" si="123"/>
        <v>N/A</v>
      </c>
      <c r="P335">
        <f t="shared" si="94"/>
        <v>0</v>
      </c>
      <c r="Q335" t="str">
        <f>IFERROR(J144+MATCH(P335,J335:N335,0)-1,"")</f>
        <v/>
      </c>
      <c r="R335" t="str">
        <f t="shared" si="95"/>
        <v/>
      </c>
      <c r="S335" t="str">
        <f>IFERROR(J144+MATCH(R335,J335:N335,0)-1,"")</f>
        <v/>
      </c>
      <c r="T335" t="str">
        <f t="shared" si="96"/>
        <v/>
      </c>
      <c r="U335" t="str">
        <f t="shared" si="97"/>
        <v/>
      </c>
      <c r="V335" t="str">
        <f t="shared" si="98"/>
        <v/>
      </c>
      <c r="W335" t="str">
        <f t="shared" si="99"/>
        <v/>
      </c>
      <c r="X335" t="str">
        <f t="shared" si="100"/>
        <v/>
      </c>
      <c r="Y335" t="str">
        <f t="shared" si="101"/>
        <v/>
      </c>
      <c r="Z335" t="str">
        <f t="shared" si="102"/>
        <v/>
      </c>
      <c r="AA335">
        <f t="shared" si="103"/>
        <v>0</v>
      </c>
      <c r="AB335" t="str">
        <f>IFERROR(V144+MATCH(AA335,V335:Z335,0)-1,"")</f>
        <v/>
      </c>
      <c r="AC335" t="str">
        <f t="shared" si="104"/>
        <v/>
      </c>
      <c r="AE335" t="str">
        <f>IF(ISNUMBER(MATCH("N/A",J335:N335,0)),"",IFERROR((5 * SUMPRODUCT(J144:N144,J335:N335) - PRODUCT(SUM(J144:N144),SUM(J335:N335))) / ((5 * SUM((J144^2)+(K144^2)+(L144^2)+(M144^2)+(N144^2))) - SUM(J144:N144)^2),""))</f>
        <v/>
      </c>
      <c r="AF335" t="str">
        <f>IFERROR(CORREL(J144:N144,J335:N335),"")</f>
        <v/>
      </c>
      <c r="AZ335">
        <f t="shared" si="105"/>
        <v>0</v>
      </c>
      <c r="BA335" t="str">
        <f>IF(AZ335=1,IF(Q335="","",IF(Q335=N144,"Yes","No")),"")</f>
        <v/>
      </c>
      <c r="BB335" t="str">
        <f t="shared" si="106"/>
        <v/>
      </c>
      <c r="BC335" t="str">
        <f>IF(AZ335=1,IF(S335="","",IF(S335=N144,"Yes","No")),"")</f>
        <v/>
      </c>
      <c r="BD335" t="str">
        <f t="shared" si="107"/>
        <v/>
      </c>
      <c r="BE335" t="str">
        <f t="shared" si="108"/>
        <v/>
      </c>
      <c r="BF335" t="str">
        <f t="shared" si="109"/>
        <v>No</v>
      </c>
      <c r="BG335" t="str">
        <f t="shared" si="110"/>
        <v>No</v>
      </c>
      <c r="BH335" t="str">
        <f t="shared" si="111"/>
        <v/>
      </c>
    </row>
    <row r="336" spans="9:60" x14ac:dyDescent="0.3">
      <c r="I336" t="str">
        <f t="shared" si="118"/>
        <v>N/A</v>
      </c>
      <c r="J336" t="str">
        <f t="shared" si="119"/>
        <v>N/A</v>
      </c>
      <c r="K336" t="str">
        <f t="shared" si="120"/>
        <v>N/A</v>
      </c>
      <c r="L336" t="str">
        <f t="shared" si="121"/>
        <v>N/A</v>
      </c>
      <c r="M336" t="str">
        <f t="shared" si="122"/>
        <v>N/A</v>
      </c>
      <c r="N336" t="str">
        <f t="shared" si="123"/>
        <v>N/A</v>
      </c>
      <c r="P336">
        <f t="shared" si="94"/>
        <v>0</v>
      </c>
      <c r="Q336" t="str">
        <f>IFERROR(J144+MATCH(P336,J336:N336,0)-1,"")</f>
        <v/>
      </c>
      <c r="R336" t="str">
        <f t="shared" si="95"/>
        <v/>
      </c>
      <c r="S336" t="str">
        <f>IFERROR(J144+MATCH(R336,J336:N336,0)-1,"")</f>
        <v/>
      </c>
      <c r="T336" t="str">
        <f t="shared" si="96"/>
        <v/>
      </c>
      <c r="U336" t="str">
        <f t="shared" si="97"/>
        <v/>
      </c>
      <c r="V336" t="str">
        <f t="shared" si="98"/>
        <v/>
      </c>
      <c r="W336" t="str">
        <f t="shared" si="99"/>
        <v/>
      </c>
      <c r="X336" t="str">
        <f t="shared" si="100"/>
        <v/>
      </c>
      <c r="Y336" t="str">
        <f t="shared" si="101"/>
        <v/>
      </c>
      <c r="Z336" t="str">
        <f t="shared" si="102"/>
        <v/>
      </c>
      <c r="AA336">
        <f t="shared" si="103"/>
        <v>0</v>
      </c>
      <c r="AB336" t="str">
        <f>IFERROR(V144+MATCH(AA336,V336:Z336,0)-1,"")</f>
        <v/>
      </c>
      <c r="AC336" t="str">
        <f t="shared" si="104"/>
        <v/>
      </c>
      <c r="AE336" t="str">
        <f>IF(ISNUMBER(MATCH("N/A",J336:N336,0)),"",IFERROR((5 * SUMPRODUCT(J144:N144,J336:N336) - PRODUCT(SUM(J144:N144),SUM(J336:N336))) / ((5 * SUM((J144^2)+(K144^2)+(L144^2)+(M144^2)+(N144^2))) - SUM(J144:N144)^2),""))</f>
        <v/>
      </c>
      <c r="AF336" t="str">
        <f>IFERROR(CORREL(J144:N144,J336:N336),"")</f>
        <v/>
      </c>
      <c r="AZ336">
        <f t="shared" si="105"/>
        <v>0</v>
      </c>
      <c r="BA336" t="str">
        <f>IF(AZ336=1,IF(Q336="","",IF(Q336=N144,"Yes","No")),"")</f>
        <v/>
      </c>
      <c r="BB336" t="str">
        <f t="shared" si="106"/>
        <v/>
      </c>
      <c r="BC336" t="str">
        <f>IF(AZ336=1,IF(S336="","",IF(S336=N144,"Yes","No")),"")</f>
        <v/>
      </c>
      <c r="BD336" t="str">
        <f t="shared" si="107"/>
        <v/>
      </c>
      <c r="BE336" t="str">
        <f t="shared" si="108"/>
        <v/>
      </c>
      <c r="BF336" t="str">
        <f t="shared" si="109"/>
        <v>No</v>
      </c>
      <c r="BG336" t="str">
        <f t="shared" si="110"/>
        <v>No</v>
      </c>
      <c r="BH336" t="str">
        <f t="shared" si="111"/>
        <v/>
      </c>
    </row>
    <row r="337" spans="9:60" x14ac:dyDescent="0.3">
      <c r="I337" t="str">
        <f t="shared" si="118"/>
        <v>N/A</v>
      </c>
      <c r="J337" t="str">
        <f t="shared" si="119"/>
        <v>N/A</v>
      </c>
      <c r="K337" t="str">
        <f t="shared" si="120"/>
        <v>N/A</v>
      </c>
      <c r="L337" t="str">
        <f t="shared" si="121"/>
        <v>N/A</v>
      </c>
      <c r="M337" t="str">
        <f t="shared" si="122"/>
        <v>N/A</v>
      </c>
      <c r="N337" t="str">
        <f t="shared" si="123"/>
        <v>N/A</v>
      </c>
      <c r="P337">
        <f t="shared" ref="P337:P353" si="124">MAX(J337:N337)</f>
        <v>0</v>
      </c>
      <c r="Q337" t="str">
        <f>IFERROR(J144+MATCH(P337,J337:N337,0)-1,"")</f>
        <v/>
      </c>
      <c r="R337" t="str">
        <f t="shared" ref="R337:R400" si="125">IF(Q337="","",MIN(J337:N337))</f>
        <v/>
      </c>
      <c r="S337" t="str">
        <f>IFERROR(J144+MATCH(R337,J337:N337,0)-1,"")</f>
        <v/>
      </c>
      <c r="T337" t="str">
        <f t="shared" ref="T337:T353" si="126">IFERROR(AVERAGE(J337:N337),"")</f>
        <v/>
      </c>
      <c r="U337" t="str">
        <f t="shared" ref="U337:U353" si="127">IFERROR(STDEV(J337:N337),"")</f>
        <v/>
      </c>
      <c r="V337" t="str">
        <f t="shared" ref="V337:V400" si="128">IFERROR(IF(C337="-","",IF(ISBLANK(B337),"",IF(OR(ISNUMBER(FIND("Growth",B337)),ISNUMBER(FIND("Margin",B337))),"",(J337-T337)/U337))),"")</f>
        <v/>
      </c>
      <c r="W337" t="str">
        <f t="shared" ref="W337:W353" si="129">IFERROR(IF(OR(D337="-",ISBLANK(D337)),"",(K337-T337)/U337),"")</f>
        <v/>
      </c>
      <c r="X337" t="str">
        <f t="shared" ref="X337:X353" si="130">IFERROR(IF(OR(E337="-",ISBLANK(E337)),"",(L337-T337)/U337),"")</f>
        <v/>
      </c>
      <c r="Y337" t="str">
        <f t="shared" ref="Y337:Y353" si="131">IFERROR(IF(OR(F337="-",ISBLANK(F337)),"",(M337-T337)/U337),"")</f>
        <v/>
      </c>
      <c r="Z337" t="str">
        <f t="shared" ref="Z337:Z353" si="132">IFERROR(IF(OR(G337="-",ISBLANK(G337)),"",(N337-T337)/U337),"")</f>
        <v/>
      </c>
      <c r="AA337">
        <f t="shared" ref="AA337:AA400" si="133">IF(MAX(MAX(V337:Z337),ABS(MIN(V337:Z337)))=ABS(MIN(V337:Z337)),MIN(V337:Z337),MAX(V337:Z337))</f>
        <v>0</v>
      </c>
      <c r="AB337" t="str">
        <f>IFERROR(V144+MATCH(AA337,V337:Z337,0)-1,"")</f>
        <v/>
      </c>
      <c r="AC337" t="str">
        <f t="shared" ref="AC337:AC400" si="134">IF(AB337&lt;&gt;"",IF(S337=AB337,"Low",IF(AB337=Q337,"High","")),"")</f>
        <v/>
      </c>
      <c r="AE337" t="str">
        <f>IF(ISNUMBER(MATCH("N/A",J337:N337,0)),"",IFERROR((5 * SUMPRODUCT(J144:N144,J337:N337) - PRODUCT(SUM(J144:N144),SUM(J337:N337))) / ((5 * SUM((J144^2)+(K144^2)+(L144^2)+(M144^2)+(N144^2))) - SUM(J144:N144)^2),""))</f>
        <v/>
      </c>
      <c r="AF337" t="str">
        <f>IFERROR(CORREL(J144:N144,J337:N337),"")</f>
        <v/>
      </c>
      <c r="AZ337">
        <f t="shared" ref="AZ337:AZ352" si="135">IF(Q337=S337,0,1)</f>
        <v>0</v>
      </c>
      <c r="BA337" t="str">
        <f>IF(AZ337=1,IF(Q337="","",IF(Q337=N144,"Yes","No")),"")</f>
        <v/>
      </c>
      <c r="BB337" t="str">
        <f t="shared" ref="BB337:BB400" si="136">IF(BA337="Yes",P337,"")</f>
        <v/>
      </c>
      <c r="BC337" t="str">
        <f>IF(AZ337=1,IF(S337="","",IF(S337=N144,"Yes","No")),"")</f>
        <v/>
      </c>
      <c r="BD337" t="str">
        <f t="shared" ref="BD337:BD400" si="137">IF(BC337="Yes",R337,"")</f>
        <v/>
      </c>
      <c r="BE337" t="str">
        <f t="shared" ref="BE337:BE352" si="138">IFERROR(IF(SIGN(AE337)=1,"Increasing",IF(SIGN(AE337)=-1,"Decreasing","")),"")</f>
        <v/>
      </c>
      <c r="BF337" t="str">
        <f t="shared" ref="BF337:BF400" si="139">IF(OR(AND(BE337="Increasing",BA337="Yes"),AND(BE337="Decreasing",BC337="Yes")),"Yes","No")</f>
        <v>No</v>
      </c>
      <c r="BG337" t="str">
        <f t="shared" ref="BG337:BG352" si="140">IF(I337="pos_trend","Yes","No")</f>
        <v>No</v>
      </c>
      <c r="BH337" t="str">
        <f t="shared" ref="BH337:BH352" si="141">IF(AF337&lt;&gt;"",IF(ABS(AF337)&gt;0.8,"Yes","No"),"")</f>
        <v/>
      </c>
    </row>
    <row r="338" spans="9:60" x14ac:dyDescent="0.3">
      <c r="I338" t="str">
        <f t="shared" si="118"/>
        <v>N/A</v>
      </c>
      <c r="J338" t="str">
        <f t="shared" si="119"/>
        <v>N/A</v>
      </c>
      <c r="K338" t="str">
        <f t="shared" si="120"/>
        <v>N/A</v>
      </c>
      <c r="L338" t="str">
        <f t="shared" si="121"/>
        <v>N/A</v>
      </c>
      <c r="M338" t="str">
        <f t="shared" si="122"/>
        <v>N/A</v>
      </c>
      <c r="N338" t="str">
        <f t="shared" si="123"/>
        <v>N/A</v>
      </c>
      <c r="P338">
        <f t="shared" si="124"/>
        <v>0</v>
      </c>
      <c r="Q338" t="str">
        <f>IFERROR(J144+MATCH(P338,J338:N338,0)-1,"")</f>
        <v/>
      </c>
      <c r="R338" t="str">
        <f t="shared" si="125"/>
        <v/>
      </c>
      <c r="S338" t="str">
        <f>IFERROR(J144+MATCH(R338,J338:N338,0)-1,"")</f>
        <v/>
      </c>
      <c r="T338" t="str">
        <f t="shared" si="126"/>
        <v/>
      </c>
      <c r="U338" t="str">
        <f t="shared" si="127"/>
        <v/>
      </c>
      <c r="V338" t="str">
        <f t="shared" si="128"/>
        <v/>
      </c>
      <c r="W338" t="str">
        <f t="shared" si="129"/>
        <v/>
      </c>
      <c r="X338" t="str">
        <f t="shared" si="130"/>
        <v/>
      </c>
      <c r="Y338" t="str">
        <f t="shared" si="131"/>
        <v/>
      </c>
      <c r="Z338" t="str">
        <f t="shared" si="132"/>
        <v/>
      </c>
      <c r="AA338">
        <f t="shared" si="133"/>
        <v>0</v>
      </c>
      <c r="AB338" t="str">
        <f>IFERROR(V144+MATCH(AA338,V338:Z338,0)-1,"")</f>
        <v/>
      </c>
      <c r="AC338" t="str">
        <f t="shared" si="134"/>
        <v/>
      </c>
      <c r="AE338" t="str">
        <f>IF(ISNUMBER(MATCH("N/A",J338:N338,0)),"",IFERROR((5 * SUMPRODUCT(J144:N144,J338:N338) - PRODUCT(SUM(J144:N144),SUM(J338:N338))) / ((5 * SUM((J144^2)+(K144^2)+(L144^2)+(M144^2)+(N144^2))) - SUM(J144:N144)^2),""))</f>
        <v/>
      </c>
      <c r="AF338" t="str">
        <f>IFERROR(CORREL(J144:N144,J338:N338),"")</f>
        <v/>
      </c>
      <c r="AZ338">
        <f t="shared" si="135"/>
        <v>0</v>
      </c>
      <c r="BA338" t="str">
        <f>IF(AZ338=1,IF(Q338="","",IF(Q338=N144,"Yes","No")),"")</f>
        <v/>
      </c>
      <c r="BB338" t="str">
        <f t="shared" si="136"/>
        <v/>
      </c>
      <c r="BC338" t="str">
        <f>IF(AZ338=1,IF(S338="","",IF(S338=N144,"Yes","No")),"")</f>
        <v/>
      </c>
      <c r="BD338" t="str">
        <f t="shared" si="137"/>
        <v/>
      </c>
      <c r="BE338" t="str">
        <f t="shared" si="138"/>
        <v/>
      </c>
      <c r="BF338" t="str">
        <f t="shared" si="139"/>
        <v>No</v>
      </c>
      <c r="BG338" t="str">
        <f t="shared" si="140"/>
        <v>No</v>
      </c>
      <c r="BH338" t="str">
        <f t="shared" si="141"/>
        <v/>
      </c>
    </row>
    <row r="339" spans="9:60" x14ac:dyDescent="0.3">
      <c r="I339" t="str">
        <f t="shared" si="118"/>
        <v>N/A</v>
      </c>
      <c r="J339" t="str">
        <f t="shared" si="119"/>
        <v>N/A</v>
      </c>
      <c r="K339" t="str">
        <f t="shared" si="120"/>
        <v>N/A</v>
      </c>
      <c r="L339" t="str">
        <f t="shared" si="121"/>
        <v>N/A</v>
      </c>
      <c r="M339" t="str">
        <f t="shared" si="122"/>
        <v>N/A</v>
      </c>
      <c r="N339" t="str">
        <f t="shared" si="123"/>
        <v>N/A</v>
      </c>
      <c r="P339">
        <f t="shared" si="124"/>
        <v>0</v>
      </c>
      <c r="Q339" t="str">
        <f>IFERROR(J144+MATCH(P339,J339:N339,0)-1,"")</f>
        <v/>
      </c>
      <c r="R339" t="str">
        <f t="shared" si="125"/>
        <v/>
      </c>
      <c r="S339" t="str">
        <f>IFERROR(J144+MATCH(R339,J339:N339,0)-1,"")</f>
        <v/>
      </c>
      <c r="T339" t="str">
        <f t="shared" si="126"/>
        <v/>
      </c>
      <c r="U339" t="str">
        <f t="shared" si="127"/>
        <v/>
      </c>
      <c r="V339" t="str">
        <f t="shared" si="128"/>
        <v/>
      </c>
      <c r="W339" t="str">
        <f t="shared" si="129"/>
        <v/>
      </c>
      <c r="X339" t="str">
        <f t="shared" si="130"/>
        <v/>
      </c>
      <c r="Y339" t="str">
        <f t="shared" si="131"/>
        <v/>
      </c>
      <c r="Z339" t="str">
        <f t="shared" si="132"/>
        <v/>
      </c>
      <c r="AA339">
        <f t="shared" si="133"/>
        <v>0</v>
      </c>
      <c r="AB339" t="str">
        <f>IFERROR(V144+MATCH(AA339,V339:Z339,0)-1,"")</f>
        <v/>
      </c>
      <c r="AC339" t="str">
        <f t="shared" si="134"/>
        <v/>
      </c>
      <c r="AE339" t="str">
        <f>IF(ISNUMBER(MATCH("N/A",J339:N339,0)),"",IFERROR((5 * SUMPRODUCT(J144:N144,J339:N339) - PRODUCT(SUM(J144:N144),SUM(J339:N339))) / ((5 * SUM((J144^2)+(K144^2)+(L144^2)+(M144^2)+(N144^2))) - SUM(J144:N144)^2),""))</f>
        <v/>
      </c>
      <c r="AF339" t="str">
        <f>IFERROR(CORREL(J144:N144,J339:N339),"")</f>
        <v/>
      </c>
      <c r="AZ339">
        <f t="shared" si="135"/>
        <v>0</v>
      </c>
      <c r="BA339" t="str">
        <f>IF(AZ339=1,IF(Q339="","",IF(Q339=N144,"Yes","No")),"")</f>
        <v/>
      </c>
      <c r="BB339" t="str">
        <f t="shared" si="136"/>
        <v/>
      </c>
      <c r="BC339" t="str">
        <f>IF(AZ339=1,IF(S339="","",IF(S339=N144,"Yes","No")),"")</f>
        <v/>
      </c>
      <c r="BD339" t="str">
        <f t="shared" si="137"/>
        <v/>
      </c>
      <c r="BE339" t="str">
        <f t="shared" si="138"/>
        <v/>
      </c>
      <c r="BF339" t="str">
        <f t="shared" si="139"/>
        <v>No</v>
      </c>
      <c r="BG339" t="str">
        <f t="shared" si="140"/>
        <v>No</v>
      </c>
      <c r="BH339" t="str">
        <f t="shared" si="141"/>
        <v/>
      </c>
    </row>
    <row r="340" spans="9:60" x14ac:dyDescent="0.3">
      <c r="I340" t="str">
        <f t="shared" si="118"/>
        <v>N/A</v>
      </c>
      <c r="J340" t="str">
        <f t="shared" si="119"/>
        <v>N/A</v>
      </c>
      <c r="K340" t="str">
        <f t="shared" si="120"/>
        <v>N/A</v>
      </c>
      <c r="L340" t="str">
        <f t="shared" si="121"/>
        <v>N/A</v>
      </c>
      <c r="M340" t="str">
        <f t="shared" si="122"/>
        <v>N/A</v>
      </c>
      <c r="N340" t="str">
        <f t="shared" si="123"/>
        <v>N/A</v>
      </c>
      <c r="P340">
        <f t="shared" si="124"/>
        <v>0</v>
      </c>
      <c r="Q340" t="str">
        <f>IFERROR(J144+MATCH(P340,J340:N340,0)-1,"")</f>
        <v/>
      </c>
      <c r="R340" t="str">
        <f t="shared" si="125"/>
        <v/>
      </c>
      <c r="S340" t="str">
        <f>IFERROR(J144+MATCH(R340,J340:N340,0)-1,"")</f>
        <v/>
      </c>
      <c r="T340" t="str">
        <f t="shared" si="126"/>
        <v/>
      </c>
      <c r="U340" t="str">
        <f t="shared" si="127"/>
        <v/>
      </c>
      <c r="V340" t="str">
        <f t="shared" si="128"/>
        <v/>
      </c>
      <c r="W340" t="str">
        <f t="shared" si="129"/>
        <v/>
      </c>
      <c r="X340" t="str">
        <f t="shared" si="130"/>
        <v/>
      </c>
      <c r="Y340" t="str">
        <f t="shared" si="131"/>
        <v/>
      </c>
      <c r="Z340" t="str">
        <f t="shared" si="132"/>
        <v/>
      </c>
      <c r="AA340">
        <f t="shared" si="133"/>
        <v>0</v>
      </c>
      <c r="AB340" t="str">
        <f>IFERROR(V144+MATCH(AA340,V340:Z340,0)-1,"")</f>
        <v/>
      </c>
      <c r="AC340" t="str">
        <f t="shared" si="134"/>
        <v/>
      </c>
      <c r="AE340" t="str">
        <f>IF(ISNUMBER(MATCH("N/A",J340:N340,0)),"",IFERROR((5 * SUMPRODUCT(J144:N144,J340:N340) - PRODUCT(SUM(J144:N144),SUM(J340:N340))) / ((5 * SUM((J144^2)+(K144^2)+(L144^2)+(M144^2)+(N144^2))) - SUM(J144:N144)^2),""))</f>
        <v/>
      </c>
      <c r="AF340" t="str">
        <f>IFERROR(CORREL(J144:N144,J340:N340),"")</f>
        <v/>
      </c>
      <c r="AZ340">
        <f t="shared" si="135"/>
        <v>0</v>
      </c>
      <c r="BA340" t="str">
        <f>IF(AZ340=1,IF(Q340="","",IF(Q340=N144,"Yes","No")),"")</f>
        <v/>
      </c>
      <c r="BB340" t="str">
        <f t="shared" si="136"/>
        <v/>
      </c>
      <c r="BC340" t="str">
        <f>IF(AZ340=1,IF(S340="","",IF(S340=N144,"Yes","No")),"")</f>
        <v/>
      </c>
      <c r="BD340" t="str">
        <f t="shared" si="137"/>
        <v/>
      </c>
      <c r="BE340" t="str">
        <f t="shared" si="138"/>
        <v/>
      </c>
      <c r="BF340" t="str">
        <f t="shared" si="139"/>
        <v>No</v>
      </c>
      <c r="BG340" t="str">
        <f t="shared" si="140"/>
        <v>No</v>
      </c>
      <c r="BH340" t="str">
        <f t="shared" si="141"/>
        <v/>
      </c>
    </row>
    <row r="341" spans="9:60" x14ac:dyDescent="0.3">
      <c r="I341" t="str">
        <f t="shared" si="118"/>
        <v>N/A</v>
      </c>
      <c r="J341" t="str">
        <f t="shared" si="119"/>
        <v>N/A</v>
      </c>
      <c r="K341" t="str">
        <f t="shared" si="120"/>
        <v>N/A</v>
      </c>
      <c r="L341" t="str">
        <f t="shared" si="121"/>
        <v>N/A</v>
      </c>
      <c r="M341" t="str">
        <f t="shared" si="122"/>
        <v>N/A</v>
      </c>
      <c r="N341" t="str">
        <f t="shared" si="123"/>
        <v>N/A</v>
      </c>
      <c r="P341">
        <f t="shared" si="124"/>
        <v>0</v>
      </c>
      <c r="Q341" t="str">
        <f>IFERROR(J144+MATCH(P341,J341:N341,0)-1,"")</f>
        <v/>
      </c>
      <c r="R341" t="str">
        <f t="shared" si="125"/>
        <v/>
      </c>
      <c r="S341" t="str">
        <f>IFERROR(J144+MATCH(R341,J341:N341,0)-1,"")</f>
        <v/>
      </c>
      <c r="T341" t="str">
        <f t="shared" si="126"/>
        <v/>
      </c>
      <c r="U341" t="str">
        <f t="shared" si="127"/>
        <v/>
      </c>
      <c r="V341" t="str">
        <f t="shared" si="128"/>
        <v/>
      </c>
      <c r="W341" t="str">
        <f t="shared" si="129"/>
        <v/>
      </c>
      <c r="X341" t="str">
        <f t="shared" si="130"/>
        <v/>
      </c>
      <c r="Y341" t="str">
        <f t="shared" si="131"/>
        <v/>
      </c>
      <c r="Z341" t="str">
        <f t="shared" si="132"/>
        <v/>
      </c>
      <c r="AA341">
        <f t="shared" si="133"/>
        <v>0</v>
      </c>
      <c r="AB341" t="str">
        <f>IFERROR(V144+MATCH(AA341,V341:Z341,0)-1,"")</f>
        <v/>
      </c>
      <c r="AC341" t="str">
        <f t="shared" si="134"/>
        <v/>
      </c>
      <c r="AE341" t="str">
        <f>IF(ISNUMBER(MATCH("N/A",J341:N341,0)),"",IFERROR((5 * SUMPRODUCT(J144:N144,J341:N341) - PRODUCT(SUM(J144:N144),SUM(J341:N341))) / ((5 * SUM((J144^2)+(K144^2)+(L144^2)+(M144^2)+(N144^2))) - SUM(J144:N144)^2),""))</f>
        <v/>
      </c>
      <c r="AF341" t="str">
        <f>IFERROR(CORREL(J144:N144,J341:N341),"")</f>
        <v/>
      </c>
      <c r="AZ341">
        <f t="shared" si="135"/>
        <v>0</v>
      </c>
      <c r="BA341" t="str">
        <f>IF(AZ341=1,IF(Q341="","",IF(Q341=N144,"Yes","No")),"")</f>
        <v/>
      </c>
      <c r="BB341" t="str">
        <f t="shared" si="136"/>
        <v/>
      </c>
      <c r="BC341" t="str">
        <f>IF(AZ341=1,IF(S341="","",IF(S341=N144,"Yes","No")),"")</f>
        <v/>
      </c>
      <c r="BD341" t="str">
        <f t="shared" si="137"/>
        <v/>
      </c>
      <c r="BE341" t="str">
        <f t="shared" si="138"/>
        <v/>
      </c>
      <c r="BF341" t="str">
        <f t="shared" si="139"/>
        <v>No</v>
      </c>
      <c r="BG341" t="str">
        <f t="shared" si="140"/>
        <v>No</v>
      </c>
      <c r="BH341" t="str">
        <f t="shared" si="141"/>
        <v/>
      </c>
    </row>
    <row r="342" spans="9:60" x14ac:dyDescent="0.3">
      <c r="I342" t="str">
        <f t="shared" si="118"/>
        <v>N/A</v>
      </c>
      <c r="J342" t="str">
        <f t="shared" si="119"/>
        <v>N/A</v>
      </c>
      <c r="K342" t="str">
        <f t="shared" si="120"/>
        <v>N/A</v>
      </c>
      <c r="L342" t="str">
        <f t="shared" si="121"/>
        <v>N/A</v>
      </c>
      <c r="M342" t="str">
        <f t="shared" si="122"/>
        <v>N/A</v>
      </c>
      <c r="N342" t="str">
        <f t="shared" si="123"/>
        <v>N/A</v>
      </c>
      <c r="P342">
        <f t="shared" si="124"/>
        <v>0</v>
      </c>
      <c r="Q342" t="str">
        <f>IFERROR(J144+MATCH(P342,J342:N342,0)-1,"")</f>
        <v/>
      </c>
      <c r="R342" t="str">
        <f t="shared" si="125"/>
        <v/>
      </c>
      <c r="S342" t="str">
        <f>IFERROR(J144+MATCH(R342,J342:N342,0)-1,"")</f>
        <v/>
      </c>
      <c r="T342" t="str">
        <f t="shared" si="126"/>
        <v/>
      </c>
      <c r="U342" t="str">
        <f t="shared" si="127"/>
        <v/>
      </c>
      <c r="V342" t="str">
        <f t="shared" si="128"/>
        <v/>
      </c>
      <c r="W342" t="str">
        <f t="shared" si="129"/>
        <v/>
      </c>
      <c r="X342" t="str">
        <f t="shared" si="130"/>
        <v/>
      </c>
      <c r="Y342" t="str">
        <f t="shared" si="131"/>
        <v/>
      </c>
      <c r="Z342" t="str">
        <f t="shared" si="132"/>
        <v/>
      </c>
      <c r="AA342">
        <f t="shared" si="133"/>
        <v>0</v>
      </c>
      <c r="AB342" t="str">
        <f>IFERROR(V144+MATCH(AA342,V342:Z342,0)-1,"")</f>
        <v/>
      </c>
      <c r="AC342" t="str">
        <f t="shared" si="134"/>
        <v/>
      </c>
      <c r="AE342" t="str">
        <f>IF(ISNUMBER(MATCH("N/A",J342:N342,0)),"",IFERROR((5 * SUMPRODUCT(J144:N144,J342:N342) - PRODUCT(SUM(J144:N144),SUM(J342:N342))) / ((5 * SUM((J144^2)+(K144^2)+(L144^2)+(M144^2)+(N144^2))) - SUM(J144:N144)^2),""))</f>
        <v/>
      </c>
      <c r="AF342" t="str">
        <f>IFERROR(CORREL(J144:N144,J342:N342),"")</f>
        <v/>
      </c>
      <c r="AZ342">
        <f t="shared" si="135"/>
        <v>0</v>
      </c>
      <c r="BA342" t="str">
        <f>IF(AZ342=1,IF(Q342="","",IF(Q342=N144,"Yes","No")),"")</f>
        <v/>
      </c>
      <c r="BB342" t="str">
        <f t="shared" si="136"/>
        <v/>
      </c>
      <c r="BC342" t="str">
        <f>IF(AZ342=1,IF(S342="","",IF(S342=N144,"Yes","No")),"")</f>
        <v/>
      </c>
      <c r="BD342" t="str">
        <f t="shared" si="137"/>
        <v/>
      </c>
      <c r="BE342" t="str">
        <f t="shared" si="138"/>
        <v/>
      </c>
      <c r="BF342" t="str">
        <f t="shared" si="139"/>
        <v>No</v>
      </c>
      <c r="BG342" t="str">
        <f t="shared" si="140"/>
        <v>No</v>
      </c>
      <c r="BH342" t="str">
        <f t="shared" si="141"/>
        <v/>
      </c>
    </row>
    <row r="343" spans="9:60" x14ac:dyDescent="0.3">
      <c r="I343" t="str">
        <f t="shared" si="118"/>
        <v>N/A</v>
      </c>
      <c r="J343" t="str">
        <f t="shared" si="119"/>
        <v>N/A</v>
      </c>
      <c r="K343" t="str">
        <f t="shared" si="120"/>
        <v>N/A</v>
      </c>
      <c r="L343" t="str">
        <f t="shared" si="121"/>
        <v>N/A</v>
      </c>
      <c r="M343" t="str">
        <f t="shared" si="122"/>
        <v>N/A</v>
      </c>
      <c r="N343" t="str">
        <f t="shared" si="123"/>
        <v>N/A</v>
      </c>
      <c r="P343">
        <f t="shared" si="124"/>
        <v>0</v>
      </c>
      <c r="Q343" t="str">
        <f>IFERROR(J144+MATCH(P343,J343:N343,0)-1,"")</f>
        <v/>
      </c>
      <c r="R343" t="str">
        <f t="shared" si="125"/>
        <v/>
      </c>
      <c r="S343" t="str">
        <f>IFERROR(J144+MATCH(R343,J343:N343,0)-1,"")</f>
        <v/>
      </c>
      <c r="T343" t="str">
        <f t="shared" si="126"/>
        <v/>
      </c>
      <c r="U343" t="str">
        <f t="shared" si="127"/>
        <v/>
      </c>
      <c r="V343" t="str">
        <f t="shared" si="128"/>
        <v/>
      </c>
      <c r="W343" t="str">
        <f t="shared" si="129"/>
        <v/>
      </c>
      <c r="X343" t="str">
        <f t="shared" si="130"/>
        <v/>
      </c>
      <c r="Y343" t="str">
        <f t="shared" si="131"/>
        <v/>
      </c>
      <c r="Z343" t="str">
        <f t="shared" si="132"/>
        <v/>
      </c>
      <c r="AA343">
        <f t="shared" si="133"/>
        <v>0</v>
      </c>
      <c r="AB343" t="str">
        <f>IFERROR(V144+MATCH(AA343,V343:Z343,0)-1,"")</f>
        <v/>
      </c>
      <c r="AC343" t="str">
        <f t="shared" si="134"/>
        <v/>
      </c>
      <c r="AE343" t="str">
        <f>IF(ISNUMBER(MATCH("N/A",J343:N343,0)),"",IFERROR((5 * SUMPRODUCT(J144:N144,J343:N343) - PRODUCT(SUM(J144:N144),SUM(J343:N343))) / ((5 * SUM((J144^2)+(K144^2)+(L144^2)+(M144^2)+(N144^2))) - SUM(J144:N144)^2),""))</f>
        <v/>
      </c>
      <c r="AF343" t="str">
        <f>IFERROR(CORREL(J144:N144,J343:N343),"")</f>
        <v/>
      </c>
      <c r="AZ343">
        <f t="shared" si="135"/>
        <v>0</v>
      </c>
      <c r="BA343" t="str">
        <f>IF(AZ343=1,IF(Q343="","",IF(Q343=N144,"Yes","No")),"")</f>
        <v/>
      </c>
      <c r="BB343" t="str">
        <f t="shared" si="136"/>
        <v/>
      </c>
      <c r="BC343" t="str">
        <f>IF(AZ343=1,IF(S343="","",IF(S343=N144,"Yes","No")),"")</f>
        <v/>
      </c>
      <c r="BD343" t="str">
        <f t="shared" si="137"/>
        <v/>
      </c>
      <c r="BE343" t="str">
        <f t="shared" si="138"/>
        <v/>
      </c>
      <c r="BF343" t="str">
        <f t="shared" si="139"/>
        <v>No</v>
      </c>
      <c r="BG343" t="str">
        <f t="shared" si="140"/>
        <v>No</v>
      </c>
      <c r="BH343" t="str">
        <f t="shared" si="141"/>
        <v/>
      </c>
    </row>
    <row r="344" spans="9:60" x14ac:dyDescent="0.3">
      <c r="I344" t="str">
        <f t="shared" si="118"/>
        <v>N/A</v>
      </c>
      <c r="J344" t="str">
        <f t="shared" si="119"/>
        <v>N/A</v>
      </c>
      <c r="K344" t="str">
        <f t="shared" si="120"/>
        <v>N/A</v>
      </c>
      <c r="L344" t="str">
        <f t="shared" si="121"/>
        <v>N/A</v>
      </c>
      <c r="M344" t="str">
        <f t="shared" si="122"/>
        <v>N/A</v>
      </c>
      <c r="N344" t="str">
        <f t="shared" si="123"/>
        <v>N/A</v>
      </c>
      <c r="P344">
        <f t="shared" si="124"/>
        <v>0</v>
      </c>
      <c r="Q344" t="str">
        <f>IFERROR(J144+MATCH(P344,J344:N344,0)-1,"")</f>
        <v/>
      </c>
      <c r="R344" t="str">
        <f t="shared" si="125"/>
        <v/>
      </c>
      <c r="S344" t="str">
        <f>IFERROR(J144+MATCH(R344,J344:N344,0)-1,"")</f>
        <v/>
      </c>
      <c r="T344" t="str">
        <f t="shared" si="126"/>
        <v/>
      </c>
      <c r="U344" t="str">
        <f t="shared" si="127"/>
        <v/>
      </c>
      <c r="V344" t="str">
        <f t="shared" si="128"/>
        <v/>
      </c>
      <c r="W344" t="str">
        <f t="shared" si="129"/>
        <v/>
      </c>
      <c r="X344" t="str">
        <f t="shared" si="130"/>
        <v/>
      </c>
      <c r="Y344" t="str">
        <f t="shared" si="131"/>
        <v/>
      </c>
      <c r="Z344" t="str">
        <f t="shared" si="132"/>
        <v/>
      </c>
      <c r="AA344">
        <f t="shared" si="133"/>
        <v>0</v>
      </c>
      <c r="AB344" t="str">
        <f>IFERROR(V144+MATCH(AA344,V344:Z344,0)-1,"")</f>
        <v/>
      </c>
      <c r="AC344" t="str">
        <f t="shared" si="134"/>
        <v/>
      </c>
      <c r="AE344" t="str">
        <f>IF(ISNUMBER(MATCH("N/A",J344:N344,0)),"",IFERROR((5 * SUMPRODUCT(J144:N144,J344:N344) - PRODUCT(SUM(J144:N144),SUM(J344:N344))) / ((5 * SUM((J144^2)+(K144^2)+(L144^2)+(M144^2)+(N144^2))) - SUM(J144:N144)^2),""))</f>
        <v/>
      </c>
      <c r="AF344" t="str">
        <f>IFERROR(CORREL(J144:N144,J344:N344),"")</f>
        <v/>
      </c>
      <c r="AZ344">
        <f t="shared" si="135"/>
        <v>0</v>
      </c>
      <c r="BA344" t="str">
        <f>IF(AZ344=1,IF(Q344="","",IF(Q344=N144,"Yes","No")),"")</f>
        <v/>
      </c>
      <c r="BB344" t="str">
        <f t="shared" si="136"/>
        <v/>
      </c>
      <c r="BC344" t="str">
        <f>IF(AZ344=1,IF(S344="","",IF(S344=N144,"Yes","No")),"")</f>
        <v/>
      </c>
      <c r="BD344" t="str">
        <f t="shared" si="137"/>
        <v/>
      </c>
      <c r="BE344" t="str">
        <f t="shared" si="138"/>
        <v/>
      </c>
      <c r="BF344" t="str">
        <f t="shared" si="139"/>
        <v>No</v>
      </c>
      <c r="BG344" t="str">
        <f t="shared" si="140"/>
        <v>No</v>
      </c>
      <c r="BH344" t="str">
        <f t="shared" si="141"/>
        <v/>
      </c>
    </row>
    <row r="345" spans="9:60" x14ac:dyDescent="0.3">
      <c r="I345" t="str">
        <f t="shared" si="118"/>
        <v>N/A</v>
      </c>
      <c r="J345" t="str">
        <f t="shared" si="119"/>
        <v>N/A</v>
      </c>
      <c r="K345" t="str">
        <f t="shared" si="120"/>
        <v>N/A</v>
      </c>
      <c r="L345" t="str">
        <f t="shared" si="121"/>
        <v>N/A</v>
      </c>
      <c r="M345" t="str">
        <f t="shared" si="122"/>
        <v>N/A</v>
      </c>
      <c r="N345" t="str">
        <f t="shared" si="123"/>
        <v>N/A</v>
      </c>
      <c r="P345">
        <f t="shared" si="124"/>
        <v>0</v>
      </c>
      <c r="Q345" t="str">
        <f>IFERROR(J144+MATCH(P345,J345:N345,0)-1,"")</f>
        <v/>
      </c>
      <c r="R345" t="str">
        <f t="shared" si="125"/>
        <v/>
      </c>
      <c r="S345" t="str">
        <f>IFERROR(J144+MATCH(R345,J345:N345,0)-1,"")</f>
        <v/>
      </c>
      <c r="T345" t="str">
        <f t="shared" si="126"/>
        <v/>
      </c>
      <c r="U345" t="str">
        <f t="shared" si="127"/>
        <v/>
      </c>
      <c r="V345" t="str">
        <f t="shared" si="128"/>
        <v/>
      </c>
      <c r="W345" t="str">
        <f t="shared" si="129"/>
        <v/>
      </c>
      <c r="X345" t="str">
        <f t="shared" si="130"/>
        <v/>
      </c>
      <c r="Y345" t="str">
        <f t="shared" si="131"/>
        <v/>
      </c>
      <c r="Z345" t="str">
        <f t="shared" si="132"/>
        <v/>
      </c>
      <c r="AA345">
        <f t="shared" si="133"/>
        <v>0</v>
      </c>
      <c r="AB345" t="str">
        <f>IFERROR(V144+MATCH(AA345,V345:Z345,0)-1,"")</f>
        <v/>
      </c>
      <c r="AC345" t="str">
        <f t="shared" si="134"/>
        <v/>
      </c>
      <c r="AE345" t="str">
        <f>IF(ISNUMBER(MATCH("N/A",J345:N345,0)),"",IFERROR((5 * SUMPRODUCT(J144:N144,J345:N345) - PRODUCT(SUM(J144:N144),SUM(J345:N345))) / ((5 * SUM((J144^2)+(K144^2)+(L144^2)+(M144^2)+(N144^2))) - SUM(J144:N144)^2),""))</f>
        <v/>
      </c>
      <c r="AF345" t="str">
        <f>IFERROR(CORREL(J144:N144,J345:N345),"")</f>
        <v/>
      </c>
      <c r="AZ345">
        <f t="shared" si="135"/>
        <v>0</v>
      </c>
      <c r="BA345" t="str">
        <f>IF(AZ345=1,IF(Q345="","",IF(Q345=N144,"Yes","No")),"")</f>
        <v/>
      </c>
      <c r="BB345" t="str">
        <f t="shared" si="136"/>
        <v/>
      </c>
      <c r="BC345" t="str">
        <f>IF(AZ345=1,IF(S345="","",IF(S345=N144,"Yes","No")),"")</f>
        <v/>
      </c>
      <c r="BD345" t="str">
        <f t="shared" si="137"/>
        <v/>
      </c>
      <c r="BE345" t="str">
        <f t="shared" si="138"/>
        <v/>
      </c>
      <c r="BF345" t="str">
        <f t="shared" si="139"/>
        <v>No</v>
      </c>
      <c r="BG345" t="str">
        <f t="shared" si="140"/>
        <v>No</v>
      </c>
      <c r="BH345" t="str">
        <f t="shared" si="141"/>
        <v/>
      </c>
    </row>
    <row r="346" spans="9:60" x14ac:dyDescent="0.3">
      <c r="I346" t="str">
        <f t="shared" si="118"/>
        <v>N/A</v>
      </c>
      <c r="J346" t="str">
        <f t="shared" si="119"/>
        <v>N/A</v>
      </c>
      <c r="K346" t="str">
        <f t="shared" si="120"/>
        <v>N/A</v>
      </c>
      <c r="L346" t="str">
        <f t="shared" si="121"/>
        <v>N/A</v>
      </c>
      <c r="M346" t="str">
        <f t="shared" si="122"/>
        <v>N/A</v>
      </c>
      <c r="N346" t="str">
        <f t="shared" si="123"/>
        <v>N/A</v>
      </c>
      <c r="P346">
        <f t="shared" si="124"/>
        <v>0</v>
      </c>
      <c r="Q346" t="str">
        <f>IFERROR(J144+MATCH(P346,J346:N346,0)-1,"")</f>
        <v/>
      </c>
      <c r="R346" t="str">
        <f t="shared" si="125"/>
        <v/>
      </c>
      <c r="S346" t="str">
        <f>IFERROR(J144+MATCH(R346,J346:N346,0)-1,"")</f>
        <v/>
      </c>
      <c r="T346" t="str">
        <f t="shared" si="126"/>
        <v/>
      </c>
      <c r="U346" t="str">
        <f t="shared" si="127"/>
        <v/>
      </c>
      <c r="V346" t="str">
        <f t="shared" si="128"/>
        <v/>
      </c>
      <c r="W346" t="str">
        <f t="shared" si="129"/>
        <v/>
      </c>
      <c r="X346" t="str">
        <f t="shared" si="130"/>
        <v/>
      </c>
      <c r="Y346" t="str">
        <f t="shared" si="131"/>
        <v/>
      </c>
      <c r="Z346" t="str">
        <f t="shared" si="132"/>
        <v/>
      </c>
      <c r="AA346">
        <f t="shared" si="133"/>
        <v>0</v>
      </c>
      <c r="AB346" t="str">
        <f>IFERROR(V144+MATCH(AA346,V346:Z346,0)-1,"")</f>
        <v/>
      </c>
      <c r="AC346" t="str">
        <f t="shared" si="134"/>
        <v/>
      </c>
      <c r="AE346" t="str">
        <f>IF(ISNUMBER(MATCH("N/A",J346:N346,0)),"",IFERROR((5 * SUMPRODUCT(J144:N144,J346:N346) - PRODUCT(SUM(J144:N144),SUM(J346:N346))) / ((5 * SUM((J144^2)+(K144^2)+(L144^2)+(M144^2)+(N144^2))) - SUM(J144:N144)^2),""))</f>
        <v/>
      </c>
      <c r="AF346" t="str">
        <f>IFERROR(CORREL(J144:N144,J346:N346),"")</f>
        <v/>
      </c>
      <c r="AZ346">
        <f t="shared" si="135"/>
        <v>0</v>
      </c>
      <c r="BA346" t="str">
        <f>IF(AZ346=1,IF(Q346="","",IF(Q346=N144,"Yes","No")),"")</f>
        <v/>
      </c>
      <c r="BB346" t="str">
        <f t="shared" si="136"/>
        <v/>
      </c>
      <c r="BC346" t="str">
        <f>IF(AZ346=1,IF(S346="","",IF(S346=N144,"Yes","No")),"")</f>
        <v/>
      </c>
      <c r="BD346" t="str">
        <f t="shared" si="137"/>
        <v/>
      </c>
      <c r="BE346" t="str">
        <f t="shared" si="138"/>
        <v/>
      </c>
      <c r="BF346" t="str">
        <f t="shared" si="139"/>
        <v>No</v>
      </c>
      <c r="BG346" t="str">
        <f t="shared" si="140"/>
        <v>No</v>
      </c>
      <c r="BH346" t="str">
        <f t="shared" si="141"/>
        <v/>
      </c>
    </row>
    <row r="347" spans="9:60" x14ac:dyDescent="0.3">
      <c r="I347" t="str">
        <f t="shared" si="118"/>
        <v>N/A</v>
      </c>
      <c r="J347" t="str">
        <f t="shared" si="119"/>
        <v>N/A</v>
      </c>
      <c r="K347" t="str">
        <f t="shared" si="120"/>
        <v>N/A</v>
      </c>
      <c r="L347" t="str">
        <f t="shared" si="121"/>
        <v>N/A</v>
      </c>
      <c r="M347" t="str">
        <f t="shared" si="122"/>
        <v>N/A</v>
      </c>
      <c r="N347" t="str">
        <f t="shared" si="123"/>
        <v>N/A</v>
      </c>
      <c r="P347">
        <f t="shared" si="124"/>
        <v>0</v>
      </c>
      <c r="Q347" t="str">
        <f>IFERROR(J144+MATCH(P347,J347:N347,0)-1,"")</f>
        <v/>
      </c>
      <c r="R347" t="str">
        <f t="shared" si="125"/>
        <v/>
      </c>
      <c r="S347" t="str">
        <f>IFERROR(J144+MATCH(R347,J347:N347,0)-1,"")</f>
        <v/>
      </c>
      <c r="T347" t="str">
        <f t="shared" si="126"/>
        <v/>
      </c>
      <c r="U347" t="str">
        <f t="shared" si="127"/>
        <v/>
      </c>
      <c r="V347" t="str">
        <f t="shared" si="128"/>
        <v/>
      </c>
      <c r="W347" t="str">
        <f t="shared" si="129"/>
        <v/>
      </c>
      <c r="X347" t="str">
        <f t="shared" si="130"/>
        <v/>
      </c>
      <c r="Y347" t="str">
        <f t="shared" si="131"/>
        <v/>
      </c>
      <c r="Z347" t="str">
        <f t="shared" si="132"/>
        <v/>
      </c>
      <c r="AA347">
        <f t="shared" si="133"/>
        <v>0</v>
      </c>
      <c r="AB347" t="str">
        <f>IFERROR(V144+MATCH(AA347,V347:Z347,0)-1,"")</f>
        <v/>
      </c>
      <c r="AC347" t="str">
        <f t="shared" si="134"/>
        <v/>
      </c>
      <c r="AE347" t="str">
        <f>IF(ISNUMBER(MATCH("N/A",J347:N347,0)),"",IFERROR((5 * SUMPRODUCT(J144:N144,J347:N347) - PRODUCT(SUM(J144:N144),SUM(J347:N347))) / ((5 * SUM((J144^2)+(K144^2)+(L144^2)+(M144^2)+(N144^2))) - SUM(J144:N144)^2),""))</f>
        <v/>
      </c>
      <c r="AF347" t="str">
        <f>IFERROR(CORREL(J144:N144,J347:N347),"")</f>
        <v/>
      </c>
      <c r="AZ347">
        <f t="shared" si="135"/>
        <v>0</v>
      </c>
      <c r="BA347" t="str">
        <f>IF(AZ347=1,IF(Q347="","",IF(Q347=N144,"Yes","No")),"")</f>
        <v/>
      </c>
      <c r="BB347" t="str">
        <f t="shared" si="136"/>
        <v/>
      </c>
      <c r="BC347" t="str">
        <f>IF(AZ347=1,IF(S347="","",IF(S347=N144,"Yes","No")),"")</f>
        <v/>
      </c>
      <c r="BD347" t="str">
        <f t="shared" si="137"/>
        <v/>
      </c>
      <c r="BE347" t="str">
        <f t="shared" si="138"/>
        <v/>
      </c>
      <c r="BF347" t="str">
        <f t="shared" si="139"/>
        <v>No</v>
      </c>
      <c r="BG347" t="str">
        <f t="shared" si="140"/>
        <v>No</v>
      </c>
      <c r="BH347" t="str">
        <f t="shared" si="141"/>
        <v/>
      </c>
    </row>
    <row r="348" spans="9:60" x14ac:dyDescent="0.3">
      <c r="I348" t="str">
        <f t="shared" si="118"/>
        <v>N/A</v>
      </c>
      <c r="J348" t="str">
        <f t="shared" si="119"/>
        <v>N/A</v>
      </c>
      <c r="K348" t="str">
        <f t="shared" si="120"/>
        <v>N/A</v>
      </c>
      <c r="L348" t="str">
        <f t="shared" si="121"/>
        <v>N/A</v>
      </c>
      <c r="M348" t="str">
        <f t="shared" si="122"/>
        <v>N/A</v>
      </c>
      <c r="N348" t="str">
        <f t="shared" si="123"/>
        <v>N/A</v>
      </c>
      <c r="P348">
        <f t="shared" si="124"/>
        <v>0</v>
      </c>
      <c r="Q348" t="str">
        <f>IFERROR(J144+MATCH(P348,J348:N348,0)-1,"")</f>
        <v/>
      </c>
      <c r="R348" t="str">
        <f t="shared" si="125"/>
        <v/>
      </c>
      <c r="S348" t="str">
        <f>IFERROR(J144+MATCH(R348,J348:N348,0)-1,"")</f>
        <v/>
      </c>
      <c r="T348" t="str">
        <f t="shared" si="126"/>
        <v/>
      </c>
      <c r="U348" t="str">
        <f t="shared" si="127"/>
        <v/>
      </c>
      <c r="V348" t="str">
        <f t="shared" si="128"/>
        <v/>
      </c>
      <c r="W348" t="str">
        <f t="shared" si="129"/>
        <v/>
      </c>
      <c r="X348" t="str">
        <f t="shared" si="130"/>
        <v/>
      </c>
      <c r="Y348" t="str">
        <f t="shared" si="131"/>
        <v/>
      </c>
      <c r="Z348" t="str">
        <f t="shared" si="132"/>
        <v/>
      </c>
      <c r="AA348">
        <f t="shared" si="133"/>
        <v>0</v>
      </c>
      <c r="AB348" t="str">
        <f>IFERROR(V144+MATCH(AA348,V348:Z348,0)-1,"")</f>
        <v/>
      </c>
      <c r="AC348" t="str">
        <f t="shared" si="134"/>
        <v/>
      </c>
      <c r="AE348" t="str">
        <f>IF(ISNUMBER(MATCH("N/A",J348:N348,0)),"",IFERROR((5 * SUMPRODUCT(J144:N144,J348:N348) - PRODUCT(SUM(J144:N144),SUM(J348:N348))) / ((5 * SUM((J144^2)+(K144^2)+(L144^2)+(M144^2)+(N144^2))) - SUM(J144:N144)^2),""))</f>
        <v/>
      </c>
      <c r="AF348" t="str">
        <f>IFERROR(CORREL(J144:N144,J348:N348),"")</f>
        <v/>
      </c>
      <c r="AZ348">
        <f t="shared" si="135"/>
        <v>0</v>
      </c>
      <c r="BA348" t="str">
        <f>IF(AZ348=1,IF(Q348="","",IF(Q348=N144,"Yes","No")),"")</f>
        <v/>
      </c>
      <c r="BB348" t="str">
        <f t="shared" si="136"/>
        <v/>
      </c>
      <c r="BC348" t="str">
        <f>IF(AZ348=1,IF(S348="","",IF(S348=N144,"Yes","No")),"")</f>
        <v/>
      </c>
      <c r="BD348" t="str">
        <f t="shared" si="137"/>
        <v/>
      </c>
      <c r="BE348" t="str">
        <f t="shared" si="138"/>
        <v/>
      </c>
      <c r="BF348" t="str">
        <f t="shared" si="139"/>
        <v>No</v>
      </c>
      <c r="BG348" t="str">
        <f t="shared" si="140"/>
        <v>No</v>
      </c>
      <c r="BH348" t="str">
        <f t="shared" si="141"/>
        <v/>
      </c>
    </row>
    <row r="349" spans="9:60" x14ac:dyDescent="0.3">
      <c r="I349" t="str">
        <f t="shared" si="118"/>
        <v>N/A</v>
      </c>
      <c r="J349" t="str">
        <f t="shared" si="119"/>
        <v>N/A</v>
      </c>
      <c r="K349" t="str">
        <f t="shared" si="120"/>
        <v>N/A</v>
      </c>
      <c r="L349" t="str">
        <f t="shared" si="121"/>
        <v>N/A</v>
      </c>
      <c r="M349" t="str">
        <f t="shared" si="122"/>
        <v>N/A</v>
      </c>
      <c r="N349" t="str">
        <f t="shared" si="123"/>
        <v>N/A</v>
      </c>
      <c r="P349">
        <f t="shared" si="124"/>
        <v>0</v>
      </c>
      <c r="Q349" t="str">
        <f>IFERROR(J144+MATCH(P349,J349:N349,0)-1,"")</f>
        <v/>
      </c>
      <c r="R349" t="str">
        <f t="shared" si="125"/>
        <v/>
      </c>
      <c r="S349" t="str">
        <f>IFERROR(J144+MATCH(R349,J349:N349,0)-1,"")</f>
        <v/>
      </c>
      <c r="T349" t="str">
        <f t="shared" si="126"/>
        <v/>
      </c>
      <c r="U349" t="str">
        <f t="shared" si="127"/>
        <v/>
      </c>
      <c r="V349" t="str">
        <f t="shared" si="128"/>
        <v/>
      </c>
      <c r="W349" t="str">
        <f t="shared" si="129"/>
        <v/>
      </c>
      <c r="X349" t="str">
        <f t="shared" si="130"/>
        <v/>
      </c>
      <c r="Y349" t="str">
        <f t="shared" si="131"/>
        <v/>
      </c>
      <c r="Z349" t="str">
        <f t="shared" si="132"/>
        <v/>
      </c>
      <c r="AA349">
        <f t="shared" si="133"/>
        <v>0</v>
      </c>
      <c r="AB349" t="str">
        <f>IFERROR(V144+MATCH(AA349,V349:Z349,0)-1,"")</f>
        <v/>
      </c>
      <c r="AC349" t="str">
        <f t="shared" si="134"/>
        <v/>
      </c>
      <c r="AE349" t="str">
        <f>IF(ISNUMBER(MATCH("N/A",J349:N349,0)),"",IFERROR((5 * SUMPRODUCT(J144:N144,J349:N349) - PRODUCT(SUM(J144:N144),SUM(J349:N349))) / ((5 * SUM((J144^2)+(K144^2)+(L144^2)+(M144^2)+(N144^2))) - SUM(J144:N144)^2),""))</f>
        <v/>
      </c>
      <c r="AF349" t="str">
        <f>IFERROR(CORREL(J144:N144,J349:N349),"")</f>
        <v/>
      </c>
      <c r="AZ349">
        <f t="shared" si="135"/>
        <v>0</v>
      </c>
      <c r="BA349" t="str">
        <f>IF(AZ349=1,IF(Q349="","",IF(Q349=N144,"Yes","No")),"")</f>
        <v/>
      </c>
      <c r="BB349" t="str">
        <f t="shared" si="136"/>
        <v/>
      </c>
      <c r="BC349" t="str">
        <f>IF(AZ349=1,IF(S349="","",IF(S349=N144,"Yes","No")),"")</f>
        <v/>
      </c>
      <c r="BD349" t="str">
        <f t="shared" si="137"/>
        <v/>
      </c>
      <c r="BE349" t="str">
        <f t="shared" si="138"/>
        <v/>
      </c>
      <c r="BF349" t="str">
        <f t="shared" si="139"/>
        <v>No</v>
      </c>
      <c r="BG349" t="str">
        <f t="shared" si="140"/>
        <v>No</v>
      </c>
      <c r="BH349" t="str">
        <f t="shared" si="141"/>
        <v/>
      </c>
    </row>
    <row r="350" spans="9:60" x14ac:dyDescent="0.3">
      <c r="I350" t="str">
        <f t="shared" si="118"/>
        <v>N/A</v>
      </c>
      <c r="J350" t="str">
        <f t="shared" si="119"/>
        <v>N/A</v>
      </c>
      <c r="K350" t="str">
        <f t="shared" si="120"/>
        <v>N/A</v>
      </c>
      <c r="L350" t="str">
        <f t="shared" si="121"/>
        <v>N/A</v>
      </c>
      <c r="M350" t="str">
        <f t="shared" si="122"/>
        <v>N/A</v>
      </c>
      <c r="N350" t="str">
        <f t="shared" si="123"/>
        <v>N/A</v>
      </c>
      <c r="P350">
        <f t="shared" si="124"/>
        <v>0</v>
      </c>
      <c r="Q350" t="str">
        <f>IFERROR(J144+MATCH(P350,J350:N350,0)-1,"")</f>
        <v/>
      </c>
      <c r="R350" t="str">
        <f t="shared" si="125"/>
        <v/>
      </c>
      <c r="S350" t="str">
        <f>IFERROR(J144+MATCH(R350,J350:N350,0)-1,"")</f>
        <v/>
      </c>
      <c r="T350" t="str">
        <f t="shared" si="126"/>
        <v/>
      </c>
      <c r="U350" t="str">
        <f t="shared" si="127"/>
        <v/>
      </c>
      <c r="V350" t="str">
        <f t="shared" si="128"/>
        <v/>
      </c>
      <c r="W350" t="str">
        <f t="shared" si="129"/>
        <v/>
      </c>
      <c r="X350" t="str">
        <f t="shared" si="130"/>
        <v/>
      </c>
      <c r="Y350" t="str">
        <f t="shared" si="131"/>
        <v/>
      </c>
      <c r="Z350" t="str">
        <f t="shared" si="132"/>
        <v/>
      </c>
      <c r="AA350">
        <f t="shared" si="133"/>
        <v>0</v>
      </c>
      <c r="AB350" t="str">
        <f>IFERROR(V144+MATCH(AA350,V350:Z350,0)-1,"")</f>
        <v/>
      </c>
      <c r="AC350" t="str">
        <f t="shared" si="134"/>
        <v/>
      </c>
      <c r="AE350" t="str">
        <f>IF(ISNUMBER(MATCH("N/A",J350:N350,0)),"",IFERROR((5 * SUMPRODUCT(J144:N144,J350:N350) - PRODUCT(SUM(J144:N144),SUM(J350:N350))) / ((5 * SUM((J144^2)+(K144^2)+(L144^2)+(M144^2)+(N144^2))) - SUM(J144:N144)^2),""))</f>
        <v/>
      </c>
      <c r="AF350" t="str">
        <f>IFERROR(CORREL(J144:N144,J350:N350),"")</f>
        <v/>
      </c>
      <c r="AZ350">
        <f t="shared" si="135"/>
        <v>0</v>
      </c>
      <c r="BA350" t="str">
        <f>IF(AZ350=1,IF(Q350="","",IF(Q350=N144,"Yes","No")),"")</f>
        <v/>
      </c>
      <c r="BB350" t="str">
        <f t="shared" si="136"/>
        <v/>
      </c>
      <c r="BC350" t="str">
        <f>IF(AZ350=1,IF(S350="","",IF(S350=N144,"Yes","No")),"")</f>
        <v/>
      </c>
      <c r="BD350" t="str">
        <f t="shared" si="137"/>
        <v/>
      </c>
      <c r="BE350" t="str">
        <f t="shared" si="138"/>
        <v/>
      </c>
      <c r="BF350" t="str">
        <f t="shared" si="139"/>
        <v>No</v>
      </c>
      <c r="BG350" t="str">
        <f t="shared" si="140"/>
        <v>No</v>
      </c>
      <c r="BH350" t="str">
        <f t="shared" si="141"/>
        <v/>
      </c>
    </row>
    <row r="351" spans="9:60" x14ac:dyDescent="0.3">
      <c r="I351" t="str">
        <f t="shared" si="118"/>
        <v>N/A</v>
      </c>
      <c r="J351" t="str">
        <f t="shared" si="119"/>
        <v>N/A</v>
      </c>
      <c r="K351" t="str">
        <f t="shared" si="120"/>
        <v>N/A</v>
      </c>
      <c r="L351" t="str">
        <f t="shared" si="121"/>
        <v>N/A</v>
      </c>
      <c r="M351" t="str">
        <f t="shared" si="122"/>
        <v>N/A</v>
      </c>
      <c r="N351" t="str">
        <f t="shared" si="123"/>
        <v>N/A</v>
      </c>
      <c r="P351">
        <f t="shared" si="124"/>
        <v>0</v>
      </c>
      <c r="Q351" t="str">
        <f>IFERROR(J144+MATCH(P351,J351:N351,0)-1,"")</f>
        <v/>
      </c>
      <c r="R351" t="str">
        <f t="shared" si="125"/>
        <v/>
      </c>
      <c r="S351" t="str">
        <f>IFERROR(J144+MATCH(R351,J351:N351,0)-1,"")</f>
        <v/>
      </c>
      <c r="T351" t="str">
        <f t="shared" si="126"/>
        <v/>
      </c>
      <c r="U351" t="str">
        <f t="shared" si="127"/>
        <v/>
      </c>
      <c r="V351" t="str">
        <f t="shared" si="128"/>
        <v/>
      </c>
      <c r="W351" t="str">
        <f t="shared" si="129"/>
        <v/>
      </c>
      <c r="X351" t="str">
        <f t="shared" si="130"/>
        <v/>
      </c>
      <c r="Y351" t="str">
        <f t="shared" si="131"/>
        <v/>
      </c>
      <c r="Z351" t="str">
        <f t="shared" si="132"/>
        <v/>
      </c>
      <c r="AA351">
        <f t="shared" si="133"/>
        <v>0</v>
      </c>
      <c r="AB351" t="str">
        <f>IFERROR(V144+MATCH(AA351,V351:Z351,0)-1,"")</f>
        <v/>
      </c>
      <c r="AC351" t="str">
        <f t="shared" si="134"/>
        <v/>
      </c>
      <c r="AE351" t="str">
        <f>IF(ISNUMBER(MATCH("N/A",J351:N351,0)),"",IFERROR((5 * SUMPRODUCT(J144:N144,J351:N351) - PRODUCT(SUM(J144:N144),SUM(J351:N351))) / ((5 * SUM((J144^2)+(K144^2)+(L144^2)+(M144^2)+(N144^2))) - SUM(J144:N144)^2),""))</f>
        <v/>
      </c>
      <c r="AF351" t="str">
        <f>IFERROR(CORREL(J144:N144,J351:N351),"")</f>
        <v/>
      </c>
      <c r="AZ351">
        <f t="shared" si="135"/>
        <v>0</v>
      </c>
      <c r="BA351" t="str">
        <f>IF(AZ351=1,IF(Q351="","",IF(Q351=N144,"Yes","No")),"")</f>
        <v/>
      </c>
      <c r="BB351" t="str">
        <f t="shared" si="136"/>
        <v/>
      </c>
      <c r="BC351" t="str">
        <f>IF(AZ351=1,IF(S351="","",IF(S351=N144,"Yes","No")),"")</f>
        <v/>
      </c>
      <c r="BD351" t="str">
        <f t="shared" si="137"/>
        <v/>
      </c>
      <c r="BE351" t="str">
        <f t="shared" si="138"/>
        <v/>
      </c>
      <c r="BF351" t="str">
        <f t="shared" si="139"/>
        <v>No</v>
      </c>
      <c r="BG351" t="str">
        <f t="shared" si="140"/>
        <v>No</v>
      </c>
      <c r="BH351" t="str">
        <f t="shared" si="141"/>
        <v/>
      </c>
    </row>
    <row r="352" spans="9:60" x14ac:dyDescent="0.3">
      <c r="I352" t="str">
        <f t="shared" si="118"/>
        <v>N/A</v>
      </c>
      <c r="J352" t="str">
        <f t="shared" si="119"/>
        <v>N/A</v>
      </c>
      <c r="K352" t="str">
        <f t="shared" si="120"/>
        <v>N/A</v>
      </c>
      <c r="L352" t="str">
        <f t="shared" si="121"/>
        <v>N/A</v>
      </c>
      <c r="M352" t="str">
        <f t="shared" si="122"/>
        <v>N/A</v>
      </c>
      <c r="N352" t="str">
        <f t="shared" si="123"/>
        <v>N/A</v>
      </c>
      <c r="P352">
        <f t="shared" si="124"/>
        <v>0</v>
      </c>
      <c r="Q352" t="str">
        <f>IFERROR(J144+MATCH(P352,J352:N352,0)-1,"")</f>
        <v/>
      </c>
      <c r="R352" t="str">
        <f t="shared" si="125"/>
        <v/>
      </c>
      <c r="S352" t="str">
        <f>IFERROR(J144+MATCH(R352,J352:N352,0)-1,"")</f>
        <v/>
      </c>
      <c r="T352" t="str">
        <f t="shared" si="126"/>
        <v/>
      </c>
      <c r="U352" t="str">
        <f t="shared" si="127"/>
        <v/>
      </c>
      <c r="V352" t="str">
        <f t="shared" si="128"/>
        <v/>
      </c>
      <c r="W352" t="str">
        <f t="shared" si="129"/>
        <v/>
      </c>
      <c r="X352" t="str">
        <f t="shared" si="130"/>
        <v/>
      </c>
      <c r="Y352" t="str">
        <f t="shared" si="131"/>
        <v/>
      </c>
      <c r="Z352" t="str">
        <f t="shared" si="132"/>
        <v/>
      </c>
      <c r="AA352">
        <f t="shared" si="133"/>
        <v>0</v>
      </c>
      <c r="AB352" t="str">
        <f>IFERROR(V144+MATCH(AA352,V352:Z352,0)-1,"")</f>
        <v/>
      </c>
      <c r="AC352" t="str">
        <f t="shared" si="134"/>
        <v/>
      </c>
      <c r="AE352" t="str">
        <f>IF(ISNUMBER(MATCH("N/A",J352:N352,0)),"",IFERROR((5 * SUMPRODUCT(J144:N144,J352:N352) - PRODUCT(SUM(J144:N144),SUM(J352:N352))) / ((5 * SUM((J144^2)+(K144^2)+(L144^2)+(M144^2)+(N144^2))) - SUM(J144:N144)^2),""))</f>
        <v/>
      </c>
      <c r="AF352" t="str">
        <f>IFERROR(CORREL(J144:N144,J352:N352),"")</f>
        <v/>
      </c>
      <c r="AZ352">
        <f t="shared" si="135"/>
        <v>0</v>
      </c>
      <c r="BA352" t="str">
        <f>IF(AZ352=1,IF(Q352="","",IF(Q352=N144,"Yes","No")),"")</f>
        <v/>
      </c>
      <c r="BB352" t="str">
        <f t="shared" si="136"/>
        <v/>
      </c>
      <c r="BC352" t="str">
        <f>IF(AZ352=1,IF(S352="","",IF(S352=N144,"Yes","No")),"")</f>
        <v/>
      </c>
      <c r="BD352" t="str">
        <f t="shared" si="137"/>
        <v/>
      </c>
      <c r="BE352" t="str">
        <f t="shared" si="138"/>
        <v/>
      </c>
      <c r="BF352" t="str">
        <f t="shared" si="139"/>
        <v>No</v>
      </c>
      <c r="BG352" t="str">
        <f t="shared" si="140"/>
        <v>No</v>
      </c>
      <c r="BH352" t="str">
        <f t="shared" si="141"/>
        <v/>
      </c>
    </row>
    <row r="353" spans="9:29" x14ac:dyDescent="0.3">
      <c r="I353" t="str">
        <f t="shared" si="118"/>
        <v>N/A</v>
      </c>
      <c r="J353" t="str">
        <f t="shared" si="119"/>
        <v>N/A</v>
      </c>
      <c r="K353" t="str">
        <f t="shared" si="120"/>
        <v>N/A</v>
      </c>
      <c r="L353" t="str">
        <f t="shared" si="121"/>
        <v>N/A</v>
      </c>
      <c r="M353" t="str">
        <f t="shared" si="122"/>
        <v>N/A</v>
      </c>
      <c r="N353" t="str">
        <f t="shared" si="123"/>
        <v>N/A</v>
      </c>
      <c r="P353">
        <f t="shared" si="124"/>
        <v>0</v>
      </c>
      <c r="Q353" t="str">
        <f>IFERROR(J144+MATCH(P353,J353:N353,0)-1,"")</f>
        <v/>
      </c>
      <c r="R353" t="str">
        <f t="shared" si="125"/>
        <v/>
      </c>
      <c r="T353" t="str">
        <f t="shared" si="126"/>
        <v/>
      </c>
      <c r="U353" t="str">
        <f t="shared" si="127"/>
        <v/>
      </c>
      <c r="V353" t="str">
        <f t="shared" si="128"/>
        <v/>
      </c>
      <c r="W353" t="str">
        <f t="shared" si="129"/>
        <v/>
      </c>
      <c r="X353" t="str">
        <f t="shared" si="130"/>
        <v/>
      </c>
      <c r="Y353" t="str">
        <f t="shared" si="131"/>
        <v/>
      </c>
      <c r="Z353" t="str">
        <f t="shared" si="132"/>
        <v/>
      </c>
      <c r="AA353">
        <f t="shared" si="133"/>
        <v>0</v>
      </c>
      <c r="AB353" t="str">
        <f>IFERROR(V144+MATCH(AA353,V353:Z353,0)-1,"")</f>
        <v/>
      </c>
      <c r="AC353" t="str">
        <f>IF(S353=AB353,"Low",IF(AB353=Q353,"High",""))</f>
        <v>Low</v>
      </c>
    </row>
    <row r="354" spans="9:29" x14ac:dyDescent="0.3">
      <c r="I354" t="str">
        <f t="shared" si="118"/>
        <v>N/A</v>
      </c>
      <c r="J354" t="str">
        <f t="shared" si="119"/>
        <v>N/A</v>
      </c>
      <c r="K354" t="str">
        <f t="shared" si="120"/>
        <v>N/A</v>
      </c>
      <c r="L354" t="str">
        <f t="shared" si="121"/>
        <v>N/A</v>
      </c>
      <c r="M354" t="str">
        <f t="shared" si="122"/>
        <v>N/A</v>
      </c>
      <c r="N354" t="str">
        <f t="shared" si="123"/>
        <v>N/A</v>
      </c>
      <c r="V354">
        <f>MAX(V145:V353)</f>
        <v>0</v>
      </c>
      <c r="W354">
        <f>MAX(W145:W353)</f>
        <v>0</v>
      </c>
      <c r="X354">
        <f>MAX(X145:X353)</f>
        <v>0</v>
      </c>
      <c r="Y354">
        <f>MAX(Y145:Y353)</f>
        <v>0</v>
      </c>
      <c r="Z354">
        <f>MAX(Z145:Z353)</f>
        <v>0</v>
      </c>
    </row>
    <row r="355" spans="9:29" x14ac:dyDescent="0.3">
      <c r="I355" t="str">
        <f t="shared" si="118"/>
        <v>N/A</v>
      </c>
      <c r="J355" t="str">
        <f t="shared" si="119"/>
        <v>N/A</v>
      </c>
      <c r="K355" t="str">
        <f t="shared" si="120"/>
        <v>N/A</v>
      </c>
      <c r="L355" t="str">
        <f t="shared" si="121"/>
        <v>N/A</v>
      </c>
      <c r="M355" t="str">
        <f t="shared" si="122"/>
        <v>N/A</v>
      </c>
      <c r="N355" t="str">
        <f t="shared" si="123"/>
        <v>N/A</v>
      </c>
      <c r="V355">
        <f>MIN(V145:V353)</f>
        <v>0</v>
      </c>
      <c r="W355">
        <f>MIN(W145:W353)</f>
        <v>0</v>
      </c>
      <c r="X355">
        <f>MIN(X145:X353)</f>
        <v>0</v>
      </c>
      <c r="Y355">
        <f>MIN(Y145:Y353)</f>
        <v>0</v>
      </c>
      <c r="Z355">
        <f>MIN(Z145:Z353)</f>
        <v>0</v>
      </c>
    </row>
    <row r="356" spans="9:29" x14ac:dyDescent="0.3">
      <c r="I356" t="str">
        <f t="shared" si="118"/>
        <v>N/A</v>
      </c>
      <c r="J356" t="str">
        <f t="shared" si="119"/>
        <v>N/A</v>
      </c>
      <c r="K356" t="str">
        <f t="shared" si="120"/>
        <v>N/A</v>
      </c>
      <c r="L356" t="str">
        <f t="shared" si="121"/>
        <v>N/A</v>
      </c>
      <c r="M356" t="str">
        <f t="shared" si="122"/>
        <v>N/A</v>
      </c>
      <c r="N356" t="str">
        <f t="shared" si="123"/>
        <v>N/A</v>
      </c>
      <c r="V356">
        <f>COUNTIF(V145:V353,"&gt;1.5")</f>
        <v>0</v>
      </c>
      <c r="W356">
        <f>COUNTIF(W145:W353,"&gt;1.5")</f>
        <v>0</v>
      </c>
      <c r="X356">
        <f>COUNTIF(X145:X353,"&gt;1.5")</f>
        <v>0</v>
      </c>
      <c r="Y356">
        <f>COUNTIF(Y145:Y353,"&gt;1.5")</f>
        <v>0</v>
      </c>
      <c r="Z356">
        <f>COUNTIF(Z145:Z353,"&gt;1.5")</f>
        <v>0</v>
      </c>
    </row>
    <row r="357" spans="9:29" x14ac:dyDescent="0.3">
      <c r="I357" t="str">
        <f t="shared" si="118"/>
        <v>N/A</v>
      </c>
      <c r="J357" t="str">
        <f t="shared" si="119"/>
        <v>N/A</v>
      </c>
      <c r="K357" t="str">
        <f t="shared" si="120"/>
        <v>N/A</v>
      </c>
      <c r="L357" t="str">
        <f t="shared" si="121"/>
        <v>N/A</v>
      </c>
      <c r="M357" t="str">
        <f t="shared" si="122"/>
        <v>N/A</v>
      </c>
      <c r="N357" t="str">
        <f t="shared" si="123"/>
        <v>N/A</v>
      </c>
      <c r="V357">
        <f>COUNTIF(V145:V353,"&lt;-1.5")</f>
        <v>0</v>
      </c>
      <c r="W357">
        <f>COUNTIF(W145:W353,"&lt;-1.5")</f>
        <v>0</v>
      </c>
      <c r="X357">
        <f>COUNTIF(X145:X353,"&lt;-1.5")</f>
        <v>0</v>
      </c>
      <c r="Y357">
        <f>COUNTIF(Y145:Y353,"&lt;-1.5")</f>
        <v>0</v>
      </c>
      <c r="Z357">
        <f>COUNTIF(Z145:Z353,"&lt;-1.5")</f>
        <v>0</v>
      </c>
    </row>
    <row r="358" spans="9:29" x14ac:dyDescent="0.3">
      <c r="I358" t="str">
        <f t="shared" si="118"/>
        <v>N/A</v>
      </c>
      <c r="J358" t="str">
        <f t="shared" si="119"/>
        <v>N/A</v>
      </c>
      <c r="K358" t="str">
        <f t="shared" si="120"/>
        <v>N/A</v>
      </c>
      <c r="L358" t="str">
        <f t="shared" si="121"/>
        <v>N/A</v>
      </c>
      <c r="M358" t="str">
        <f t="shared" si="122"/>
        <v>N/A</v>
      </c>
      <c r="N358" t="str">
        <f t="shared" si="123"/>
        <v>N/A</v>
      </c>
      <c r="V358">
        <f>SUM(V356:V357)</f>
        <v>0</v>
      </c>
      <c r="W358">
        <f>SUM(W356:W357)</f>
        <v>0</v>
      </c>
      <c r="X358">
        <f>SUM(X356:X357)</f>
        <v>0</v>
      </c>
      <c r="Y358">
        <f>SUM(Y356:Y357)</f>
        <v>0</v>
      </c>
      <c r="Z358">
        <f>SUM(Z356:Z357)</f>
        <v>0</v>
      </c>
    </row>
    <row r="359" spans="9:29" x14ac:dyDescent="0.3">
      <c r="I359" t="str">
        <f t="shared" si="118"/>
        <v>N/A</v>
      </c>
      <c r="J359" t="str">
        <f t="shared" si="119"/>
        <v>N/A</v>
      </c>
      <c r="K359" t="str">
        <f t="shared" si="120"/>
        <v>N/A</v>
      </c>
      <c r="L359" t="str">
        <f t="shared" si="121"/>
        <v>N/A</v>
      </c>
      <c r="M359" t="str">
        <f t="shared" si="122"/>
        <v>N/A</v>
      </c>
      <c r="N359" t="str">
        <f t="shared" si="123"/>
        <v>N/A</v>
      </c>
    </row>
    <row r="360" spans="9:29" x14ac:dyDescent="0.3">
      <c r="I360" t="str">
        <f t="shared" si="118"/>
        <v>N/A</v>
      </c>
      <c r="J360" t="str">
        <f t="shared" si="119"/>
        <v>N/A</v>
      </c>
      <c r="K360" t="str">
        <f t="shared" si="120"/>
        <v>N/A</v>
      </c>
      <c r="L360" t="str">
        <f t="shared" si="121"/>
        <v>N/A</v>
      </c>
      <c r="M360" t="str">
        <f t="shared" si="122"/>
        <v>N/A</v>
      </c>
      <c r="N360" t="str">
        <f t="shared" si="123"/>
        <v>N/A</v>
      </c>
      <c r="V360" t="str">
        <f>"Most Variable Year"</f>
        <v>Most Variable Year</v>
      </c>
      <c r="X360" t="e">
        <f>V144+MATCH(MAX(V358:Z358),V358:Z358,0)-1</f>
        <v>#VALUE!</v>
      </c>
    </row>
    <row r="361" spans="9:29" x14ac:dyDescent="0.3">
      <c r="I361" t="str">
        <f t="shared" ref="I361:I392" si="142">IF(AND(K361&gt; J361, L361&gt; K361, M361&gt; L361, N361&gt; M361), "pos_trend", IF(AND(K361&lt; J361, L361&lt; K361, M361&lt; L361, N361&lt; M361), "neg_trend", "N/A"))</f>
        <v>N/A</v>
      </c>
      <c r="J361" t="str">
        <f t="shared" ref="J361:J392" si="143">IFERROR(IF(TRIM(C361)="-", "N/A", IF(RIGHT(C361,1)=")",IF(RIGHT(C361,2)="T)",-1000000000000*VALUE(MID(C361,2,LEN(C361)-3)),IF(RIGHT(C361,2)="M)",-1000000*VALUE(MID(C361,2,LEN(C361)-3)),IF(RIGHT(C361,2)="B)",-1000000000*VALUE(MID(C361,2,LEN(C361)-3)),IF(RIGHT(C361,2)="k)",-1000*VALUE(MID(C361,2,LEN(C361)-3)),VALUE(SUBSTITUTE(C361,",","")))))),IF(RIGHT(C361,1)="T",1000000000000*VALUE(LEFT(C361,LEN(C361)-1)),IF(RIGHT(C361,1)="M",1000000*VALUE(LEFT(C361,LEN(C361)-1)),IF(RIGHT(C361,1)="B",1000000000*VALUE(LEFT(C361,LEN(C361)-1)),IF(RIGHT(C361,1)="%",0.01*VALUE(LEFT(C361,LEN(C361)-1)),IF(RIGHT(C361,1)="k",1000*VALUE(LEFT(C361,LEN(C361)-1)),VALUE(SUBSTITUTE(C361,",",""))))))))),"N/A")</f>
        <v>N/A</v>
      </c>
      <c r="K361" t="str">
        <f t="shared" ref="K361:K392" si="144">IFERROR(IF(TRIM(D361)="-", "N/A", IF(RIGHT(D361,1)=")",IF(RIGHT(D361,2)="T)",-1000000000000*VALUE(MID(D361,2,LEN(D361)-3)),IF(RIGHT(D361,2)="M)",-1000000*VALUE(MID(D361,2,LEN(D361)-3)),IF(RIGHT(D361,2)="B)",-1000000000*VALUE(MID(D361,2,LEN(D361)-3)),IF(RIGHT(D361,2)="k)",-1000*VALUE(MID(D361,2,LEN(D361)-3)),VALUE(SUBSTITUTE(D361,",","")))))),IF(RIGHT(D361,1)="T",1000000000000*VALUE(LEFT(D361,LEN(D361)-1)),IF(RIGHT(D361,1)="M",1000000*VALUE(LEFT(D361,LEN(D361)-1)),IF(RIGHT(D361,1)="B",1000000000*VALUE(LEFT(D361,LEN(D361)-1)),IF(RIGHT(D361,1)="%",0.01*VALUE(LEFT(D361,LEN(D361)-1)),IF(RIGHT(D361,1)="k",1000*VALUE(LEFT(D361,LEN(D361)-1)),VALUE(SUBSTITUTE(D361,",",""))))))))),"N/A")</f>
        <v>N/A</v>
      </c>
      <c r="L361" t="str">
        <f t="shared" ref="L361:L392" si="145">IFERROR(IF(TRIM(E361)="-", "N/A", IF(RIGHT(E361,1)=")",IF(RIGHT(E361,2)="T)",-1000000000000*VALUE(MID(E361,2,LEN(E361)-3)),IF(RIGHT(E361,2)="M)",-1000000*VALUE(MID(E361,2,LEN(E361)-3)),IF(RIGHT(E361,2)="B)",-1000000000*VALUE(MID(E361,2,LEN(E361)-3)),IF(RIGHT(E361,2)="k)",-1000*VALUE(MID(E361,2,LEN(E361)-3)),VALUE(SUBSTITUTE(E361,",","")))))),IF(RIGHT(E361,1)="T",1000000000000*VALUE(LEFT(E361,LEN(E361)-1)),IF(RIGHT(E361,1)="M",1000000*VALUE(LEFT(E361,LEN(E361)-1)),IF(RIGHT(E361,1)="B",1000000000*VALUE(LEFT(E361,LEN(E361)-1)),IF(RIGHT(E361,1)="%",0.01*VALUE(LEFT(E361,LEN(E361)-1)),IF(RIGHT(E361,1)="k",1000*VALUE(LEFT(E361,LEN(E361)-1)),VALUE(SUBSTITUTE(E361,",",""))))))))),"N/A")</f>
        <v>N/A</v>
      </c>
      <c r="M361" t="str">
        <f t="shared" ref="M361:M392" si="146">IFERROR(IF(TRIM(F361)="-", "N/A", IF(RIGHT(F361,1)=")",IF(RIGHT(F361,2)="T)",-1000000000000*VALUE(MID(F361,2,LEN(F361)-3)),IF(RIGHT(F361,2)="M)",-1000000*VALUE(MID(F361,2,LEN(F361)-3)),IF(RIGHT(F361,2)="B)",-1000000000*VALUE(MID(F361,2,LEN(F361)-3)),IF(RIGHT(F361,2)="k)",-1000*VALUE(MID(F361,2,LEN(F361)-3)),VALUE(SUBSTITUTE(F361,",","")))))),IF(RIGHT(F361,1)="T",1000000000000*VALUE(LEFT(F361,LEN(F361)-1)),IF(RIGHT(F361,1)="M",1000000*VALUE(LEFT(F361,LEN(F361)-1)),IF(RIGHT(F361,1)="B",1000000000*VALUE(LEFT(F361,LEN(F361)-1)),IF(RIGHT(F361,1)="%",0.01*VALUE(LEFT(F361,LEN(F361)-1)),IF(RIGHT(F361,1)="k",1000*VALUE(LEFT(F361,LEN(F361)-1)),VALUE(SUBSTITUTE(F361,",",""))))))))),"N/A")</f>
        <v>N/A</v>
      </c>
      <c r="N361" t="str">
        <f t="shared" ref="N361:N392" si="147">IFERROR(IF(TRIM(G361)="-", "N/A", IF(RIGHT(G361,1)=")",IF(RIGHT(G361,2)="T)",-1000000000000*VALUE(MID(G361,2,LEN(G361)-3)),IF(RIGHT(G361,2)="M)",-1000000*VALUE(MID(G361,2,LEN(G361)-3)),IF(RIGHT(G361,2)="B)",-1000000000*VALUE(MID(G361,2,LEN(G361)-3)),IF(RIGHT(G361,2)="k)",-1000*VALUE(MID(G361,2,LEN(G361)-3)),VALUE(SUBSTITUTE(G361,",","")))))),IF(RIGHT(G361,1)="T",1000000000000*VALUE(LEFT(G361,LEN(G361)-1)),IF(RIGHT(G361,1)="M",1000000*VALUE(LEFT(G361,LEN(G361)-1)),IF(RIGHT(G361,1)="B",1000000000*VALUE(LEFT(G361,LEN(G361)-1)),IF(RIGHT(G361,1)="%",0.01*VALUE(LEFT(G361,LEN(G361)-1)),IF(RIGHT(G361,1)="k",1000*VALUE(LEFT(G361,LEN(G361)-1)),VALUE(SUBSTITUTE(G361,",",""))))))))),"N/A")</f>
        <v>N/A</v>
      </c>
    </row>
    <row r="362" spans="9:29" x14ac:dyDescent="0.3">
      <c r="I362" t="str">
        <f t="shared" si="142"/>
        <v>N/A</v>
      </c>
      <c r="J362" t="str">
        <f t="shared" si="143"/>
        <v>N/A</v>
      </c>
      <c r="K362" t="str">
        <f t="shared" si="144"/>
        <v>N/A</v>
      </c>
      <c r="L362" t="str">
        <f t="shared" si="145"/>
        <v>N/A</v>
      </c>
      <c r="M362" t="str">
        <f t="shared" si="146"/>
        <v>N/A</v>
      </c>
      <c r="N362" t="str">
        <f t="shared" si="147"/>
        <v>N/A</v>
      </c>
    </row>
    <row r="363" spans="9:29" x14ac:dyDescent="0.3">
      <c r="I363" t="str">
        <f t="shared" si="142"/>
        <v>N/A</v>
      </c>
      <c r="J363" t="str">
        <f t="shared" si="143"/>
        <v>N/A</v>
      </c>
      <c r="K363" t="str">
        <f t="shared" si="144"/>
        <v>N/A</v>
      </c>
      <c r="L363" t="str">
        <f t="shared" si="145"/>
        <v>N/A</v>
      </c>
      <c r="M363" t="str">
        <f t="shared" si="146"/>
        <v>N/A</v>
      </c>
      <c r="N363" t="str">
        <f t="shared" si="147"/>
        <v>N/A</v>
      </c>
    </row>
    <row r="364" spans="9:29" x14ac:dyDescent="0.3">
      <c r="I364" t="str">
        <f t="shared" si="142"/>
        <v>N/A</v>
      </c>
      <c r="J364" t="str">
        <f t="shared" si="143"/>
        <v>N/A</v>
      </c>
      <c r="K364" t="str">
        <f t="shared" si="144"/>
        <v>N/A</v>
      </c>
      <c r="L364" t="str">
        <f t="shared" si="145"/>
        <v>N/A</v>
      </c>
      <c r="M364" t="str">
        <f t="shared" si="146"/>
        <v>N/A</v>
      </c>
      <c r="N364" t="str">
        <f t="shared" si="147"/>
        <v>N/A</v>
      </c>
    </row>
    <row r="365" spans="9:29" x14ac:dyDescent="0.3">
      <c r="I365" t="str">
        <f t="shared" si="142"/>
        <v>N/A</v>
      </c>
      <c r="J365" t="str">
        <f t="shared" si="143"/>
        <v>N/A</v>
      </c>
      <c r="K365" t="str">
        <f t="shared" si="144"/>
        <v>N/A</v>
      </c>
      <c r="L365" t="str">
        <f t="shared" si="145"/>
        <v>N/A</v>
      </c>
      <c r="M365" t="str">
        <f t="shared" si="146"/>
        <v>N/A</v>
      </c>
      <c r="N365" t="str">
        <f t="shared" si="147"/>
        <v>N/A</v>
      </c>
    </row>
    <row r="366" spans="9:29" x14ac:dyDescent="0.3">
      <c r="I366" t="str">
        <f t="shared" si="142"/>
        <v>N/A</v>
      </c>
      <c r="J366" t="str">
        <f t="shared" si="143"/>
        <v>N/A</v>
      </c>
      <c r="K366" t="str">
        <f t="shared" si="144"/>
        <v>N/A</v>
      </c>
      <c r="L366" t="str">
        <f t="shared" si="145"/>
        <v>N/A</v>
      </c>
      <c r="M366" t="str">
        <f t="shared" si="146"/>
        <v>N/A</v>
      </c>
      <c r="N366" t="str">
        <f t="shared" si="147"/>
        <v>N/A</v>
      </c>
    </row>
    <row r="367" spans="9:29" x14ac:dyDescent="0.3">
      <c r="I367" t="str">
        <f t="shared" si="142"/>
        <v>N/A</v>
      </c>
      <c r="J367" t="str">
        <f t="shared" si="143"/>
        <v>N/A</v>
      </c>
      <c r="K367" t="str">
        <f t="shared" si="144"/>
        <v>N/A</v>
      </c>
      <c r="L367" t="str">
        <f t="shared" si="145"/>
        <v>N/A</v>
      </c>
      <c r="M367" t="str">
        <f t="shared" si="146"/>
        <v>N/A</v>
      </c>
      <c r="N367" t="str">
        <f t="shared" si="147"/>
        <v>N/A</v>
      </c>
    </row>
    <row r="368" spans="9:29" x14ac:dyDescent="0.3">
      <c r="I368" t="str">
        <f t="shared" si="142"/>
        <v>N/A</v>
      </c>
      <c r="J368" t="str">
        <f t="shared" si="143"/>
        <v>N/A</v>
      </c>
      <c r="K368" t="str">
        <f t="shared" si="144"/>
        <v>N/A</v>
      </c>
      <c r="L368" t="str">
        <f t="shared" si="145"/>
        <v>N/A</v>
      </c>
      <c r="M368" t="str">
        <f t="shared" si="146"/>
        <v>N/A</v>
      </c>
      <c r="N368" t="str">
        <f t="shared" si="147"/>
        <v>N/A</v>
      </c>
    </row>
    <row r="369" spans="9:14" x14ac:dyDescent="0.3">
      <c r="I369" t="str">
        <f t="shared" si="142"/>
        <v>N/A</v>
      </c>
      <c r="J369" t="str">
        <f t="shared" si="143"/>
        <v>N/A</v>
      </c>
      <c r="K369" t="str">
        <f t="shared" si="144"/>
        <v>N/A</v>
      </c>
      <c r="L369" t="str">
        <f t="shared" si="145"/>
        <v>N/A</v>
      </c>
      <c r="M369" t="str">
        <f t="shared" si="146"/>
        <v>N/A</v>
      </c>
      <c r="N369" t="str">
        <f t="shared" si="147"/>
        <v>N/A</v>
      </c>
    </row>
    <row r="370" spans="9:14" x14ac:dyDescent="0.3">
      <c r="I370" t="str">
        <f t="shared" si="142"/>
        <v>N/A</v>
      </c>
      <c r="J370" t="str">
        <f t="shared" si="143"/>
        <v>N/A</v>
      </c>
      <c r="K370" t="str">
        <f t="shared" si="144"/>
        <v>N/A</v>
      </c>
      <c r="L370" t="str">
        <f t="shared" si="145"/>
        <v>N/A</v>
      </c>
      <c r="M370" t="str">
        <f t="shared" si="146"/>
        <v>N/A</v>
      </c>
      <c r="N370" t="str">
        <f t="shared" si="147"/>
        <v>N/A</v>
      </c>
    </row>
    <row r="371" spans="9:14" x14ac:dyDescent="0.3">
      <c r="I371" t="str">
        <f t="shared" si="142"/>
        <v>N/A</v>
      </c>
      <c r="J371" t="str">
        <f t="shared" si="143"/>
        <v>N/A</v>
      </c>
      <c r="K371" t="str">
        <f t="shared" si="144"/>
        <v>N/A</v>
      </c>
      <c r="L371" t="str">
        <f t="shared" si="145"/>
        <v>N/A</v>
      </c>
      <c r="M371" t="str">
        <f t="shared" si="146"/>
        <v>N/A</v>
      </c>
      <c r="N371" t="str">
        <f t="shared" si="147"/>
        <v>N/A</v>
      </c>
    </row>
    <row r="372" spans="9:14" x14ac:dyDescent="0.3">
      <c r="I372" t="str">
        <f t="shared" si="142"/>
        <v>N/A</v>
      </c>
      <c r="J372" t="str">
        <f t="shared" si="143"/>
        <v>N/A</v>
      </c>
      <c r="K372" t="str">
        <f t="shared" si="144"/>
        <v>N/A</v>
      </c>
      <c r="L372" t="str">
        <f t="shared" si="145"/>
        <v>N/A</v>
      </c>
      <c r="M372" t="str">
        <f t="shared" si="146"/>
        <v>N/A</v>
      </c>
      <c r="N372" t="str">
        <f t="shared" si="147"/>
        <v>N/A</v>
      </c>
    </row>
    <row r="373" spans="9:14" x14ac:dyDescent="0.3">
      <c r="I373" t="str">
        <f t="shared" si="142"/>
        <v>N/A</v>
      </c>
      <c r="J373" t="str">
        <f t="shared" si="143"/>
        <v>N/A</v>
      </c>
      <c r="K373" t="str">
        <f t="shared" si="144"/>
        <v>N/A</v>
      </c>
      <c r="L373" t="str">
        <f t="shared" si="145"/>
        <v>N/A</v>
      </c>
      <c r="M373" t="str">
        <f t="shared" si="146"/>
        <v>N/A</v>
      </c>
      <c r="N373" t="str">
        <f t="shared" si="147"/>
        <v>N/A</v>
      </c>
    </row>
    <row r="374" spans="9:14" x14ac:dyDescent="0.3">
      <c r="I374" t="str">
        <f t="shared" si="142"/>
        <v>N/A</v>
      </c>
      <c r="J374" t="str">
        <f t="shared" si="143"/>
        <v>N/A</v>
      </c>
      <c r="K374" t="str">
        <f t="shared" si="144"/>
        <v>N/A</v>
      </c>
      <c r="L374" t="str">
        <f t="shared" si="145"/>
        <v>N/A</v>
      </c>
      <c r="M374" t="str">
        <f t="shared" si="146"/>
        <v>N/A</v>
      </c>
      <c r="N374" t="str">
        <f t="shared" si="147"/>
        <v>N/A</v>
      </c>
    </row>
    <row r="375" spans="9:14" x14ac:dyDescent="0.3">
      <c r="I375" t="str">
        <f t="shared" si="142"/>
        <v>N/A</v>
      </c>
      <c r="J375" t="str">
        <f t="shared" si="143"/>
        <v>N/A</v>
      </c>
      <c r="K375" t="str">
        <f t="shared" si="144"/>
        <v>N/A</v>
      </c>
      <c r="L375" t="str">
        <f t="shared" si="145"/>
        <v>N/A</v>
      </c>
      <c r="M375" t="str">
        <f t="shared" si="146"/>
        <v>N/A</v>
      </c>
      <c r="N375" t="str">
        <f t="shared" si="147"/>
        <v>N/A</v>
      </c>
    </row>
    <row r="376" spans="9:14" x14ac:dyDescent="0.3">
      <c r="I376" t="str">
        <f t="shared" si="142"/>
        <v>N/A</v>
      </c>
      <c r="J376" t="str">
        <f t="shared" si="143"/>
        <v>N/A</v>
      </c>
      <c r="K376" t="str">
        <f t="shared" si="144"/>
        <v>N/A</v>
      </c>
      <c r="L376" t="str">
        <f t="shared" si="145"/>
        <v>N/A</v>
      </c>
      <c r="M376" t="str">
        <f t="shared" si="146"/>
        <v>N/A</v>
      </c>
      <c r="N376" t="str">
        <f t="shared" si="147"/>
        <v>N/A</v>
      </c>
    </row>
    <row r="377" spans="9:14" x14ac:dyDescent="0.3">
      <c r="I377" t="str">
        <f t="shared" si="142"/>
        <v>N/A</v>
      </c>
      <c r="J377" t="str">
        <f t="shared" si="143"/>
        <v>N/A</v>
      </c>
      <c r="K377" t="str">
        <f t="shared" si="144"/>
        <v>N/A</v>
      </c>
      <c r="L377" t="str">
        <f t="shared" si="145"/>
        <v>N/A</v>
      </c>
      <c r="M377" t="str">
        <f t="shared" si="146"/>
        <v>N/A</v>
      </c>
      <c r="N377" t="str">
        <f t="shared" si="147"/>
        <v>N/A</v>
      </c>
    </row>
    <row r="378" spans="9:14" x14ac:dyDescent="0.3">
      <c r="I378" t="str">
        <f t="shared" si="142"/>
        <v>N/A</v>
      </c>
      <c r="J378" t="str">
        <f t="shared" si="143"/>
        <v>N/A</v>
      </c>
      <c r="K378" t="str">
        <f t="shared" si="144"/>
        <v>N/A</v>
      </c>
      <c r="L378" t="str">
        <f t="shared" si="145"/>
        <v>N/A</v>
      </c>
      <c r="M378" t="str">
        <f t="shared" si="146"/>
        <v>N/A</v>
      </c>
      <c r="N378" t="str">
        <f t="shared" si="147"/>
        <v>N/A</v>
      </c>
    </row>
    <row r="379" spans="9:14" x14ac:dyDescent="0.3">
      <c r="I379" t="str">
        <f t="shared" si="142"/>
        <v>N/A</v>
      </c>
      <c r="J379" t="str">
        <f t="shared" si="143"/>
        <v>N/A</v>
      </c>
      <c r="K379" t="str">
        <f t="shared" si="144"/>
        <v>N/A</v>
      </c>
      <c r="L379" t="str">
        <f t="shared" si="145"/>
        <v>N/A</v>
      </c>
      <c r="M379" t="str">
        <f t="shared" si="146"/>
        <v>N/A</v>
      </c>
      <c r="N379" t="str">
        <f t="shared" si="147"/>
        <v>N/A</v>
      </c>
    </row>
    <row r="380" spans="9:14" x14ac:dyDescent="0.3">
      <c r="I380" t="str">
        <f t="shared" si="142"/>
        <v>N/A</v>
      </c>
      <c r="J380" t="str">
        <f t="shared" si="143"/>
        <v>N/A</v>
      </c>
      <c r="K380" t="str">
        <f t="shared" si="144"/>
        <v>N/A</v>
      </c>
      <c r="L380" t="str">
        <f t="shared" si="145"/>
        <v>N/A</v>
      </c>
      <c r="M380" t="str">
        <f t="shared" si="146"/>
        <v>N/A</v>
      </c>
      <c r="N380" t="str">
        <f t="shared" si="147"/>
        <v>N/A</v>
      </c>
    </row>
    <row r="381" spans="9:14" x14ac:dyDescent="0.3">
      <c r="I381" t="str">
        <f t="shared" si="142"/>
        <v>N/A</v>
      </c>
      <c r="J381" t="str">
        <f t="shared" si="143"/>
        <v>N/A</v>
      </c>
      <c r="K381" t="str">
        <f t="shared" si="144"/>
        <v>N/A</v>
      </c>
      <c r="L381" t="str">
        <f t="shared" si="145"/>
        <v>N/A</v>
      </c>
      <c r="M381" t="str">
        <f t="shared" si="146"/>
        <v>N/A</v>
      </c>
      <c r="N381" t="str">
        <f t="shared" si="147"/>
        <v>N/A</v>
      </c>
    </row>
    <row r="382" spans="9:14" x14ac:dyDescent="0.3">
      <c r="I382" t="str">
        <f t="shared" si="142"/>
        <v>N/A</v>
      </c>
      <c r="J382" t="str">
        <f t="shared" si="143"/>
        <v>N/A</v>
      </c>
      <c r="K382" t="str">
        <f t="shared" si="144"/>
        <v>N/A</v>
      </c>
      <c r="L382" t="str">
        <f t="shared" si="145"/>
        <v>N/A</v>
      </c>
      <c r="M382" t="str">
        <f t="shared" si="146"/>
        <v>N/A</v>
      </c>
      <c r="N382" t="str">
        <f t="shared" si="147"/>
        <v>N/A</v>
      </c>
    </row>
    <row r="383" spans="9:14" x14ac:dyDescent="0.3">
      <c r="I383" t="str">
        <f t="shared" si="142"/>
        <v>N/A</v>
      </c>
      <c r="J383" t="str">
        <f t="shared" si="143"/>
        <v>N/A</v>
      </c>
      <c r="K383" t="str">
        <f t="shared" si="144"/>
        <v>N/A</v>
      </c>
      <c r="L383" t="str">
        <f t="shared" si="145"/>
        <v>N/A</v>
      </c>
      <c r="M383" t="str">
        <f t="shared" si="146"/>
        <v>N/A</v>
      </c>
      <c r="N383" t="str">
        <f t="shared" si="147"/>
        <v>N/A</v>
      </c>
    </row>
    <row r="384" spans="9:14" x14ac:dyDescent="0.3">
      <c r="I384" t="str">
        <f t="shared" si="142"/>
        <v>N/A</v>
      </c>
      <c r="J384" t="str">
        <f t="shared" si="143"/>
        <v>N/A</v>
      </c>
      <c r="K384" t="str">
        <f t="shared" si="144"/>
        <v>N/A</v>
      </c>
      <c r="L384" t="str">
        <f t="shared" si="145"/>
        <v>N/A</v>
      </c>
      <c r="M384" t="str">
        <f t="shared" si="146"/>
        <v>N/A</v>
      </c>
      <c r="N384" t="str">
        <f t="shared" si="147"/>
        <v>N/A</v>
      </c>
    </row>
    <row r="385" spans="9:14" x14ac:dyDescent="0.3">
      <c r="I385" t="str">
        <f t="shared" si="142"/>
        <v>N/A</v>
      </c>
      <c r="J385" t="str">
        <f t="shared" si="143"/>
        <v>N/A</v>
      </c>
      <c r="K385" t="str">
        <f t="shared" si="144"/>
        <v>N/A</v>
      </c>
      <c r="L385" t="str">
        <f t="shared" si="145"/>
        <v>N/A</v>
      </c>
      <c r="M385" t="str">
        <f t="shared" si="146"/>
        <v>N/A</v>
      </c>
      <c r="N385" t="str">
        <f t="shared" si="147"/>
        <v>N/A</v>
      </c>
    </row>
    <row r="386" spans="9:14" x14ac:dyDescent="0.3">
      <c r="I386" t="str">
        <f t="shared" si="142"/>
        <v>N/A</v>
      </c>
      <c r="J386" t="str">
        <f t="shared" si="143"/>
        <v>N/A</v>
      </c>
      <c r="K386" t="str">
        <f t="shared" si="144"/>
        <v>N/A</v>
      </c>
      <c r="L386" t="str">
        <f t="shared" si="145"/>
        <v>N/A</v>
      </c>
      <c r="M386" t="str">
        <f t="shared" si="146"/>
        <v>N/A</v>
      </c>
      <c r="N386" t="str">
        <f t="shared" si="147"/>
        <v>N/A</v>
      </c>
    </row>
    <row r="387" spans="9:14" x14ac:dyDescent="0.3">
      <c r="I387" t="str">
        <f t="shared" si="142"/>
        <v>N/A</v>
      </c>
      <c r="J387" t="str">
        <f t="shared" si="143"/>
        <v>N/A</v>
      </c>
      <c r="K387" t="str">
        <f t="shared" si="144"/>
        <v>N/A</v>
      </c>
      <c r="L387" t="str">
        <f t="shared" si="145"/>
        <v>N/A</v>
      </c>
      <c r="M387" t="str">
        <f t="shared" si="146"/>
        <v>N/A</v>
      </c>
      <c r="N387" t="str">
        <f t="shared" si="147"/>
        <v>N/A</v>
      </c>
    </row>
    <row r="388" spans="9:14" x14ac:dyDescent="0.3">
      <c r="I388" t="str">
        <f t="shared" si="142"/>
        <v>N/A</v>
      </c>
      <c r="J388" t="str">
        <f t="shared" si="143"/>
        <v>N/A</v>
      </c>
      <c r="K388" t="str">
        <f t="shared" si="144"/>
        <v>N/A</v>
      </c>
      <c r="L388" t="str">
        <f t="shared" si="145"/>
        <v>N/A</v>
      </c>
      <c r="M388" t="str">
        <f t="shared" si="146"/>
        <v>N/A</v>
      </c>
      <c r="N388" t="str">
        <f t="shared" si="147"/>
        <v>N/A</v>
      </c>
    </row>
    <row r="389" spans="9:14" x14ac:dyDescent="0.3">
      <c r="I389" t="str">
        <f t="shared" si="142"/>
        <v>N/A</v>
      </c>
      <c r="J389" t="str">
        <f t="shared" si="143"/>
        <v>N/A</v>
      </c>
      <c r="K389" t="str">
        <f t="shared" si="144"/>
        <v>N/A</v>
      </c>
      <c r="L389" t="str">
        <f t="shared" si="145"/>
        <v>N/A</v>
      </c>
      <c r="M389" t="str">
        <f t="shared" si="146"/>
        <v>N/A</v>
      </c>
      <c r="N389" t="str">
        <f t="shared" si="147"/>
        <v>N/A</v>
      </c>
    </row>
    <row r="390" spans="9:14" x14ac:dyDescent="0.3">
      <c r="I390" t="str">
        <f t="shared" si="142"/>
        <v>N/A</v>
      </c>
      <c r="J390" t="str">
        <f t="shared" si="143"/>
        <v>N/A</v>
      </c>
      <c r="K390" t="str">
        <f t="shared" si="144"/>
        <v>N/A</v>
      </c>
      <c r="L390" t="str">
        <f t="shared" si="145"/>
        <v>N/A</v>
      </c>
      <c r="M390" t="str">
        <f t="shared" si="146"/>
        <v>N/A</v>
      </c>
      <c r="N390" t="str">
        <f t="shared" si="147"/>
        <v>N/A</v>
      </c>
    </row>
    <row r="391" spans="9:14" x14ac:dyDescent="0.3">
      <c r="I391" t="str">
        <f t="shared" si="142"/>
        <v>N/A</v>
      </c>
      <c r="J391" t="str">
        <f t="shared" si="143"/>
        <v>N/A</v>
      </c>
      <c r="K391" t="str">
        <f t="shared" si="144"/>
        <v>N/A</v>
      </c>
      <c r="L391" t="str">
        <f t="shared" si="145"/>
        <v>N/A</v>
      </c>
      <c r="M391" t="str">
        <f t="shared" si="146"/>
        <v>N/A</v>
      </c>
      <c r="N391" t="str">
        <f t="shared" si="147"/>
        <v>N/A</v>
      </c>
    </row>
    <row r="392" spans="9:14" x14ac:dyDescent="0.3">
      <c r="I392" t="str">
        <f t="shared" si="142"/>
        <v>N/A</v>
      </c>
      <c r="J392" t="str">
        <f t="shared" si="143"/>
        <v>N/A</v>
      </c>
      <c r="K392" t="str">
        <f t="shared" si="144"/>
        <v>N/A</v>
      </c>
      <c r="L392" t="str">
        <f t="shared" si="145"/>
        <v>N/A</v>
      </c>
      <c r="M392" t="str">
        <f t="shared" si="146"/>
        <v>N/A</v>
      </c>
      <c r="N392" t="str">
        <f t="shared" si="147"/>
        <v>N/A</v>
      </c>
    </row>
    <row r="393" spans="9:14" x14ac:dyDescent="0.3">
      <c r="I393" t="str">
        <f t="shared" ref="I393:I424" si="148">IF(AND(K393&gt; J393, L393&gt; K393, M393&gt; L393, N393&gt; M393), "pos_trend", IF(AND(K393&lt; J393, L393&lt; K393, M393&lt; L393, N393&lt; M393), "neg_trend", "N/A"))</f>
        <v>N/A</v>
      </c>
      <c r="J393" t="str">
        <f t="shared" ref="J393:J399" si="149">IFERROR(IF(TRIM(C393)="-", "N/A", IF(RIGHT(C393,1)=")",IF(RIGHT(C393,2)="T)",-1000000000000*VALUE(MID(C393,2,LEN(C393)-3)),IF(RIGHT(C393,2)="M)",-1000000*VALUE(MID(C393,2,LEN(C393)-3)),IF(RIGHT(C393,2)="B)",-1000000000*VALUE(MID(C393,2,LEN(C393)-3)),IF(RIGHT(C393,2)="k)",-1000*VALUE(MID(C393,2,LEN(C393)-3)),VALUE(SUBSTITUTE(C393,",","")))))),IF(RIGHT(C393,1)="T",1000000000000*VALUE(LEFT(C393,LEN(C393)-1)),IF(RIGHT(C393,1)="M",1000000*VALUE(LEFT(C393,LEN(C393)-1)),IF(RIGHT(C393,1)="B",1000000000*VALUE(LEFT(C393,LEN(C393)-1)),IF(RIGHT(C393,1)="%",0.01*VALUE(LEFT(C393,LEN(C393)-1)),IF(RIGHT(C393,1)="k",1000*VALUE(LEFT(C393,LEN(C393)-1)),VALUE(SUBSTITUTE(C393,",",""))))))))),"N/A")</f>
        <v>N/A</v>
      </c>
      <c r="K393" t="str">
        <f t="shared" ref="K393:K399" si="150">IFERROR(IF(TRIM(D393)="-", "N/A", IF(RIGHT(D393,1)=")",IF(RIGHT(D393,2)="T)",-1000000000000*VALUE(MID(D393,2,LEN(D393)-3)),IF(RIGHT(D393,2)="M)",-1000000*VALUE(MID(D393,2,LEN(D393)-3)),IF(RIGHT(D393,2)="B)",-1000000000*VALUE(MID(D393,2,LEN(D393)-3)),IF(RIGHT(D393,2)="k)",-1000*VALUE(MID(D393,2,LEN(D393)-3)),VALUE(SUBSTITUTE(D393,",","")))))),IF(RIGHT(D393,1)="T",1000000000000*VALUE(LEFT(D393,LEN(D393)-1)),IF(RIGHT(D393,1)="M",1000000*VALUE(LEFT(D393,LEN(D393)-1)),IF(RIGHT(D393,1)="B",1000000000*VALUE(LEFT(D393,LEN(D393)-1)),IF(RIGHT(D393,1)="%",0.01*VALUE(LEFT(D393,LEN(D393)-1)),IF(RIGHT(D393,1)="k",1000*VALUE(LEFT(D393,LEN(D393)-1)),VALUE(SUBSTITUTE(D393,",",""))))))))),"N/A")</f>
        <v>N/A</v>
      </c>
      <c r="L393" t="str">
        <f t="shared" ref="L393:L399" si="151">IFERROR(IF(TRIM(E393)="-", "N/A", IF(RIGHT(E393,1)=")",IF(RIGHT(E393,2)="T)",-1000000000000*VALUE(MID(E393,2,LEN(E393)-3)),IF(RIGHT(E393,2)="M)",-1000000*VALUE(MID(E393,2,LEN(E393)-3)),IF(RIGHT(E393,2)="B)",-1000000000*VALUE(MID(E393,2,LEN(E393)-3)),IF(RIGHT(E393,2)="k)",-1000*VALUE(MID(E393,2,LEN(E393)-3)),VALUE(SUBSTITUTE(E393,",","")))))),IF(RIGHT(E393,1)="T",1000000000000*VALUE(LEFT(E393,LEN(E393)-1)),IF(RIGHT(E393,1)="M",1000000*VALUE(LEFT(E393,LEN(E393)-1)),IF(RIGHT(E393,1)="B",1000000000*VALUE(LEFT(E393,LEN(E393)-1)),IF(RIGHT(E393,1)="%",0.01*VALUE(LEFT(E393,LEN(E393)-1)),IF(RIGHT(E393,1)="k",1000*VALUE(LEFT(E393,LEN(E393)-1)),VALUE(SUBSTITUTE(E393,",",""))))))))),"N/A")</f>
        <v>N/A</v>
      </c>
      <c r="M393" t="str">
        <f t="shared" ref="M393:M399" si="152">IFERROR(IF(TRIM(F393)="-", "N/A", IF(RIGHT(F393,1)=")",IF(RIGHT(F393,2)="T)",-1000000000000*VALUE(MID(F393,2,LEN(F393)-3)),IF(RIGHT(F393,2)="M)",-1000000*VALUE(MID(F393,2,LEN(F393)-3)),IF(RIGHT(F393,2)="B)",-1000000000*VALUE(MID(F393,2,LEN(F393)-3)),IF(RIGHT(F393,2)="k)",-1000*VALUE(MID(F393,2,LEN(F393)-3)),VALUE(SUBSTITUTE(F393,",","")))))),IF(RIGHT(F393,1)="T",1000000000000*VALUE(LEFT(F393,LEN(F393)-1)),IF(RIGHT(F393,1)="M",1000000*VALUE(LEFT(F393,LEN(F393)-1)),IF(RIGHT(F393,1)="B",1000000000*VALUE(LEFT(F393,LEN(F393)-1)),IF(RIGHT(F393,1)="%",0.01*VALUE(LEFT(F393,LEN(F393)-1)),IF(RIGHT(F393,1)="k",1000*VALUE(LEFT(F393,LEN(F393)-1)),VALUE(SUBSTITUTE(F393,",",""))))))))),"N/A")</f>
        <v>N/A</v>
      </c>
      <c r="N393" t="str">
        <f t="shared" ref="N393:N399" si="153">IFERROR(IF(TRIM(G393)="-", "N/A", IF(RIGHT(G393,1)=")",IF(RIGHT(G393,2)="T)",-1000000000000*VALUE(MID(G393,2,LEN(G393)-3)),IF(RIGHT(G393,2)="M)",-1000000*VALUE(MID(G393,2,LEN(G393)-3)),IF(RIGHT(G393,2)="B)",-1000000000*VALUE(MID(G393,2,LEN(G393)-3)),IF(RIGHT(G393,2)="k)",-1000*VALUE(MID(G393,2,LEN(G393)-3)),VALUE(SUBSTITUTE(G393,",","")))))),IF(RIGHT(G393,1)="T",1000000000000*VALUE(LEFT(G393,LEN(G393)-1)),IF(RIGHT(G393,1)="M",1000000*VALUE(LEFT(G393,LEN(G393)-1)),IF(RIGHT(G393,1)="B",1000000000*VALUE(LEFT(G393,LEN(G393)-1)),IF(RIGHT(G393,1)="%",0.01*VALUE(LEFT(G393,LEN(G393)-1)),IF(RIGHT(G393,1)="k",1000*VALUE(LEFT(G393,LEN(G393)-1)),VALUE(SUBSTITUTE(G393,",",""))))))))),"N/A")</f>
        <v>N/A</v>
      </c>
    </row>
    <row r="394" spans="9:14" x14ac:dyDescent="0.3">
      <c r="I394" t="str">
        <f t="shared" si="148"/>
        <v>N/A</v>
      </c>
      <c r="J394" t="str">
        <f t="shared" si="149"/>
        <v>N/A</v>
      </c>
      <c r="K394" t="str">
        <f t="shared" si="150"/>
        <v>N/A</v>
      </c>
      <c r="L394" t="str">
        <f t="shared" si="151"/>
        <v>N/A</v>
      </c>
      <c r="M394" t="str">
        <f t="shared" si="152"/>
        <v>N/A</v>
      </c>
      <c r="N394" t="str">
        <f t="shared" si="153"/>
        <v>N/A</v>
      </c>
    </row>
    <row r="395" spans="9:14" x14ac:dyDescent="0.3">
      <c r="I395" t="str">
        <f t="shared" si="148"/>
        <v>N/A</v>
      </c>
      <c r="J395" t="str">
        <f t="shared" si="149"/>
        <v>N/A</v>
      </c>
      <c r="K395" t="str">
        <f t="shared" si="150"/>
        <v>N/A</v>
      </c>
      <c r="L395" t="str">
        <f t="shared" si="151"/>
        <v>N/A</v>
      </c>
      <c r="M395" t="str">
        <f t="shared" si="152"/>
        <v>N/A</v>
      </c>
      <c r="N395" t="str">
        <f t="shared" si="153"/>
        <v>N/A</v>
      </c>
    </row>
    <row r="396" spans="9:14" x14ac:dyDescent="0.3">
      <c r="I396" t="str">
        <f t="shared" si="148"/>
        <v>N/A</v>
      </c>
      <c r="J396" t="str">
        <f t="shared" si="149"/>
        <v>N/A</v>
      </c>
      <c r="K396" t="str">
        <f t="shared" si="150"/>
        <v>N/A</v>
      </c>
      <c r="L396" t="str">
        <f t="shared" si="151"/>
        <v>N/A</v>
      </c>
      <c r="M396" t="str">
        <f t="shared" si="152"/>
        <v>N/A</v>
      </c>
      <c r="N396" t="str">
        <f t="shared" si="153"/>
        <v>N/A</v>
      </c>
    </row>
    <row r="397" spans="9:14" x14ac:dyDescent="0.3">
      <c r="I397" t="str">
        <f t="shared" si="148"/>
        <v>N/A</v>
      </c>
      <c r="J397" t="str">
        <f t="shared" si="149"/>
        <v>N/A</v>
      </c>
      <c r="K397" t="str">
        <f t="shared" si="150"/>
        <v>N/A</v>
      </c>
      <c r="L397" t="str">
        <f t="shared" si="151"/>
        <v>N/A</v>
      </c>
      <c r="M397" t="str">
        <f t="shared" si="152"/>
        <v>N/A</v>
      </c>
      <c r="N397" t="str">
        <f t="shared" si="153"/>
        <v>N/A</v>
      </c>
    </row>
    <row r="398" spans="9:14" x14ac:dyDescent="0.3">
      <c r="I398" t="str">
        <f t="shared" si="148"/>
        <v>N/A</v>
      </c>
      <c r="J398" t="str">
        <f t="shared" si="149"/>
        <v>N/A</v>
      </c>
      <c r="K398" t="str">
        <f t="shared" si="150"/>
        <v>N/A</v>
      </c>
      <c r="L398" t="str">
        <f t="shared" si="151"/>
        <v>N/A</v>
      </c>
      <c r="M398" t="str">
        <f t="shared" si="152"/>
        <v>N/A</v>
      </c>
      <c r="N398" t="str">
        <f t="shared" si="153"/>
        <v>N/A</v>
      </c>
    </row>
    <row r="399" spans="9:14" x14ac:dyDescent="0.3">
      <c r="I399" t="str">
        <f t="shared" si="148"/>
        <v>N/A</v>
      </c>
      <c r="J399" t="str">
        <f t="shared" si="149"/>
        <v>N/A</v>
      </c>
      <c r="K399" t="str">
        <f t="shared" si="150"/>
        <v>N/A</v>
      </c>
      <c r="L399" t="str">
        <f t="shared" si="151"/>
        <v>N/A</v>
      </c>
      <c r="M399" t="str">
        <f t="shared" si="152"/>
        <v>N/A</v>
      </c>
      <c r="N399" t="str">
        <f t="shared" si="153"/>
        <v>N/A</v>
      </c>
    </row>
    <row r="448" spans="52:52" x14ac:dyDescent="0.3">
      <c r="AZ448" t="str">
        <f>"Compile Facts"</f>
        <v>Compile Facts</v>
      </c>
    </row>
    <row r="450" spans="2:53" x14ac:dyDescent="0.3">
      <c r="B450" t="str">
        <f>"ROIC Super Tree"</f>
        <v>ROIC Super Tree</v>
      </c>
      <c r="AZ450" t="str">
        <f t="shared" ref="AZ450:BA453" si="154">I519</f>
        <v>Max SD</v>
      </c>
      <c r="BA450" t="e">
        <f t="shared" ca="1" si="154"/>
        <v>#N/A</v>
      </c>
    </row>
    <row r="451" spans="2:53" x14ac:dyDescent="0.3">
      <c r="AZ451" t="str">
        <f t="shared" si="154"/>
        <v>Max SD Item</v>
      </c>
      <c r="BA451" t="e">
        <f t="shared" ca="1" si="154"/>
        <v>#N/A</v>
      </c>
    </row>
    <row r="452" spans="2:53" x14ac:dyDescent="0.3">
      <c r="AK452" t="str">
        <f>"Change in Gross Margin / Sales"</f>
        <v>Change in Gross Margin / Sales</v>
      </c>
      <c r="AZ452" t="str">
        <f t="shared" si="154"/>
        <v>Min SD</v>
      </c>
      <c r="BA452" t="e">
        <f t="shared" ca="1" si="154"/>
        <v>#N/A</v>
      </c>
    </row>
    <row r="453" spans="2:53" x14ac:dyDescent="0.3">
      <c r="X453" t="str">
        <f>"Gross Margin"</f>
        <v>Gross Margin</v>
      </c>
      <c r="AK453" t="str">
        <f>K476</f>
        <v>0-0</v>
      </c>
      <c r="AL453" t="str">
        <f>L476</f>
        <v>0-0</v>
      </c>
      <c r="AM453" t="str">
        <f>M476</f>
        <v>0-0</v>
      </c>
      <c r="AN453" t="str">
        <f>N476</f>
        <v>0-0</v>
      </c>
      <c r="AZ453" t="str">
        <f t="shared" si="154"/>
        <v>Min SD Item</v>
      </c>
      <c r="BA453" t="e">
        <f t="shared" ca="1" si="154"/>
        <v>#N/A</v>
      </c>
    </row>
    <row r="454" spans="2:53" x14ac:dyDescent="0.3">
      <c r="X454">
        <f>D476</f>
        <v>0</v>
      </c>
      <c r="Y454">
        <f>E476</f>
        <v>0</v>
      </c>
      <c r="Z454">
        <f>F476</f>
        <v>0</v>
      </c>
      <c r="AA454">
        <f>G476</f>
        <v>0</v>
      </c>
      <c r="AB454">
        <f>H476</f>
        <v>0</v>
      </c>
      <c r="AK454" t="e">
        <f ca="1">Y455-X455</f>
        <v>#N/A</v>
      </c>
      <c r="AL454" t="e">
        <f ca="1">Z455-Y455</f>
        <v>#N/A</v>
      </c>
      <c r="AM454" t="e">
        <f ca="1">AA455-Z455</f>
        <v>#N/A</v>
      </c>
      <c r="AN454" t="e">
        <f ca="1">AB455-AA455</f>
        <v>#N/A</v>
      </c>
    </row>
    <row r="455" spans="2:53" x14ac:dyDescent="0.3">
      <c r="X455" t="e">
        <f ca="1">IFERROR((INDIRECT("J" &amp; MATCH("Gross Income",B145:B403,0) +144))/(INDIRECT("J" &amp; MATCH("Sales/Revenue",B145:B403,0) +144)), IFERROR((1 - (INDIRECT("J" &amp; MATCH("Cost of Goods Sold*",B145:B403,0) +144))/(INDIRECT("J" &amp; MATCH("Sales/Revenue",B145:B403,0) +144))),(INDIRECT("J" &amp; MATCH("Operating Income",B145:B403,0) +144))/(INDIRECT("J" &amp; MATCH("Sales/Revenue",B145:B403,0) +144))))</f>
        <v>#N/A</v>
      </c>
      <c r="Y455" t="e">
        <f ca="1">IFERROR((INDIRECT("K" &amp; MATCH("Gross Income",B145:B403,0) +144))/(INDIRECT("K" &amp; MATCH("Sales/Revenue",B145:B403,0) +144)), IFERROR((1 - (INDIRECT("K" &amp; MATCH("Cost of Goods Sold*",B145:B403,0) +144))/(INDIRECT("K" &amp; MATCH("Sales/Revenue",B145:B403,0) +144))),(INDIRECT("K" &amp; MATCH("Operating Income",B145:B403,0) +144))/(INDIRECT("K" &amp; MATCH("Sales/Revenue",B145:B403,0) +144))))</f>
        <v>#N/A</v>
      </c>
      <c r="Z455" t="e">
        <f ca="1">IFERROR((INDIRECT("L" &amp; MATCH("Gross Income",B145:B403,0) +144))/(INDIRECT("L" &amp; MATCH("Sales/Revenue",B145:B403,0) +144)), IFERROR((1 - (INDIRECT("L" &amp; MATCH("Cost of Goods Sold*",B145:B403,0) +144))/(INDIRECT("L" &amp; MATCH("Sales/Revenue",B145:B403,0) +144))),(INDIRECT("L" &amp; MATCH("Operating Income",B145:B403,0) +144))/(INDIRECT("L" &amp; MATCH("Sales/Revenue",B145:B403,0) +144))))</f>
        <v>#N/A</v>
      </c>
      <c r="AA455" t="e">
        <f ca="1">IFERROR((INDIRECT("M" &amp; MATCH("Gross Income",B145:B403,0) +144))/(INDIRECT("M" &amp; MATCH("Sales/Revenue",B145:B403,0) +144)), IFERROR((1 - (INDIRECT("M" &amp; MATCH("Cost of Goods Sold*",B145:B403,0) +144))/(INDIRECT("M" &amp; MATCH("Sales/Revenue",B145:B403,0) +144))),(INDIRECT("M" &amp; MATCH("Operating Income",B145:B403,0) +144))/(INDIRECT("M" &amp; MATCH("Sales/Revenue",B145:B403,0) +144))))</f>
        <v>#N/A</v>
      </c>
      <c r="AB455" t="e">
        <f ca="1">IFERROR((INDIRECT("N" &amp; MATCH("Gross Income",B145:B403,0) +144))/(INDIRECT("N" &amp; MATCH("Sales/Revenue",B145:B403,0) +144)), IFERROR((1 - (INDIRECT("N" &amp; MATCH("Cost of Goods Sold*",B145:B403,0) +144))/(INDIRECT("N" &amp; MATCH("Sales/Revenue",B145:B403,0) +144))),(INDIRECT("N" &amp; MATCH("Operating Income",B145:B403,0) +144))/(INDIRECT("N" &amp; MATCH("Sales/Revenue",B145:B403,0) +144))))</f>
        <v>#N/A</v>
      </c>
      <c r="AK455" t="str">
        <f>"Max " &amp; AK452</f>
        <v>Max Change in Gross Margin / Sales</v>
      </c>
      <c r="AL455" t="e">
        <f ca="1">MAX(AK454:AN454)</f>
        <v>#N/A</v>
      </c>
      <c r="AZ455" t="str">
        <f>"Item"</f>
        <v>Item</v>
      </c>
      <c r="BA455" t="str">
        <f>"Key Driver"</f>
        <v>Key Driver</v>
      </c>
    </row>
    <row r="456" spans="2:53" x14ac:dyDescent="0.3">
      <c r="X456" t="str">
        <f>"Max " &amp; X453</f>
        <v>Max Gross Margin</v>
      </c>
      <c r="Y456" t="e">
        <f ca="1">MAX(X455:AB455)</f>
        <v>#N/A</v>
      </c>
      <c r="AK456" t="str">
        <f>AK455 &amp; " Year"</f>
        <v>Max Change in Gross Margin / Sales Year</v>
      </c>
      <c r="AL456" t="e">
        <f ca="1">IF(MATCH(AL455,AK454:AN454,0)=1,AK453,IF(MATCH(AL455,AK454:AN454,0)=2,AL453,IF(MATCH(AL455,AK454:AN454,0)=3,AM453,AN453)))</f>
        <v>#N/A</v>
      </c>
      <c r="AZ456" t="str">
        <f>C528</f>
        <v>Operating Margin</v>
      </c>
      <c r="BA456" t="e">
        <f ca="1">L528</f>
        <v>#N/A</v>
      </c>
    </row>
    <row r="457" spans="2:53" x14ac:dyDescent="0.3">
      <c r="X457" t="str">
        <f>X456 &amp; " Year"</f>
        <v>Max Gross Margin Year</v>
      </c>
      <c r="Y457" t="e">
        <f ca="1">VALUE(X454)+MATCH(Y456,X455:AB455,0)-1</f>
        <v>#N/A</v>
      </c>
      <c r="AK457" t="str">
        <f>"Min " &amp; AK452</f>
        <v>Min Change in Gross Margin / Sales</v>
      </c>
      <c r="AL457" t="e">
        <f ca="1">MIN(AK454:AN454)</f>
        <v>#N/A</v>
      </c>
      <c r="AZ457" t="str">
        <f>C529</f>
        <v>Invested Capital / Sales</v>
      </c>
      <c r="BA457" t="e">
        <f ca="1">L529</f>
        <v>#N/A</v>
      </c>
    </row>
    <row r="458" spans="2:53" x14ac:dyDescent="0.3">
      <c r="X458" t="str">
        <f>"Min " &amp; X453</f>
        <v>Min Gross Margin</v>
      </c>
      <c r="Y458" t="e">
        <f ca="1">MIN(X455:AB455)</f>
        <v>#N/A</v>
      </c>
      <c r="AK458" t="str">
        <f>AK457 &amp; " Year"</f>
        <v>Min Change in Gross Margin / Sales Year</v>
      </c>
      <c r="AL458" t="e">
        <f ca="1">IF(MATCH(AL457,AK454:AN454,0)=1,AK453,IF(MATCH(AL457,AK454:AN454,0)=2,AL453,IF(MATCH(AL457,AK454:AN454,0)=3,AM453,AN453)))</f>
        <v>#N/A</v>
      </c>
    </row>
    <row r="459" spans="2:53" x14ac:dyDescent="0.3">
      <c r="X459" t="str">
        <f>X458 &amp; " Year"</f>
        <v>Min Gross Margin Year</v>
      </c>
      <c r="Y459" t="e">
        <f ca="1">VALUE(X454)+MATCH(Y458,X455:AB455,0)-1</f>
        <v>#N/A</v>
      </c>
      <c r="AZ459" t="e">
        <f ca="1">C540</f>
        <v>#NAME?</v>
      </c>
    </row>
    <row r="460" spans="2:53" x14ac:dyDescent="0.3">
      <c r="Q460" t="str">
        <f>"Operating Margin"</f>
        <v>Operating Margin</v>
      </c>
    </row>
    <row r="461" spans="2:53" x14ac:dyDescent="0.3">
      <c r="Q461">
        <f>D476</f>
        <v>0</v>
      </c>
      <c r="R461">
        <f>E476</f>
        <v>0</v>
      </c>
      <c r="S461">
        <f>F476</f>
        <v>0</v>
      </c>
      <c r="T461">
        <f>G476</f>
        <v>0</v>
      </c>
      <c r="U461">
        <f>H476</f>
        <v>0</v>
      </c>
      <c r="X461" t="str">
        <f>"SGA / Sales"</f>
        <v>SGA / Sales</v>
      </c>
      <c r="AE461" t="str">
        <f>"Change in Operating Margin"</f>
        <v>Change in Operating Margin</v>
      </c>
      <c r="AK461" t="str">
        <f>"Change in SGA / Sales"</f>
        <v>Change in SGA / Sales</v>
      </c>
    </row>
    <row r="462" spans="2:53" x14ac:dyDescent="0.3">
      <c r="Q462" t="e">
        <f ca="1">X455-X463-X471</f>
        <v>#N/A</v>
      </c>
      <c r="R462" t="e">
        <f ca="1">Y455-Y463-Y471</f>
        <v>#N/A</v>
      </c>
      <c r="S462" t="e">
        <f ca="1">Z455-Z463-Z471</f>
        <v>#N/A</v>
      </c>
      <c r="T462" t="e">
        <f ca="1">AA455-AA463-AA471</f>
        <v>#N/A</v>
      </c>
      <c r="U462" t="e">
        <f ca="1">AB455-AB463-AB471</f>
        <v>#N/A</v>
      </c>
      <c r="X462">
        <f>D476</f>
        <v>0</v>
      </c>
      <c r="Y462">
        <f>E476</f>
        <v>0</v>
      </c>
      <c r="Z462">
        <f>F476</f>
        <v>0</v>
      </c>
      <c r="AA462">
        <f>G476</f>
        <v>0</v>
      </c>
      <c r="AB462">
        <f>H476</f>
        <v>0</v>
      </c>
      <c r="AE462" t="str">
        <f>K476</f>
        <v>0-0</v>
      </c>
      <c r="AF462" t="str">
        <f>L476</f>
        <v>0-0</v>
      </c>
      <c r="AG462" t="str">
        <f>M476</f>
        <v>0-0</v>
      </c>
      <c r="AH462" t="str">
        <f>N476</f>
        <v>0-0</v>
      </c>
      <c r="AK462" t="str">
        <f>K476</f>
        <v>0-0</v>
      </c>
      <c r="AL462" t="str">
        <f>L476</f>
        <v>0-0</v>
      </c>
      <c r="AM462" t="str">
        <f>M476</f>
        <v>0-0</v>
      </c>
      <c r="AN462" t="str">
        <f>N476</f>
        <v>0-0</v>
      </c>
    </row>
    <row r="463" spans="2:53" x14ac:dyDescent="0.3">
      <c r="Q463" t="str">
        <f>"Max " &amp; Q460</f>
        <v>Max Operating Margin</v>
      </c>
      <c r="R463" t="e">
        <f ca="1">MAX(Q462:U462)</f>
        <v>#N/A</v>
      </c>
      <c r="S463" t="str">
        <f>"GM Effect on Max"</f>
        <v>GM Effect on Max</v>
      </c>
      <c r="T463" t="e">
        <f ca="1">IF(R464=Y457,"Max OM in same year as Max GM","Inconclusive Effect")</f>
        <v>#N/A</v>
      </c>
      <c r="U463" t="str">
        <f>"Correlation with GM"</f>
        <v>Correlation with GM</v>
      </c>
      <c r="V463" t="e">
        <f ca="1">CORREL(Q462:U462,X455:AB455)</f>
        <v>#N/A</v>
      </c>
      <c r="X463" t="e">
        <f ca="1">(INDIRECT("J" &amp; MATCH("SG&amp;A Expense",B145:B403,0) +144))/(INDIRECT("J" &amp; MATCH("Sales/Revenue",B145:B403,0) +144))</f>
        <v>#N/A</v>
      </c>
      <c r="Y463" t="e">
        <f ca="1">(INDIRECT("K" &amp; MATCH("SG&amp;A Expense",B145:B403,0) +144))/(INDIRECT("K" &amp; MATCH("Sales/Revenue",B145:B403,0) +144))</f>
        <v>#N/A</v>
      </c>
      <c r="Z463" t="e">
        <f ca="1">(INDIRECT("L" &amp; MATCH("SG&amp;A Expense",B145:B403,0) +144))/(INDIRECT("L" &amp; MATCH("Sales/Revenue",B145:B403,0) +144))</f>
        <v>#N/A</v>
      </c>
      <c r="AA463" t="e">
        <f ca="1">(INDIRECT("M" &amp; MATCH("SG&amp;A Expense",B145:B403,0) +144))/(INDIRECT("M" &amp; MATCH("Sales/Revenue",B145:B403,0) +144))</f>
        <v>#N/A</v>
      </c>
      <c r="AB463" t="e">
        <f ca="1">(INDIRECT("N" &amp; MATCH("SG&amp;A Expense",B145:B403,0) +144))/(INDIRECT("N" &amp; MATCH("Sales/Revenue",B145:B403,0) +144))</f>
        <v>#N/A</v>
      </c>
      <c r="AE463" t="e">
        <f ca="1">R462-Q462</f>
        <v>#N/A</v>
      </c>
      <c r="AF463" t="e">
        <f ca="1">S462-R462</f>
        <v>#N/A</v>
      </c>
      <c r="AG463" t="e">
        <f ca="1">T462-S462</f>
        <v>#N/A</v>
      </c>
      <c r="AH463" t="e">
        <f ca="1">U462-T462</f>
        <v>#N/A</v>
      </c>
      <c r="AK463" t="e">
        <f ca="1">Y463-X463</f>
        <v>#N/A</v>
      </c>
      <c r="AL463" t="e">
        <f ca="1">Z463-Y463</f>
        <v>#N/A</v>
      </c>
      <c r="AM463" t="e">
        <f ca="1">AA463-Z463</f>
        <v>#N/A</v>
      </c>
      <c r="AN463" t="e">
        <f ca="1">AB463-AA463</f>
        <v>#N/A</v>
      </c>
    </row>
    <row r="464" spans="2:53" x14ac:dyDescent="0.3">
      <c r="Q464" t="str">
        <f>Q463 &amp; " Year"</f>
        <v>Max Operating Margin Year</v>
      </c>
      <c r="R464" t="e">
        <f ca="1">VALUE(Q461)+MATCH(R463,Q462:U462,0)-1</f>
        <v>#N/A</v>
      </c>
      <c r="S464" t="str">
        <f>"SGA Effect on Max"</f>
        <v>SGA Effect on Max</v>
      </c>
      <c r="T464" t="e">
        <f ca="1">IF(R464=Y467,"Max OM in same year as Min SGA","Inconclusive Effect")</f>
        <v>#N/A</v>
      </c>
      <c r="U464" t="str">
        <f>"Correlation with SGA"</f>
        <v>Correlation with SGA</v>
      </c>
      <c r="V464" t="e">
        <f ca="1">CORREL(Q462:U462,X463:AB463)</f>
        <v>#N/A</v>
      </c>
      <c r="X464" t="str">
        <f>"Max " &amp; X461</f>
        <v>Max SGA / Sales</v>
      </c>
      <c r="Y464" t="e">
        <f ca="1">MAX(X463:AB463)</f>
        <v>#N/A</v>
      </c>
      <c r="AE464" t="str">
        <f>"Max " &amp; AE461</f>
        <v>Max Change in Operating Margin</v>
      </c>
      <c r="AF464" t="e">
        <f ca="1">MAX(AE463:AH463)</f>
        <v>#N/A</v>
      </c>
      <c r="AK464" t="str">
        <f>"Max " &amp; AK461</f>
        <v>Max Change in SGA / Sales</v>
      </c>
      <c r="AL464" t="e">
        <f ca="1">MAX(AK463:AN463)</f>
        <v>#N/A</v>
      </c>
    </row>
    <row r="465" spans="4:40" x14ac:dyDescent="0.3">
      <c r="J465" t="str">
        <f>"EOY Pretax ROIC"</f>
        <v>EOY Pretax ROIC</v>
      </c>
      <c r="Q465" t="str">
        <f>"Min " &amp; Q460</f>
        <v>Min Operating Margin</v>
      </c>
      <c r="R465" t="e">
        <f ca="1">MIN(Q462:U462)</f>
        <v>#N/A</v>
      </c>
      <c r="S465" t="str">
        <f>"Dep Effect on Max"</f>
        <v>Dep Effect on Max</v>
      </c>
      <c r="T465" t="e">
        <f ca="1">IF(R464=Y475,"Max OM in same year as Min Depr","Inconclusive Effect")</f>
        <v>#N/A</v>
      </c>
      <c r="U465" t="str">
        <f>"Correlation with Dep"</f>
        <v>Correlation with Dep</v>
      </c>
      <c r="V465" t="e">
        <f ca="1">CORREL(Q462:U462,X471:AB471)</f>
        <v>#N/A</v>
      </c>
      <c r="X465" t="str">
        <f>X464 &amp; " Year"</f>
        <v>Max SGA / Sales Year</v>
      </c>
      <c r="Y465" t="e">
        <f ca="1">VALUE(X462)+MATCH(Y464,X463:AB463,0)-1</f>
        <v>#N/A</v>
      </c>
      <c r="AE465" t="str">
        <f>AE464 &amp; " Year"</f>
        <v>Max Change in Operating Margin Year</v>
      </c>
      <c r="AF465" t="e">
        <f ca="1">IF(MATCH(AF464,AE463:AH463,0)=1,AE462,IF(MATCH(AF464,AE463:AH463,0)=2,AF462,IF(MATCH(AF464,AE463:AH463,0)=3,AG462,AH462)))</f>
        <v>#N/A</v>
      </c>
      <c r="AK465" t="str">
        <f>AK464 &amp; " Year"</f>
        <v>Max Change in SGA / Sales Year</v>
      </c>
      <c r="AL465" t="e">
        <f ca="1">IF(MATCH(AL464,AK463:AN463,0)=1,AK462,IF(MATCH(AL464,AK463:AN463,0)=2,AL462,IF(MATCH(AL464,AK463:AN463,0)=3,AM462,AN462)))</f>
        <v>#N/A</v>
      </c>
    </row>
    <row r="466" spans="4:40" x14ac:dyDescent="0.3">
      <c r="J466">
        <f>D476</f>
        <v>0</v>
      </c>
      <c r="K466">
        <f>E476</f>
        <v>0</v>
      </c>
      <c r="L466">
        <f>F476</f>
        <v>0</v>
      </c>
      <c r="M466">
        <f>G476</f>
        <v>0</v>
      </c>
      <c r="N466">
        <f>H476</f>
        <v>0</v>
      </c>
      <c r="Q466" t="str">
        <f>Q465 &amp; " Year"</f>
        <v>Min Operating Margin Year</v>
      </c>
      <c r="R466" t="e">
        <f ca="1">VALUE(Q461)+MATCH(R465,Q462:U462,0)-1</f>
        <v>#N/A</v>
      </c>
      <c r="S466" t="str">
        <f>"GM Effect on Min"</f>
        <v>GM Effect on Min</v>
      </c>
      <c r="T466" t="e">
        <f ca="1">IF(R466=Y459,"Min OM in same year as Min GM","Inconclusive Effect")</f>
        <v>#N/A</v>
      </c>
      <c r="X466" t="str">
        <f>"Min " &amp; X461</f>
        <v>Min SGA / Sales</v>
      </c>
      <c r="Y466" t="e">
        <f ca="1">MIN(X463:AB463)</f>
        <v>#N/A</v>
      </c>
      <c r="AE466" t="str">
        <f>"Min " &amp; AE461</f>
        <v>Min Change in Operating Margin</v>
      </c>
      <c r="AF466" t="e">
        <f ca="1">MIN(AE463:AH463)</f>
        <v>#N/A</v>
      </c>
      <c r="AK466" t="str">
        <f>"Min " &amp; AK461</f>
        <v>Min Change in SGA / Sales</v>
      </c>
      <c r="AL466" t="e">
        <f ca="1">MIN(AK463:AN463)</f>
        <v>#N/A</v>
      </c>
    </row>
    <row r="467" spans="4:40" x14ac:dyDescent="0.3">
      <c r="J467" t="e">
        <f ca="1">Q462*(1/Q490)</f>
        <v>#N/A</v>
      </c>
      <c r="K467" t="e">
        <f ca="1">R462*(1/R490)</f>
        <v>#N/A</v>
      </c>
      <c r="L467" t="e">
        <f ca="1">S462*(1/S490)</f>
        <v>#N/A</v>
      </c>
      <c r="M467" t="e">
        <f ca="1">T462*(1/T490)</f>
        <v>#N/A</v>
      </c>
      <c r="N467" t="e">
        <f ca="1">U462*(1/U490)</f>
        <v>#N/A</v>
      </c>
      <c r="S467" t="str">
        <f>"SGA Effect on Min"</f>
        <v>SGA Effect on Min</v>
      </c>
      <c r="T467" t="e">
        <f ca="1">IF(R466=Y465,"Min OM in same year as Max SGA","Inconclusive Effect")</f>
        <v>#N/A</v>
      </c>
      <c r="X467" t="str">
        <f>X466 &amp; " Year"</f>
        <v>Min SGA / Sales Year</v>
      </c>
      <c r="Y467" t="e">
        <f ca="1">VALUE(X462)+MATCH(Y466,X463:AB463,0)-1</f>
        <v>#N/A</v>
      </c>
      <c r="AE467" t="str">
        <f>AE466 &amp; " Year"</f>
        <v>Min Change in Operating Margin Year</v>
      </c>
      <c r="AF467" t="e">
        <f ca="1">IF(MATCH(AF466,AE463:AH463,0)=1,AE462,IF(MATCH(AF466,AE463:AH463,0)=2,AF462,IF(MATCH(AF466,AE463:AH463,0)=3,AG462,AH462)))</f>
        <v>#N/A</v>
      </c>
      <c r="AK467" t="str">
        <f>AK466 &amp; " Year"</f>
        <v>Min Change in SGA / Sales Year</v>
      </c>
      <c r="AL467" t="e">
        <f ca="1">IF(MATCH(AL466,AK463:AN463,0)=1,AK462,IF(MATCH(AL466,AK463:AN463,0)=2,AL462,IF(MATCH(AL466,AK463:AN463,0)=3,AM462,AN462)))</f>
        <v>#N/A</v>
      </c>
    </row>
    <row r="468" spans="4:40" x14ac:dyDescent="0.3">
      <c r="J468" t="str">
        <f>"Max " &amp; J465</f>
        <v>Max EOY Pretax ROIC</v>
      </c>
      <c r="K468" t="e">
        <f ca="1">MAX(J467:N467)</f>
        <v>#N/A</v>
      </c>
      <c r="L468" t="str">
        <f>"OM Effect on Max"</f>
        <v>OM Effect on Max</v>
      </c>
      <c r="M468" t="e">
        <f ca="1">IF(K469=R464,"Max ROIC in same year as Max OM","Inconclusive Effect")</f>
        <v>#N/A</v>
      </c>
      <c r="N468" t="str">
        <f>"Correlation with OM"</f>
        <v>Correlation with OM</v>
      </c>
      <c r="O468" t="e">
        <f ca="1">CORREL(J467:N467,Q462:U462)</f>
        <v>#N/A</v>
      </c>
      <c r="S468" t="str">
        <f>"Dep Effect on Min"</f>
        <v>Dep Effect on Min</v>
      </c>
      <c r="T468" t="e">
        <f ca="1">IF(R466=Y473,"Min OM in same year as Max Dep","Inconclusive Effect")</f>
        <v>#N/A</v>
      </c>
    </row>
    <row r="469" spans="4:40" x14ac:dyDescent="0.3">
      <c r="J469" t="str">
        <f>J468 &amp; " Year"</f>
        <v>Max EOY Pretax ROIC Year</v>
      </c>
      <c r="K469" t="e">
        <f ca="1">VALUE(J466)+MATCH(K468,J467:N467,0)-1</f>
        <v>#N/A</v>
      </c>
      <c r="L469" t="str">
        <f>"IC Effect on Max"</f>
        <v>IC Effect on Max</v>
      </c>
      <c r="M469" t="e">
        <f ca="1">IF(K469=R494,"Max ROIC in same year as Min IC","Inconclusive Effect")</f>
        <v>#N/A</v>
      </c>
      <c r="N469" t="str">
        <f>"Correlation with IC"</f>
        <v>Correlation with IC</v>
      </c>
      <c r="O469" t="e">
        <f ca="1">CORREL(J467:N467,Q490:U490)</f>
        <v>#N/A</v>
      </c>
      <c r="X469" t="str">
        <f>"Depreciation / Sales"</f>
        <v>Depreciation / Sales</v>
      </c>
    </row>
    <row r="470" spans="4:40" x14ac:dyDescent="0.3">
      <c r="J470" t="str">
        <f>"Min " &amp; J465</f>
        <v>Min EOY Pretax ROIC</v>
      </c>
      <c r="K470" t="e">
        <f ca="1">MIN(J467:N467)</f>
        <v>#N/A</v>
      </c>
      <c r="L470" t="str">
        <f>"OM Effect on Min"</f>
        <v>OM Effect on Min</v>
      </c>
      <c r="M470" t="e">
        <f ca="1">IF(K471=R466,"Min ROIC in same year as Min OM","Inconclusive Effect")</f>
        <v>#N/A</v>
      </c>
      <c r="Q470" t="str">
        <f>"Change in EOY Pretax ROIC"</f>
        <v>Change in EOY Pretax ROIC</v>
      </c>
      <c r="X470">
        <f>D476</f>
        <v>0</v>
      </c>
      <c r="Y470">
        <f>E476</f>
        <v>0</v>
      </c>
      <c r="Z470">
        <f>F476</f>
        <v>0</v>
      </c>
      <c r="AA470">
        <f>G476</f>
        <v>0</v>
      </c>
      <c r="AB470">
        <f>H476</f>
        <v>0</v>
      </c>
    </row>
    <row r="471" spans="4:40" x14ac:dyDescent="0.3">
      <c r="J471" t="str">
        <f>J470 &amp; " Year"</f>
        <v>Min EOY Pretax ROIC Year</v>
      </c>
      <c r="K471" t="e">
        <f ca="1">VALUE(J466)+MATCH(K470,J467:N467,0)-1</f>
        <v>#N/A</v>
      </c>
      <c r="L471" t="str">
        <f>"IC Effect on Min"</f>
        <v>IC Effect on Min</v>
      </c>
      <c r="M471" t="e">
        <f ca="1">IF(K471=R492,"Min ROIC in same year as Max IC","Inconclusive Effect")</f>
        <v>#N/A</v>
      </c>
      <c r="Q471" t="str">
        <f>K476</f>
        <v>0-0</v>
      </c>
      <c r="R471" t="str">
        <f>L476</f>
        <v>0-0</v>
      </c>
      <c r="S471" t="str">
        <f>M476</f>
        <v>0-0</v>
      </c>
      <c r="T471" t="str">
        <f>N476</f>
        <v>0-0</v>
      </c>
      <c r="X471" t="e">
        <f ca="1">(INDIRECT("J" &amp; MATCH("Depreciation &amp; Amortization Expense",B145:B403,0) +144))/(INDIRECT("J" &amp; MATCH("Sales/Revenue",B145:B403,0) +144))</f>
        <v>#N/A</v>
      </c>
      <c r="Y471" t="e">
        <f ca="1">(INDIRECT("K" &amp; MATCH("Depreciation &amp; Amortization Expense",B145:B403,0) +144))/(INDIRECT("K" &amp; MATCH("Sales/Revenue",B145:B403,0) +144))</f>
        <v>#N/A</v>
      </c>
      <c r="Z471" t="e">
        <f ca="1">(INDIRECT("L" &amp; MATCH("Depreciation &amp; Amortization Expense",B145:B403,0) +144))/(INDIRECT("L" &amp; MATCH("Sales/Revenue",B145:B403,0) +144))</f>
        <v>#N/A</v>
      </c>
      <c r="AA471" t="e">
        <f ca="1">(INDIRECT("M" &amp; MATCH("Depreciation &amp; Amortization Expense",B145:B403,0) +144))/(INDIRECT("M" &amp; MATCH("Sales/Revenue",B145:B403,0) +144))</f>
        <v>#N/A</v>
      </c>
      <c r="AB471" t="e">
        <f ca="1">(INDIRECT("N" &amp; MATCH("Depreciation &amp; Amortization Expense",B145:B403,0) +144))/(INDIRECT("N" &amp; MATCH("Sales/Revenue",B145:B403,0) +144))</f>
        <v>#N/A</v>
      </c>
    </row>
    <row r="472" spans="4:40" x14ac:dyDescent="0.3">
      <c r="Q472" t="e">
        <f ca="1">K467-J467</f>
        <v>#N/A</v>
      </c>
      <c r="R472" t="e">
        <f ca="1">L467-K467</f>
        <v>#N/A</v>
      </c>
      <c r="S472" t="e">
        <f ca="1">M467-L467</f>
        <v>#N/A</v>
      </c>
      <c r="T472" t="e">
        <f ca="1">N467-M467</f>
        <v>#N/A</v>
      </c>
      <c r="X472" t="str">
        <f>"Max " &amp; X469</f>
        <v>Max Depreciation / Sales</v>
      </c>
      <c r="Y472" t="e">
        <f ca="1">MAX(X471:AB471)</f>
        <v>#N/A</v>
      </c>
      <c r="AK472" t="str">
        <f>"Change in Depreciation / Sales"</f>
        <v>Change in Depreciation / Sales</v>
      </c>
    </row>
    <row r="473" spans="4:40" x14ac:dyDescent="0.3">
      <c r="Q473" t="str">
        <f>"Max " &amp; Q470</f>
        <v>Max Change in EOY Pretax ROIC</v>
      </c>
      <c r="R473" t="e">
        <f ca="1">MAX(Q472:T472)</f>
        <v>#N/A</v>
      </c>
      <c r="X473" t="str">
        <f>X472 &amp; " Year"</f>
        <v>Max Depreciation / Sales Year</v>
      </c>
      <c r="Y473" t="e">
        <f ca="1">VALUE(X470)+MATCH(Y472,X471:AB471,0)-1</f>
        <v>#N/A</v>
      </c>
      <c r="AK473" t="str">
        <f>K476</f>
        <v>0-0</v>
      </c>
      <c r="AL473" t="str">
        <f>L476</f>
        <v>0-0</v>
      </c>
      <c r="AM473" t="str">
        <f>M476</f>
        <v>0-0</v>
      </c>
      <c r="AN473" t="str">
        <f>N476</f>
        <v>0-0</v>
      </c>
    </row>
    <row r="474" spans="4:40" x14ac:dyDescent="0.3">
      <c r="Q474" t="str">
        <f>Q473 &amp; " Year"</f>
        <v>Max Change in EOY Pretax ROIC Year</v>
      </c>
      <c r="R474" t="e">
        <f ca="1">IF(MATCH(R473,Q472:T472,0)=1,Q471,IF(MATCH(R473,Q472:T472,0)=2,R471,IF(MATCH(R473,Q472:T472,0)=3,S471,T471)))</f>
        <v>#N/A</v>
      </c>
      <c r="X474" t="str">
        <f>"Min " &amp; X469</f>
        <v>Min Depreciation / Sales</v>
      </c>
      <c r="Y474" t="e">
        <f ca="1">MIN(X471:AB471)</f>
        <v>#N/A</v>
      </c>
      <c r="AK474" t="e">
        <f ca="1">Y471-X471</f>
        <v>#N/A</v>
      </c>
      <c r="AL474" t="e">
        <f ca="1">Z471-Y471</f>
        <v>#N/A</v>
      </c>
      <c r="AM474" t="e">
        <f ca="1">AA471-Z471</f>
        <v>#N/A</v>
      </c>
      <c r="AN474" t="e">
        <f ca="1">AB471-AA471</f>
        <v>#N/A</v>
      </c>
    </row>
    <row r="475" spans="4:40" x14ac:dyDescent="0.3">
      <c r="D475" t="str">
        <f>"EOY ROIC"</f>
        <v>EOY ROIC</v>
      </c>
      <c r="K475" t="str">
        <f>"Change in EOY ROIC"</f>
        <v>Change in EOY ROIC</v>
      </c>
      <c r="Q475" t="str">
        <f>"Min " &amp; Q470</f>
        <v>Min Change in EOY Pretax ROIC</v>
      </c>
      <c r="R475" t="e">
        <f ca="1">MIN(Q472:T472)</f>
        <v>#N/A</v>
      </c>
      <c r="X475" t="str">
        <f>X474 &amp; " Year"</f>
        <v>Min Depreciation / Sales Year</v>
      </c>
      <c r="Y475" t="e">
        <f ca="1">VALUE(X470)+MATCH(Y474,X471:AB471,0)-1</f>
        <v>#N/A</v>
      </c>
      <c r="AK475" t="str">
        <f>"Max " &amp; AK472</f>
        <v>Max Change in Depreciation / Sales</v>
      </c>
      <c r="AL475" t="e">
        <f ca="1">MAX(AK474:AN474)</f>
        <v>#N/A</v>
      </c>
    </row>
    <row r="476" spans="4:40" x14ac:dyDescent="0.3">
      <c r="D476">
        <f>C144</f>
        <v>0</v>
      </c>
      <c r="E476">
        <f>D144</f>
        <v>0</v>
      </c>
      <c r="F476">
        <f>E144</f>
        <v>0</v>
      </c>
      <c r="G476">
        <f>F144</f>
        <v>0</v>
      </c>
      <c r="H476">
        <f>G144</f>
        <v>0</v>
      </c>
      <c r="K476" t="str">
        <f>RIGHT(D476,2) &amp; "-" &amp; RIGHT(E476,2)</f>
        <v>0-0</v>
      </c>
      <c r="L476" t="str">
        <f>RIGHT(E476,2) &amp; "-" &amp; RIGHT(F476,2)</f>
        <v>0-0</v>
      </c>
      <c r="M476" t="str">
        <f>RIGHT(F476,2) &amp; "-" &amp; RIGHT(G476,2)</f>
        <v>0-0</v>
      </c>
      <c r="N476" t="str">
        <f>RIGHT(G476,2) &amp; "-" &amp; RIGHT(H476,2)</f>
        <v>0-0</v>
      </c>
      <c r="Q476" t="str">
        <f>Q475 &amp; " Year"</f>
        <v>Min Change in EOY Pretax ROIC Year</v>
      </c>
      <c r="R476" t="e">
        <f ca="1">IF(MATCH(R475,Q472:T472,0)=1,Q471,IF(MATCH(R475,Q472:T472,0)=2,R471,IF(MATCH(R475,Q472:T472,0)=3,S471,T471)))</f>
        <v>#N/A</v>
      </c>
      <c r="AK476" t="str">
        <f>AK475 &amp; " Year"</f>
        <v>Max Change in Depreciation / Sales Year</v>
      </c>
      <c r="AL476" t="e">
        <f ca="1">IF(MATCH(AL475,AK474:AN474,0)=1,AK473,IF(MATCH(AL475,AK474:AN474,0)=2,AL473,IF(MATCH(AL475,AK474:AN474,0)=3,AM473,AN473)))</f>
        <v>#N/A</v>
      </c>
    </row>
    <row r="477" spans="4:40" x14ac:dyDescent="0.3">
      <c r="D477" t="e">
        <f ca="1">J467*(1-J487)</f>
        <v>#N/A</v>
      </c>
      <c r="E477" t="e">
        <f ca="1">K467*(1-K487)</f>
        <v>#N/A</v>
      </c>
      <c r="F477" t="e">
        <f ca="1">L467*(1-L487)</f>
        <v>#N/A</v>
      </c>
      <c r="G477" t="e">
        <f ca="1">M467*(1-M487)</f>
        <v>#N/A</v>
      </c>
      <c r="H477" t="e">
        <f ca="1">N467*(1-N487)</f>
        <v>#N/A</v>
      </c>
      <c r="K477" t="e">
        <f ca="1">E477-D477</f>
        <v>#N/A</v>
      </c>
      <c r="L477" t="e">
        <f ca="1">F477-E477</f>
        <v>#N/A</v>
      </c>
      <c r="M477" t="e">
        <f ca="1">G477-F477</f>
        <v>#N/A</v>
      </c>
      <c r="N477" t="e">
        <f ca="1">H477-G477</f>
        <v>#N/A</v>
      </c>
      <c r="AK477" t="str">
        <f>"Min " &amp; AK472</f>
        <v>Min Change in Depreciation / Sales</v>
      </c>
      <c r="AL477" t="e">
        <f ca="1">MIN(AK474:AN474)</f>
        <v>#N/A</v>
      </c>
    </row>
    <row r="478" spans="4:40" x14ac:dyDescent="0.3">
      <c r="D478" t="str">
        <f>"Max " &amp; D475</f>
        <v>Max EOY ROIC</v>
      </c>
      <c r="E478" t="e">
        <f ca="1">MAX(D477:H477)</f>
        <v>#N/A</v>
      </c>
      <c r="F478" t="str">
        <f>"Cash Tax  Effect on Max"</f>
        <v>Cash Tax  Effect on Max</v>
      </c>
      <c r="G478" t="e">
        <f ca="1">IF(E479=K491,"Max ROIC in same year as Min Cash Tax","Inconclusive Effect")</f>
        <v>#N/A</v>
      </c>
      <c r="K478" t="str">
        <f>"Max " &amp; K475</f>
        <v>Max Change in EOY ROIC</v>
      </c>
      <c r="L478" t="e">
        <f ca="1">MAX(K477:N477)</f>
        <v>#N/A</v>
      </c>
      <c r="AK478" t="str">
        <f>AK477 &amp; " Year"</f>
        <v>Min Change in Depreciation / Sales Year</v>
      </c>
      <c r="AL478" t="e">
        <f ca="1">IF(MATCH(AL477,AK474:AN474,0)=1,AK473,IF(MATCH(AL477,AK474:AN474,0)=2,AL473,IF(MATCH(AL477,AK474:AN474,0)=3,AM473,AN473)))</f>
        <v>#N/A</v>
      </c>
    </row>
    <row r="479" spans="4:40" x14ac:dyDescent="0.3">
      <c r="D479" t="str">
        <f>D478 &amp; " Year"</f>
        <v>Max EOY ROIC Year</v>
      </c>
      <c r="E479" t="e">
        <f ca="1">VALUE(D476)+MATCH(E478,D477:H477,0)-1</f>
        <v>#N/A</v>
      </c>
      <c r="K479" t="str">
        <f>K478 &amp; " Year"</f>
        <v>Max Change in EOY ROIC Year</v>
      </c>
      <c r="L479" t="e">
        <f ca="1">IF(MATCH(L478,K477:N477,0)=1,K476,IF(MATCH(L478,K477:N477,0)=2,L476,IF(MATCH(L478,K477:N477,0)=3,M476,N476)))</f>
        <v>#N/A</v>
      </c>
      <c r="Q479" t="str">
        <f>"Change in Cash Tax Rate"</f>
        <v>Change in Cash Tax Rate</v>
      </c>
    </row>
    <row r="480" spans="4:40" x14ac:dyDescent="0.3">
      <c r="D480" t="str">
        <f>"Min " &amp; D475</f>
        <v>Min EOY ROIC</v>
      </c>
      <c r="E480" t="e">
        <f ca="1">MIN(D477:H477)</f>
        <v>#N/A</v>
      </c>
      <c r="F480" t="str">
        <f>"Cash Tax  Effect on Min"</f>
        <v>Cash Tax  Effect on Min</v>
      </c>
      <c r="G480" t="e">
        <f ca="1">IF(E481=K489,"Min ROIC in same year as Max Cash Tax","Inconclusive Effect")</f>
        <v>#N/A</v>
      </c>
      <c r="K480" t="str">
        <f>"Min " &amp; K475</f>
        <v>Min Change in EOY ROIC</v>
      </c>
      <c r="L480" t="e">
        <f ca="1">MIN(K477:N477)</f>
        <v>#N/A</v>
      </c>
      <c r="Q480" t="str">
        <f>K476</f>
        <v>0-0</v>
      </c>
      <c r="R480" t="str">
        <f>L476</f>
        <v>0-0</v>
      </c>
      <c r="S480" t="str">
        <f>M476</f>
        <v>0-0</v>
      </c>
      <c r="T480" t="str">
        <f>N476</f>
        <v>0-0</v>
      </c>
    </row>
    <row r="481" spans="4:40" x14ac:dyDescent="0.3">
      <c r="D481" t="str">
        <f>D480 &amp; " Year"</f>
        <v>Min EOY ROIC Year</v>
      </c>
      <c r="E481" t="e">
        <f ca="1">VALUE(D476)+MATCH(E480,D477:H477,0)-1</f>
        <v>#N/A</v>
      </c>
      <c r="K481" t="str">
        <f>K480 &amp; " Year"</f>
        <v>Min Change in EOY ROIC Year</v>
      </c>
      <c r="L481" t="e">
        <f ca="1">IF(MATCH(L480,K477:N477,0)=1,K476,IF(MATCH(L480,K477:N477,0)=2,L476,IF(MATCH(L480,K477:N477,0)=3,M476,N476)))</f>
        <v>#N/A</v>
      </c>
      <c r="Q481" t="e">
        <f ca="1">K487-J487</f>
        <v>#N/A</v>
      </c>
      <c r="R481" t="e">
        <f ca="1">L487-K487</f>
        <v>#N/A</v>
      </c>
      <c r="S481" t="e">
        <f ca="1">M487-L487</f>
        <v>#N/A</v>
      </c>
      <c r="T481" t="e">
        <f ca="1">N487-M487</f>
        <v>#N/A</v>
      </c>
      <c r="X481" t="str">
        <f>"Op WC / Sales"</f>
        <v>Op WC / Sales</v>
      </c>
    </row>
    <row r="482" spans="4:40" x14ac:dyDescent="0.3">
      <c r="D482" t="str">
        <f>"Correlation with OM"</f>
        <v>Correlation with OM</v>
      </c>
      <c r="E482" t="e">
        <f ca="1">CORREL(D477:H477,Q462:U462)</f>
        <v>#N/A</v>
      </c>
      <c r="Q482" t="str">
        <f>"Max " &amp; Q479</f>
        <v>Max Change in Cash Tax Rate</v>
      </c>
      <c r="R482" t="e">
        <f ca="1">MAX(Q481:T481)</f>
        <v>#N/A</v>
      </c>
      <c r="X482">
        <f>D476</f>
        <v>0</v>
      </c>
      <c r="Y482">
        <f>E476</f>
        <v>0</v>
      </c>
      <c r="Z482">
        <f>F476</f>
        <v>0</v>
      </c>
      <c r="AA482">
        <f>G476</f>
        <v>0</v>
      </c>
      <c r="AB482">
        <f>H476</f>
        <v>0</v>
      </c>
      <c r="AK482" t="str">
        <f>"Change in Op WC / Sales"</f>
        <v>Change in Op WC / Sales</v>
      </c>
    </row>
    <row r="483" spans="4:40" x14ac:dyDescent="0.3">
      <c r="D483" t="str">
        <f>"Correlation with IC"</f>
        <v>Correlation with IC</v>
      </c>
      <c r="E483" t="e">
        <f ca="1">CORREL(D477:H477,Q490:U490)</f>
        <v>#N/A</v>
      </c>
      <c r="Q483" t="str">
        <f>Q482 &amp; " Year"</f>
        <v>Max Change in Cash Tax Rate Year</v>
      </c>
      <c r="R483" t="e">
        <f ca="1">IF(MATCH(R482,Q481:T481,0)=1,Q480,IF(MATCH(R482,Q481:T481,0)=2,R480,IF(MATCH(R482,Q481:T481,0)=3,S480,T480)))</f>
        <v>#N/A</v>
      </c>
      <c r="X483" t="e">
        <f ca="1">(INDIRECT("J" &amp; MATCH("Total Current Assets",B145:B403,0) +144) - INDIRECT("J" &amp; MATCH("Total Current Liabilities",B145:B403,0) +144))/(INDIRECT("J" &amp; MATCH("Sales/Revenue",B145:B403,0) +144))</f>
        <v>#N/A</v>
      </c>
      <c r="Y483" t="e">
        <f ca="1">(INDIRECT("K" &amp; MATCH("Total Current Assets",B145:B403,0) +144) - INDIRECT("K" &amp; MATCH("Total Current Liabilities",B145:B403,0) +144))/(INDIRECT("K" &amp; MATCH("Sales/Revenue",B145:B403,0) +144))</f>
        <v>#N/A</v>
      </c>
      <c r="Z483" t="e">
        <f ca="1">(INDIRECT("L" &amp; MATCH("Total Current Assets",B145:B403,0) +144) - INDIRECT("L" &amp; MATCH("Total Current Liabilities",B145:B403,0) +144))/(INDIRECT("L" &amp; MATCH("Sales/Revenue",B145:B403,0) +144))</f>
        <v>#N/A</v>
      </c>
      <c r="AA483" t="e">
        <f ca="1">(INDIRECT("M" &amp; MATCH("Total Current Assets",B145:B403,0) +144) - INDIRECT("M" &amp; MATCH("Total Current Liabilities",B145:B403,0) +144))/(INDIRECT("M" &amp; MATCH("Sales/Revenue",B145:B403,0) +144))</f>
        <v>#N/A</v>
      </c>
      <c r="AB483" t="e">
        <f ca="1">(INDIRECT("N" &amp; MATCH("Total Current Assets",B145:B403,0) +144) - INDIRECT("N" &amp; MATCH("Total Current Liabilities",B145:B403,0) +144))/(INDIRECT("N" &amp; MATCH("Sales/Revenue",B145:B403,0) +144))</f>
        <v>#N/A</v>
      </c>
      <c r="AK483" t="str">
        <f>K476</f>
        <v>0-0</v>
      </c>
      <c r="AL483" t="str">
        <f>L476</f>
        <v>0-0</v>
      </c>
      <c r="AM483" t="str">
        <f>M476</f>
        <v>0-0</v>
      </c>
      <c r="AN483" t="str">
        <f>N476</f>
        <v>0-0</v>
      </c>
    </row>
    <row r="484" spans="4:40" x14ac:dyDescent="0.3">
      <c r="D484" t="str">
        <f>"Correlation with GM"</f>
        <v>Correlation with GM</v>
      </c>
      <c r="E484" t="e">
        <f ca="1">CORREL(D477:H477,X455:AB455)</f>
        <v>#N/A</v>
      </c>
      <c r="Q484" t="str">
        <f>"Min " &amp; Q479</f>
        <v>Min Change in Cash Tax Rate</v>
      </c>
      <c r="R484" t="e">
        <f ca="1">MIN(Q481:T481)</f>
        <v>#N/A</v>
      </c>
      <c r="X484" t="str">
        <f>"Max " &amp; X481</f>
        <v>Max Op WC / Sales</v>
      </c>
      <c r="Y484" t="e">
        <f ca="1">MAX(X483:AB483)</f>
        <v>#N/A</v>
      </c>
      <c r="AK484" t="e">
        <f ca="1">Y483-X483</f>
        <v>#N/A</v>
      </c>
      <c r="AL484" t="e">
        <f ca="1">Z483-Y483</f>
        <v>#N/A</v>
      </c>
      <c r="AM484" t="e">
        <f ca="1">AA483-Z483</f>
        <v>#N/A</v>
      </c>
      <c r="AN484" t="e">
        <f ca="1">AB483-AA483</f>
        <v>#N/A</v>
      </c>
    </row>
    <row r="485" spans="4:40" x14ac:dyDescent="0.3">
      <c r="D485" t="str">
        <f>"Correlation with SGA"</f>
        <v>Correlation with SGA</v>
      </c>
      <c r="E485" t="e">
        <f ca="1">CORREL(D477:H477,X463:AB463)</f>
        <v>#N/A</v>
      </c>
      <c r="J485" t="str">
        <f>"Cash Tax Rate"</f>
        <v>Cash Tax Rate</v>
      </c>
      <c r="Q485" t="str">
        <f>Q484 &amp; " Year"</f>
        <v>Min Change in Cash Tax Rate Year</v>
      </c>
      <c r="R485" t="e">
        <f ca="1">IF(MATCH(R484,Q481:T481,0)=1,Q480,IF(MATCH(R484,Q481:T481,0)=2,R480,IF(MATCH(R484,Q481:T481,0)=3,S480,T480)))</f>
        <v>#N/A</v>
      </c>
      <c r="X485" t="str">
        <f>X484 &amp; " Year"</f>
        <v>Max Op WC / Sales Year</v>
      </c>
      <c r="Y485" t="e">
        <f ca="1">VALUE(X482)+MATCH(Y484,X483:AB483,0)-1</f>
        <v>#N/A</v>
      </c>
      <c r="AK485" t="str">
        <f>"Max " &amp; AK482</f>
        <v>Max Change in Op WC / Sales</v>
      </c>
      <c r="AL485" t="e">
        <f ca="1">MAX(AK484:AN484)</f>
        <v>#N/A</v>
      </c>
    </row>
    <row r="486" spans="4:40" x14ac:dyDescent="0.3">
      <c r="D486" t="str">
        <f>"Correlation with Dep"</f>
        <v>Correlation with Dep</v>
      </c>
      <c r="E486" t="e">
        <f ca="1">CORREL(D477:H477,X471:AB471)</f>
        <v>#N/A</v>
      </c>
      <c r="J486">
        <f>D476</f>
        <v>0</v>
      </c>
      <c r="K486">
        <f>E476</f>
        <v>0</v>
      </c>
      <c r="L486">
        <f>F476</f>
        <v>0</v>
      </c>
      <c r="M486">
        <f>G476</f>
        <v>0</v>
      </c>
      <c r="N486">
        <f>H476</f>
        <v>0</v>
      </c>
      <c r="X486" t="str">
        <f>"Min " &amp; X481</f>
        <v>Min Op WC / Sales</v>
      </c>
      <c r="Y486" t="e">
        <f ca="1">MIN(X483:AB483)</f>
        <v>#N/A</v>
      </c>
      <c r="AK486" t="str">
        <f>AK485 &amp; " Year"</f>
        <v>Max Change in Op WC / Sales Year</v>
      </c>
      <c r="AL486" t="e">
        <f ca="1">IF(MATCH(AL485,AK484:AN484,0)=1,AK483,IF(MATCH(AL485,AK484:AN484,0)=2,AL483,IF(MATCH(AL485,AK484:AN484,0)=3,AM483,AN483)))</f>
        <v>#N/A</v>
      </c>
    </row>
    <row r="487" spans="4:40" x14ac:dyDescent="0.3">
      <c r="D487" t="str">
        <f>"Correlation with Op WC"</f>
        <v>Correlation with Op WC</v>
      </c>
      <c r="E487" t="e">
        <f ca="1">CORREL(D477:H477,X483:AB483)</f>
        <v>#N/A</v>
      </c>
      <c r="J487" t="e">
        <f ca="1">(INDIRECT("J" &amp; MATCH("Income Tax",B145:B403,0) +144))/(INDIRECT("J" &amp; MATCH("Pretax Income",B145:B403,0) +144))</f>
        <v>#N/A</v>
      </c>
      <c r="K487" t="e">
        <f ca="1">(INDIRECT("K" &amp; MATCH("Income Tax",B145:B403,0) +144))/(INDIRECT("K" &amp; MATCH("Pretax Income",B145:B403,0) +144))</f>
        <v>#N/A</v>
      </c>
      <c r="L487" t="e">
        <f ca="1">(INDIRECT("L" &amp; MATCH("Income Tax",B145:B403,0) +144))/(INDIRECT("L" &amp; MATCH("Pretax Income",B145:B403,0) +144))</f>
        <v>#N/A</v>
      </c>
      <c r="M487" t="e">
        <f ca="1">(INDIRECT("M" &amp; MATCH("Income Tax",B145:B403,0) +144))/(INDIRECT("M" &amp; MATCH("Pretax Income",B145:B403,0) +144))</f>
        <v>#N/A</v>
      </c>
      <c r="N487" t="e">
        <f ca="1">(INDIRECT("N" &amp; MATCH("Income Tax",B145:B403,0) +144))/(INDIRECT("N" &amp; MATCH("Pretax Income",B145:B403,0) +144))</f>
        <v>#N/A</v>
      </c>
      <c r="X487" t="str">
        <f>X486 &amp; " Year"</f>
        <v>Min Op WC / Sales Year</v>
      </c>
      <c r="Y487" t="e">
        <f ca="1">VALUE(X482)+MATCH(Y486,X483:AB483,0)-1</f>
        <v>#N/A</v>
      </c>
      <c r="AK487" t="str">
        <f>"Min " &amp; AK482</f>
        <v>Min Change in Op WC / Sales</v>
      </c>
      <c r="AL487" t="e">
        <f ca="1">MIN(AK484:AN484)</f>
        <v>#N/A</v>
      </c>
    </row>
    <row r="488" spans="4:40" x14ac:dyDescent="0.3">
      <c r="D488" t="str">
        <f>"Correlation with PPE"</f>
        <v>Correlation with PPE</v>
      </c>
      <c r="E488" t="e">
        <f ca="1">CORREL(D477:H477,X491:AB491)</f>
        <v>#N/A</v>
      </c>
      <c r="J488" t="str">
        <f>"Max " &amp; J485</f>
        <v>Max Cash Tax Rate</v>
      </c>
      <c r="K488" t="e">
        <f ca="1">MAX(J487:N487)</f>
        <v>#N/A</v>
      </c>
      <c r="Q488" t="str">
        <f>"Invested Capital / Sales"</f>
        <v>Invested Capital / Sales</v>
      </c>
      <c r="AK488" t="str">
        <f>AK487 &amp; " Year"</f>
        <v>Min Change in Op WC / Sales Year</v>
      </c>
      <c r="AL488" t="e">
        <f ca="1">IF(MATCH(AL487,AK484:AN484,0)=1,AK483,IF(MATCH(AL487,AK484:AN484,0)=2,AL483,IF(MATCH(AL487,AK484:AN484,0)=3,AM483,AN483)))</f>
        <v>#N/A</v>
      </c>
    </row>
    <row r="489" spans="4:40" x14ac:dyDescent="0.3">
      <c r="D489" t="str">
        <f>"Correlation with Intangibles"</f>
        <v>Correlation with Intangibles</v>
      </c>
      <c r="E489" t="e">
        <f ca="1">CORREL(D477:H477,X499:AB499)</f>
        <v>#N/A</v>
      </c>
      <c r="J489" t="str">
        <f>J488 &amp; " Year"</f>
        <v>Max Cash Tax Rate Year</v>
      </c>
      <c r="K489" t="e">
        <f ca="1">VALUE(J486)+MATCH(K488,J487:N487,0)-1</f>
        <v>#N/A</v>
      </c>
      <c r="Q489">
        <f>D476</f>
        <v>0</v>
      </c>
      <c r="R489">
        <f>E476</f>
        <v>0</v>
      </c>
      <c r="S489">
        <f>F476</f>
        <v>0</v>
      </c>
      <c r="T489">
        <f>G476</f>
        <v>0</v>
      </c>
      <c r="U489">
        <f>H476</f>
        <v>0</v>
      </c>
      <c r="X489" t="str">
        <f>"PPE / Sales"</f>
        <v>PPE / Sales</v>
      </c>
    </row>
    <row r="490" spans="4:40" x14ac:dyDescent="0.3">
      <c r="J490" t="str">
        <f>"Min " &amp; J485</f>
        <v>Min Cash Tax Rate</v>
      </c>
      <c r="K490" t="e">
        <f ca="1">MIN(J487:N487)</f>
        <v>#N/A</v>
      </c>
      <c r="Q490" t="e">
        <f ca="1">SUM(X483,X491,X499)</f>
        <v>#N/A</v>
      </c>
      <c r="R490" t="e">
        <f ca="1">SUM(Y483,Y491,Y499)</f>
        <v>#N/A</v>
      </c>
      <c r="S490" t="e">
        <f ca="1">SUM(Z483,Z491,Z499)</f>
        <v>#N/A</v>
      </c>
      <c r="T490" t="e">
        <f ca="1">SUM(AA483,AA491,AA499)</f>
        <v>#N/A</v>
      </c>
      <c r="U490" t="e">
        <f ca="1">SUM(AB483,AB491,AB499)</f>
        <v>#N/A</v>
      </c>
      <c r="X490">
        <f>D476</f>
        <v>0</v>
      </c>
      <c r="Y490">
        <f>E476</f>
        <v>0</v>
      </c>
      <c r="Z490">
        <f>F476</f>
        <v>0</v>
      </c>
      <c r="AA490">
        <f>G476</f>
        <v>0</v>
      </c>
      <c r="AB490">
        <f>H476</f>
        <v>0</v>
      </c>
      <c r="AE490" t="str">
        <f>"Change in Invested Capital / Sales"</f>
        <v>Change in Invested Capital / Sales</v>
      </c>
      <c r="AK490" t="str">
        <f>"Change in PPE / Sales"</f>
        <v>Change in PPE / Sales</v>
      </c>
    </row>
    <row r="491" spans="4:40" x14ac:dyDescent="0.3">
      <c r="J491" t="str">
        <f>J490 &amp; " Year"</f>
        <v>Min Cash Tax Rate Year</v>
      </c>
      <c r="K491" t="e">
        <f ca="1">VALUE(J486)+MATCH(K490,J487:N487,0)-1</f>
        <v>#N/A</v>
      </c>
      <c r="Q491" t="str">
        <f>"Max " &amp; Q488</f>
        <v>Max Invested Capital / Sales</v>
      </c>
      <c r="R491" t="e">
        <f ca="1">MAX(Q490:U490)</f>
        <v>#N/A</v>
      </c>
      <c r="S491" t="str">
        <f>"Op WC Effect on Max"</f>
        <v>Op WC Effect on Max</v>
      </c>
      <c r="T491" t="e">
        <f ca="1">IF(R492=Y485,"Max IC in same year as Max Op WC","Inconclusive Effect")</f>
        <v>#N/A</v>
      </c>
      <c r="U491" t="str">
        <f>"Correlation with Op WC"</f>
        <v>Correlation with Op WC</v>
      </c>
      <c r="V491" t="e">
        <f ca="1">CORREL(Q490:U490,X483:AB483)</f>
        <v>#N/A</v>
      </c>
      <c r="X491" t="e">
        <f ca="1">(INDIRECT("J" &amp; MATCH("Net Property, Plant &amp; Equipment",B145:B403,0) +144))/(INDIRECT("J" &amp; MATCH("Sales/Revenue",B145:B403,0) +144))</f>
        <v>#N/A</v>
      </c>
      <c r="Y491" t="e">
        <f ca="1">(INDIRECT("K" &amp; MATCH("Net Property, Plant &amp; Equipment",B145:B403,0) +144))/(INDIRECT("K" &amp; MATCH("Sales/Revenue",B145:B403,0) +144))</f>
        <v>#N/A</v>
      </c>
      <c r="Z491" t="e">
        <f ca="1">(INDIRECT("L" &amp; MATCH("Net Property, Plant &amp; Equipment",B145:B403,0) +144))/(INDIRECT("L" &amp; MATCH("Sales/Revenue",B145:B403,0) +144))</f>
        <v>#N/A</v>
      </c>
      <c r="AA491" t="e">
        <f ca="1">(INDIRECT("M" &amp; MATCH("Net Property, Plant &amp; Equipment",B145:B403,0) +144))/(INDIRECT("M" &amp; MATCH("Sales/Revenue",B145:B403,0) +144))</f>
        <v>#N/A</v>
      </c>
      <c r="AB491" t="e">
        <f ca="1">(INDIRECT("N" &amp; MATCH("Net Property, Plant &amp; Equipment",B145:B403,0) +144))/(INDIRECT("N" &amp; MATCH("Sales/Revenue",B145:B403,0) +144))</f>
        <v>#N/A</v>
      </c>
      <c r="AE491" t="str">
        <f>K476</f>
        <v>0-0</v>
      </c>
      <c r="AF491" t="str">
        <f>L476</f>
        <v>0-0</v>
      </c>
      <c r="AG491" t="str">
        <f>M476</f>
        <v>0-0</v>
      </c>
      <c r="AH491" t="str">
        <f>N476</f>
        <v>0-0</v>
      </c>
      <c r="AK491" t="str">
        <f>K476</f>
        <v>0-0</v>
      </c>
      <c r="AL491" t="str">
        <f>L476</f>
        <v>0-0</v>
      </c>
      <c r="AM491" t="str">
        <f>M476</f>
        <v>0-0</v>
      </c>
      <c r="AN491" t="str">
        <f>N476</f>
        <v>0-0</v>
      </c>
    </row>
    <row r="492" spans="4:40" x14ac:dyDescent="0.3">
      <c r="Q492" t="str">
        <f>Q491 &amp; " Year"</f>
        <v>Max Invested Capital / Sales Year</v>
      </c>
      <c r="R492" t="e">
        <f ca="1">VALUE(Q489)+MATCH(R491,Q490:U490,0)-1</f>
        <v>#N/A</v>
      </c>
      <c r="S492" t="str">
        <f>"PPE Effect on Max"</f>
        <v>PPE Effect on Max</v>
      </c>
      <c r="T492" t="e">
        <f ca="1">IF(R492=Y493,"Max IC in same year as Max PPE","Inconclusive Effect")</f>
        <v>#N/A</v>
      </c>
      <c r="U492" t="str">
        <f>"Correlation with PPE"</f>
        <v>Correlation with PPE</v>
      </c>
      <c r="V492" t="e">
        <f ca="1">CORREL(Q490:U490,X491:AB491)</f>
        <v>#N/A</v>
      </c>
      <c r="X492" t="str">
        <f>"Max " &amp; X489</f>
        <v>Max PPE / Sales</v>
      </c>
      <c r="Y492" t="e">
        <f ca="1">MAX(X491:AB491)</f>
        <v>#N/A</v>
      </c>
      <c r="AE492" t="e">
        <f ca="1">R490-Q490</f>
        <v>#N/A</v>
      </c>
      <c r="AF492" t="e">
        <f ca="1">S490-R490</f>
        <v>#N/A</v>
      </c>
      <c r="AG492" t="e">
        <f ca="1">T490-S490</f>
        <v>#N/A</v>
      </c>
      <c r="AH492" t="e">
        <f ca="1">U490-T490</f>
        <v>#N/A</v>
      </c>
      <c r="AK492" t="e">
        <f ca="1">Y491-X491</f>
        <v>#N/A</v>
      </c>
      <c r="AL492" t="e">
        <f ca="1">Z491-Y491</f>
        <v>#N/A</v>
      </c>
      <c r="AM492" t="e">
        <f ca="1">AA491-Z491</f>
        <v>#N/A</v>
      </c>
      <c r="AN492" t="e">
        <f ca="1">AB491-AA491</f>
        <v>#N/A</v>
      </c>
    </row>
    <row r="493" spans="4:40" x14ac:dyDescent="0.3">
      <c r="Q493" t="str">
        <f>"Min " &amp; Q488</f>
        <v>Min Invested Capital / Sales</v>
      </c>
      <c r="R493" t="e">
        <f ca="1">MIN(Q490:U490)</f>
        <v>#N/A</v>
      </c>
      <c r="S493" t="str">
        <f>"Intangibles Effect on Max"</f>
        <v>Intangibles Effect on Max</v>
      </c>
      <c r="T493" t="e">
        <f ca="1">IF(R492=Y501,"Max IC in same year as Max Intangibles","Inconclusive Effect")</f>
        <v>#N/A</v>
      </c>
      <c r="U493" t="str">
        <f>"Correlation with Intangibles"</f>
        <v>Correlation with Intangibles</v>
      </c>
      <c r="V493" t="e">
        <f ca="1">CORREL(Q490:U490,X499:AB499)</f>
        <v>#N/A</v>
      </c>
      <c r="X493" t="str">
        <f>X492 &amp; " Year"</f>
        <v>Max PPE / Sales Year</v>
      </c>
      <c r="Y493" t="e">
        <f ca="1">VALUE(X490)+MATCH(Y492,X491:AB491,0)-1</f>
        <v>#N/A</v>
      </c>
      <c r="AE493" t="str">
        <f>"Max " &amp; AE490</f>
        <v>Max Change in Invested Capital / Sales</v>
      </c>
      <c r="AF493" t="e">
        <f ca="1">MAX(AE492:AH492)</f>
        <v>#N/A</v>
      </c>
      <c r="AK493" t="str">
        <f>"Max " &amp; AK490</f>
        <v>Max Change in PPE / Sales</v>
      </c>
      <c r="AL493" t="e">
        <f ca="1">MAX(AK492:AN492)</f>
        <v>#N/A</v>
      </c>
    </row>
    <row r="494" spans="4:40" x14ac:dyDescent="0.3">
      <c r="Q494" t="str">
        <f>Q493 &amp; " Year"</f>
        <v>Min Invested Capital / Sales Year</v>
      </c>
      <c r="R494" t="e">
        <f ca="1">VALUE(Q489)+MATCH(R493,Q490:U490,0)-1</f>
        <v>#N/A</v>
      </c>
      <c r="S494" t="str">
        <f>"Op WC Effect on Min"</f>
        <v>Op WC Effect on Min</v>
      </c>
      <c r="T494" t="e">
        <f ca="1">IF(R494=Y487,"Min IC in same year as Min Op WC","Inconclusive Effect")</f>
        <v>#N/A</v>
      </c>
      <c r="X494" t="str">
        <f>"Min " &amp; X489</f>
        <v>Min PPE / Sales</v>
      </c>
      <c r="Y494" t="e">
        <f ca="1">MIN(X491:AB491)</f>
        <v>#N/A</v>
      </c>
      <c r="AE494" t="str">
        <f>AE493 &amp; " Year"</f>
        <v>Max Change in Invested Capital / Sales Year</v>
      </c>
      <c r="AF494" t="e">
        <f ca="1">IF(MATCH(AF493,AE492:AH492,0)=1,AE491,IF(MATCH(AF493,AE492:AH492,0)=2,AF491,IF(MATCH(AF493,AE492:AH492,0)=3,AG491,AH491)))</f>
        <v>#N/A</v>
      </c>
      <c r="AK494" t="str">
        <f>AK493 &amp; " Year"</f>
        <v>Max Change in PPE / Sales Year</v>
      </c>
      <c r="AL494" t="e">
        <f ca="1">IF(MATCH(AL493,AK492:AN492,0)=1,AK491,IF(MATCH(AL493,AK492:AN492,0)=2,AL491,IF(MATCH(AL493,AK492:AN492,0)=3,AM491,AN491)))</f>
        <v>#N/A</v>
      </c>
    </row>
    <row r="495" spans="4:40" x14ac:dyDescent="0.3">
      <c r="S495" t="str">
        <f>"PPE Effect on Min"</f>
        <v>PPE Effect on Min</v>
      </c>
      <c r="T495" t="e">
        <f ca="1">IF(R494=Y495,"Min IC in same year as Min PPE","Inconclusive Effect")</f>
        <v>#N/A</v>
      </c>
      <c r="X495" t="str">
        <f>X494 &amp; " Year"</f>
        <v>Min PPE / Sales Year</v>
      </c>
      <c r="Y495" t="e">
        <f ca="1">VALUE(X490)+MATCH(Y494,X491:AB491,0)-1</f>
        <v>#N/A</v>
      </c>
      <c r="AE495" t="str">
        <f>"Min " &amp; AE490</f>
        <v>Min Change in Invested Capital / Sales</v>
      </c>
      <c r="AF495" t="e">
        <f ca="1">MIN(AE492:AH492)</f>
        <v>#N/A</v>
      </c>
      <c r="AK495" t="str">
        <f>"Min " &amp; AK490</f>
        <v>Min Change in PPE / Sales</v>
      </c>
      <c r="AL495" t="e">
        <f ca="1">MIN(AK492:AN492)</f>
        <v>#N/A</v>
      </c>
    </row>
    <row r="496" spans="4:40" x14ac:dyDescent="0.3">
      <c r="S496" t="str">
        <f>"Intangibles Effect on Min"</f>
        <v>Intangibles Effect on Min</v>
      </c>
      <c r="T496" t="e">
        <f ca="1">IF(R494=Y503,"Min IC in same year as Min Intangibles","Inconclusive Effect")</f>
        <v>#N/A</v>
      </c>
      <c r="AE496" t="str">
        <f>AE495 &amp; " Year"</f>
        <v>Min Change in Invested Capital / Sales Year</v>
      </c>
      <c r="AF496" t="e">
        <f ca="1">IF(MATCH(AF495,AE492:AH492,0)=1,AE491,IF(MATCH(AF495,AE492:AH492,0)=2,AF491,IF(MATCH(AF495,AE492:AH492,0)=3,AG491,AH491)))</f>
        <v>#N/A</v>
      </c>
      <c r="AK496" t="str">
        <f>AK495 &amp; " Year"</f>
        <v>Min Change in PPE / Sales Year</v>
      </c>
      <c r="AL496" t="e">
        <f ca="1">IF(MATCH(AL495,AK492:AN492,0)=1,AK491,IF(MATCH(AL495,AK492:AN492,0)=2,AL491,IF(MATCH(AL495,AK492:AN492,0)=3,AM491,AN491)))</f>
        <v>#N/A</v>
      </c>
    </row>
    <row r="497" spans="3:40" x14ac:dyDescent="0.3">
      <c r="X497" t="str">
        <f>"Intangibles / Sales"</f>
        <v>Intangibles / Sales</v>
      </c>
    </row>
    <row r="498" spans="3:40" x14ac:dyDescent="0.3">
      <c r="X498">
        <f>D476</f>
        <v>0</v>
      </c>
      <c r="Y498">
        <f>E476</f>
        <v>0</v>
      </c>
      <c r="Z498">
        <f>F476</f>
        <v>0</v>
      </c>
      <c r="AA498">
        <f>G476</f>
        <v>0</v>
      </c>
      <c r="AB498">
        <f>H476</f>
        <v>0</v>
      </c>
      <c r="AK498" t="str">
        <f>"Change in Intagibles / Sales"</f>
        <v>Change in Intagibles / Sales</v>
      </c>
    </row>
    <row r="499" spans="3:40" x14ac:dyDescent="0.3">
      <c r="X499" t="e">
        <f ca="1">(INDIRECT("J" &amp; MATCH("Intangible Assets",B145:B403,0) +144))/(INDIRECT("J" &amp; MATCH("Sales/Revenue",B145:B403,0) +144))</f>
        <v>#N/A</v>
      </c>
      <c r="Y499" t="e">
        <f ca="1">(INDIRECT("K" &amp; MATCH("Intangible Assets",B145:B403,0) +144))/(INDIRECT("K" &amp; MATCH("Sales/Revenue",B145:B403,0) +144))</f>
        <v>#N/A</v>
      </c>
      <c r="Z499" t="e">
        <f ca="1">(INDIRECT("L" &amp; MATCH("Intangible Assets",B145:B403,0) +144))/(INDIRECT("L" &amp; MATCH("Sales/Revenue",B145:B403,0) +144))</f>
        <v>#N/A</v>
      </c>
      <c r="AA499" t="e">
        <f ca="1">(INDIRECT("M" &amp; MATCH("Intangible Assets",B145:B403,0) +144))/(INDIRECT("M" &amp; MATCH("Sales/Revenue",B145:B403,0) +144))</f>
        <v>#N/A</v>
      </c>
      <c r="AB499" t="e">
        <f ca="1">(INDIRECT("N" &amp; MATCH("Intangible Assets",B145:B403,0) +144))/(INDIRECT("N" &amp; MATCH("Sales/Revenue",B145:B403,0) +144))</f>
        <v>#N/A</v>
      </c>
      <c r="AK499" t="str">
        <f>K476</f>
        <v>0-0</v>
      </c>
      <c r="AL499" t="str">
        <f>L476</f>
        <v>0-0</v>
      </c>
      <c r="AM499" t="str">
        <f>M476</f>
        <v>0-0</v>
      </c>
      <c r="AN499" t="str">
        <f>N476</f>
        <v>0-0</v>
      </c>
    </row>
    <row r="500" spans="3:40" x14ac:dyDescent="0.3">
      <c r="X500" t="str">
        <f>"Max " &amp; X497</f>
        <v>Max Intangibles / Sales</v>
      </c>
      <c r="Y500" t="e">
        <f ca="1">MAX(X499:AB499)</f>
        <v>#N/A</v>
      </c>
      <c r="AK500" t="e">
        <f ca="1">Y499-X499</f>
        <v>#N/A</v>
      </c>
      <c r="AL500" t="e">
        <f ca="1">Z499-Y499</f>
        <v>#N/A</v>
      </c>
      <c r="AM500" t="e">
        <f ca="1">AA499-Z499</f>
        <v>#N/A</v>
      </c>
      <c r="AN500" t="e">
        <f ca="1">AB499-AA499</f>
        <v>#N/A</v>
      </c>
    </row>
    <row r="501" spans="3:40" x14ac:dyDescent="0.3">
      <c r="X501" t="str">
        <f>X500 &amp; " Year"</f>
        <v>Max Intangibles / Sales Year</v>
      </c>
      <c r="Y501" t="e">
        <f ca="1">VALUE(X498)+MATCH(Y500,X499:AB499,0)-1</f>
        <v>#N/A</v>
      </c>
      <c r="AK501" t="str">
        <f>"Max " &amp; AK498</f>
        <v>Max Change in Intagibles / Sales</v>
      </c>
      <c r="AL501" t="e">
        <f ca="1">MAX(AK500:AN500)</f>
        <v>#N/A</v>
      </c>
    </row>
    <row r="502" spans="3:40" x14ac:dyDescent="0.3">
      <c r="X502" t="str">
        <f>"Min " &amp; X497</f>
        <v>Min Intangibles / Sales</v>
      </c>
      <c r="Y502" t="e">
        <f ca="1">MIN(X499:AB499)</f>
        <v>#N/A</v>
      </c>
      <c r="AK502" t="str">
        <f>AK501 &amp; " Year"</f>
        <v>Max Change in Intagibles / Sales Year</v>
      </c>
      <c r="AL502" t="e">
        <f ca="1">IF(MATCH(AL501,AK500:AN500,0)=1,AK499,IF(MATCH(AL501,AK500:AN500,0)=2,AL499,IF(MATCH(AL501,AK500:AN500,0)=3,AM499,AN499)))</f>
        <v>#N/A</v>
      </c>
    </row>
    <row r="503" spans="3:40" x14ac:dyDescent="0.3">
      <c r="X503" t="str">
        <f>X502 &amp; " Year"</f>
        <v>Min Intangibles / Sales Year</v>
      </c>
      <c r="Y503" t="e">
        <f ca="1">VALUE(X498)+MATCH(Y502,X499:AB499,0)-1</f>
        <v>#N/A</v>
      </c>
      <c r="AK503" t="str">
        <f>"Min " &amp; AK498</f>
        <v>Min Change in Intagibles / Sales</v>
      </c>
      <c r="AL503" t="e">
        <f ca="1">MIN(AK500:AN500)</f>
        <v>#N/A</v>
      </c>
    </row>
    <row r="504" spans="3:40" x14ac:dyDescent="0.3">
      <c r="AK504" t="str">
        <f>AK503 &amp; " Year"</f>
        <v>Min Change in Intagibles / Sales Year</v>
      </c>
      <c r="AL504" t="e">
        <f ca="1">IF(MATCH(AL503,AK500:AN500,0)=1,AK499,IF(MATCH(AL503,AK500:AN500,0)=2,AL499,IF(MATCH(AL503,AK500:AN500,0)=3,AM499,AN499)))</f>
        <v>#N/A</v>
      </c>
    </row>
    <row r="507" spans="3:40" x14ac:dyDescent="0.3">
      <c r="D507">
        <f t="shared" ref="D507:H508" si="155">D476</f>
        <v>0</v>
      </c>
      <c r="E507">
        <f t="shared" si="155"/>
        <v>0</v>
      </c>
      <c r="F507">
        <f t="shared" si="155"/>
        <v>0</v>
      </c>
      <c r="G507">
        <f t="shared" si="155"/>
        <v>0</v>
      </c>
      <c r="H507">
        <f t="shared" si="155"/>
        <v>0</v>
      </c>
      <c r="I507" t="str">
        <f>"Average"</f>
        <v>Average</v>
      </c>
      <c r="J507" t="str">
        <f>"SD"</f>
        <v>SD</v>
      </c>
      <c r="K507">
        <f>D507</f>
        <v>0</v>
      </c>
      <c r="L507">
        <f>E507</f>
        <v>0</v>
      </c>
      <c r="M507">
        <f>F507</f>
        <v>0</v>
      </c>
      <c r="N507">
        <f>G507</f>
        <v>0</v>
      </c>
      <c r="O507">
        <f>H507</f>
        <v>0</v>
      </c>
      <c r="P507" t="str">
        <f>"Max z Year"</f>
        <v>Max z Year</v>
      </c>
    </row>
    <row r="508" spans="3:40" x14ac:dyDescent="0.3">
      <c r="C508" t="str">
        <f>D475</f>
        <v>EOY ROIC</v>
      </c>
      <c r="D508" t="e">
        <f t="shared" ca="1" si="155"/>
        <v>#N/A</v>
      </c>
      <c r="E508" t="e">
        <f t="shared" ca="1" si="155"/>
        <v>#N/A</v>
      </c>
      <c r="F508" t="e">
        <f t="shared" ca="1" si="155"/>
        <v>#N/A</v>
      </c>
      <c r="G508" t="e">
        <f t="shared" ca="1" si="155"/>
        <v>#N/A</v>
      </c>
      <c r="H508" t="e">
        <f t="shared" ca="1" si="155"/>
        <v>#N/A</v>
      </c>
      <c r="I508" t="e">
        <f t="shared" ref="I508:I518" ca="1" si="156">AVERAGE(D508:H508)</f>
        <v>#N/A</v>
      </c>
      <c r="J508" t="e">
        <f t="shared" ref="J508:J518" ca="1" si="157">STDEV(D508:H508)</f>
        <v>#N/A</v>
      </c>
      <c r="K508" t="e">
        <f t="shared" ref="K508:K518" ca="1" si="158">(D508-I508)/J508</f>
        <v>#N/A</v>
      </c>
      <c r="L508" t="e">
        <f t="shared" ref="L508:L518" ca="1" si="159">(E508-I508)/J508</f>
        <v>#N/A</v>
      </c>
      <c r="M508" t="e">
        <f t="shared" ref="M508:M518" ca="1" si="160">(F508-I508)/J508</f>
        <v>#N/A</v>
      </c>
      <c r="N508" t="e">
        <f t="shared" ref="N508:N518" ca="1" si="161">(G508-I508)/J508</f>
        <v>#N/A</v>
      </c>
      <c r="O508" t="e">
        <f t="shared" ref="O508:O518" ca="1" si="162">(H508-I508)/J508</f>
        <v>#N/A</v>
      </c>
      <c r="P508" t="e">
        <f ca="1">K507 + MATCH(IF(MAX(MAX(K508:O508),ABS(MIN(K508:O508)))=ABS(MIN(K508:O508)), MIN(K508:O508),MAX(K508:O508)),K508:O508,0) - 1</f>
        <v>#N/A</v>
      </c>
    </row>
    <row r="509" spans="3:40" x14ac:dyDescent="0.3">
      <c r="C509" t="str">
        <f>J465</f>
        <v>EOY Pretax ROIC</v>
      </c>
      <c r="D509" t="e">
        <f ca="1">J467</f>
        <v>#N/A</v>
      </c>
      <c r="E509" t="e">
        <f ca="1">K467</f>
        <v>#N/A</v>
      </c>
      <c r="F509" t="e">
        <f ca="1">L467</f>
        <v>#N/A</v>
      </c>
      <c r="G509" t="e">
        <f ca="1">M467</f>
        <v>#N/A</v>
      </c>
      <c r="H509" t="e">
        <f ca="1">N467</f>
        <v>#N/A</v>
      </c>
      <c r="I509" t="e">
        <f t="shared" ca="1" si="156"/>
        <v>#N/A</v>
      </c>
      <c r="J509" t="e">
        <f t="shared" ca="1" si="157"/>
        <v>#N/A</v>
      </c>
      <c r="K509" t="e">
        <f t="shared" ca="1" si="158"/>
        <v>#N/A</v>
      </c>
      <c r="L509" t="e">
        <f t="shared" ca="1" si="159"/>
        <v>#N/A</v>
      </c>
      <c r="M509" t="e">
        <f t="shared" ca="1" si="160"/>
        <v>#N/A</v>
      </c>
      <c r="N509" t="e">
        <f t="shared" ca="1" si="161"/>
        <v>#N/A</v>
      </c>
      <c r="O509" t="e">
        <f t="shared" ca="1" si="162"/>
        <v>#N/A</v>
      </c>
      <c r="P509" t="e">
        <f ca="1">K507 + MATCH(IF(MAX(MAX(K509:O509),ABS(MIN(K509:O509)))=ABS(MIN(K509:O509)), MIN(K509:O509),MAX(K509:O509)),K509:O509,0) - 1</f>
        <v>#N/A</v>
      </c>
    </row>
    <row r="510" spans="3:40" x14ac:dyDescent="0.3">
      <c r="C510" t="str">
        <f>J485</f>
        <v>Cash Tax Rate</v>
      </c>
      <c r="D510" t="e">
        <f ca="1">J487</f>
        <v>#N/A</v>
      </c>
      <c r="E510" t="e">
        <f ca="1">K487</f>
        <v>#N/A</v>
      </c>
      <c r="F510" t="e">
        <f ca="1">L487</f>
        <v>#N/A</v>
      </c>
      <c r="G510" t="e">
        <f ca="1">M487</f>
        <v>#N/A</v>
      </c>
      <c r="H510" t="e">
        <f ca="1">N487</f>
        <v>#N/A</v>
      </c>
      <c r="I510" t="e">
        <f t="shared" ca="1" si="156"/>
        <v>#N/A</v>
      </c>
      <c r="J510" t="e">
        <f t="shared" ca="1" si="157"/>
        <v>#N/A</v>
      </c>
      <c r="K510" t="e">
        <f t="shared" ca="1" si="158"/>
        <v>#N/A</v>
      </c>
      <c r="L510" t="e">
        <f t="shared" ca="1" si="159"/>
        <v>#N/A</v>
      </c>
      <c r="M510" t="e">
        <f t="shared" ca="1" si="160"/>
        <v>#N/A</v>
      </c>
      <c r="N510" t="e">
        <f t="shared" ca="1" si="161"/>
        <v>#N/A</v>
      </c>
      <c r="O510" t="e">
        <f t="shared" ca="1" si="162"/>
        <v>#N/A</v>
      </c>
      <c r="P510" t="e">
        <f ca="1">K507 + MATCH(IF(MAX(MAX(K510:O510),ABS(MIN(K510:O510)))=ABS(MIN(K510:O510)), MIN(K510:O510),MAX(K510:O510)),K510:O510,0) - 1</f>
        <v>#N/A</v>
      </c>
    </row>
    <row r="511" spans="3:40" x14ac:dyDescent="0.3">
      <c r="C511" t="str">
        <f>Q460</f>
        <v>Operating Margin</v>
      </c>
      <c r="D511" t="e">
        <f ca="1">Q462</f>
        <v>#N/A</v>
      </c>
      <c r="E511" t="e">
        <f ca="1">R462</f>
        <v>#N/A</v>
      </c>
      <c r="F511" t="e">
        <f ca="1">S462</f>
        <v>#N/A</v>
      </c>
      <c r="G511" t="e">
        <f ca="1">T462</f>
        <v>#N/A</v>
      </c>
      <c r="H511" t="e">
        <f ca="1">U462</f>
        <v>#N/A</v>
      </c>
      <c r="I511" t="e">
        <f t="shared" ca="1" si="156"/>
        <v>#N/A</v>
      </c>
      <c r="J511" t="e">
        <f t="shared" ca="1" si="157"/>
        <v>#N/A</v>
      </c>
      <c r="K511" t="e">
        <f t="shared" ca="1" si="158"/>
        <v>#N/A</v>
      </c>
      <c r="L511" t="e">
        <f t="shared" ca="1" si="159"/>
        <v>#N/A</v>
      </c>
      <c r="M511" t="e">
        <f t="shared" ca="1" si="160"/>
        <v>#N/A</v>
      </c>
      <c r="N511" t="e">
        <f t="shared" ca="1" si="161"/>
        <v>#N/A</v>
      </c>
      <c r="O511" t="e">
        <f t="shared" ca="1" si="162"/>
        <v>#N/A</v>
      </c>
      <c r="P511" t="e">
        <f ca="1">K507 + MATCH(IF(MAX(MAX(K511:O511),ABS(MIN(K511:O511)))=ABS(MIN(K511:O511)), MIN(K511:O511),MAX(K511:O511)),K511:O511,0) - 1</f>
        <v>#N/A</v>
      </c>
    </row>
    <row r="512" spans="3:40" x14ac:dyDescent="0.3">
      <c r="C512" t="str">
        <f>Q488</f>
        <v>Invested Capital / Sales</v>
      </c>
      <c r="D512" t="e">
        <f ca="1">Q490</f>
        <v>#N/A</v>
      </c>
      <c r="E512" t="e">
        <f ca="1">R490</f>
        <v>#N/A</v>
      </c>
      <c r="F512" t="e">
        <f ca="1">S490</f>
        <v>#N/A</v>
      </c>
      <c r="G512" t="e">
        <f ca="1">T490</f>
        <v>#N/A</v>
      </c>
      <c r="H512" t="e">
        <f ca="1">U490</f>
        <v>#N/A</v>
      </c>
      <c r="I512" t="e">
        <f t="shared" ca="1" si="156"/>
        <v>#N/A</v>
      </c>
      <c r="J512" t="e">
        <f t="shared" ca="1" si="157"/>
        <v>#N/A</v>
      </c>
      <c r="K512" t="e">
        <f t="shared" ca="1" si="158"/>
        <v>#N/A</v>
      </c>
      <c r="L512" t="e">
        <f t="shared" ca="1" si="159"/>
        <v>#N/A</v>
      </c>
      <c r="M512" t="e">
        <f t="shared" ca="1" si="160"/>
        <v>#N/A</v>
      </c>
      <c r="N512" t="e">
        <f t="shared" ca="1" si="161"/>
        <v>#N/A</v>
      </c>
      <c r="O512" t="e">
        <f t="shared" ca="1" si="162"/>
        <v>#N/A</v>
      </c>
      <c r="P512" t="e">
        <f ca="1">K507 + MATCH(IF(MAX(MAX(K512:O512),ABS(MIN(K512:O512)))=ABS(MIN(K512:O512)), MIN(K512:O512),MAX(K512:O512)),K512:O512,0) - 1</f>
        <v>#N/A</v>
      </c>
    </row>
    <row r="513" spans="3:16" x14ac:dyDescent="0.3">
      <c r="C513" t="str">
        <f>X453</f>
        <v>Gross Margin</v>
      </c>
      <c r="D513" t="e">
        <f ca="1">X455</f>
        <v>#N/A</v>
      </c>
      <c r="E513" t="e">
        <f ca="1">Y455</f>
        <v>#N/A</v>
      </c>
      <c r="F513" t="e">
        <f ca="1">Z455</f>
        <v>#N/A</v>
      </c>
      <c r="G513" t="e">
        <f ca="1">AA455</f>
        <v>#N/A</v>
      </c>
      <c r="H513" t="e">
        <f ca="1">AB455</f>
        <v>#N/A</v>
      </c>
      <c r="I513" t="e">
        <f t="shared" ca="1" si="156"/>
        <v>#N/A</v>
      </c>
      <c r="J513" t="e">
        <f t="shared" ca="1" si="157"/>
        <v>#N/A</v>
      </c>
      <c r="K513" t="e">
        <f t="shared" ca="1" si="158"/>
        <v>#N/A</v>
      </c>
      <c r="L513" t="e">
        <f t="shared" ca="1" si="159"/>
        <v>#N/A</v>
      </c>
      <c r="M513" t="e">
        <f t="shared" ca="1" si="160"/>
        <v>#N/A</v>
      </c>
      <c r="N513" t="e">
        <f t="shared" ca="1" si="161"/>
        <v>#N/A</v>
      </c>
      <c r="O513" t="e">
        <f t="shared" ca="1" si="162"/>
        <v>#N/A</v>
      </c>
      <c r="P513" t="e">
        <f ca="1">K507 + MATCH(IF(MAX(MAX(K513:O513),ABS(MIN(K513:O513)))=ABS(MIN(K513:O513)), MIN(K513:O513),MAX(K513:O513)),K513:O513,0) - 1</f>
        <v>#N/A</v>
      </c>
    </row>
    <row r="514" spans="3:16" x14ac:dyDescent="0.3">
      <c r="C514" t="str">
        <f>X461</f>
        <v>SGA / Sales</v>
      </c>
      <c r="D514" t="e">
        <f ca="1">X463</f>
        <v>#N/A</v>
      </c>
      <c r="E514" t="e">
        <f ca="1">Y463</f>
        <v>#N/A</v>
      </c>
      <c r="F514" t="e">
        <f ca="1">Z463</f>
        <v>#N/A</v>
      </c>
      <c r="G514" t="e">
        <f ca="1">AA463</f>
        <v>#N/A</v>
      </c>
      <c r="H514" t="e">
        <f ca="1">AB463</f>
        <v>#N/A</v>
      </c>
      <c r="I514" t="e">
        <f t="shared" ca="1" si="156"/>
        <v>#N/A</v>
      </c>
      <c r="J514" t="e">
        <f t="shared" ca="1" si="157"/>
        <v>#N/A</v>
      </c>
      <c r="K514" t="e">
        <f t="shared" ca="1" si="158"/>
        <v>#N/A</v>
      </c>
      <c r="L514" t="e">
        <f t="shared" ca="1" si="159"/>
        <v>#N/A</v>
      </c>
      <c r="M514" t="e">
        <f t="shared" ca="1" si="160"/>
        <v>#N/A</v>
      </c>
      <c r="N514" t="e">
        <f t="shared" ca="1" si="161"/>
        <v>#N/A</v>
      </c>
      <c r="O514" t="e">
        <f t="shared" ca="1" si="162"/>
        <v>#N/A</v>
      </c>
      <c r="P514" t="e">
        <f ca="1">K507 + MATCH(IF(MAX(MAX(K514:O514),ABS(MIN(K514:O514)))=ABS(MIN(K514:O514)), MIN(K514:O514),MAX(K514:O514)),K514:O514,0) - 1</f>
        <v>#N/A</v>
      </c>
    </row>
    <row r="515" spans="3:16" x14ac:dyDescent="0.3">
      <c r="C515" t="str">
        <f>X469</f>
        <v>Depreciation / Sales</v>
      </c>
      <c r="D515" t="e">
        <f ca="1">X471</f>
        <v>#N/A</v>
      </c>
      <c r="E515" t="e">
        <f ca="1">Y471</f>
        <v>#N/A</v>
      </c>
      <c r="F515" t="e">
        <f ca="1">Z471</f>
        <v>#N/A</v>
      </c>
      <c r="G515" t="e">
        <f ca="1">AA471</f>
        <v>#N/A</v>
      </c>
      <c r="H515" t="e">
        <f ca="1">AB471</f>
        <v>#N/A</v>
      </c>
      <c r="I515" t="e">
        <f t="shared" ca="1" si="156"/>
        <v>#N/A</v>
      </c>
      <c r="J515" t="e">
        <f t="shared" ca="1" si="157"/>
        <v>#N/A</v>
      </c>
      <c r="K515" t="e">
        <f t="shared" ca="1" si="158"/>
        <v>#N/A</v>
      </c>
      <c r="L515" t="e">
        <f t="shared" ca="1" si="159"/>
        <v>#N/A</v>
      </c>
      <c r="M515" t="e">
        <f t="shared" ca="1" si="160"/>
        <v>#N/A</v>
      </c>
      <c r="N515" t="e">
        <f t="shared" ca="1" si="161"/>
        <v>#N/A</v>
      </c>
      <c r="O515" t="e">
        <f t="shared" ca="1" si="162"/>
        <v>#N/A</v>
      </c>
      <c r="P515" t="e">
        <f ca="1">K507 + MATCH(IF(MAX(MAX(K515:O515),ABS(MIN(K515:O515)))=ABS(MIN(K515:O515)), MIN(K515:O515),MAX(K515:O515)),K515:O515,0) - 1</f>
        <v>#N/A</v>
      </c>
    </row>
    <row r="516" spans="3:16" x14ac:dyDescent="0.3">
      <c r="C516" t="str">
        <f>X481</f>
        <v>Op WC / Sales</v>
      </c>
      <c r="D516" t="e">
        <f ca="1">X483</f>
        <v>#N/A</v>
      </c>
      <c r="E516" t="e">
        <f ca="1">Y483</f>
        <v>#N/A</v>
      </c>
      <c r="F516" t="e">
        <f ca="1">Z483</f>
        <v>#N/A</v>
      </c>
      <c r="G516" t="e">
        <f ca="1">AA483</f>
        <v>#N/A</v>
      </c>
      <c r="H516" t="e">
        <f ca="1">AB483</f>
        <v>#N/A</v>
      </c>
      <c r="I516" t="e">
        <f t="shared" ca="1" si="156"/>
        <v>#N/A</v>
      </c>
      <c r="J516" t="e">
        <f t="shared" ca="1" si="157"/>
        <v>#N/A</v>
      </c>
      <c r="K516" t="e">
        <f t="shared" ca="1" si="158"/>
        <v>#N/A</v>
      </c>
      <c r="L516" t="e">
        <f t="shared" ca="1" si="159"/>
        <v>#N/A</v>
      </c>
      <c r="M516" t="e">
        <f t="shared" ca="1" si="160"/>
        <v>#N/A</v>
      </c>
      <c r="N516" t="e">
        <f t="shared" ca="1" si="161"/>
        <v>#N/A</v>
      </c>
      <c r="O516" t="e">
        <f t="shared" ca="1" si="162"/>
        <v>#N/A</v>
      </c>
      <c r="P516" t="e">
        <f ca="1">K507 + MATCH(IF(MAX(MAX(K516:O516),ABS(MIN(K516:O516)))=ABS(MIN(K516:O516)), MIN(K516:O516),MAX(K516:O516)),K516:O516,0) - 1</f>
        <v>#N/A</v>
      </c>
    </row>
    <row r="517" spans="3:16" x14ac:dyDescent="0.3">
      <c r="C517" t="str">
        <f>X489</f>
        <v>PPE / Sales</v>
      </c>
      <c r="D517" t="e">
        <f ca="1">X491</f>
        <v>#N/A</v>
      </c>
      <c r="E517" t="e">
        <f ca="1">Y491</f>
        <v>#N/A</v>
      </c>
      <c r="F517" t="e">
        <f ca="1">Z491</f>
        <v>#N/A</v>
      </c>
      <c r="G517" t="e">
        <f ca="1">AA491</f>
        <v>#N/A</v>
      </c>
      <c r="H517" t="e">
        <f ca="1">AB491</f>
        <v>#N/A</v>
      </c>
      <c r="I517" t="e">
        <f t="shared" ca="1" si="156"/>
        <v>#N/A</v>
      </c>
      <c r="J517" t="e">
        <f t="shared" ca="1" si="157"/>
        <v>#N/A</v>
      </c>
      <c r="K517" t="e">
        <f t="shared" ca="1" si="158"/>
        <v>#N/A</v>
      </c>
      <c r="L517" t="e">
        <f t="shared" ca="1" si="159"/>
        <v>#N/A</v>
      </c>
      <c r="M517" t="e">
        <f t="shared" ca="1" si="160"/>
        <v>#N/A</v>
      </c>
      <c r="N517" t="e">
        <f t="shared" ca="1" si="161"/>
        <v>#N/A</v>
      </c>
      <c r="O517" t="e">
        <f t="shared" ca="1" si="162"/>
        <v>#N/A</v>
      </c>
      <c r="P517" t="e">
        <f ca="1">K507 + MATCH(IF(MAX(MAX(K517:O517),ABS(MIN(K517:O517)))=ABS(MIN(K517:O517)), MIN(K517:O517),MAX(K517:O517)),K517:O517,0) - 1</f>
        <v>#N/A</v>
      </c>
    </row>
    <row r="518" spans="3:16" x14ac:dyDescent="0.3">
      <c r="C518" t="str">
        <f>X497</f>
        <v>Intangibles / Sales</v>
      </c>
      <c r="D518" t="e">
        <f ca="1">X499</f>
        <v>#N/A</v>
      </c>
      <c r="E518" t="e">
        <f ca="1">Y499</f>
        <v>#N/A</v>
      </c>
      <c r="F518" t="e">
        <f ca="1">Z499</f>
        <v>#N/A</v>
      </c>
      <c r="G518" t="e">
        <f ca="1">AA499</f>
        <v>#N/A</v>
      </c>
      <c r="H518" t="e">
        <f ca="1">AB499</f>
        <v>#N/A</v>
      </c>
      <c r="I518" t="e">
        <f t="shared" ca="1" si="156"/>
        <v>#N/A</v>
      </c>
      <c r="J518" t="e">
        <f t="shared" ca="1" si="157"/>
        <v>#N/A</v>
      </c>
      <c r="K518" t="e">
        <f t="shared" ca="1" si="158"/>
        <v>#N/A</v>
      </c>
      <c r="L518" t="e">
        <f t="shared" ca="1" si="159"/>
        <v>#N/A</v>
      </c>
      <c r="M518" t="e">
        <f t="shared" ca="1" si="160"/>
        <v>#N/A</v>
      </c>
      <c r="N518" t="e">
        <f t="shared" ca="1" si="161"/>
        <v>#N/A</v>
      </c>
      <c r="O518" t="e">
        <f t="shared" ca="1" si="162"/>
        <v>#N/A</v>
      </c>
      <c r="P518" t="e">
        <f ca="1">K507 + MATCH(IF(MAX(MAX(K518:O518),ABS(MIN(K518:O518)))=ABS(MIN(K518:O518)), MIN(K518:O518),MAX(K518:O518)),K518:O518,0) - 1</f>
        <v>#N/A</v>
      </c>
    </row>
    <row r="519" spans="3:16" x14ac:dyDescent="0.3">
      <c r="I519" t="str">
        <f>"Max SD"</f>
        <v>Max SD</v>
      </c>
      <c r="J519" t="e">
        <f ca="1">MAX(J508:J518)</f>
        <v>#N/A</v>
      </c>
    </row>
    <row r="520" spans="3:16" x14ac:dyDescent="0.3">
      <c r="I520" t="str">
        <f>"Max SD Item"</f>
        <v>Max SD Item</v>
      </c>
      <c r="J520" t="e">
        <f ca="1">INDIRECT("C" &amp; 507 + MATCH(J519,J508:J518,0))</f>
        <v>#N/A</v>
      </c>
    </row>
    <row r="521" spans="3:16" x14ac:dyDescent="0.3">
      <c r="I521" t="str">
        <f>"Min SD"</f>
        <v>Min SD</v>
      </c>
      <c r="J521" t="e">
        <f ca="1">MIN(J508:J518)</f>
        <v>#N/A</v>
      </c>
    </row>
    <row r="522" spans="3:16" x14ac:dyDescent="0.3">
      <c r="I522" t="str">
        <f>"Min SD Item"</f>
        <v>Min SD Item</v>
      </c>
      <c r="J522" t="e">
        <f ca="1">INDIRECT("C" &amp; 507 + MATCH(J521,J508:J518,0))</f>
        <v>#N/A</v>
      </c>
    </row>
    <row r="523" spans="3:16" x14ac:dyDescent="0.3">
      <c r="C523" t="str">
        <f>"Correlation Analysis"</f>
        <v>Correlation Analysis</v>
      </c>
    </row>
    <row r="524" spans="3:16" x14ac:dyDescent="0.3">
      <c r="D524" t="str">
        <f>C528</f>
        <v>Operating Margin</v>
      </c>
      <c r="E524" t="str">
        <f>C529</f>
        <v>Invested Capital / Sales</v>
      </c>
      <c r="F524" t="str">
        <f>X453</f>
        <v>Gross Margin</v>
      </c>
      <c r="G524" t="str">
        <f>X461</f>
        <v>SGA / Sales</v>
      </c>
      <c r="H524" t="str">
        <f>X469</f>
        <v>Depreciation / Sales</v>
      </c>
      <c r="I524" t="str">
        <f>X481</f>
        <v>Op WC / Sales</v>
      </c>
      <c r="J524" t="str">
        <f>X489</f>
        <v>PPE / Sales</v>
      </c>
      <c r="K524" t="str">
        <f>X497</f>
        <v>Intangibles / Sales</v>
      </c>
      <c r="L524" t="str">
        <f>"Key Driver on correlation basis"</f>
        <v>Key Driver on correlation basis</v>
      </c>
    </row>
    <row r="525" spans="3:16" x14ac:dyDescent="0.3">
      <c r="C525" t="str">
        <f>C508</f>
        <v>EOY ROIC</v>
      </c>
      <c r="D525" t="e">
        <f ca="1">E482</f>
        <v>#N/A</v>
      </c>
      <c r="E525" t="e">
        <f ca="1">E483</f>
        <v>#N/A</v>
      </c>
      <c r="F525" t="e">
        <f ca="1">E484</f>
        <v>#N/A</v>
      </c>
      <c r="G525" t="e">
        <f ca="1">E485</f>
        <v>#N/A</v>
      </c>
      <c r="H525" t="e">
        <f ca="1">E486</f>
        <v>#N/A</v>
      </c>
      <c r="I525" t="e">
        <f ca="1">E487</f>
        <v>#N/A</v>
      </c>
      <c r="J525" t="e">
        <f ca="1">E488</f>
        <v>#N/A</v>
      </c>
      <c r="K525" t="e">
        <f ca="1">E489</f>
        <v>#N/A</v>
      </c>
    </row>
    <row r="526" spans="3:16" x14ac:dyDescent="0.3">
      <c r="C526" t="str">
        <f>C509</f>
        <v>EOY Pretax ROIC</v>
      </c>
      <c r="D526" t="e">
        <f ca="1">O468</f>
        <v>#N/A</v>
      </c>
      <c r="E526" t="e">
        <f ca="1">O469</f>
        <v>#N/A</v>
      </c>
    </row>
    <row r="527" spans="3:16" x14ac:dyDescent="0.3">
      <c r="C527" t="str">
        <f>C510</f>
        <v>Cash Tax Rate</v>
      </c>
    </row>
    <row r="528" spans="3:16" x14ac:dyDescent="0.3">
      <c r="C528" t="str">
        <f>C511</f>
        <v>Operating Margin</v>
      </c>
      <c r="F528" t="e">
        <f ca="1">V463</f>
        <v>#N/A</v>
      </c>
      <c r="G528" t="e">
        <f ca="1">V464</f>
        <v>#N/A</v>
      </c>
      <c r="H528" t="e">
        <f ca="1">V465</f>
        <v>#N/A</v>
      </c>
      <c r="L528" t="e">
        <f ca="1">INDIRECT(ADDRESS(524,5+MATCH(IF(ABS(MAX(F528:H528))&gt;ABS(MIN(F528:H528)),MAX(F528:H528),MIN(F528:H528)),F528:H528,0)))</f>
        <v>#N/A</v>
      </c>
    </row>
    <row r="529" spans="3:12" x14ac:dyDescent="0.3">
      <c r="C529" t="str">
        <f>C512</f>
        <v>Invested Capital / Sales</v>
      </c>
      <c r="I529" t="e">
        <f ca="1">V491</f>
        <v>#N/A</v>
      </c>
      <c r="J529" t="e">
        <f ca="1">V492</f>
        <v>#N/A</v>
      </c>
      <c r="K529" t="e">
        <f ca="1">V493</f>
        <v>#N/A</v>
      </c>
      <c r="L529" t="e">
        <f ca="1">INDIRECT(ADDRESS(524,8+MATCH(IF(ABS(MAX(I529:K529))&gt;ABS(MIN(I529:K529)),MAX(I529:K529),MIN(I529:K529)),I529:K529,0)))</f>
        <v>#N/A</v>
      </c>
    </row>
    <row r="532" spans="3:12" x14ac:dyDescent="0.3">
      <c r="C532" t="str">
        <f>"Causation Analysis"</f>
        <v>Causation Analysis</v>
      </c>
    </row>
    <row r="533" spans="3:12" x14ac:dyDescent="0.3">
      <c r="D533" t="str">
        <f>C527</f>
        <v>Cash Tax Rate</v>
      </c>
      <c r="E533" t="str">
        <f>C536</f>
        <v>Operating Margin</v>
      </c>
      <c r="F533" t="str">
        <f>C537</f>
        <v>Invested Capital / Sales</v>
      </c>
      <c r="G533" t="str">
        <f t="shared" ref="G533:L533" si="163">F524</f>
        <v>Gross Margin</v>
      </c>
      <c r="H533" t="str">
        <f t="shared" si="163"/>
        <v>SGA / Sales</v>
      </c>
      <c r="I533" t="str">
        <f t="shared" si="163"/>
        <v>Depreciation / Sales</v>
      </c>
      <c r="J533" t="str">
        <f t="shared" si="163"/>
        <v>Op WC / Sales</v>
      </c>
      <c r="K533" t="str">
        <f t="shared" si="163"/>
        <v>PPE / Sales</v>
      </c>
      <c r="L533" t="str">
        <f t="shared" si="163"/>
        <v>Intangibles / Sales</v>
      </c>
    </row>
    <row r="534" spans="3:12" x14ac:dyDescent="0.3">
      <c r="C534" t="str">
        <f>C508</f>
        <v>EOY ROIC</v>
      </c>
      <c r="D534" t="e">
        <f ca="1">IF(AND(G478&lt;&gt;"Inconclusive Effect",G480&lt;&gt;"Inconclusive Effect"),G478 &amp; CHAR(10) &amp; ". " &amp;G480,IF(G478&lt;&gt;"Inconclusive Effect",G478,IF(G480&lt;&gt;"Inconclusive Effect",G480,"Inconclusive Effect")))</f>
        <v>#N/A</v>
      </c>
    </row>
    <row r="535" spans="3:12" x14ac:dyDescent="0.3">
      <c r="C535" t="str">
        <f>C509</f>
        <v>EOY Pretax ROIC</v>
      </c>
      <c r="E535" t="e">
        <f ca="1">IF(AND(M468&lt;&gt;"Inconclusive Effect",M470&lt;&gt;"Inconclusive Effect"),M468 &amp; CHAR(10) &amp; ". " &amp;M470,IF(M468&lt;&gt;"Inconclusive Effect",M468,IF(M470&lt;&gt;"Inconclusive Effect",M470,"Inconclusive Effect")))</f>
        <v>#N/A</v>
      </c>
      <c r="F535" t="e">
        <f ca="1">IF(AND(M469&lt;&gt;"Inconclusive Effect",M471&lt;&gt;"Inconclusive Effect"),M469 &amp; CHAR(10) &amp; ". " &amp;M471,IF(M469&lt;&gt;"Inconclusive Effect",M469,IF(M471&lt;&gt;"Inconclusive Effect",M471,"Inconclusive Effect")))</f>
        <v>#N/A</v>
      </c>
    </row>
    <row r="536" spans="3:12" x14ac:dyDescent="0.3">
      <c r="C536" t="str">
        <f>C511</f>
        <v>Operating Margin</v>
      </c>
      <c r="G536" t="e">
        <f ca="1">IF(AND(T463&lt;&gt;"Inconclusive Effect",T466&lt;&gt;"Inconclusive Effect"),T463 &amp; CHAR(10) &amp; ". " &amp;T466,IF(T463&lt;&gt;"Inconclusive Effect",T463,IF(T466&lt;&gt;"Inconclusive Effect",T466,"Inconclusive Effect")))</f>
        <v>#N/A</v>
      </c>
      <c r="H536" t="e">
        <f ca="1">IF(AND(T464&lt;&gt;"Inconclusive Effect",T467&lt;&gt;"Inconclusive Effect"),T464 &amp; CHAR(10) &amp; ". " &amp;T467,IF(T464&lt;&gt;"Inconclusive Effect",T464,IF(T467&lt;&gt;"Inconclusive Effect",T467,"Inconclusive Effect")))</f>
        <v>#N/A</v>
      </c>
      <c r="I536" t="e">
        <f ca="1">IF(AND(T465&lt;&gt;"Inconclusive Effect",T468&lt;&gt;"Inconclusive Effect"),T465 &amp; CHAR(10) &amp; ". " &amp;T468,IF(T465&lt;&gt;"Inconclusive Effect",T465,IF(T468&lt;&gt;"Inconclusive Effect",T468,"Inconclusive Effect")))</f>
        <v>#N/A</v>
      </c>
    </row>
    <row r="537" spans="3:12" x14ac:dyDescent="0.3">
      <c r="C537" t="str">
        <f>C512</f>
        <v>Invested Capital / Sales</v>
      </c>
      <c r="J537" t="e">
        <f ca="1">IF(AND(T491&lt;&gt;"Inconclusive Effect",T494&lt;&gt;"Inconclusive Effect"),T491 &amp; CHAR(10) &amp; ". " &amp;T494,IF(T491&lt;&gt;"Inconclusive Effect",T491,IF(T494&lt;&gt;"Inconclusive Effect",T494,"Inconclusive Effect")))</f>
        <v>#N/A</v>
      </c>
      <c r="K537" t="e">
        <f ca="1">IF(AND(T492&lt;&gt;"Inconclusive Effect",T495&lt;&gt;"Inconclusive Effect"),T492 &amp; CHAR(10) &amp; ". " &amp;T495,IF(T492&lt;&gt;"Inconclusive Effect",T492,IF(T495&lt;&gt;"Inconclusive Effect",T495,"Inconclusive Effect")))</f>
        <v>#N/A</v>
      </c>
      <c r="L537" t="e">
        <f ca="1">IF(AND(T493&lt;&gt;"Inconclusive Effect",T496&lt;&gt;"Inconclusive Effect"),T493 &amp; CHAR(10) &amp; ". " &amp;T496,IF(T493&lt;&gt;"Inconclusive Effect",T493,IF(T496&lt;&gt;"Inconclusive Effect",T496,"Inconclusive Effect")))</f>
        <v>#N/A</v>
      </c>
    </row>
    <row r="538" spans="3:12" x14ac:dyDescent="0.3">
      <c r="C538" t="str">
        <f>"Summary"</f>
        <v>Summary</v>
      </c>
      <c r="D538" t="e">
        <f ca="1">IF(D534&lt;&gt;"Inconclusive Effect",D534,"")</f>
        <v>#N/A</v>
      </c>
      <c r="E538" t="e">
        <f ca="1">IF(E535&lt;&gt;"Inconclusive Effect",E535,"")</f>
        <v>#N/A</v>
      </c>
      <c r="F538" t="e">
        <f ca="1">IF(F535&lt;&gt;"Inconclusive Effect",F535,"")</f>
        <v>#N/A</v>
      </c>
      <c r="G538" t="e">
        <f ca="1">IF(G536&lt;&gt;"Inconclusive Effect",G536,"")</f>
        <v>#N/A</v>
      </c>
      <c r="H538" t="e">
        <f ca="1">IF(H536&lt;&gt;"Inconclusive Effect",H536,"")</f>
        <v>#N/A</v>
      </c>
      <c r="I538" t="e">
        <f ca="1">IF(I536&lt;&gt;"Inconclusive Effect",I536,"")</f>
        <v>#N/A</v>
      </c>
      <c r="J538" t="e">
        <f ca="1">IF(J537&lt;&gt;"Inconclusive Effect",J537,"")</f>
        <v>#N/A</v>
      </c>
      <c r="K538" t="e">
        <f ca="1">IF(K537&lt;&gt;"Inconclusive Effect",K537,"")</f>
        <v>#N/A</v>
      </c>
      <c r="L538" t="e">
        <f ca="1">IF(L537&lt;&gt;"Inconclusive Effect",L537,"")</f>
        <v>#N/A</v>
      </c>
    </row>
    <row r="540" spans="3:12" x14ac:dyDescent="0.3">
      <c r="C540" t="e">
        <f ca="1">_xludf.TEXTJOIN(". ",TRUE,D538:L538)</f>
        <v>#NAME?</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H540"/>
  <sheetViews>
    <sheetView topLeftCell="B1" workbookViewId="0"/>
  </sheetViews>
  <sheetFormatPr defaultRowHeight="14.4" x14ac:dyDescent="0.3"/>
  <cols>
    <col min="1" max="1" width="0" hidden="1" customWidth="1"/>
    <col min="2" max="7" width="20.6640625" customWidth="1"/>
  </cols>
  <sheetData>
    <row r="1" spans="1:16" x14ac:dyDescent="0.3">
      <c r="B1" t="s">
        <v>0</v>
      </c>
      <c r="C1" t="s">
        <v>3172</v>
      </c>
      <c r="D1" t="str">
        <f>TRIM(IFERROR(IFERROR(IFERROR(IFERROR(IFERROR(IFERROR(IFERROR(REPLACE(LEFT(C1,FIND("(",C1) - 2), FIND("PLC",UPPER(LEFT(C1,FIND("(",C1) - 2))),3,"" ), REPLACE(LEFT(C1,FIND("(",C1) - 2), FIND(", INC.",UPPER(LEFT(C1,FIND("(",C1) - 2))),6,"" )), REPLACE(LEFT(C1,FIND("(",C1) - 2), FIND("CORPORATION",UPPER(LEFT(C1,FIND("(",C1) - 2))),11,"" )),REPLACE(LEFT(C1,FIND("(",C1) - 2), FIND("CORP.",UPPER(LEFT(C1,FIND("(",C1) - 2))),5,"" )), REPLACE(LEFT(C1,FIND("(",C1) - 2), FIND("COMPANY",UPPER(LEFT(C1,FIND("(",C1) - 2))),7,"" )),REPLACE(LEFT(C1,FIND("(",C1) - 2), FIND("INC.",UPPER(LEFT(C1,FIND("(",C1) - 2))),4,"" )),REPLACE(LEFT(C1,FIND("(",C1) - 2), FIND("CORP",UPPER(LEFT(C1,FIND("(",C1) - 2))),4,"" )),LEFT(C1,FIND("(",C1) - 2)))</f>
        <v>Civista Bancshares</v>
      </c>
    </row>
    <row r="2" spans="1:16" x14ac:dyDescent="0.3">
      <c r="B2" t="s">
        <v>2</v>
      </c>
      <c r="C2" t="s">
        <v>3173</v>
      </c>
      <c r="K2" t="str">
        <f>LEFT(C1,FIND("(",C1) - 2)</f>
        <v>Civista Bancshares, Inc.</v>
      </c>
    </row>
    <row r="3" spans="1:16" x14ac:dyDescent="0.3">
      <c r="J3">
        <f ca="1">RANDBETWEEN(1,6)</f>
        <v>5</v>
      </c>
      <c r="K3" t="str">
        <f>" is scheduled to report earnings "&amp;IFERROR("between "&amp;LEFT(C20,FIND("-",C20)-2)&amp;" and "&amp;RIGHT(C20,FIND("-",C20)-2),"on "&amp;C20)</f>
        <v xml:space="preserve"> is scheduled to report earnings on Jul 28, 2017</v>
      </c>
      <c r="L3" t="str">
        <f>" is slated to report earnings "&amp;IFERROR("between "&amp;LEFT(C20,FIND("-",C20)-2)&amp;" and "&amp;RIGHT(C20,FIND("-",C20)-2),"on "&amp;C20)</f>
        <v xml:space="preserve"> is slated to report earnings on Jul 28, 2017</v>
      </c>
      <c r="M3" t="str">
        <f>" will report earnings "&amp;IFERROR("between "&amp;LEFT(C20,FIND("-",C20)-2)&amp;" and "&amp;RIGHT(C20,FIND("-",C20)-2),"on "&amp;C20)</f>
        <v xml:space="preserve"> will report earnings on Jul 28, 2017</v>
      </c>
      <c r="N3" t="str">
        <f>" reports earnings "&amp;IFERROR("between "&amp;LEFT(C20,FIND("-",C20)-2)&amp;" and "&amp;RIGHT(C20,FIND("-",C20)-2),"on "&amp;C20)</f>
        <v xml:space="preserve"> reports earnings on Jul 28, 2017</v>
      </c>
      <c r="O3" t="str">
        <f>" plans to report earnings "&amp;IFERROR("between "&amp;LEFT(C20,FIND("-",C20)-2)&amp;" and "&amp;RIGHT(C20,FIND("-",C20)-2),"on "&amp;C20)</f>
        <v xml:space="preserve"> plans to report earnings on Jul 28, 2017</v>
      </c>
      <c r="P3" t="str">
        <f>" is going to report earnings "&amp;IFERROR("between "&amp;LEFT(C20,FIND("-",C20)-2)&amp;" and "&amp;RIGHT(C20,FIND("-",C20)-2),"on "&amp;C20)</f>
        <v xml:space="preserve"> is going to report earnings on Jul 28, 2017</v>
      </c>
    </row>
    <row r="4" spans="1:16" x14ac:dyDescent="0.3">
      <c r="B4" t="s">
        <v>4</v>
      </c>
      <c r="J4">
        <f ca="1">RANDBETWEEN(1,2)</f>
        <v>1</v>
      </c>
      <c r="K4" t="str">
        <f>"The stock is currently trading at " &amp; TEXT(C2,"$####.00") &amp; ", " &amp; IF(C2-C7=0, "at the same price" &amp; " after opening " &amp; IF(C8-C7=0, "at the same price as yesterday's close", IF(C8-C7&gt;0, "up " &amp; IF((C7-C8)/C7*-1 &lt;0.01, "slightly", TEXT((C7-C8)/C7*-1,"##.##%")) &amp; " over yesterday's close", IF((C7-C8)/C7 &lt;0.01, "slightly below", "down " &amp; TEXT((C7-C8)/C7*1,"##.##%") &amp; " from") &amp; " yesterday's close")), IF(C2-C7&gt;0, "up " &amp; TEXT((C7-C2)/C7*-1,"##.##%") &amp; " after opening " &amp; IF(C8-C7=0, "at the same price as yesterday's close", IF(C8-C7&gt;0, "up " &amp; IF((C7-C8)/C7*-1 &lt;0.01, "slightly", TEXT((C7-C8)/C7*-1,"##.##%")) &amp; " over yesterday's close", IF((C7-C8)/C7 &lt;0.01, "slightly below", "down " &amp; TEXT((C7-C8)/C7*1,"##.##%") &amp; " from") &amp; " yesterday's close")), "down " &amp; TEXT((C7-C2)/C7*1,"##.##%") &amp; " after opening " &amp; IF(C8-C7=0, "at the same price as yesterday's close", IF(C8-C7&gt;0, "up " &amp; IF((C7-C8)/C7*-1 &lt;0.01, "slightly", TEXT((C7-C8)/C7*-1,"##.##%")) &amp; " over yesterday's close", IF((C7-C8)/C7 &lt;0.01, "slightly below", "down " &amp; TEXT((C7-C8)/C7*1,"##.##%") &amp; " from") &amp; " yesterday's close")) ))</f>
        <v>The stock is currently trading at $21.04, up .38% after opening up slightly over yesterday's close</v>
      </c>
      <c r="L4" t="str">
        <f>"The current stock price is " &amp; TEXT(C2,"$####.00") &amp; ", " &amp; IF(C2-C7=0, "at the same price" &amp; " after opening " &amp; IF(C8-C7=0, "at the same price as yesterday's closing price", IF(C8-C7&gt;0, "up " &amp; IF((C7-C8)/C7*-1 &lt;0.01, "a fraction", TEXT((C7-C8)/C7*-1,"##.##%")) &amp; " over yesterday's closing price", IF((C7-C8)/C7 &lt;0.01, "a bit below", "down " &amp; TEXT((C7-C8)/C7*1,"##.##%") &amp; " from") &amp; " yesterday's closing price")), IF(C2-C7&gt;0, "up " &amp; TEXT((C7-C2)/C7*-1,"##.##%") &amp; " after opening " &amp; IF(C8-C7=0, "at yesterday's closing price", IF(C8-C7&gt;0, "up " &amp; IF((C7-C8)/C7*-1 &lt;0.01, "a fraction", TEXT((C7-C8)/C7*-1,"##.##%")) &amp; " over yesterday's closing price", IF((C7-C8)/C7 &lt;0.01, "a bit below", "down " &amp; TEXT((C7-C8)/C7*1,"##.##%") &amp; " from") &amp; " yesterday's closing price")), "down " &amp; TEXT((C7-C2)/C7*1,"##.##%") &amp; " after opening " &amp; IF(C8-C7=0, "at yesterday's closing price", IF(C8-C7&gt;0, "up " &amp; IF((C7-C8)/C7*-1 &lt;0.01, "a fraction", TEXT((C7-C8)/C7*-1,"##.##%")) &amp; " over yesterday's closing price", IF((C7-C8)/C7 &lt;0.01, "a bit below", "down " &amp; TEXT((C7-C8)/C7*1,"##.##%") &amp; " from") &amp; " yesterday's closing price")) ))</f>
        <v>The current stock price is $21.04, up .38% after opening up a fraction over yesterday's closing price</v>
      </c>
    </row>
    <row r="5" spans="1:16" x14ac:dyDescent="0.3">
      <c r="J5">
        <f ca="1">RANDBETWEEN(1,2)</f>
        <v>1</v>
      </c>
      <c r="K5" t="str">
        <f>"The one year target estimate for " &amp; D1 &amp; " is " &amp; TEXT(C23,"$####.00")</f>
        <v>The one year target estimate for Civista Bancshares is $24.00</v>
      </c>
      <c r="L5" t="str">
        <f>D1 &amp; " is expected to be trading at " &amp; TEXT(C23, "$####.00") &amp; ", based on target estimates"</f>
        <v>Civista Bancshares is expected to be trading at $24.00, based on target estimates</v>
      </c>
    </row>
    <row r="6" spans="1:16" x14ac:dyDescent="0.3">
      <c r="K6" t="str">
        <f>" which would be " &amp; IF(OR(LEFT(ABS((C23-C2)/C2*100),1)="8",LEFT(ABS((C23-C2)/C2*100),2)="18"), "an ", "a ")  &amp;TEXT(ABS((C23-C2)/C2),"####.00%")&amp;IF((C23-C2)&gt;0," increase over"," decrease from")&amp;" the current price"</f>
        <v xml:space="preserve"> which would be a 14.07% increase over the current price</v>
      </c>
    </row>
    <row r="7" spans="1:16" x14ac:dyDescent="0.3">
      <c r="A7" s="1">
        <v>0</v>
      </c>
      <c r="B7" t="s">
        <v>5</v>
      </c>
      <c r="C7" t="s">
        <v>3174</v>
      </c>
      <c r="K7" t="str">
        <f>"Earnings are expected to " &amp; IF(C28=D28, "remain constant over the next quarter", IF( D28&gt;C28,  "increase by " &amp; TEXT((D28-C28)/C28*100,"##.##") &amp; "% over last quarter", "decrease by " &amp; TEXT((D28-C28)/C28*-100,"##.##") &amp; "% from last quarter")) &amp; " based on the average of " &amp; $C$27 &amp; " analyst estimates (Yahoo Finance)"</f>
        <v>Earnings are expected to remain constant over the next quarter based on the average of 5 analyst estimates (Yahoo Finance)</v>
      </c>
    </row>
    <row r="8" spans="1:16" x14ac:dyDescent="0.3">
      <c r="A8" s="1">
        <v>1</v>
      </c>
      <c r="B8" t="s">
        <v>7</v>
      </c>
      <c r="C8" t="s">
        <v>3175</v>
      </c>
      <c r="K8" t="str">
        <f>IF(VALUE(C2)=D12, "The stock is trading at an all-time low",IF(VALUE(C2) =E12,"The stock is trading at an all-time high",IF(VALUE(C2)&lt;D12+(E12-D12)/3, "The stock is trading in the low end of its 52-week range",IF(VALUE(C2)&lt;D12+2*(E12-D12)/3, "The stock is trading near the middle of its 52 week range", "The stock is trading in the high end of its 52-week range"))) )</f>
        <v>The stock is trading in the high end of its 52-week range</v>
      </c>
    </row>
    <row r="9" spans="1:16" x14ac:dyDescent="0.3">
      <c r="A9" s="1">
        <v>2</v>
      </c>
      <c r="B9" t="s">
        <v>9</v>
      </c>
      <c r="C9" t="s">
        <v>10</v>
      </c>
      <c r="K9" t="str">
        <f>"Over the last 4 quarters, there" &amp; IF(4 - COUNTIF(C45:F45,"-*")=1, " has"," have") &amp; " been" &amp; IF(4 - COUNTIF(C45:F45,"-*")=1, " a,","") &amp; " positive earnings surprise" &amp; IF(4 - COUNTIF(C45:F45,"-*")=1, " ","s ") &amp; 4 -COUNTIF(C45:F45,"-*") &amp; IF(4 - COUNTIF(C45:F45,"-*")=1, " time,"," times,") &amp; " and a negative earnings surprise " &amp; COUNTIF(C45:F45,"-*") &amp; IF(COUNTIF(C45:F45,"-*")=1, " time", " times")</f>
        <v>Over the last 4 quarters, there have been positive earnings surprises 3 times, and a negative earnings surprise 1 time</v>
      </c>
    </row>
    <row r="10" spans="1:16" x14ac:dyDescent="0.3">
      <c r="A10" s="1">
        <v>3</v>
      </c>
      <c r="B10" t="s">
        <v>11</v>
      </c>
      <c r="C10" t="s">
        <v>10</v>
      </c>
      <c r="K10" t="str">
        <f>IF(F48=F52,"",IF(F48&gt;F52, "EPS estimates have increased by " &amp; TEXT(F48-F52,"$0.00") &amp; " in the 2 months leading up to the earnings report", "EPS estimates have decreased by " &amp; TEXT(ABS(F48-F52),"$0.00") &amp; " in the 2 months leading up to the earnings report"))</f>
        <v/>
      </c>
    </row>
    <row r="11" spans="1:16" x14ac:dyDescent="0.3">
      <c r="A11" s="1">
        <v>4</v>
      </c>
      <c r="B11" t="s">
        <v>12</v>
      </c>
      <c r="C11" t="s">
        <v>3176</v>
      </c>
      <c r="K11" t="str">
        <f>IF(B145="Interest Income",U42, K42)</f>
        <v>Civista Bancshares has managed to increase operating income, net income, eps (basic), net loans, total assets, retained earnings, and real estate mortgage loans each year since 2012</v>
      </c>
    </row>
    <row r="12" spans="1:16" x14ac:dyDescent="0.3">
      <c r="A12" s="1">
        <v>5</v>
      </c>
      <c r="B12" t="s">
        <v>14</v>
      </c>
      <c r="C12" t="s">
        <v>3177</v>
      </c>
      <c r="D12" t="str">
        <f>LEFT(C12,FIND("-",C12)-2)</f>
        <v>12.99</v>
      </c>
      <c r="E12" t="str">
        <f>TRIM(RIGHT(C12,FIND("-",C12)-1))</f>
        <v>23.75</v>
      </c>
      <c r="K12" t="str">
        <f ca="1">D78</f>
        <v>There are some indications that Civista Bancshares may be overvalued. The company has a higher forward p/e than the comparable average</v>
      </c>
    </row>
    <row r="13" spans="1:16" x14ac:dyDescent="0.3">
      <c r="A13" s="1">
        <v>6</v>
      </c>
      <c r="B13" t="s">
        <v>16</v>
      </c>
      <c r="C13" t="s">
        <v>3178</v>
      </c>
      <c r="K13" t="str">
        <f ca="1">D89</f>
        <v>There are some indications that Civista Bancshares may be undervalued. The company has a lower trailing p/e, peg ratio, price/sales, and price/book than the comparable average</v>
      </c>
    </row>
    <row r="14" spans="1:16" x14ac:dyDescent="0.3">
      <c r="A14" s="1">
        <v>7</v>
      </c>
      <c r="B14" t="s">
        <v>18</v>
      </c>
      <c r="C14" t="s">
        <v>3179</v>
      </c>
    </row>
    <row r="16" spans="1:16" x14ac:dyDescent="0.3">
      <c r="A16" s="1">
        <v>0</v>
      </c>
      <c r="B16" t="s">
        <v>20</v>
      </c>
      <c r="C16" t="s">
        <v>3180</v>
      </c>
    </row>
    <row r="17" spans="1:23" x14ac:dyDescent="0.3">
      <c r="A17" s="1">
        <v>1</v>
      </c>
      <c r="B17" t="s">
        <v>22</v>
      </c>
      <c r="C17" t="s">
        <v>3181</v>
      </c>
      <c r="K17" t="str">
        <f ca="1">K2 &amp; IF(J3=1, K3,IF(J3=2,L3,IF(J3=3,M3,IF(J3=4,N3,IF(J3=5,O3,IF(J3=6,P3)))))) &amp; ". " &amp; IF(J4=1,K4,IF(J4=2,L4)) &amp; ". " &amp; IF(J5=1,K5,IF(J5=2,L5)) &amp; K6 &amp; ". " &amp; K7 &amp; ". " &amp; K8 &amp; ". " &amp; K9 &amp; "."</f>
        <v>Civista Bancshares, Inc. plans to report earnings on Jul 28, 2017. The stock is currently trading at $21.04, up .38% after opening up slightly over yesterday's close. The one year target estimate for Civista Bancshares is $24.00 which would be a 14.07% increase over the current price. Earnings are expected to remain constant over the next quarter based on the average of 5 analyst estimates (Yahoo Finance). The stock is trading in the high end of its 52-week range. Over the last 4 quarters, there have been positive earnings surprises 3 times, and a negative earnings surprise 1 time.</v>
      </c>
    </row>
    <row r="18" spans="1:23" x14ac:dyDescent="0.3">
      <c r="A18" s="1">
        <v>2</v>
      </c>
      <c r="B18" t="s">
        <v>24</v>
      </c>
      <c r="C18" t="s">
        <v>3182</v>
      </c>
    </row>
    <row r="19" spans="1:23" x14ac:dyDescent="0.3">
      <c r="A19" s="1">
        <v>3</v>
      </c>
      <c r="B19" t="s">
        <v>26</v>
      </c>
      <c r="C19" t="s">
        <v>3183</v>
      </c>
    </row>
    <row r="20" spans="1:23" x14ac:dyDescent="0.3">
      <c r="A20" s="1">
        <v>4</v>
      </c>
      <c r="B20" t="s">
        <v>28</v>
      </c>
      <c r="C20" t="s">
        <v>29</v>
      </c>
    </row>
    <row r="21" spans="1:23" x14ac:dyDescent="0.3">
      <c r="A21" s="1">
        <v>5</v>
      </c>
      <c r="B21" t="s">
        <v>30</v>
      </c>
      <c r="C21" t="s">
        <v>3184</v>
      </c>
    </row>
    <row r="22" spans="1:23" x14ac:dyDescent="0.3">
      <c r="A22" s="1">
        <v>6</v>
      </c>
      <c r="B22" t="s">
        <v>32</v>
      </c>
      <c r="C22" t="s">
        <v>3185</v>
      </c>
      <c r="J22">
        <f>IF(K22 &lt;&gt; "",1, 0)</f>
        <v>0</v>
      </c>
      <c r="K22" t="str">
        <f>IF(I145="pos_trend","Revenue","")</f>
        <v/>
      </c>
      <c r="L22" t="str">
        <f t="shared" ref="L22:L38" si="0">IF(EXACT(K22,UPPER(K22)),K22,LOWER(K22))</f>
        <v/>
      </c>
      <c r="M22" t="str">
        <f>L22</f>
        <v/>
      </c>
      <c r="T22">
        <f>IF(U22 &lt;&gt; "",1, 0)</f>
        <v>0</v>
      </c>
      <c r="U22" t="str">
        <f>IF(AND(B145 = "Interest Income",I145="pos_trend"), "Interest Income","")</f>
        <v/>
      </c>
      <c r="V22" t="str">
        <f t="shared" ref="V22:V38" si="1">IF(EXACT(U22,UPPER(U22)),U22,LOWER(U22))</f>
        <v/>
      </c>
      <c r="W22" t="str">
        <f>V22</f>
        <v/>
      </c>
    </row>
    <row r="23" spans="1:23" x14ac:dyDescent="0.3">
      <c r="A23" s="1">
        <v>7</v>
      </c>
      <c r="B23" t="s">
        <v>34</v>
      </c>
      <c r="C23" t="s">
        <v>3186</v>
      </c>
      <c r="J23">
        <f>IF(K23 &lt;&gt; "",2, 0)</f>
        <v>0</v>
      </c>
      <c r="K23" t="str">
        <f>IF(I146="pos_trend",B146,"")</f>
        <v/>
      </c>
      <c r="L23" t="str">
        <f t="shared" si="0"/>
        <v/>
      </c>
      <c r="M23" t="str">
        <f t="shared" ref="M23:M39" si="2">IF(L23&lt;&gt;"", M22 &amp; ", " &amp; L23,M22)</f>
        <v/>
      </c>
      <c r="T23">
        <f>IF(U23 &lt;&gt; "",2, 0)</f>
        <v>0</v>
      </c>
      <c r="U23" t="str">
        <f>IF(I151="pos_trend",B151,"")</f>
        <v/>
      </c>
      <c r="V23" t="str">
        <f t="shared" si="1"/>
        <v/>
      </c>
      <c r="W23" t="str">
        <f t="shared" ref="W23:W39" si="3">IF(V23&lt;&gt;"", W22 &amp; ", " &amp; V23,W22)</f>
        <v/>
      </c>
    </row>
    <row r="24" spans="1:23" x14ac:dyDescent="0.3">
      <c r="J24">
        <f>IF(K24 &lt;&gt; "",3, 0)</f>
        <v>0</v>
      </c>
      <c r="K24" t="str">
        <f>IF(I153="pos_trend",B153,"")</f>
        <v/>
      </c>
      <c r="L24" t="str">
        <f t="shared" si="0"/>
        <v/>
      </c>
      <c r="M24" t="str">
        <f t="shared" si="2"/>
        <v/>
      </c>
      <c r="T24">
        <f>IF(U24 &lt;&gt; "",3, 0)</f>
        <v>0</v>
      </c>
      <c r="U24" t="str">
        <f>IF(I161="pos_trend",B161,"")</f>
        <v/>
      </c>
      <c r="V24" t="str">
        <f t="shared" si="1"/>
        <v/>
      </c>
      <c r="W24" t="str">
        <f t="shared" si="3"/>
        <v/>
      </c>
    </row>
    <row r="25" spans="1:23" x14ac:dyDescent="0.3">
      <c r="J25">
        <f>IF(K25 &lt;&gt; "",4, 0)</f>
        <v>0</v>
      </c>
      <c r="K25" t="str">
        <f>IF(I154="pos_trend",B154,"")</f>
        <v/>
      </c>
      <c r="L25" t="str">
        <f t="shared" si="0"/>
        <v/>
      </c>
      <c r="M25" t="str">
        <f t="shared" si="2"/>
        <v/>
      </c>
      <c r="T25">
        <f>IF(U25 &lt;&gt; "",4, 0)</f>
        <v>0</v>
      </c>
      <c r="U25" t="str">
        <f>IF(I162="pos_trend",B162,"")</f>
        <v/>
      </c>
      <c r="V25" t="str">
        <f t="shared" si="1"/>
        <v/>
      </c>
      <c r="W25" t="str">
        <f t="shared" si="3"/>
        <v/>
      </c>
    </row>
    <row r="26" spans="1:23" x14ac:dyDescent="0.3">
      <c r="B26" s="1" t="s">
        <v>36</v>
      </c>
      <c r="C26" s="1" t="s">
        <v>37</v>
      </c>
      <c r="D26" s="1" t="s">
        <v>38</v>
      </c>
      <c r="E26" s="1" t="s">
        <v>39</v>
      </c>
      <c r="F26" s="1" t="s">
        <v>40</v>
      </c>
      <c r="J26">
        <f>IF(K26 &lt;&gt; "",5, 0)</f>
        <v>0</v>
      </c>
      <c r="K26" t="str">
        <f>IF(I155="pos_trend",B155,"")</f>
        <v/>
      </c>
      <c r="L26" t="str">
        <f t="shared" si="0"/>
        <v/>
      </c>
      <c r="M26" t="str">
        <f t="shared" si="2"/>
        <v/>
      </c>
      <c r="T26">
        <f>IF(U26 &lt;&gt; "",5, 0)</f>
        <v>0</v>
      </c>
      <c r="U26" t="str">
        <f>IF(I167="pos_trend",B167,"")</f>
        <v/>
      </c>
      <c r="V26" t="str">
        <f t="shared" si="1"/>
        <v/>
      </c>
      <c r="W26" t="str">
        <f t="shared" si="3"/>
        <v/>
      </c>
    </row>
    <row r="27" spans="1:23" x14ac:dyDescent="0.3">
      <c r="A27" s="1">
        <v>0</v>
      </c>
      <c r="B27" t="s">
        <v>41</v>
      </c>
      <c r="C27">
        <v>5</v>
      </c>
      <c r="D27">
        <v>5</v>
      </c>
      <c r="E27">
        <v>5</v>
      </c>
      <c r="F27">
        <v>5</v>
      </c>
      <c r="J27">
        <f>IF(K27 &lt;&gt; "",6, 0)</f>
        <v>0</v>
      </c>
      <c r="K27" t="str">
        <f>IF(I172="pos_trend",B172,"")</f>
        <v/>
      </c>
      <c r="L27" t="str">
        <f t="shared" si="0"/>
        <v/>
      </c>
      <c r="M27" t="str">
        <f t="shared" si="2"/>
        <v/>
      </c>
      <c r="T27">
        <f>IF(U27 &lt;&gt; "",6, 0)</f>
        <v>0</v>
      </c>
      <c r="U27" t="str">
        <f>IF(I170="pos_trend",B170,"")</f>
        <v/>
      </c>
      <c r="V27" t="str">
        <f t="shared" si="1"/>
        <v/>
      </c>
      <c r="W27" t="str">
        <f t="shared" si="3"/>
        <v/>
      </c>
    </row>
    <row r="28" spans="1:23" x14ac:dyDescent="0.3">
      <c r="A28" s="1">
        <v>1</v>
      </c>
      <c r="B28" t="s">
        <v>42</v>
      </c>
      <c r="C28">
        <v>0.31</v>
      </c>
      <c r="D28">
        <v>0.31</v>
      </c>
      <c r="E28">
        <v>1.32</v>
      </c>
      <c r="F28">
        <v>1.46</v>
      </c>
      <c r="J28">
        <f>IF(K28 &lt;&gt; "",7, 0)</f>
        <v>0</v>
      </c>
      <c r="K28" t="str">
        <f>IF(I173="pos_trend",B173,"")</f>
        <v/>
      </c>
      <c r="L28" t="str">
        <f t="shared" si="0"/>
        <v/>
      </c>
      <c r="M28" t="str">
        <f t="shared" si="2"/>
        <v/>
      </c>
      <c r="T28">
        <f>IF(U28 &lt;&gt; "",7, 0)</f>
        <v>0</v>
      </c>
      <c r="U28" t="str">
        <f>IF(I171="pos_trend",B171,"")</f>
        <v/>
      </c>
      <c r="V28" t="str">
        <f t="shared" si="1"/>
        <v/>
      </c>
      <c r="W28" t="str">
        <f t="shared" si="3"/>
        <v/>
      </c>
    </row>
    <row r="29" spans="1:23" x14ac:dyDescent="0.3">
      <c r="A29" s="1">
        <v>2</v>
      </c>
      <c r="B29" t="s">
        <v>43</v>
      </c>
      <c r="C29">
        <v>0.28999999999999998</v>
      </c>
      <c r="D29">
        <v>0.28999999999999998</v>
      </c>
      <c r="E29">
        <v>1.28</v>
      </c>
      <c r="F29">
        <v>1.4</v>
      </c>
      <c r="J29">
        <f>IF(K29 &lt;&gt; "",8, 0)</f>
        <v>0</v>
      </c>
      <c r="K29" t="str">
        <f>IF(I174="pos_trend",B174,"")</f>
        <v/>
      </c>
      <c r="L29" t="str">
        <f t="shared" si="0"/>
        <v/>
      </c>
      <c r="M29" t="str">
        <f t="shared" si="2"/>
        <v/>
      </c>
      <c r="T29">
        <f>IF(U29 &lt;&gt; "",8, 0)</f>
        <v>0</v>
      </c>
      <c r="U29" t="str">
        <f>IF(I172="pos_trend",B172,"")</f>
        <v/>
      </c>
      <c r="V29" t="str">
        <f t="shared" si="1"/>
        <v/>
      </c>
      <c r="W29" t="str">
        <f t="shared" si="3"/>
        <v/>
      </c>
    </row>
    <row r="30" spans="1:23" x14ac:dyDescent="0.3">
      <c r="A30" s="1">
        <v>3</v>
      </c>
      <c r="B30" t="s">
        <v>44</v>
      </c>
      <c r="C30">
        <v>0.33</v>
      </c>
      <c r="D30">
        <v>0.33</v>
      </c>
      <c r="E30">
        <v>1.38</v>
      </c>
      <c r="F30">
        <v>1.56</v>
      </c>
      <c r="J30">
        <f>IF(K30 &lt;&gt; "",9, 0)</f>
        <v>0</v>
      </c>
      <c r="K30" t="str">
        <f>IF(I185="pos_trend",B185,"")</f>
        <v/>
      </c>
      <c r="L30" t="str">
        <f t="shared" si="0"/>
        <v/>
      </c>
      <c r="M30" t="str">
        <f t="shared" si="2"/>
        <v/>
      </c>
      <c r="T30">
        <f>IF(U30 &lt;&gt; "",9, 0)</f>
        <v>9</v>
      </c>
      <c r="U30" t="str">
        <f>IF(I178="pos_trend",B178,"")</f>
        <v>Operating Income</v>
      </c>
      <c r="V30" t="str">
        <f t="shared" si="1"/>
        <v>operating income</v>
      </c>
      <c r="W30" t="str">
        <f t="shared" si="3"/>
        <v>, operating income</v>
      </c>
    </row>
    <row r="31" spans="1:23" x14ac:dyDescent="0.3">
      <c r="A31" s="1">
        <v>4</v>
      </c>
      <c r="B31" t="s">
        <v>45</v>
      </c>
      <c r="C31">
        <v>0.47</v>
      </c>
      <c r="D31">
        <v>0.34</v>
      </c>
      <c r="E31">
        <v>1.57</v>
      </c>
      <c r="F31">
        <v>1.32</v>
      </c>
      <c r="J31">
        <f>IF(K31 &lt;&gt; "",10, 0)</f>
        <v>10</v>
      </c>
      <c r="K31" t="str">
        <f>IF(I186="pos_trend",B186,"")</f>
        <v>Pretax Income</v>
      </c>
      <c r="L31" t="str">
        <f t="shared" si="0"/>
        <v>pretax income</v>
      </c>
      <c r="M31" t="str">
        <f t="shared" si="2"/>
        <v>, pretax income</v>
      </c>
      <c r="T31">
        <f>IF(U31 &lt;&gt; "",10, 0)</f>
        <v>10</v>
      </c>
      <c r="U31" t="str">
        <f>IF(I199="pos_trend",B199,"")</f>
        <v>Net Income</v>
      </c>
      <c r="V31" t="str">
        <f t="shared" si="1"/>
        <v>net income</v>
      </c>
      <c r="W31" t="str">
        <f t="shared" si="3"/>
        <v>, operating income, net income</v>
      </c>
    </row>
    <row r="32" spans="1:23" x14ac:dyDescent="0.3">
      <c r="J32">
        <f>IF(K32 &lt;&gt; "",11, 0)</f>
        <v>0</v>
      </c>
      <c r="K32" t="str">
        <f>IF(I187="pos_trend",B187,"")</f>
        <v/>
      </c>
      <c r="L32" t="str">
        <f t="shared" si="0"/>
        <v/>
      </c>
      <c r="M32" t="str">
        <f t="shared" si="2"/>
        <v>, pretax income</v>
      </c>
      <c r="T32">
        <f>IF(U32 &lt;&gt; "",11, 0)</f>
        <v>11</v>
      </c>
      <c r="U32" t="str">
        <f>IF(I209="pos_trend",B209,"")</f>
        <v>EPS (Basic)</v>
      </c>
      <c r="V32" t="str">
        <f t="shared" si="1"/>
        <v>eps (basic)</v>
      </c>
      <c r="W32" t="str">
        <f t="shared" si="3"/>
        <v>, operating income, net income, eps (basic)</v>
      </c>
    </row>
    <row r="33" spans="1:23" x14ac:dyDescent="0.3">
      <c r="B33" s="1" t="s">
        <v>46</v>
      </c>
      <c r="C33" s="1" t="s">
        <v>37</v>
      </c>
      <c r="D33" s="1" t="s">
        <v>38</v>
      </c>
      <c r="E33" s="1" t="s">
        <v>39</v>
      </c>
      <c r="F33" s="1" t="s">
        <v>40</v>
      </c>
      <c r="J33">
        <f>IF(K33 &lt;&gt; "",12, 0)</f>
        <v>0</v>
      </c>
      <c r="K33" t="str">
        <f>IF(I195="pos_trend",B195,"")</f>
        <v/>
      </c>
      <c r="L33" t="str">
        <f t="shared" si="0"/>
        <v/>
      </c>
      <c r="M33" t="str">
        <f t="shared" si="2"/>
        <v>, pretax income</v>
      </c>
      <c r="T33">
        <f>IF(U33 &lt;&gt; "",12, 0)</f>
        <v>12</v>
      </c>
      <c r="U33" t="str">
        <f>IF(I231="pos_trend",B231,"")</f>
        <v>Net Loans</v>
      </c>
      <c r="V33" t="str">
        <f t="shared" si="1"/>
        <v>net loans</v>
      </c>
      <c r="W33" t="str">
        <f t="shared" si="3"/>
        <v>, operating income, net income, eps (basic), net loans</v>
      </c>
    </row>
    <row r="34" spans="1:23" x14ac:dyDescent="0.3">
      <c r="A34" s="1">
        <v>0</v>
      </c>
      <c r="B34" t="s">
        <v>41</v>
      </c>
      <c r="C34" t="s">
        <v>3187</v>
      </c>
      <c r="D34" t="s">
        <v>3187</v>
      </c>
      <c r="E34" t="s">
        <v>3187</v>
      </c>
      <c r="F34" t="s">
        <v>3187</v>
      </c>
      <c r="J34">
        <f>IF(K34 &lt;&gt; "",13, 0)</f>
        <v>0</v>
      </c>
      <c r="K34" t="str">
        <f>IF(I196="pos_trend",B196,"")</f>
        <v/>
      </c>
      <c r="L34" t="str">
        <f t="shared" si="0"/>
        <v/>
      </c>
      <c r="M34" t="str">
        <f t="shared" si="2"/>
        <v>, pretax income</v>
      </c>
      <c r="T34">
        <f>IF(U34 &lt;&gt; "",13, 0)</f>
        <v>13</v>
      </c>
      <c r="U34" t="str">
        <f>IF(I251="pos_trend",B251,"")</f>
        <v>Total Assets</v>
      </c>
      <c r="V34" t="str">
        <f t="shared" si="1"/>
        <v>total assets</v>
      </c>
      <c r="W34" t="str">
        <f t="shared" si="3"/>
        <v>, operating income, net income, eps (basic), net loans, total assets</v>
      </c>
    </row>
    <row r="35" spans="1:23" x14ac:dyDescent="0.3">
      <c r="A35" s="1">
        <v>1</v>
      </c>
      <c r="B35" t="s">
        <v>42</v>
      </c>
      <c r="C35" t="s">
        <v>3188</v>
      </c>
      <c r="D35" t="s">
        <v>3189</v>
      </c>
      <c r="E35" t="s">
        <v>3190</v>
      </c>
      <c r="F35" t="s">
        <v>3191</v>
      </c>
      <c r="J35">
        <f>IF(K35 &lt;&gt; "",14, 0)</f>
        <v>0</v>
      </c>
      <c r="K35" t="str">
        <f>IF(I201="pos_trend",B201,"")</f>
        <v/>
      </c>
      <c r="L35" t="str">
        <f t="shared" si="0"/>
        <v/>
      </c>
      <c r="M35" t="str">
        <f t="shared" si="2"/>
        <v>, pretax income</v>
      </c>
      <c r="T35">
        <f>IF(U35 &lt;&gt; "",14, 0)</f>
        <v>14</v>
      </c>
      <c r="U35" t="str">
        <f>IF(I279="pos_trend",B279,"")</f>
        <v>Retained Earnings</v>
      </c>
      <c r="V35" t="str">
        <f t="shared" si="1"/>
        <v>retained earnings</v>
      </c>
      <c r="W35" t="str">
        <f t="shared" si="3"/>
        <v>, operating income, net income, eps (basic), net loans, total assets, retained earnings</v>
      </c>
    </row>
    <row r="36" spans="1:23" x14ac:dyDescent="0.3">
      <c r="A36" s="1">
        <v>2</v>
      </c>
      <c r="B36" t="s">
        <v>43</v>
      </c>
      <c r="C36" t="s">
        <v>3192</v>
      </c>
      <c r="D36" t="s">
        <v>3193</v>
      </c>
      <c r="E36" t="s">
        <v>3194</v>
      </c>
      <c r="F36" t="s">
        <v>3195</v>
      </c>
      <c r="J36">
        <f>IF(K36 &lt;&gt; "",15, 0)</f>
        <v>0</v>
      </c>
      <c r="K36" t="str">
        <f>IF(I202="pos_trend",B202,"")</f>
        <v/>
      </c>
      <c r="L36" t="str">
        <f t="shared" si="0"/>
        <v/>
      </c>
      <c r="M36" t="str">
        <f t="shared" si="2"/>
        <v>, pretax income</v>
      </c>
      <c r="T36">
        <f>IF(U36 &lt;&gt; "",15, 0)</f>
        <v>0</v>
      </c>
      <c r="U36" t="str">
        <f>IF(I336="pos_trend",B336,"")</f>
        <v/>
      </c>
      <c r="V36" t="str">
        <f t="shared" si="1"/>
        <v/>
      </c>
      <c r="W36" t="str">
        <f t="shared" si="3"/>
        <v>, operating income, net income, eps (basic), net loans, total assets, retained earnings</v>
      </c>
    </row>
    <row r="37" spans="1:23" x14ac:dyDescent="0.3">
      <c r="A37" s="1">
        <v>3</v>
      </c>
      <c r="B37" t="s">
        <v>44</v>
      </c>
      <c r="C37" t="s">
        <v>3196</v>
      </c>
      <c r="D37" t="s">
        <v>3196</v>
      </c>
      <c r="E37" t="s">
        <v>3197</v>
      </c>
      <c r="F37" t="s">
        <v>3198</v>
      </c>
      <c r="J37">
        <f>IF(K37 &lt;&gt; "",16, 0)</f>
        <v>0</v>
      </c>
      <c r="K37" t="str">
        <f>IF(I203="pos_trend",B203,"")</f>
        <v/>
      </c>
      <c r="L37" t="str">
        <f t="shared" si="0"/>
        <v/>
      </c>
      <c r="M37" t="str">
        <f t="shared" si="2"/>
        <v>, pretax income</v>
      </c>
      <c r="T37">
        <f>IF(U37 &lt;&gt; "",16, 0)</f>
        <v>16</v>
      </c>
      <c r="U37" t="str">
        <f>IF(I235="pos_trend",B235,"")</f>
        <v>Real Estate Mortgage Loans</v>
      </c>
      <c r="V37" t="str">
        <f t="shared" si="1"/>
        <v>real estate mortgage loans</v>
      </c>
      <c r="W37" t="str">
        <f t="shared" si="3"/>
        <v>, operating income, net income, eps (basic), net loans, total assets, retained earnings, real estate mortgage loans</v>
      </c>
    </row>
    <row r="38" spans="1:23" x14ac:dyDescent="0.3">
      <c r="A38" s="1">
        <v>4</v>
      </c>
      <c r="B38" t="s">
        <v>61</v>
      </c>
      <c r="C38" t="s">
        <v>3199</v>
      </c>
      <c r="D38" t="s">
        <v>3200</v>
      </c>
      <c r="E38" t="s">
        <v>3201</v>
      </c>
      <c r="F38" t="s">
        <v>3190</v>
      </c>
      <c r="J38">
        <f>IF(K38 &lt;&gt; "",17, 0)</f>
        <v>0</v>
      </c>
      <c r="K38" t="str">
        <f>IF(I351="pos_trend",B351,"")</f>
        <v/>
      </c>
      <c r="L38" t="str">
        <f t="shared" si="0"/>
        <v/>
      </c>
      <c r="M38" t="str">
        <f t="shared" si="2"/>
        <v>, pretax income</v>
      </c>
      <c r="T38">
        <f>IF(U38 &lt;&gt; "",17, 0)</f>
        <v>0</v>
      </c>
      <c r="U38" t="str">
        <f>IF(I236="pos_trend",B236,"")</f>
        <v/>
      </c>
      <c r="V38" t="str">
        <f t="shared" si="1"/>
        <v/>
      </c>
      <c r="W38" t="str">
        <f t="shared" si="3"/>
        <v>, operating income, net income, eps (basic), net loans, total assets, retained earnings, real estate mortgage loans</v>
      </c>
    </row>
    <row r="39" spans="1:23" x14ac:dyDescent="0.3">
      <c r="A39" s="1">
        <v>5</v>
      </c>
      <c r="B39" t="s">
        <v>65</v>
      </c>
      <c r="C39" t="s">
        <v>69</v>
      </c>
      <c r="D39" t="s">
        <v>3202</v>
      </c>
      <c r="E39" t="s">
        <v>3203</v>
      </c>
      <c r="F39" t="s">
        <v>1714</v>
      </c>
      <c r="K39" t="str">
        <f>IF(I352="pos_trend",B352,"")</f>
        <v/>
      </c>
      <c r="M39" t="str">
        <f t="shared" si="2"/>
        <v>, pretax income</v>
      </c>
      <c r="W39" t="str">
        <f t="shared" si="3"/>
        <v>, operating income, net income, eps (basic), net loans, total assets, retained earnings, real estate mortgage loans</v>
      </c>
    </row>
    <row r="40" spans="1:23" x14ac:dyDescent="0.3">
      <c r="J40">
        <f>MAX(J22:J39)</f>
        <v>10</v>
      </c>
      <c r="K40" t="str">
        <f>VLOOKUP(J40,J22:K39,2,FALSE)</f>
        <v>Pretax Income</v>
      </c>
      <c r="M40" t="str">
        <f>IF(IFERROR(FIND(",",M39),TRUE)=TRUE,M39,IF(NOT(EXACT(K40,UPPER(K40))),SUBSTITUTE(M39,LOWER(K40),"and "&amp;LOWER(K40)),SUBSTITUTE(M39,K40,"and "&amp;K40)))</f>
        <v>, and pretax income</v>
      </c>
      <c r="T40">
        <f>MAX(T22:T39)</f>
        <v>16</v>
      </c>
      <c r="U40" t="str">
        <f>VLOOKUP(T40,T22:U39,2,FALSE)</f>
        <v>Real Estate Mortgage Loans</v>
      </c>
      <c r="W40" t="str">
        <f>IF(IFERROR(FIND(",",W39),TRUE)=TRUE,W39,IF(NOT(EXACT(U40,UPPER(U40))),SUBSTITUTE(W39,LOWER(U40),"and "&amp;LOWER(U40)),SUBSTITUTE(W39,U40,"and "&amp;U40)))</f>
        <v>, operating income, net income, eps (basic), net loans, total assets, retained earnings, and real estate mortgage loans</v>
      </c>
    </row>
    <row r="41" spans="1:23" x14ac:dyDescent="0.3">
      <c r="B41" s="1" t="s">
        <v>70</v>
      </c>
      <c r="C41" s="1" t="s">
        <v>71</v>
      </c>
      <c r="D41" s="1" t="s">
        <v>72</v>
      </c>
      <c r="E41" s="1" t="s">
        <v>73</v>
      </c>
      <c r="F41" s="1" t="s">
        <v>74</v>
      </c>
    </row>
    <row r="42" spans="1:23" x14ac:dyDescent="0.3">
      <c r="A42" s="1">
        <v>0</v>
      </c>
      <c r="B42" t="s">
        <v>75</v>
      </c>
      <c r="C42" t="s">
        <v>3204</v>
      </c>
      <c r="D42" t="s">
        <v>220</v>
      </c>
      <c r="E42" t="s">
        <v>3205</v>
      </c>
      <c r="F42" t="s">
        <v>2525</v>
      </c>
      <c r="K42" t="str">
        <f>SUBSTITUTE(IF(M40&lt;&gt;"", D1 &amp; " has managed to increase " &amp; M40 &amp; " each year since " &amp; C144, "No positive trends")," , "," ")</f>
        <v>Civista Bancshares has managed to increase and pretax income each year since 2012</v>
      </c>
      <c r="U42" t="str">
        <f>SUBSTITUTE(IF(W40&lt;&gt;"", D1 &amp; " has managed to increase " &amp; W40 &amp; " each year since " &amp; C144, "No positive trends")," , "," ")</f>
        <v>Civista Bancshares has managed to increase operating income, net income, eps (basic), net loans, total assets, retained earnings, and real estate mortgage loans each year since 2012</v>
      </c>
    </row>
    <row r="43" spans="1:23" x14ac:dyDescent="0.3">
      <c r="A43" s="1">
        <v>1</v>
      </c>
      <c r="B43" t="s">
        <v>80</v>
      </c>
      <c r="C43" t="s">
        <v>1025</v>
      </c>
      <c r="D43" t="s">
        <v>3206</v>
      </c>
      <c r="E43" t="s">
        <v>3207</v>
      </c>
      <c r="F43" t="s">
        <v>3208</v>
      </c>
    </row>
    <row r="44" spans="1:23" x14ac:dyDescent="0.3">
      <c r="A44" s="1">
        <v>2</v>
      </c>
      <c r="B44" t="s">
        <v>84</v>
      </c>
      <c r="C44" t="s">
        <v>1722</v>
      </c>
      <c r="D44" t="s">
        <v>3209</v>
      </c>
      <c r="E44" t="s">
        <v>1722</v>
      </c>
      <c r="F44" t="s">
        <v>3210</v>
      </c>
    </row>
    <row r="45" spans="1:23" x14ac:dyDescent="0.3">
      <c r="A45" s="1">
        <v>3</v>
      </c>
      <c r="B45" t="s">
        <v>89</v>
      </c>
      <c r="C45" t="s">
        <v>1716</v>
      </c>
      <c r="D45" t="s">
        <v>3211</v>
      </c>
      <c r="E45" t="s">
        <v>1020</v>
      </c>
      <c r="F45" t="s">
        <v>3212</v>
      </c>
    </row>
    <row r="47" spans="1:23" x14ac:dyDescent="0.3">
      <c r="B47" s="1" t="s">
        <v>94</v>
      </c>
      <c r="C47" s="1" t="s">
        <v>37</v>
      </c>
      <c r="D47" s="1" t="s">
        <v>38</v>
      </c>
      <c r="E47" s="1" t="s">
        <v>39</v>
      </c>
      <c r="F47" s="1" t="s">
        <v>40</v>
      </c>
    </row>
    <row r="48" spans="1:23" x14ac:dyDescent="0.3">
      <c r="A48" s="1">
        <v>0</v>
      </c>
      <c r="B48" t="s">
        <v>95</v>
      </c>
      <c r="C48">
        <v>0.31</v>
      </c>
      <c r="D48">
        <v>0.31</v>
      </c>
      <c r="E48">
        <v>1.32</v>
      </c>
      <c r="F48">
        <v>1.46</v>
      </c>
    </row>
    <row r="49" spans="1:14" x14ac:dyDescent="0.3">
      <c r="A49" s="1">
        <v>1</v>
      </c>
      <c r="B49" t="s">
        <v>96</v>
      </c>
      <c r="C49">
        <v>0.31</v>
      </c>
      <c r="D49">
        <v>0.31</v>
      </c>
      <c r="E49">
        <v>1.32</v>
      </c>
      <c r="F49">
        <v>1.46</v>
      </c>
    </row>
    <row r="50" spans="1:14" x14ac:dyDescent="0.3">
      <c r="A50" s="1">
        <v>2</v>
      </c>
      <c r="B50" t="s">
        <v>97</v>
      </c>
      <c r="C50">
        <v>0.31</v>
      </c>
      <c r="D50">
        <v>0.31</v>
      </c>
      <c r="E50">
        <v>1.32</v>
      </c>
      <c r="F50">
        <v>1.46</v>
      </c>
    </row>
    <row r="51" spans="1:14" x14ac:dyDescent="0.3">
      <c r="A51" s="1">
        <v>3</v>
      </c>
      <c r="B51" t="s">
        <v>98</v>
      </c>
      <c r="C51">
        <v>0.31</v>
      </c>
      <c r="D51">
        <v>0.31</v>
      </c>
      <c r="E51">
        <v>1.32</v>
      </c>
      <c r="F51">
        <v>1.46</v>
      </c>
    </row>
    <row r="52" spans="1:14" x14ac:dyDescent="0.3">
      <c r="A52" s="1">
        <v>4</v>
      </c>
      <c r="B52" t="s">
        <v>99</v>
      </c>
      <c r="C52">
        <v>0.32</v>
      </c>
      <c r="D52">
        <v>0.3</v>
      </c>
      <c r="E52">
        <v>1.33</v>
      </c>
      <c r="F52">
        <v>1.46</v>
      </c>
    </row>
    <row r="54" spans="1:14" x14ac:dyDescent="0.3">
      <c r="B54" s="1" t="s">
        <v>100</v>
      </c>
      <c r="C54" s="1" t="s">
        <v>37</v>
      </c>
      <c r="D54" s="1" t="s">
        <v>38</v>
      </c>
      <c r="E54" s="1" t="s">
        <v>39</v>
      </c>
      <c r="F54" s="1" t="s">
        <v>40</v>
      </c>
    </row>
    <row r="55" spans="1:14" x14ac:dyDescent="0.3">
      <c r="A55" s="1">
        <v>0</v>
      </c>
      <c r="B55" t="s">
        <v>101</v>
      </c>
    </row>
    <row r="56" spans="1:14" x14ac:dyDescent="0.3">
      <c r="A56" s="1">
        <v>1</v>
      </c>
      <c r="B56" t="s">
        <v>102</v>
      </c>
      <c r="F56">
        <v>1</v>
      </c>
    </row>
    <row r="57" spans="1:14" x14ac:dyDescent="0.3">
      <c r="A57" s="1">
        <v>2</v>
      </c>
      <c r="B57" t="s">
        <v>103</v>
      </c>
    </row>
    <row r="58" spans="1:14" x14ac:dyDescent="0.3">
      <c r="A58" s="1">
        <v>3</v>
      </c>
      <c r="B58" t="s">
        <v>104</v>
      </c>
    </row>
    <row r="60" spans="1:14" x14ac:dyDescent="0.3">
      <c r="B60" s="1" t="s">
        <v>105</v>
      </c>
      <c r="C60" s="1" t="s">
        <v>3213</v>
      </c>
      <c r="D60" s="1" t="s">
        <v>107</v>
      </c>
      <c r="E60" s="1" t="s">
        <v>108</v>
      </c>
      <c r="F60" s="1" t="s">
        <v>109</v>
      </c>
      <c r="I60" t="str">
        <f t="shared" ref="I60:I91" si="4">IF(AND(K60&gt; J60, L60&gt; K60, M60&gt; L60, N60&gt; M60), "pos_trend", IF(AND(K60&lt; J60, L60&lt; K60, M60&lt; L60, N60&lt; M60), "neg_trend", "N/A"))</f>
        <v>N/A</v>
      </c>
      <c r="J60" t="str">
        <f t="shared" ref="J60:J91" si="5">IFERROR(IF(TRIM(C60)="-", "N/A", IF(RIGHT(C60,1)=")",IF(RIGHT(C60,2)="T)",-1000000000000*VALUE(MID(C60,2,LEN(C60)-3)),IF(RIGHT(C60,2)="M)",-1000000*VALUE(MID(C60,2,LEN(C60)-3)),IF(RIGHT(C60,2)="B)",-1000000000*VALUE(MID(C60,2,LEN(C60)-3)),IF(RIGHT(C60,2)="k)",-1000*VALUE(MID(C60,2,LEN(C60)-3)),VALUE(SUBSTITUTE(C60,",","")))))),IF(RIGHT(C60,1)="T",1000000000000*VALUE(LEFT(C60,LEN(C60)-1)),IF(RIGHT(C60,1)="M",1000000*VALUE(LEFT(C60,LEN(C60)-1)),IF(RIGHT(C60,1)="B",1000000000*VALUE(LEFT(C60,LEN(C60)-1)),IF(RIGHT(C60,1)="%",0.01*VALUE(LEFT(C60,LEN(C60)-1)),IF(RIGHT(C60,1)="k",1000*VALUE(LEFT(C60,LEN(C60)-1)),VALUE(SUBSTITUTE(C60,",",""))))))))),"N/A")</f>
        <v>N/A</v>
      </c>
      <c r="K60" t="str">
        <f t="shared" ref="K60:K91" si="6">IFERROR(IF(TRIM(D60)="-", "N/A", IF(RIGHT(D60,1)=")",IF(RIGHT(D60,2)="T)",-1000000000000*VALUE(MID(D60,2,LEN(D60)-3)),IF(RIGHT(D60,2)="M)",-1000000*VALUE(MID(D60,2,LEN(D60)-3)),IF(RIGHT(D60,2)="B)",-1000000000*VALUE(MID(D60,2,LEN(D60)-3)),IF(RIGHT(D60,2)="k)",-1000*VALUE(MID(D60,2,LEN(D60)-3)),VALUE(SUBSTITUTE(D60,",","")))))),IF(RIGHT(D60,1)="T",1000000000000*VALUE(LEFT(D60,LEN(D60)-1)),IF(RIGHT(D60,1)="M",1000000*VALUE(LEFT(D60,LEN(D60)-1)),IF(RIGHT(D60,1)="B",1000000000*VALUE(LEFT(D60,LEN(D60)-1)),IF(RIGHT(D60,1)="%",0.01*VALUE(LEFT(D60,LEN(D60)-1)),IF(RIGHT(D60,1)="k",1000*VALUE(LEFT(D60,LEN(D60)-1)),VALUE(SUBSTITUTE(D60,",",""))))))))),"N/A")</f>
        <v>N/A</v>
      </c>
      <c r="L60" t="str">
        <f t="shared" ref="L60:L91" si="7">IFERROR(IF(TRIM(E60)="-", "N/A", IF(RIGHT(E60,1)=")",IF(RIGHT(E60,2)="T)",-1000000000000*VALUE(MID(E60,2,LEN(E60)-3)),IF(RIGHT(E60,2)="M)",-1000000*VALUE(MID(E60,2,LEN(E60)-3)),IF(RIGHT(E60,2)="B)",-1000000000*VALUE(MID(E60,2,LEN(E60)-3)),IF(RIGHT(E60,2)="k)",-1000*VALUE(MID(E60,2,LEN(E60)-3)),VALUE(SUBSTITUTE(E60,",","")))))),IF(RIGHT(E60,1)="T",1000000000000*VALUE(LEFT(E60,LEN(E60)-1)),IF(RIGHT(E60,1)="M",1000000*VALUE(LEFT(E60,LEN(E60)-1)),IF(RIGHT(E60,1)="B",1000000000*VALUE(LEFT(E60,LEN(E60)-1)),IF(RIGHT(E60,1)="%",0.01*VALUE(LEFT(E60,LEN(E60)-1)),IF(RIGHT(E60,1)="k",1000*VALUE(LEFT(E60,LEN(E60)-1)),VALUE(SUBSTITUTE(E60,",",""))))))))),"N/A")</f>
        <v>N/A</v>
      </c>
      <c r="M60" t="str">
        <f t="shared" ref="M60:M91" si="8">IFERROR(IF(TRIM(F60)="-", "N/A", IF(RIGHT(F60,1)=")",IF(RIGHT(F60,2)="T)",-1000000000000*VALUE(MID(F60,2,LEN(F60)-3)),IF(RIGHT(F60,2)="M)",-1000000*VALUE(MID(F60,2,LEN(F60)-3)),IF(RIGHT(F60,2)="B)",-1000000000*VALUE(MID(F60,2,LEN(F60)-3)),IF(RIGHT(F60,2)="k)",-1000*VALUE(MID(F60,2,LEN(F60)-3)),VALUE(SUBSTITUTE(F60,",","")))))),IF(RIGHT(F60,1)="T",1000000000000*VALUE(LEFT(F60,LEN(F60)-1)),IF(RIGHT(F60,1)="M",1000000*VALUE(LEFT(F60,LEN(F60)-1)),IF(RIGHT(F60,1)="B",1000000000*VALUE(LEFT(F60,LEN(F60)-1)),IF(RIGHT(F60,1)="%",0.01*VALUE(LEFT(F60,LEN(F60)-1)),IF(RIGHT(F60,1)="k",1000*VALUE(LEFT(F60,LEN(F60)-1)),VALUE(SUBSTITUTE(F60,",",""))))))))),"N/A")</f>
        <v>N/A</v>
      </c>
      <c r="N60" t="str">
        <f t="shared" ref="N60:N91" si="9">IFERROR(IF(TRIM(G60)="-", "N/A", IF(RIGHT(G60,1)=")",IF(RIGHT(G60,2)="T)",-1000000000000*VALUE(MID(G60,2,LEN(G60)-3)),IF(RIGHT(G60,2)="M)",-1000000*VALUE(MID(G60,2,LEN(G60)-3)),IF(RIGHT(G60,2)="B)",-1000000000*VALUE(MID(G60,2,LEN(G60)-3)),IF(RIGHT(G60,2)="k)",-1000*VALUE(MID(G60,2,LEN(G60)-3)),VALUE(SUBSTITUTE(G60,",","")))))),IF(RIGHT(G60,1)="T",1000000000000*VALUE(LEFT(G60,LEN(G60)-1)),IF(RIGHT(G60,1)="M",1000000*VALUE(LEFT(G60,LEN(G60)-1)),IF(RIGHT(G60,1)="B",1000000000*VALUE(LEFT(G60,LEN(G60)-1)),IF(RIGHT(G60,1)="%",0.01*VALUE(LEFT(G60,LEN(G60)-1)),IF(RIGHT(G60,1)="k",1000*VALUE(LEFT(G60,LEN(G60)-1)),VALUE(SUBSTITUTE(G60,",",""))))))))),"N/A")</f>
        <v>N/A</v>
      </c>
    </row>
    <row r="61" spans="1:14" x14ac:dyDescent="0.3">
      <c r="A61" s="1">
        <v>0</v>
      </c>
      <c r="B61" t="s">
        <v>110</v>
      </c>
      <c r="C61" t="s">
        <v>3214</v>
      </c>
      <c r="F61">
        <v>0.18</v>
      </c>
      <c r="I61" t="str">
        <f t="shared" si="4"/>
        <v>N/A</v>
      </c>
      <c r="J61">
        <f t="shared" si="5"/>
        <v>-0.34</v>
      </c>
      <c r="K61" t="str">
        <f t="shared" si="6"/>
        <v>N/A</v>
      </c>
      <c r="L61" t="str">
        <f t="shared" si="7"/>
        <v>N/A</v>
      </c>
      <c r="M61">
        <f t="shared" si="8"/>
        <v>0.18</v>
      </c>
      <c r="N61" t="str">
        <f t="shared" si="9"/>
        <v>N/A</v>
      </c>
    </row>
    <row r="62" spans="1:14" x14ac:dyDescent="0.3">
      <c r="A62" s="1">
        <v>1</v>
      </c>
      <c r="B62" t="s">
        <v>112</v>
      </c>
      <c r="C62" t="s">
        <v>3215</v>
      </c>
      <c r="F62">
        <v>0.24</v>
      </c>
      <c r="I62" t="str">
        <f t="shared" si="4"/>
        <v>N/A</v>
      </c>
      <c r="J62">
        <f t="shared" si="5"/>
        <v>-8.8000000000000009E-2</v>
      </c>
      <c r="K62" t="str">
        <f t="shared" si="6"/>
        <v>N/A</v>
      </c>
      <c r="L62" t="str">
        <f t="shared" si="7"/>
        <v>N/A</v>
      </c>
      <c r="M62">
        <f t="shared" si="8"/>
        <v>0.24</v>
      </c>
      <c r="N62" t="str">
        <f t="shared" si="9"/>
        <v>N/A</v>
      </c>
    </row>
    <row r="63" spans="1:14" x14ac:dyDescent="0.3">
      <c r="A63" s="1">
        <v>2</v>
      </c>
      <c r="B63" t="s">
        <v>114</v>
      </c>
      <c r="C63" t="s">
        <v>3216</v>
      </c>
      <c r="F63">
        <v>0.08</v>
      </c>
      <c r="I63" t="str">
        <f t="shared" si="4"/>
        <v>N/A</v>
      </c>
      <c r="J63">
        <f t="shared" si="5"/>
        <v>-0.159</v>
      </c>
      <c r="K63" t="str">
        <f t="shared" si="6"/>
        <v>N/A</v>
      </c>
      <c r="L63" t="str">
        <f t="shared" si="7"/>
        <v>N/A</v>
      </c>
      <c r="M63">
        <f t="shared" si="8"/>
        <v>0.08</v>
      </c>
      <c r="N63" t="str">
        <f t="shared" si="9"/>
        <v>N/A</v>
      </c>
    </row>
    <row r="64" spans="1:14" x14ac:dyDescent="0.3">
      <c r="A64" s="1">
        <v>3</v>
      </c>
      <c r="B64" t="s">
        <v>116</v>
      </c>
      <c r="C64" t="s">
        <v>3217</v>
      </c>
      <c r="F64">
        <v>0.12</v>
      </c>
      <c r="I64" t="str">
        <f t="shared" si="4"/>
        <v>N/A</v>
      </c>
      <c r="J64">
        <f t="shared" si="5"/>
        <v>0.106</v>
      </c>
      <c r="K64" t="str">
        <f t="shared" si="6"/>
        <v>N/A</v>
      </c>
      <c r="L64" t="str">
        <f t="shared" si="7"/>
        <v>N/A</v>
      </c>
      <c r="M64">
        <f t="shared" si="8"/>
        <v>0.12</v>
      </c>
      <c r="N64" t="str">
        <f t="shared" si="9"/>
        <v>N/A</v>
      </c>
    </row>
    <row r="65" spans="1:14" x14ac:dyDescent="0.3">
      <c r="A65" s="1">
        <v>4</v>
      </c>
      <c r="B65" t="s">
        <v>118</v>
      </c>
      <c r="C65" t="s">
        <v>2522</v>
      </c>
      <c r="F65">
        <v>0.1</v>
      </c>
      <c r="I65" t="str">
        <f t="shared" si="4"/>
        <v>N/A</v>
      </c>
      <c r="J65">
        <f t="shared" si="5"/>
        <v>0.08</v>
      </c>
      <c r="K65" t="str">
        <f t="shared" si="6"/>
        <v>N/A</v>
      </c>
      <c r="L65" t="str">
        <f t="shared" si="7"/>
        <v>N/A</v>
      </c>
      <c r="M65">
        <f t="shared" si="8"/>
        <v>0.1</v>
      </c>
      <c r="N65" t="str">
        <f t="shared" si="9"/>
        <v>N/A</v>
      </c>
    </row>
    <row r="66" spans="1:14" x14ac:dyDescent="0.3">
      <c r="A66" s="1">
        <v>5</v>
      </c>
      <c r="B66" t="s">
        <v>120</v>
      </c>
      <c r="C66" t="s">
        <v>3218</v>
      </c>
      <c r="I66" t="str">
        <f t="shared" si="4"/>
        <v>N/A</v>
      </c>
      <c r="J66">
        <f t="shared" si="5"/>
        <v>0.29749999999999999</v>
      </c>
      <c r="K66" t="str">
        <f t="shared" si="6"/>
        <v>N/A</v>
      </c>
      <c r="L66" t="str">
        <f t="shared" si="7"/>
        <v>N/A</v>
      </c>
      <c r="M66" t="str">
        <f t="shared" si="8"/>
        <v>N/A</v>
      </c>
      <c r="N66" t="str">
        <f t="shared" si="9"/>
        <v>N/A</v>
      </c>
    </row>
    <row r="67" spans="1:14" x14ac:dyDescent="0.3">
      <c r="D67" t="s">
        <v>122</v>
      </c>
      <c r="E67" t="str">
        <f>C1</f>
        <v>Civista Bancshares, Inc. (CIVB)</v>
      </c>
      <c r="I67" t="str">
        <f t="shared" si="4"/>
        <v>N/A</v>
      </c>
      <c r="J67" t="str">
        <f t="shared" si="5"/>
        <v>N/A</v>
      </c>
      <c r="K67" t="str">
        <f t="shared" si="6"/>
        <v>N/A</v>
      </c>
      <c r="L67" t="str">
        <f t="shared" si="7"/>
        <v>N/A</v>
      </c>
      <c r="M67" t="str">
        <f t="shared" si="8"/>
        <v>N/A</v>
      </c>
      <c r="N67" t="str">
        <f t="shared" si="9"/>
        <v>N/A</v>
      </c>
    </row>
    <row r="68" spans="1:14" x14ac:dyDescent="0.3">
      <c r="A68" s="1">
        <v>0</v>
      </c>
      <c r="B68" t="s">
        <v>123</v>
      </c>
      <c r="C68" t="s">
        <v>3180</v>
      </c>
      <c r="D68">
        <f ca="1">IFERROR(AVERAGE(VALUE(INDIRECT("J"&amp;(MATCH(B68,B69:B500,0)+68))),VALUE(INDIRECT("J"&amp;(MATCH(B68,B69:B500,0)+79))),VALUE(INDIRECT("J"&amp;(MATCH(B68,B69:B500,0)+90))),VALUE(INDIRECT("J"&amp;(MATCH(B68,B69:B500,0)+101)))),"")</f>
        <v>357900000</v>
      </c>
      <c r="E68" t="str">
        <f t="shared" ref="E68:E76" ca="1" si="10">IFERROR(IF(AND(C68&lt;&gt;"",D68&lt;&gt;0),IF(VALUE(J68)&gt;VALUE(K68),"above average","below average"),"no data"),"no data")</f>
        <v>below average</v>
      </c>
      <c r="I68" t="str">
        <f t="shared" ca="1" si="4"/>
        <v>N/A</v>
      </c>
      <c r="J68">
        <f t="shared" si="5"/>
        <v>213750000</v>
      </c>
      <c r="K68">
        <f t="shared" ca="1" si="6"/>
        <v>357900000</v>
      </c>
      <c r="L68" t="str">
        <f t="shared" ca="1" si="7"/>
        <v>N/A</v>
      </c>
      <c r="M68" t="str">
        <f t="shared" si="8"/>
        <v>N/A</v>
      </c>
      <c r="N68" t="str">
        <f t="shared" si="9"/>
        <v>N/A</v>
      </c>
    </row>
    <row r="69" spans="1:14" x14ac:dyDescent="0.3">
      <c r="A69" s="1">
        <v>1</v>
      </c>
      <c r="B69" t="s">
        <v>124</v>
      </c>
      <c r="D69" t="str">
        <f ca="1">IFERROR(AVERAGE(VALUE(INDIRECT("J"&amp;(MATCH(B69,B70:B501,0)+69))),VALUE(INDIRECT("J"&amp;(MATCH(B69,B70:B501,0)+80))),VALUE(INDIRECT("J"&amp;(MATCH(B69,B70:B501,0)+91))),VALUE(INDIRECT("J"&amp;(MATCH(B69,B70:B501,0)+102)))),"")</f>
        <v/>
      </c>
      <c r="E69" t="str">
        <f t="shared" ca="1" si="10"/>
        <v>no data</v>
      </c>
      <c r="I69" t="str">
        <f t="shared" ca="1" si="4"/>
        <v>N/A</v>
      </c>
      <c r="J69" t="str">
        <f t="shared" si="5"/>
        <v>N/A</v>
      </c>
      <c r="K69" t="str">
        <f t="shared" ca="1" si="6"/>
        <v>N/A</v>
      </c>
      <c r="L69" t="str">
        <f t="shared" ca="1" si="7"/>
        <v>N/A</v>
      </c>
      <c r="M69" t="str">
        <f t="shared" si="8"/>
        <v>N/A</v>
      </c>
      <c r="N69" t="str">
        <f t="shared" si="9"/>
        <v>N/A</v>
      </c>
    </row>
    <row r="70" spans="1:14" x14ac:dyDescent="0.3">
      <c r="A70" s="1">
        <v>2</v>
      </c>
      <c r="B70" t="s">
        <v>125</v>
      </c>
      <c r="C70" t="s">
        <v>3182</v>
      </c>
      <c r="D70">
        <f ca="1">IFERROR(AVERAGE(VALUE(INDIRECT("J"&amp;(MATCH(B70,B71:B502,0)+70))),VALUE(INDIRECT("J"&amp;(MATCH(B70,B71:B502,0)+81))),VALUE(INDIRECT("J"&amp;(MATCH(B70,B71:B502,0)+92))),VALUE(INDIRECT("J"&amp;(MATCH(B70,B71:B502,0)+103)))),"")</f>
        <v>17.295000000000002</v>
      </c>
      <c r="E70" t="str">
        <f t="shared" ca="1" si="10"/>
        <v>below average</v>
      </c>
      <c r="F70" t="str">
        <f t="shared" ref="F70:F76" ca="1" si="11">IF(E70="above average",LOWER(TRIM(IF(ISNUMBER(VALUE(RIGHT(B70,1))),REPLACE(B70,LEN(B70),1,""),B70))),"")</f>
        <v/>
      </c>
      <c r="G70" t="str">
        <f ca="1">IFERROR(LEFT(F70,FIND("(",F70) - 2),F70)</f>
        <v/>
      </c>
      <c r="I70" t="str">
        <f t="shared" ca="1" si="4"/>
        <v>N/A</v>
      </c>
      <c r="J70">
        <f t="shared" si="5"/>
        <v>13.66</v>
      </c>
      <c r="K70">
        <f t="shared" ca="1" si="6"/>
        <v>17.295000000000002</v>
      </c>
      <c r="L70" t="str">
        <f t="shared" ca="1" si="7"/>
        <v>N/A</v>
      </c>
      <c r="M70" t="str">
        <f t="shared" ca="1" si="8"/>
        <v>N/A</v>
      </c>
      <c r="N70" t="str">
        <f t="shared" ca="1" si="9"/>
        <v>N/A</v>
      </c>
    </row>
    <row r="71" spans="1:14" x14ac:dyDescent="0.3">
      <c r="A71" s="1">
        <v>3</v>
      </c>
      <c r="B71" t="s">
        <v>126</v>
      </c>
      <c r="C71" t="s">
        <v>3219</v>
      </c>
      <c r="D71">
        <f ca="1">IFERROR(AVERAGE(VALUE(INDIRECT("J"&amp;(MATCH(B71,B72:B503,0)+71))),VALUE(INDIRECT("J"&amp;(MATCH(B71,B72:B503,0)+82))),VALUE(INDIRECT("J"&amp;(MATCH(B71,B72:B503,0)+93))),VALUE(INDIRECT("J"&amp;(MATCH(B71,B72:B503,0)+104)))),"")</f>
        <v>14.280000000000001</v>
      </c>
      <c r="E71" t="str">
        <f t="shared" ca="1" si="10"/>
        <v>above average</v>
      </c>
      <c r="F71" t="str">
        <f t="shared" ca="1" si="11"/>
        <v>forward p/e</v>
      </c>
      <c r="G71" t="str">
        <f t="shared" ref="G71:G76" ca="1" si="12">IF(F71&lt;&gt;"", G70 &amp; ", " &amp; IFERROR(LEFT(F71,FIND("(",F71) - 2),F71),G70)</f>
        <v>, forward p/e</v>
      </c>
      <c r="I71" t="str">
        <f t="shared" ca="1" si="4"/>
        <v>N/A</v>
      </c>
      <c r="J71">
        <f t="shared" si="5"/>
        <v>14.41</v>
      </c>
      <c r="K71">
        <f t="shared" ca="1" si="6"/>
        <v>14.28</v>
      </c>
      <c r="L71" t="str">
        <f t="shared" ca="1" si="7"/>
        <v>N/A</v>
      </c>
      <c r="M71" t="str">
        <f t="shared" ca="1" si="8"/>
        <v>N/A</v>
      </c>
      <c r="N71" t="str">
        <f t="shared" ca="1" si="9"/>
        <v>N/A</v>
      </c>
    </row>
    <row r="72" spans="1:14" x14ac:dyDescent="0.3">
      <c r="A72" s="1">
        <v>4</v>
      </c>
      <c r="B72" t="s">
        <v>128</v>
      </c>
      <c r="C72" t="s">
        <v>3220</v>
      </c>
      <c r="D72">
        <f ca="1">IFERROR(AVERAGE(VALUE(INDIRECT("J"&amp;(MATCH(B72,B73:B504,0)+72))),VALUE(INDIRECT("J"&amp;(MATCH(B72,B73:B504,0)+83))),VALUE(INDIRECT("J"&amp;(MATCH(B72,B73:B504,0)+94))),VALUE(INDIRECT("J"&amp;(MATCH(B72,B73:B504,0)+105)))),"")</f>
        <v>2.4850000000000003</v>
      </c>
      <c r="E72" t="str">
        <f t="shared" ca="1" si="10"/>
        <v>below average</v>
      </c>
      <c r="F72" t="str">
        <f t="shared" ca="1" si="11"/>
        <v/>
      </c>
      <c r="G72" t="str">
        <f t="shared" ca="1" si="12"/>
        <v>, forward p/e</v>
      </c>
      <c r="I72" t="str">
        <f t="shared" ca="1" si="4"/>
        <v>N/A</v>
      </c>
      <c r="J72">
        <f t="shared" si="5"/>
        <v>1.99</v>
      </c>
      <c r="K72">
        <f t="shared" ca="1" si="6"/>
        <v>2.4849999999999999</v>
      </c>
      <c r="L72" t="str">
        <f t="shared" ca="1" si="7"/>
        <v>N/A</v>
      </c>
      <c r="M72" t="str">
        <f t="shared" ca="1" si="8"/>
        <v>N/A</v>
      </c>
      <c r="N72" t="str">
        <f t="shared" ca="1" si="9"/>
        <v>N/A</v>
      </c>
    </row>
    <row r="73" spans="1:14" x14ac:dyDescent="0.3">
      <c r="A73" s="1">
        <v>5</v>
      </c>
      <c r="B73" t="s">
        <v>130</v>
      </c>
      <c r="C73" t="s">
        <v>3221</v>
      </c>
      <c r="D73">
        <f ca="1">IFERROR(AVERAGE(VALUE(INDIRECT("J"&amp;(MATCH(B73,B74:B505,0)+73))),VALUE(INDIRECT("J"&amp;(MATCH(B73,B74:B505,0)+84))),VALUE(INDIRECT("J"&amp;(MATCH(B73,B74:B505,0)+95))),VALUE(INDIRECT("J"&amp;(MATCH(B73,B74:B505,0)+106)))),"")</f>
        <v>5.35</v>
      </c>
      <c r="E73" t="str">
        <f t="shared" ca="1" si="10"/>
        <v>below average</v>
      </c>
      <c r="F73" t="str">
        <f t="shared" ca="1" si="11"/>
        <v/>
      </c>
      <c r="G73" t="str">
        <f t="shared" ca="1" si="12"/>
        <v>, forward p/e</v>
      </c>
      <c r="I73" t="str">
        <f t="shared" ca="1" si="4"/>
        <v>N/A</v>
      </c>
      <c r="J73">
        <f t="shared" si="5"/>
        <v>3.13</v>
      </c>
      <c r="K73">
        <f t="shared" ca="1" si="6"/>
        <v>5.35</v>
      </c>
      <c r="L73" t="str">
        <f t="shared" ca="1" si="7"/>
        <v>N/A</v>
      </c>
      <c r="M73" t="str">
        <f t="shared" ca="1" si="8"/>
        <v>N/A</v>
      </c>
      <c r="N73" t="str">
        <f t="shared" ca="1" si="9"/>
        <v>N/A</v>
      </c>
    </row>
    <row r="74" spans="1:14" x14ac:dyDescent="0.3">
      <c r="A74" s="1">
        <v>6</v>
      </c>
      <c r="B74" t="s">
        <v>132</v>
      </c>
      <c r="C74" t="s">
        <v>3222</v>
      </c>
      <c r="D74">
        <f ca="1">IFERROR(AVERAGE(VALUE(INDIRECT("J"&amp;(MATCH(B74,B75:B506,0)+74))),VALUE(INDIRECT("J"&amp;(MATCH(B74,B75:B506,0)+85))),VALUE(INDIRECT("J"&amp;(MATCH(B74,B75:B506,0)+96))),VALUE(INDIRECT("J"&amp;(MATCH(B74,B75:B506,0)+107)))),"")</f>
        <v>1.6749999999999998</v>
      </c>
      <c r="E74" t="str">
        <f t="shared" ca="1" si="10"/>
        <v>below average</v>
      </c>
      <c r="F74" t="str">
        <f t="shared" ca="1" si="11"/>
        <v/>
      </c>
      <c r="G74" t="str">
        <f t="shared" ca="1" si="12"/>
        <v>, forward p/e</v>
      </c>
      <c r="I74" t="str">
        <f t="shared" ca="1" si="4"/>
        <v>N/A</v>
      </c>
      <c r="J74">
        <f t="shared" si="5"/>
        <v>1.36</v>
      </c>
      <c r="K74">
        <f t="shared" ca="1" si="6"/>
        <v>1.675</v>
      </c>
      <c r="L74" t="str">
        <f t="shared" ca="1" si="7"/>
        <v>N/A</v>
      </c>
      <c r="M74" t="str">
        <f t="shared" ca="1" si="8"/>
        <v>N/A</v>
      </c>
      <c r="N74" t="str">
        <f t="shared" ca="1" si="9"/>
        <v>N/A</v>
      </c>
    </row>
    <row r="75" spans="1:14" x14ac:dyDescent="0.3">
      <c r="A75" s="1">
        <v>7</v>
      </c>
      <c r="B75" t="s">
        <v>134</v>
      </c>
      <c r="D75" t="str">
        <f ca="1">IFERROR(AVERAGE(VALUE(INDIRECT("J"&amp;(MATCH(B75,B76:B507,0)+75))),VALUE(INDIRECT("J"&amp;(MATCH(B75,B76:B507,0)+86))),VALUE(INDIRECT("J"&amp;(MATCH(B75,B76:B507,0)+97))),VALUE(INDIRECT("J"&amp;(MATCH(B75,B76:B507,0)+108)))),"")</f>
        <v/>
      </c>
      <c r="E75" t="str">
        <f t="shared" ca="1" si="10"/>
        <v>no data</v>
      </c>
      <c r="F75" t="str">
        <f t="shared" ca="1" si="11"/>
        <v/>
      </c>
      <c r="G75" t="str">
        <f t="shared" ca="1" si="12"/>
        <v>, forward p/e</v>
      </c>
      <c r="I75" t="str">
        <f t="shared" ca="1" si="4"/>
        <v>N/A</v>
      </c>
      <c r="J75" t="str">
        <f t="shared" si="5"/>
        <v>N/A</v>
      </c>
      <c r="K75" t="str">
        <f t="shared" ca="1" si="6"/>
        <v>N/A</v>
      </c>
      <c r="L75" t="str">
        <f t="shared" ca="1" si="7"/>
        <v>N/A</v>
      </c>
      <c r="M75" t="str">
        <f t="shared" ca="1" si="8"/>
        <v>N/A</v>
      </c>
      <c r="N75" t="str">
        <f t="shared" ca="1" si="9"/>
        <v>N/A</v>
      </c>
    </row>
    <row r="76" spans="1:14" x14ac:dyDescent="0.3">
      <c r="A76" s="1">
        <v>8</v>
      </c>
      <c r="B76" t="s">
        <v>135</v>
      </c>
      <c r="D76" t="str">
        <f ca="1">IFERROR(AVERAGE(VALUE(INDIRECT("J"&amp;(MATCH(B76,B77:B508,0)+76))),VALUE(INDIRECT("J"&amp;(MATCH(B76,B77:B508,0)+87))),VALUE(INDIRECT("J"&amp;(MATCH(B76,B77:B508,0)+98))),VALUE(INDIRECT("J"&amp;(MATCH(B76,B77:B508,0)+109)))),"")</f>
        <v/>
      </c>
      <c r="E76" t="str">
        <f t="shared" ca="1" si="10"/>
        <v>no data</v>
      </c>
      <c r="F76" t="str">
        <f t="shared" ca="1" si="11"/>
        <v/>
      </c>
      <c r="G76" t="str">
        <f t="shared" ca="1" si="12"/>
        <v>, forward p/e</v>
      </c>
      <c r="I76" t="str">
        <f t="shared" ca="1" si="4"/>
        <v>N/A</v>
      </c>
      <c r="J76" t="str">
        <f t="shared" si="5"/>
        <v>N/A</v>
      </c>
      <c r="K76" t="str">
        <f t="shared" ca="1" si="6"/>
        <v>N/A</v>
      </c>
      <c r="L76" t="str">
        <f t="shared" ca="1" si="7"/>
        <v>N/A</v>
      </c>
      <c r="M76" t="str">
        <f t="shared" ca="1" si="8"/>
        <v>N/A</v>
      </c>
      <c r="N76" t="str">
        <f t="shared" ca="1" si="9"/>
        <v>N/A</v>
      </c>
    </row>
    <row r="77" spans="1:14" x14ac:dyDescent="0.3">
      <c r="F77" t="str">
        <f ca="1">IF(F76="",IF(F75="",IF(F74="",IF(F73="",IF(F72="",IF(F71="",IFERROR(LEFT(F70,FIND("(",F70) - 2),F70),IFERROR(LEFT(F71,FIND("(",F71) - 2),F71)),IFERROR(LEFT(F72,FIND("(",F72) - 2),F72)),IFERROR(LEFT(F73,FIND("(",F73) - 2),F73)),IFERROR(LEFT(F74,FIND("(",F74) - 2),F74)),IFERROR(LEFT(F75,FIND("(",F75) - 2),F75)),IFERROR(LEFT(F76,FIND("(",F76) - 2),F76))</f>
        <v>forward p/e</v>
      </c>
      <c r="G77" t="str">
        <f ca="1">TRIM(IF(LEFT(G76,1)=",",REPLACE(G76,1,1,""),SUBSTITUTE(G76,F77, "and " &amp; F77)))</f>
        <v>forward p/e</v>
      </c>
      <c r="I77" t="str">
        <f t="shared" ca="1" si="4"/>
        <v>N/A</v>
      </c>
      <c r="J77" t="str">
        <f t="shared" si="5"/>
        <v>N/A</v>
      </c>
      <c r="K77" t="str">
        <f t="shared" si="6"/>
        <v>N/A</v>
      </c>
      <c r="L77" t="str">
        <f t="shared" si="7"/>
        <v>N/A</v>
      </c>
      <c r="M77" t="str">
        <f t="shared" ca="1" si="8"/>
        <v>N/A</v>
      </c>
      <c r="N77" t="str">
        <f t="shared" ca="1" si="9"/>
        <v>N/A</v>
      </c>
    </row>
    <row r="78" spans="1:14" x14ac:dyDescent="0.3">
      <c r="A78" s="1">
        <v>0</v>
      </c>
      <c r="B78" t="s">
        <v>136</v>
      </c>
      <c r="C78" t="s">
        <v>137</v>
      </c>
      <c r="D78" t="str">
        <f ca="1">IF(COUNTIF(E70:E76,"=above average")&gt;0,"There are some indications that "&amp;D1&amp;" may be overvalued. The company has a higher " &amp; G77 &amp; " than the comparable average", "Inconclusive")</f>
        <v>There are some indications that Civista Bancshares may be overvalued. The company has a higher forward p/e than the comparable average</v>
      </c>
      <c r="I78" t="str">
        <f t="shared" ca="1" si="4"/>
        <v>N/A</v>
      </c>
      <c r="J78" t="str">
        <f t="shared" si="5"/>
        <v>N/A</v>
      </c>
      <c r="K78" t="str">
        <f t="shared" ca="1" si="6"/>
        <v>N/A</v>
      </c>
      <c r="L78" t="str">
        <f t="shared" si="7"/>
        <v>N/A</v>
      </c>
      <c r="M78" t="str">
        <f t="shared" si="8"/>
        <v>N/A</v>
      </c>
      <c r="N78" t="str">
        <f t="shared" si="9"/>
        <v>N/A</v>
      </c>
    </row>
    <row r="79" spans="1:14" x14ac:dyDescent="0.3">
      <c r="A79" s="1">
        <v>1</v>
      </c>
      <c r="B79" t="s">
        <v>138</v>
      </c>
      <c r="C79" t="s">
        <v>139</v>
      </c>
      <c r="I79" t="str">
        <f t="shared" si="4"/>
        <v>N/A</v>
      </c>
      <c r="J79" t="str">
        <f t="shared" si="5"/>
        <v>N/A</v>
      </c>
      <c r="K79" t="str">
        <f t="shared" si="6"/>
        <v>N/A</v>
      </c>
      <c r="L79" t="str">
        <f t="shared" si="7"/>
        <v>N/A</v>
      </c>
      <c r="M79" t="str">
        <f t="shared" si="8"/>
        <v>N/A</v>
      </c>
      <c r="N79" t="str">
        <f t="shared" si="9"/>
        <v>N/A</v>
      </c>
    </row>
    <row r="80" spans="1:14" x14ac:dyDescent="0.3">
      <c r="I80" t="str">
        <f t="shared" si="4"/>
        <v>N/A</v>
      </c>
      <c r="J80" t="str">
        <f t="shared" si="5"/>
        <v>N/A</v>
      </c>
      <c r="K80" t="str">
        <f t="shared" si="6"/>
        <v>N/A</v>
      </c>
      <c r="L80" t="str">
        <f t="shared" si="7"/>
        <v>N/A</v>
      </c>
      <c r="M80" t="str">
        <f t="shared" si="8"/>
        <v>N/A</v>
      </c>
      <c r="N80" t="str">
        <f t="shared" si="9"/>
        <v>N/A</v>
      </c>
    </row>
    <row r="81" spans="1:14" x14ac:dyDescent="0.3">
      <c r="A81" s="1">
        <v>0</v>
      </c>
      <c r="B81" t="s">
        <v>140</v>
      </c>
      <c r="C81" t="s">
        <v>3223</v>
      </c>
      <c r="F81" t="str">
        <f t="shared" ref="F81:F87" ca="1" si="13">IF(E70="below average",LOWER(TRIM(IF(ISNUMBER(VALUE(RIGHT(B70,1))),REPLACE(B70,LEN(B70),1,""),B70))),"")</f>
        <v>trailing p/e</v>
      </c>
      <c r="G81" t="str">
        <f ca="1">IFERROR(LEFT(F81,FIND("(",F81) - 2),F81)</f>
        <v>trailing p/e</v>
      </c>
      <c r="I81" t="str">
        <f t="shared" ca="1" si="4"/>
        <v>N/A</v>
      </c>
      <c r="J81">
        <f t="shared" si="5"/>
        <v>0.251</v>
      </c>
      <c r="K81" t="str">
        <f t="shared" si="6"/>
        <v>N/A</v>
      </c>
      <c r="L81" t="str">
        <f t="shared" si="7"/>
        <v>N/A</v>
      </c>
      <c r="M81" t="str">
        <f t="shared" ca="1" si="8"/>
        <v>N/A</v>
      </c>
      <c r="N81" t="str">
        <f t="shared" ca="1" si="9"/>
        <v>N/A</v>
      </c>
    </row>
    <row r="82" spans="1:14" x14ac:dyDescent="0.3">
      <c r="A82" s="1">
        <v>1</v>
      </c>
      <c r="B82" t="s">
        <v>142</v>
      </c>
      <c r="C82" t="s">
        <v>3224</v>
      </c>
      <c r="F82" t="str">
        <f t="shared" ca="1" si="13"/>
        <v/>
      </c>
      <c r="G82" t="str">
        <f t="shared" ref="G82:G87" ca="1" si="14">IF(F82&lt;&gt;"", G81 &amp; ", " &amp; IFERROR(LEFT(F82,FIND("(",F82) - 2),F82),G81)</f>
        <v>trailing p/e</v>
      </c>
      <c r="I82" t="str">
        <f t="shared" ca="1" si="4"/>
        <v>N/A</v>
      </c>
      <c r="J82">
        <f t="shared" si="5"/>
        <v>0.36990000000000001</v>
      </c>
      <c r="K82" t="str">
        <f t="shared" si="6"/>
        <v>N/A</v>
      </c>
      <c r="L82" t="str">
        <f t="shared" si="7"/>
        <v>N/A</v>
      </c>
      <c r="M82" t="str">
        <f t="shared" ca="1" si="8"/>
        <v>N/A</v>
      </c>
      <c r="N82" t="str">
        <f t="shared" ca="1" si="9"/>
        <v>N/A</v>
      </c>
    </row>
    <row r="83" spans="1:14" x14ac:dyDescent="0.3">
      <c r="F83" t="str">
        <f t="shared" ca="1" si="13"/>
        <v>peg ratio (5 yr expected)</v>
      </c>
      <c r="G83" t="str">
        <f t="shared" ca="1" si="14"/>
        <v>trailing p/e, peg ratio</v>
      </c>
      <c r="I83" t="str">
        <f t="shared" ca="1" si="4"/>
        <v>N/A</v>
      </c>
      <c r="J83" t="str">
        <f t="shared" si="5"/>
        <v>N/A</v>
      </c>
      <c r="K83" t="str">
        <f t="shared" si="6"/>
        <v>N/A</v>
      </c>
      <c r="L83" t="str">
        <f t="shared" si="7"/>
        <v>N/A</v>
      </c>
      <c r="M83" t="str">
        <f t="shared" ca="1" si="8"/>
        <v>N/A</v>
      </c>
      <c r="N83" t="str">
        <f t="shared" ca="1" si="9"/>
        <v>N/A</v>
      </c>
    </row>
    <row r="84" spans="1:14" x14ac:dyDescent="0.3">
      <c r="A84" s="1">
        <v>0</v>
      </c>
      <c r="B84" t="s">
        <v>144</v>
      </c>
      <c r="C84" t="s">
        <v>3225</v>
      </c>
      <c r="F84" t="str">
        <f t="shared" ca="1" si="13"/>
        <v>price/sales (ttm)</v>
      </c>
      <c r="G84" t="str">
        <f t="shared" ca="1" si="14"/>
        <v>trailing p/e, peg ratio, price/sales</v>
      </c>
      <c r="I84" t="str">
        <f t="shared" ca="1" si="4"/>
        <v>N/A</v>
      </c>
      <c r="J84">
        <f t="shared" si="5"/>
        <v>1.11E-2</v>
      </c>
      <c r="K84" t="str">
        <f t="shared" si="6"/>
        <v>N/A</v>
      </c>
      <c r="L84" t="str">
        <f t="shared" si="7"/>
        <v>N/A</v>
      </c>
      <c r="M84" t="str">
        <f t="shared" ca="1" si="8"/>
        <v>N/A</v>
      </c>
      <c r="N84" t="str">
        <f t="shared" ca="1" si="9"/>
        <v>N/A</v>
      </c>
    </row>
    <row r="85" spans="1:14" x14ac:dyDescent="0.3">
      <c r="A85" s="1">
        <v>1</v>
      </c>
      <c r="B85" t="s">
        <v>146</v>
      </c>
      <c r="C85" t="s">
        <v>3226</v>
      </c>
      <c r="F85" t="str">
        <f t="shared" ca="1" si="13"/>
        <v>price/book (mrq)</v>
      </c>
      <c r="G85" t="str">
        <f t="shared" ca="1" si="14"/>
        <v>trailing p/e, peg ratio, price/sales, price/book</v>
      </c>
      <c r="I85" t="str">
        <f t="shared" ca="1" si="4"/>
        <v>N/A</v>
      </c>
      <c r="J85">
        <f t="shared" si="5"/>
        <v>0.11220000000000001</v>
      </c>
      <c r="K85" t="str">
        <f t="shared" si="6"/>
        <v>N/A</v>
      </c>
      <c r="L85" t="str">
        <f t="shared" si="7"/>
        <v>N/A</v>
      </c>
      <c r="M85" t="str">
        <f t="shared" ca="1" si="8"/>
        <v>N/A</v>
      </c>
      <c r="N85" t="str">
        <f t="shared" ca="1" si="9"/>
        <v>N/A</v>
      </c>
    </row>
    <row r="86" spans="1:14" x14ac:dyDescent="0.3">
      <c r="F86" t="str">
        <f t="shared" ca="1" si="13"/>
        <v/>
      </c>
      <c r="G86" t="str">
        <f t="shared" ca="1" si="14"/>
        <v>trailing p/e, peg ratio, price/sales, price/book</v>
      </c>
      <c r="I86" t="str">
        <f t="shared" ca="1" si="4"/>
        <v>N/A</v>
      </c>
      <c r="J86" t="str">
        <f t="shared" si="5"/>
        <v>N/A</v>
      </c>
      <c r="K86" t="str">
        <f t="shared" si="6"/>
        <v>N/A</v>
      </c>
      <c r="L86" t="str">
        <f t="shared" si="7"/>
        <v>N/A</v>
      </c>
      <c r="M86" t="str">
        <f t="shared" ca="1" si="8"/>
        <v>N/A</v>
      </c>
      <c r="N86" t="str">
        <f t="shared" ca="1" si="9"/>
        <v>N/A</v>
      </c>
    </row>
    <row r="87" spans="1:14" x14ac:dyDescent="0.3">
      <c r="A87" s="1">
        <v>0</v>
      </c>
      <c r="B87" t="s">
        <v>148</v>
      </c>
      <c r="C87" t="s">
        <v>3227</v>
      </c>
      <c r="F87" t="str">
        <f t="shared" ca="1" si="13"/>
        <v/>
      </c>
      <c r="G87" t="str">
        <f t="shared" ca="1" si="14"/>
        <v>trailing p/e, peg ratio, price/sales, price/book</v>
      </c>
      <c r="I87" t="str">
        <f t="shared" ca="1" si="4"/>
        <v>N/A</v>
      </c>
      <c r="J87">
        <f t="shared" si="5"/>
        <v>68230000</v>
      </c>
      <c r="K87" t="str">
        <f t="shared" si="6"/>
        <v>N/A</v>
      </c>
      <c r="L87" t="str">
        <f t="shared" si="7"/>
        <v>N/A</v>
      </c>
      <c r="M87" t="str">
        <f t="shared" ca="1" si="8"/>
        <v>N/A</v>
      </c>
      <c r="N87" t="str">
        <f t="shared" ca="1" si="9"/>
        <v>N/A</v>
      </c>
    </row>
    <row r="88" spans="1:14" x14ac:dyDescent="0.3">
      <c r="A88" s="1">
        <v>1</v>
      </c>
      <c r="B88" t="s">
        <v>150</v>
      </c>
      <c r="C88" t="s">
        <v>3228</v>
      </c>
      <c r="F88" t="str">
        <f ca="1">IF(F87="",IF(F86="",IF(F85="",IF(F84="",IF(F83="",IF(F82="",IFERROR(LEFT(F81,FIND("(",F81) - 2),F81),IFERROR(LEFT(F82,FIND("(",F82) - 2),F82)),IFERROR(LEFT(F83,FIND("(",F83) - 2),F83)),IFERROR(LEFT(F84,FIND("(",F84) - 2),F84)),IFERROR(LEFT(F85,FIND("(",F85) - 2),F85)),IFERROR(LEFT(F86,FIND("(",F86) - 2),F86)),IFERROR(LEFT(F87,FIND("(",F87) - 2),F87))</f>
        <v>price/book</v>
      </c>
      <c r="G88" t="str">
        <f ca="1">TRIM(IF(LEFT(G87,1)=",",REPLACE(G87,1,1,""),SUBSTITUTE(G87,F88, "and " &amp; F88)))</f>
        <v>trailing p/e, peg ratio, price/sales, and price/book</v>
      </c>
      <c r="I88" t="str">
        <f t="shared" ca="1" si="4"/>
        <v>N/A</v>
      </c>
      <c r="J88">
        <f t="shared" si="5"/>
        <v>8.1999999999999993</v>
      </c>
      <c r="K88" t="str">
        <f t="shared" si="6"/>
        <v>N/A</v>
      </c>
      <c r="L88" t="str">
        <f t="shared" si="7"/>
        <v>N/A</v>
      </c>
      <c r="M88" t="str">
        <f t="shared" ca="1" si="8"/>
        <v>N/A</v>
      </c>
      <c r="N88" t="str">
        <f t="shared" ca="1" si="9"/>
        <v>N/A</v>
      </c>
    </row>
    <row r="89" spans="1:14" x14ac:dyDescent="0.3">
      <c r="A89" s="1">
        <v>2</v>
      </c>
      <c r="B89" t="s">
        <v>152</v>
      </c>
      <c r="C89" t="s">
        <v>3229</v>
      </c>
      <c r="D89" t="str">
        <f ca="1">IF(COUNTIF(E70:E76,"=below average")&gt;0,"There are some indications that "&amp;D1&amp;" may be undervalued. The company has a lower " &amp; G88 &amp; " than the comparable average", "Inconclusive")</f>
        <v>There are some indications that Civista Bancshares may be undervalued. The company has a lower trailing p/e, peg ratio, price/sales, and price/book than the comparable average</v>
      </c>
      <c r="I89" t="str">
        <f t="shared" ca="1" si="4"/>
        <v>N/A</v>
      </c>
      <c r="J89">
        <f t="shared" si="5"/>
        <v>3.1000000000000003E-2</v>
      </c>
      <c r="K89" t="str">
        <f t="shared" ca="1" si="6"/>
        <v>N/A</v>
      </c>
      <c r="L89" t="str">
        <f t="shared" si="7"/>
        <v>N/A</v>
      </c>
      <c r="M89" t="str">
        <f t="shared" si="8"/>
        <v>N/A</v>
      </c>
      <c r="N89" t="str">
        <f t="shared" si="9"/>
        <v>N/A</v>
      </c>
    </row>
    <row r="90" spans="1:14" x14ac:dyDescent="0.3">
      <c r="A90" s="1">
        <v>3</v>
      </c>
      <c r="B90" t="s">
        <v>154</v>
      </c>
      <c r="I90" t="str">
        <f t="shared" si="4"/>
        <v>N/A</v>
      </c>
      <c r="J90" t="str">
        <f t="shared" si="5"/>
        <v>N/A</v>
      </c>
      <c r="K90" t="str">
        <f t="shared" si="6"/>
        <v>N/A</v>
      </c>
      <c r="L90" t="str">
        <f t="shared" si="7"/>
        <v>N/A</v>
      </c>
      <c r="M90" t="str">
        <f t="shared" si="8"/>
        <v>N/A</v>
      </c>
      <c r="N90" t="str">
        <f t="shared" si="9"/>
        <v>N/A</v>
      </c>
    </row>
    <row r="91" spans="1:14" x14ac:dyDescent="0.3">
      <c r="A91" s="1">
        <v>4</v>
      </c>
      <c r="B91" t="s">
        <v>156</v>
      </c>
      <c r="I91" t="str">
        <f t="shared" si="4"/>
        <v>N/A</v>
      </c>
      <c r="J91" t="str">
        <f t="shared" si="5"/>
        <v>N/A</v>
      </c>
      <c r="K91" t="str">
        <f t="shared" si="6"/>
        <v>N/A</v>
      </c>
      <c r="L91" t="str">
        <f t="shared" si="7"/>
        <v>N/A</v>
      </c>
      <c r="M91" t="str">
        <f t="shared" si="8"/>
        <v>N/A</v>
      </c>
      <c r="N91" t="str">
        <f t="shared" si="9"/>
        <v>N/A</v>
      </c>
    </row>
    <row r="92" spans="1:14" x14ac:dyDescent="0.3">
      <c r="A92" s="1">
        <v>5</v>
      </c>
      <c r="B92" t="s">
        <v>158</v>
      </c>
      <c r="C92" t="s">
        <v>3230</v>
      </c>
      <c r="I92" t="str">
        <f t="shared" ref="I92:I123" si="15">IF(AND(K92&gt; J92, L92&gt; K92, M92&gt; L92, N92&gt; M92), "pos_trend", IF(AND(K92&lt; J92, L92&lt; K92, M92&lt; L92, N92&lt; M92), "neg_trend", "N/A"))</f>
        <v>N/A</v>
      </c>
      <c r="J92">
        <f t="shared" ref="J92:J123" si="16">IFERROR(IF(TRIM(C92)="-", "N/A", IF(RIGHT(C92,1)=")",IF(RIGHT(C92,2)="T)",-1000000000000*VALUE(MID(C92,2,LEN(C92)-3)),IF(RIGHT(C92,2)="M)",-1000000*VALUE(MID(C92,2,LEN(C92)-3)),IF(RIGHT(C92,2)="B)",-1000000000*VALUE(MID(C92,2,LEN(C92)-3)),IF(RIGHT(C92,2)="k)",-1000*VALUE(MID(C92,2,LEN(C92)-3)),VALUE(SUBSTITUTE(C92,",","")))))),IF(RIGHT(C92,1)="T",1000000000000*VALUE(LEFT(C92,LEN(C92)-1)),IF(RIGHT(C92,1)="M",1000000*VALUE(LEFT(C92,LEN(C92)-1)),IF(RIGHT(C92,1)="B",1000000000*VALUE(LEFT(C92,LEN(C92)-1)),IF(RIGHT(C92,1)="%",0.01*VALUE(LEFT(C92,LEN(C92)-1)),IF(RIGHT(C92,1)="k",1000*VALUE(LEFT(C92,LEN(C92)-1)),VALUE(SUBSTITUTE(C92,",",""))))))))),"N/A")</f>
        <v>15700000</v>
      </c>
      <c r="K92" t="str">
        <f t="shared" ref="K92:K123" si="17">IFERROR(IF(TRIM(D92)="-", "N/A", IF(RIGHT(D92,1)=")",IF(RIGHT(D92,2)="T)",-1000000000000*VALUE(MID(D92,2,LEN(D92)-3)),IF(RIGHT(D92,2)="M)",-1000000*VALUE(MID(D92,2,LEN(D92)-3)),IF(RIGHT(D92,2)="B)",-1000000000*VALUE(MID(D92,2,LEN(D92)-3)),IF(RIGHT(D92,2)="k)",-1000*VALUE(MID(D92,2,LEN(D92)-3)),VALUE(SUBSTITUTE(D92,",","")))))),IF(RIGHT(D92,1)="T",1000000000000*VALUE(LEFT(D92,LEN(D92)-1)),IF(RIGHT(D92,1)="M",1000000*VALUE(LEFT(D92,LEN(D92)-1)),IF(RIGHT(D92,1)="B",1000000000*VALUE(LEFT(D92,LEN(D92)-1)),IF(RIGHT(D92,1)="%",0.01*VALUE(LEFT(D92,LEN(D92)-1)),IF(RIGHT(D92,1)="k",1000*VALUE(LEFT(D92,LEN(D92)-1)),VALUE(SUBSTITUTE(D92,",",""))))))))),"N/A")</f>
        <v>N/A</v>
      </c>
      <c r="L92" t="str">
        <f t="shared" ref="L92:L123" si="18">IFERROR(IF(TRIM(E92)="-", "N/A", IF(RIGHT(E92,1)=")",IF(RIGHT(E92,2)="T)",-1000000000000*VALUE(MID(E92,2,LEN(E92)-3)),IF(RIGHT(E92,2)="M)",-1000000*VALUE(MID(E92,2,LEN(E92)-3)),IF(RIGHT(E92,2)="B)",-1000000000*VALUE(MID(E92,2,LEN(E92)-3)),IF(RIGHT(E92,2)="k)",-1000*VALUE(MID(E92,2,LEN(E92)-3)),VALUE(SUBSTITUTE(E92,",","")))))),IF(RIGHT(E92,1)="T",1000000000000*VALUE(LEFT(E92,LEN(E92)-1)),IF(RIGHT(E92,1)="M",1000000*VALUE(LEFT(E92,LEN(E92)-1)),IF(RIGHT(E92,1)="B",1000000000*VALUE(LEFT(E92,LEN(E92)-1)),IF(RIGHT(E92,1)="%",0.01*VALUE(LEFT(E92,LEN(E92)-1)),IF(RIGHT(E92,1)="k",1000*VALUE(LEFT(E92,LEN(E92)-1)),VALUE(SUBSTITUTE(E92,",",""))))))))),"N/A")</f>
        <v>N/A</v>
      </c>
      <c r="M92" t="str">
        <f t="shared" ref="M92:M123" si="19">IFERROR(IF(TRIM(F92)="-", "N/A", IF(RIGHT(F92,1)=")",IF(RIGHT(F92,2)="T)",-1000000000000*VALUE(MID(F92,2,LEN(F92)-3)),IF(RIGHT(F92,2)="M)",-1000000*VALUE(MID(F92,2,LEN(F92)-3)),IF(RIGHT(F92,2)="B)",-1000000000*VALUE(MID(F92,2,LEN(F92)-3)),IF(RIGHT(F92,2)="k)",-1000*VALUE(MID(F92,2,LEN(F92)-3)),VALUE(SUBSTITUTE(F92,",","")))))),IF(RIGHT(F92,1)="T",1000000000000*VALUE(LEFT(F92,LEN(F92)-1)),IF(RIGHT(F92,1)="M",1000000*VALUE(LEFT(F92,LEN(F92)-1)),IF(RIGHT(F92,1)="B",1000000000*VALUE(LEFT(F92,LEN(F92)-1)),IF(RIGHT(F92,1)="%",0.01*VALUE(LEFT(F92,LEN(F92)-1)),IF(RIGHT(F92,1)="k",1000*VALUE(LEFT(F92,LEN(F92)-1)),VALUE(SUBSTITUTE(F92,",",""))))))))),"N/A")</f>
        <v>N/A</v>
      </c>
      <c r="N92" t="str">
        <f t="shared" ref="N92:N123" si="20">IFERROR(IF(TRIM(G92)="-", "N/A", IF(RIGHT(G92,1)=")",IF(RIGHT(G92,2)="T)",-1000000000000*VALUE(MID(G92,2,LEN(G92)-3)),IF(RIGHT(G92,2)="M)",-1000000*VALUE(MID(G92,2,LEN(G92)-3)),IF(RIGHT(G92,2)="B)",-1000000000*VALUE(MID(G92,2,LEN(G92)-3)),IF(RIGHT(G92,2)="k)",-1000*VALUE(MID(G92,2,LEN(G92)-3)),VALUE(SUBSTITUTE(G92,",","")))))),IF(RIGHT(G92,1)="T",1000000000000*VALUE(LEFT(G92,LEN(G92)-1)),IF(RIGHT(G92,1)="M",1000000*VALUE(LEFT(G92,LEN(G92)-1)),IF(RIGHT(G92,1)="B",1000000000*VALUE(LEFT(G92,LEN(G92)-1)),IF(RIGHT(G92,1)="%",0.01*VALUE(LEFT(G92,LEN(G92)-1)),IF(RIGHT(G92,1)="k",1000*VALUE(LEFT(G92,LEN(G92)-1)),VALUE(SUBSTITUTE(G92,",",""))))))))),"N/A")</f>
        <v>N/A</v>
      </c>
    </row>
    <row r="93" spans="1:14" x14ac:dyDescent="0.3">
      <c r="A93" s="1">
        <v>6</v>
      </c>
      <c r="B93" t="s">
        <v>160</v>
      </c>
      <c r="C93" t="s">
        <v>3183</v>
      </c>
      <c r="I93" t="str">
        <f t="shared" si="15"/>
        <v>N/A</v>
      </c>
      <c r="J93">
        <f t="shared" si="16"/>
        <v>1.54</v>
      </c>
      <c r="K93" t="str">
        <f t="shared" si="17"/>
        <v>N/A</v>
      </c>
      <c r="L93" t="str">
        <f t="shared" si="18"/>
        <v>N/A</v>
      </c>
      <c r="M93" t="str">
        <f t="shared" si="19"/>
        <v>N/A</v>
      </c>
      <c r="N93" t="str">
        <f t="shared" si="20"/>
        <v>N/A</v>
      </c>
    </row>
    <row r="94" spans="1:14" x14ac:dyDescent="0.3">
      <c r="A94" s="1">
        <v>7</v>
      </c>
      <c r="B94" t="s">
        <v>161</v>
      </c>
      <c r="C94" t="s">
        <v>822</v>
      </c>
      <c r="I94" t="str">
        <f t="shared" si="15"/>
        <v>N/A</v>
      </c>
      <c r="J94">
        <f t="shared" si="16"/>
        <v>-1.9E-2</v>
      </c>
      <c r="K94" t="str">
        <f t="shared" si="17"/>
        <v>N/A</v>
      </c>
      <c r="L94" t="str">
        <f t="shared" si="18"/>
        <v>N/A</v>
      </c>
      <c r="M94" t="str">
        <f t="shared" si="19"/>
        <v>N/A</v>
      </c>
      <c r="N94" t="str">
        <f t="shared" si="20"/>
        <v>N/A</v>
      </c>
    </row>
    <row r="95" spans="1:14" x14ac:dyDescent="0.3">
      <c r="I95" t="str">
        <f t="shared" si="15"/>
        <v>N/A</v>
      </c>
      <c r="J95" t="str">
        <f t="shared" si="16"/>
        <v>N/A</v>
      </c>
      <c r="K95" t="str">
        <f t="shared" si="17"/>
        <v>N/A</v>
      </c>
      <c r="L95" t="str">
        <f t="shared" si="18"/>
        <v>N/A</v>
      </c>
      <c r="M95" t="str">
        <f t="shared" si="19"/>
        <v>N/A</v>
      </c>
      <c r="N95" t="str">
        <f t="shared" si="20"/>
        <v>N/A</v>
      </c>
    </row>
    <row r="96" spans="1:14" x14ac:dyDescent="0.3">
      <c r="A96" s="1">
        <v>0</v>
      </c>
      <c r="B96" t="s">
        <v>163</v>
      </c>
      <c r="C96" t="s">
        <v>3231</v>
      </c>
      <c r="I96" t="str">
        <f t="shared" si="15"/>
        <v>N/A</v>
      </c>
      <c r="J96">
        <f t="shared" si="16"/>
        <v>125820000</v>
      </c>
      <c r="K96" t="str">
        <f t="shared" si="17"/>
        <v>N/A</v>
      </c>
      <c r="L96" t="str">
        <f t="shared" si="18"/>
        <v>N/A</v>
      </c>
      <c r="M96" t="str">
        <f t="shared" si="19"/>
        <v>N/A</v>
      </c>
      <c r="N96" t="str">
        <f t="shared" si="20"/>
        <v>N/A</v>
      </c>
    </row>
    <row r="97" spans="1:14" x14ac:dyDescent="0.3">
      <c r="A97" s="1">
        <v>1</v>
      </c>
      <c r="B97" t="s">
        <v>165</v>
      </c>
      <c r="C97" t="s">
        <v>3232</v>
      </c>
      <c r="I97" t="str">
        <f t="shared" si="15"/>
        <v>N/A</v>
      </c>
      <c r="J97">
        <f t="shared" si="16"/>
        <v>12.39</v>
      </c>
      <c r="K97" t="str">
        <f t="shared" si="17"/>
        <v>N/A</v>
      </c>
      <c r="L97" t="str">
        <f t="shared" si="18"/>
        <v>N/A</v>
      </c>
      <c r="M97" t="str">
        <f t="shared" si="19"/>
        <v>N/A</v>
      </c>
      <c r="N97" t="str">
        <f t="shared" si="20"/>
        <v>N/A</v>
      </c>
    </row>
    <row r="98" spans="1:14" x14ac:dyDescent="0.3">
      <c r="A98" s="1">
        <v>2</v>
      </c>
      <c r="B98" t="s">
        <v>167</v>
      </c>
      <c r="C98" t="s">
        <v>3233</v>
      </c>
      <c r="I98" t="str">
        <f t="shared" si="15"/>
        <v>N/A</v>
      </c>
      <c r="J98">
        <f t="shared" si="16"/>
        <v>68100000</v>
      </c>
      <c r="K98" t="str">
        <f t="shared" si="17"/>
        <v>N/A</v>
      </c>
      <c r="L98" t="str">
        <f t="shared" si="18"/>
        <v>N/A</v>
      </c>
      <c r="M98" t="str">
        <f t="shared" si="19"/>
        <v>N/A</v>
      </c>
      <c r="N98" t="str">
        <f t="shared" si="20"/>
        <v>N/A</v>
      </c>
    </row>
    <row r="99" spans="1:14" x14ac:dyDescent="0.3">
      <c r="A99" s="1">
        <v>3</v>
      </c>
      <c r="B99" t="s">
        <v>169</v>
      </c>
      <c r="I99" t="str">
        <f t="shared" si="15"/>
        <v>N/A</v>
      </c>
      <c r="J99" t="str">
        <f t="shared" si="16"/>
        <v>N/A</v>
      </c>
      <c r="K99" t="str">
        <f t="shared" si="17"/>
        <v>N/A</v>
      </c>
      <c r="L99" t="str">
        <f t="shared" si="18"/>
        <v>N/A</v>
      </c>
      <c r="M99" t="str">
        <f t="shared" si="19"/>
        <v>N/A</v>
      </c>
      <c r="N99" t="str">
        <f t="shared" si="20"/>
        <v>N/A</v>
      </c>
    </row>
    <row r="100" spans="1:14" x14ac:dyDescent="0.3">
      <c r="A100" s="1">
        <v>4</v>
      </c>
      <c r="B100" t="s">
        <v>171</v>
      </c>
      <c r="I100" t="str">
        <f t="shared" si="15"/>
        <v>N/A</v>
      </c>
      <c r="J100" t="str">
        <f t="shared" si="16"/>
        <v>N/A</v>
      </c>
      <c r="K100" t="str">
        <f t="shared" si="17"/>
        <v>N/A</v>
      </c>
      <c r="L100" t="str">
        <f t="shared" si="18"/>
        <v>N/A</v>
      </c>
      <c r="M100" t="str">
        <f t="shared" si="19"/>
        <v>N/A</v>
      </c>
      <c r="N100" t="str">
        <f t="shared" si="20"/>
        <v>N/A</v>
      </c>
    </row>
    <row r="101" spans="1:14" x14ac:dyDescent="0.3">
      <c r="A101" s="1">
        <v>5</v>
      </c>
      <c r="B101" t="s">
        <v>173</v>
      </c>
      <c r="C101" t="s">
        <v>3234</v>
      </c>
      <c r="I101" t="str">
        <f t="shared" si="15"/>
        <v>N/A</v>
      </c>
      <c r="J101">
        <f t="shared" si="16"/>
        <v>15.48</v>
      </c>
      <c r="K101" t="str">
        <f t="shared" si="17"/>
        <v>N/A</v>
      </c>
      <c r="L101" t="str">
        <f t="shared" si="18"/>
        <v>N/A</v>
      </c>
      <c r="M101" t="str">
        <f t="shared" si="19"/>
        <v>N/A</v>
      </c>
      <c r="N101" t="str">
        <f t="shared" si="20"/>
        <v>N/A</v>
      </c>
    </row>
    <row r="102" spans="1:14" x14ac:dyDescent="0.3">
      <c r="I102" t="str">
        <f t="shared" si="15"/>
        <v>N/A</v>
      </c>
      <c r="J102" t="str">
        <f t="shared" si="16"/>
        <v>N/A</v>
      </c>
      <c r="K102" t="str">
        <f t="shared" si="17"/>
        <v>N/A</v>
      </c>
      <c r="L102" t="str">
        <f t="shared" si="18"/>
        <v>N/A</v>
      </c>
      <c r="M102" t="str">
        <f t="shared" si="19"/>
        <v>N/A</v>
      </c>
      <c r="N102" t="str">
        <f t="shared" si="20"/>
        <v>N/A</v>
      </c>
    </row>
    <row r="103" spans="1:14" x14ac:dyDescent="0.3">
      <c r="A103" s="1">
        <v>0</v>
      </c>
      <c r="B103" t="s">
        <v>175</v>
      </c>
      <c r="C103" t="s">
        <v>3235</v>
      </c>
      <c r="I103" t="str">
        <f t="shared" si="15"/>
        <v>N/A</v>
      </c>
      <c r="J103">
        <f t="shared" si="16"/>
        <v>9080000</v>
      </c>
      <c r="K103" t="str">
        <f t="shared" si="17"/>
        <v>N/A</v>
      </c>
      <c r="L103" t="str">
        <f t="shared" si="18"/>
        <v>N/A</v>
      </c>
      <c r="M103" t="str">
        <f t="shared" si="19"/>
        <v>N/A</v>
      </c>
      <c r="N103" t="str">
        <f t="shared" si="20"/>
        <v>N/A</v>
      </c>
    </row>
    <row r="104" spans="1:14" x14ac:dyDescent="0.3">
      <c r="A104" s="1">
        <v>1</v>
      </c>
      <c r="B104" t="s">
        <v>177</v>
      </c>
      <c r="I104" t="str">
        <f t="shared" si="15"/>
        <v>N/A</v>
      </c>
      <c r="J104" t="str">
        <f t="shared" si="16"/>
        <v>N/A</v>
      </c>
      <c r="K104" t="str">
        <f t="shared" si="17"/>
        <v>N/A</v>
      </c>
      <c r="L104" t="str">
        <f t="shared" si="18"/>
        <v>N/A</v>
      </c>
      <c r="M104" t="str">
        <f t="shared" si="19"/>
        <v>N/A</v>
      </c>
      <c r="N104" t="str">
        <f t="shared" si="20"/>
        <v>N/A</v>
      </c>
    </row>
    <row r="105" spans="1:14" x14ac:dyDescent="0.3">
      <c r="I105" t="str">
        <f t="shared" si="15"/>
        <v>N/A</v>
      </c>
      <c r="J105" t="str">
        <f t="shared" si="16"/>
        <v>N/A</v>
      </c>
      <c r="K105" t="str">
        <f t="shared" si="17"/>
        <v>N/A</v>
      </c>
      <c r="L105" t="str">
        <f t="shared" si="18"/>
        <v>N/A</v>
      </c>
      <c r="M105" t="str">
        <f t="shared" si="19"/>
        <v>N/A</v>
      </c>
      <c r="N105" t="str">
        <f t="shared" si="20"/>
        <v>N/A</v>
      </c>
    </row>
    <row r="106" spans="1:14" x14ac:dyDescent="0.3">
      <c r="A106" s="1">
        <v>0</v>
      </c>
      <c r="B106" t="s">
        <v>22</v>
      </c>
      <c r="C106" t="s">
        <v>3181</v>
      </c>
      <c r="I106" t="str">
        <f t="shared" si="15"/>
        <v>N/A</v>
      </c>
      <c r="J106">
        <f t="shared" si="16"/>
        <v>0.68</v>
      </c>
      <c r="K106" t="str">
        <f t="shared" si="17"/>
        <v>N/A</v>
      </c>
      <c r="L106" t="str">
        <f t="shared" si="18"/>
        <v>N/A</v>
      </c>
      <c r="M106" t="str">
        <f t="shared" si="19"/>
        <v>N/A</v>
      </c>
      <c r="N106" t="str">
        <f t="shared" si="20"/>
        <v>N/A</v>
      </c>
    </row>
    <row r="107" spans="1:14" x14ac:dyDescent="0.3">
      <c r="A107" s="1">
        <v>1</v>
      </c>
      <c r="B107" t="s">
        <v>179</v>
      </c>
      <c r="C107" t="s">
        <v>3236</v>
      </c>
      <c r="I107" t="str">
        <f t="shared" si="15"/>
        <v>N/A</v>
      </c>
      <c r="J107">
        <f t="shared" si="16"/>
        <v>0.49820000000000003</v>
      </c>
      <c r="K107" t="str">
        <f t="shared" si="17"/>
        <v>N/A</v>
      </c>
      <c r="L107" t="str">
        <f t="shared" si="18"/>
        <v>N/A</v>
      </c>
      <c r="M107" t="str">
        <f t="shared" si="19"/>
        <v>N/A</v>
      </c>
      <c r="N107" t="str">
        <f t="shared" si="20"/>
        <v>N/A</v>
      </c>
    </row>
    <row r="108" spans="1:14" x14ac:dyDescent="0.3">
      <c r="A108" s="1">
        <v>2</v>
      </c>
      <c r="B108" t="s">
        <v>181</v>
      </c>
      <c r="C108" t="s">
        <v>182</v>
      </c>
      <c r="I108" t="str">
        <f t="shared" si="15"/>
        <v>N/A</v>
      </c>
      <c r="J108">
        <f t="shared" si="16"/>
        <v>0.14180000000000001</v>
      </c>
      <c r="K108" t="str">
        <f t="shared" si="17"/>
        <v>N/A</v>
      </c>
      <c r="L108" t="str">
        <f t="shared" si="18"/>
        <v>N/A</v>
      </c>
      <c r="M108" t="str">
        <f t="shared" si="19"/>
        <v>N/A</v>
      </c>
      <c r="N108" t="str">
        <f t="shared" si="20"/>
        <v>N/A</v>
      </c>
    </row>
    <row r="109" spans="1:14" x14ac:dyDescent="0.3">
      <c r="A109" s="1">
        <v>3</v>
      </c>
      <c r="B109" t="s">
        <v>183</v>
      </c>
      <c r="C109" t="s">
        <v>3237</v>
      </c>
      <c r="I109" t="str">
        <f t="shared" si="15"/>
        <v>N/A</v>
      </c>
      <c r="J109">
        <f t="shared" si="16"/>
        <v>23.75</v>
      </c>
      <c r="K109" t="str">
        <f t="shared" si="17"/>
        <v>N/A</v>
      </c>
      <c r="L109" t="str">
        <f t="shared" si="18"/>
        <v>N/A</v>
      </c>
      <c r="M109" t="str">
        <f t="shared" si="19"/>
        <v>N/A</v>
      </c>
      <c r="N109" t="str">
        <f t="shared" si="20"/>
        <v>N/A</v>
      </c>
    </row>
    <row r="110" spans="1:14" x14ac:dyDescent="0.3">
      <c r="A110" s="1">
        <v>4</v>
      </c>
      <c r="B110" t="s">
        <v>185</v>
      </c>
      <c r="C110" t="s">
        <v>3238</v>
      </c>
      <c r="I110" t="str">
        <f t="shared" si="15"/>
        <v>N/A</v>
      </c>
      <c r="J110">
        <f t="shared" si="16"/>
        <v>12.99</v>
      </c>
      <c r="K110" t="str">
        <f t="shared" si="17"/>
        <v>N/A</v>
      </c>
      <c r="L110" t="str">
        <f t="shared" si="18"/>
        <v>N/A</v>
      </c>
      <c r="M110" t="str">
        <f t="shared" si="19"/>
        <v>N/A</v>
      </c>
      <c r="N110" t="str">
        <f t="shared" si="20"/>
        <v>N/A</v>
      </c>
    </row>
    <row r="111" spans="1:14" x14ac:dyDescent="0.3">
      <c r="A111" s="1">
        <v>5</v>
      </c>
      <c r="B111" t="s">
        <v>187</v>
      </c>
      <c r="C111" t="s">
        <v>3239</v>
      </c>
      <c r="I111" t="str">
        <f t="shared" si="15"/>
        <v>N/A</v>
      </c>
      <c r="J111">
        <f t="shared" si="16"/>
        <v>20.66</v>
      </c>
      <c r="K111" t="str">
        <f t="shared" si="17"/>
        <v>N/A</v>
      </c>
      <c r="L111" t="str">
        <f t="shared" si="18"/>
        <v>N/A</v>
      </c>
      <c r="M111" t="str">
        <f t="shared" si="19"/>
        <v>N/A</v>
      </c>
      <c r="N111" t="str">
        <f t="shared" si="20"/>
        <v>N/A</v>
      </c>
    </row>
    <row r="112" spans="1:14" x14ac:dyDescent="0.3">
      <c r="A112" s="1">
        <v>6</v>
      </c>
      <c r="B112" t="s">
        <v>189</v>
      </c>
      <c r="C112" t="s">
        <v>3240</v>
      </c>
      <c r="I112" t="str">
        <f t="shared" si="15"/>
        <v>N/A</v>
      </c>
      <c r="J112">
        <f t="shared" si="16"/>
        <v>21.34</v>
      </c>
      <c r="K112" t="str">
        <f t="shared" si="17"/>
        <v>N/A</v>
      </c>
      <c r="L112" t="str">
        <f t="shared" si="18"/>
        <v>N/A</v>
      </c>
      <c r="M112" t="str">
        <f t="shared" si="19"/>
        <v>N/A</v>
      </c>
      <c r="N112" t="str">
        <f t="shared" si="20"/>
        <v>N/A</v>
      </c>
    </row>
    <row r="113" spans="1:14" x14ac:dyDescent="0.3">
      <c r="I113" t="str">
        <f t="shared" si="15"/>
        <v>N/A</v>
      </c>
      <c r="J113" t="str">
        <f t="shared" si="16"/>
        <v>N/A</v>
      </c>
      <c r="K113" t="str">
        <f t="shared" si="17"/>
        <v>N/A</v>
      </c>
      <c r="L113" t="str">
        <f t="shared" si="18"/>
        <v>N/A</v>
      </c>
      <c r="M113" t="str">
        <f t="shared" si="19"/>
        <v>N/A</v>
      </c>
      <c r="N113" t="str">
        <f t="shared" si="20"/>
        <v>N/A</v>
      </c>
    </row>
    <row r="114" spans="1:14" x14ac:dyDescent="0.3">
      <c r="A114" s="1">
        <v>0</v>
      </c>
      <c r="B114" t="s">
        <v>191</v>
      </c>
      <c r="C114" t="s">
        <v>3241</v>
      </c>
      <c r="I114" t="str">
        <f t="shared" si="15"/>
        <v>N/A</v>
      </c>
      <c r="J114">
        <f t="shared" si="16"/>
        <v>59000</v>
      </c>
      <c r="K114" t="str">
        <f t="shared" si="17"/>
        <v>N/A</v>
      </c>
      <c r="L114" t="str">
        <f t="shared" si="18"/>
        <v>N/A</v>
      </c>
      <c r="M114" t="str">
        <f t="shared" si="19"/>
        <v>N/A</v>
      </c>
      <c r="N114" t="str">
        <f t="shared" si="20"/>
        <v>N/A</v>
      </c>
    </row>
    <row r="115" spans="1:14" x14ac:dyDescent="0.3">
      <c r="A115" s="1">
        <v>1</v>
      </c>
      <c r="B115" t="s">
        <v>193</v>
      </c>
      <c r="C115" t="s">
        <v>3242</v>
      </c>
      <c r="I115" t="str">
        <f t="shared" si="15"/>
        <v>N/A</v>
      </c>
      <c r="J115">
        <f t="shared" si="16"/>
        <v>50140</v>
      </c>
      <c r="K115" t="str">
        <f t="shared" si="17"/>
        <v>N/A</v>
      </c>
      <c r="L115" t="str">
        <f t="shared" si="18"/>
        <v>N/A</v>
      </c>
      <c r="M115" t="str">
        <f t="shared" si="19"/>
        <v>N/A</v>
      </c>
      <c r="N115" t="str">
        <f t="shared" si="20"/>
        <v>N/A</v>
      </c>
    </row>
    <row r="116" spans="1:14" x14ac:dyDescent="0.3">
      <c r="A116" s="1">
        <v>2</v>
      </c>
      <c r="B116" t="s">
        <v>195</v>
      </c>
      <c r="C116" t="s">
        <v>3243</v>
      </c>
      <c r="I116" t="str">
        <f t="shared" si="15"/>
        <v>N/A</v>
      </c>
      <c r="J116">
        <f t="shared" si="16"/>
        <v>10160000</v>
      </c>
      <c r="K116" t="str">
        <f t="shared" si="17"/>
        <v>N/A</v>
      </c>
      <c r="L116" t="str">
        <f t="shared" si="18"/>
        <v>N/A</v>
      </c>
      <c r="M116" t="str">
        <f t="shared" si="19"/>
        <v>N/A</v>
      </c>
      <c r="N116" t="str">
        <f t="shared" si="20"/>
        <v>N/A</v>
      </c>
    </row>
    <row r="117" spans="1:14" x14ac:dyDescent="0.3">
      <c r="A117" s="1">
        <v>3</v>
      </c>
      <c r="B117" t="s">
        <v>197</v>
      </c>
      <c r="C117" t="s">
        <v>3244</v>
      </c>
      <c r="I117" t="str">
        <f t="shared" si="15"/>
        <v>N/A</v>
      </c>
      <c r="J117">
        <f t="shared" si="16"/>
        <v>8970000</v>
      </c>
      <c r="K117" t="str">
        <f t="shared" si="17"/>
        <v>N/A</v>
      </c>
      <c r="L117" t="str">
        <f t="shared" si="18"/>
        <v>N/A</v>
      </c>
      <c r="M117" t="str">
        <f t="shared" si="19"/>
        <v>N/A</v>
      </c>
      <c r="N117" t="str">
        <f t="shared" si="20"/>
        <v>N/A</v>
      </c>
    </row>
    <row r="118" spans="1:14" x14ac:dyDescent="0.3">
      <c r="A118" s="1">
        <v>4</v>
      </c>
      <c r="B118" t="s">
        <v>199</v>
      </c>
      <c r="C118" t="s">
        <v>3245</v>
      </c>
      <c r="I118" t="str">
        <f t="shared" si="15"/>
        <v>N/A</v>
      </c>
      <c r="J118">
        <f t="shared" si="16"/>
        <v>8.4400000000000003E-2</v>
      </c>
      <c r="K118" t="str">
        <f t="shared" si="17"/>
        <v>N/A</v>
      </c>
      <c r="L118" t="str">
        <f t="shared" si="18"/>
        <v>N/A</v>
      </c>
      <c r="M118" t="str">
        <f t="shared" si="19"/>
        <v>N/A</v>
      </c>
      <c r="N118" t="str">
        <f t="shared" si="20"/>
        <v>N/A</v>
      </c>
    </row>
    <row r="119" spans="1:14" x14ac:dyDescent="0.3">
      <c r="A119" s="1">
        <v>5</v>
      </c>
      <c r="B119" t="s">
        <v>201</v>
      </c>
      <c r="C119" t="s">
        <v>3246</v>
      </c>
      <c r="I119" t="str">
        <f t="shared" si="15"/>
        <v>N/A</v>
      </c>
      <c r="J119">
        <f t="shared" si="16"/>
        <v>8.199999999999999E-2</v>
      </c>
      <c r="K119" t="str">
        <f t="shared" si="17"/>
        <v>N/A</v>
      </c>
      <c r="L119" t="str">
        <f t="shared" si="18"/>
        <v>N/A</v>
      </c>
      <c r="M119" t="str">
        <f t="shared" si="19"/>
        <v>N/A</v>
      </c>
      <c r="N119" t="str">
        <f t="shared" si="20"/>
        <v>N/A</v>
      </c>
    </row>
    <row r="120" spans="1:14" x14ac:dyDescent="0.3">
      <c r="A120" s="1">
        <v>6</v>
      </c>
      <c r="B120" t="s">
        <v>203</v>
      </c>
      <c r="C120" t="s">
        <v>3247</v>
      </c>
      <c r="I120" t="str">
        <f t="shared" si="15"/>
        <v>N/A</v>
      </c>
      <c r="J120">
        <f t="shared" si="16"/>
        <v>52320</v>
      </c>
      <c r="K120" t="str">
        <f t="shared" si="17"/>
        <v>N/A</v>
      </c>
      <c r="L120" t="str">
        <f t="shared" si="18"/>
        <v>N/A</v>
      </c>
      <c r="M120" t="str">
        <f t="shared" si="19"/>
        <v>N/A</v>
      </c>
      <c r="N120" t="str">
        <f t="shared" si="20"/>
        <v>N/A</v>
      </c>
    </row>
    <row r="121" spans="1:14" x14ac:dyDescent="0.3">
      <c r="A121" s="1">
        <v>7</v>
      </c>
      <c r="B121" t="s">
        <v>205</v>
      </c>
      <c r="C121" t="s">
        <v>3248</v>
      </c>
      <c r="I121" t="str">
        <f t="shared" si="15"/>
        <v>N/A</v>
      </c>
      <c r="J121">
        <f t="shared" si="16"/>
        <v>6.05</v>
      </c>
      <c r="K121" t="str">
        <f t="shared" si="17"/>
        <v>N/A</v>
      </c>
      <c r="L121" t="str">
        <f t="shared" si="18"/>
        <v>N/A</v>
      </c>
      <c r="M121" t="str">
        <f t="shared" si="19"/>
        <v>N/A</v>
      </c>
      <c r="N121" t="str">
        <f t="shared" si="20"/>
        <v>N/A</v>
      </c>
    </row>
    <row r="122" spans="1:14" x14ac:dyDescent="0.3">
      <c r="A122" s="1">
        <v>8</v>
      </c>
      <c r="B122" t="s">
        <v>207</v>
      </c>
      <c r="C122" t="s">
        <v>3249</v>
      </c>
      <c r="I122" t="str">
        <f t="shared" si="15"/>
        <v>N/A</v>
      </c>
      <c r="J122">
        <f t="shared" si="16"/>
        <v>6.4000000000000003E-3</v>
      </c>
      <c r="K122" t="str">
        <f t="shared" si="17"/>
        <v>N/A</v>
      </c>
      <c r="L122" t="str">
        <f t="shared" si="18"/>
        <v>N/A</v>
      </c>
      <c r="M122" t="str">
        <f t="shared" si="19"/>
        <v>N/A</v>
      </c>
      <c r="N122" t="str">
        <f t="shared" si="20"/>
        <v>N/A</v>
      </c>
    </row>
    <row r="123" spans="1:14" x14ac:dyDescent="0.3">
      <c r="A123" s="1">
        <v>9</v>
      </c>
      <c r="B123" t="s">
        <v>209</v>
      </c>
      <c r="C123" t="s">
        <v>3250</v>
      </c>
      <c r="I123" t="str">
        <f t="shared" si="15"/>
        <v>N/A</v>
      </c>
      <c r="J123">
        <f t="shared" si="16"/>
        <v>600040</v>
      </c>
      <c r="K123" t="str">
        <f t="shared" si="17"/>
        <v>N/A</v>
      </c>
      <c r="L123" t="str">
        <f t="shared" si="18"/>
        <v>N/A</v>
      </c>
      <c r="M123" t="str">
        <f t="shared" si="19"/>
        <v>N/A</v>
      </c>
      <c r="N123" t="str">
        <f t="shared" si="20"/>
        <v>N/A</v>
      </c>
    </row>
    <row r="124" spans="1:14" x14ac:dyDescent="0.3">
      <c r="I124" t="str">
        <f t="shared" ref="I124:I155" si="21">IF(AND(K124&gt; J124, L124&gt; K124, M124&gt; L124, N124&gt; M124), "pos_trend", IF(AND(K124&lt; J124, L124&lt; K124, M124&lt; L124, N124&lt; M124), "neg_trend", "N/A"))</f>
        <v>N/A</v>
      </c>
      <c r="J124" t="str">
        <f t="shared" ref="J124:J156" si="22">IFERROR(IF(TRIM(C124)="-", "N/A", IF(RIGHT(C124,1)=")",IF(RIGHT(C124,2)="T)",-1000000000000*VALUE(MID(C124,2,LEN(C124)-3)),IF(RIGHT(C124,2)="M)",-1000000*VALUE(MID(C124,2,LEN(C124)-3)),IF(RIGHT(C124,2)="B)",-1000000000*VALUE(MID(C124,2,LEN(C124)-3)),IF(RIGHT(C124,2)="k)",-1000*VALUE(MID(C124,2,LEN(C124)-3)),VALUE(SUBSTITUTE(C124,",","")))))),IF(RIGHT(C124,1)="T",1000000000000*VALUE(LEFT(C124,LEN(C124)-1)),IF(RIGHT(C124,1)="M",1000000*VALUE(LEFT(C124,LEN(C124)-1)),IF(RIGHT(C124,1)="B",1000000000*VALUE(LEFT(C124,LEN(C124)-1)),IF(RIGHT(C124,1)="%",0.01*VALUE(LEFT(C124,LEN(C124)-1)),IF(RIGHT(C124,1)="k",1000*VALUE(LEFT(C124,LEN(C124)-1)),VALUE(SUBSTITUTE(C124,",",""))))))))),"N/A")</f>
        <v>N/A</v>
      </c>
      <c r="K124" t="str">
        <f t="shared" ref="K124:K156" si="23">IFERROR(IF(TRIM(D124)="-", "N/A", IF(RIGHT(D124,1)=")",IF(RIGHT(D124,2)="T)",-1000000000000*VALUE(MID(D124,2,LEN(D124)-3)),IF(RIGHT(D124,2)="M)",-1000000*VALUE(MID(D124,2,LEN(D124)-3)),IF(RIGHT(D124,2)="B)",-1000000000*VALUE(MID(D124,2,LEN(D124)-3)),IF(RIGHT(D124,2)="k)",-1000*VALUE(MID(D124,2,LEN(D124)-3)),VALUE(SUBSTITUTE(D124,",","")))))),IF(RIGHT(D124,1)="T",1000000000000*VALUE(LEFT(D124,LEN(D124)-1)),IF(RIGHT(D124,1)="M",1000000*VALUE(LEFT(D124,LEN(D124)-1)),IF(RIGHT(D124,1)="B",1000000000*VALUE(LEFT(D124,LEN(D124)-1)),IF(RIGHT(D124,1)="%",0.01*VALUE(LEFT(D124,LEN(D124)-1)),IF(RIGHT(D124,1)="k",1000*VALUE(LEFT(D124,LEN(D124)-1)),VALUE(SUBSTITUTE(D124,",",""))))))))),"N/A")</f>
        <v>N/A</v>
      </c>
      <c r="L124" t="str">
        <f t="shared" ref="L124:L156" si="24">IFERROR(IF(TRIM(E124)="-", "N/A", IF(RIGHT(E124,1)=")",IF(RIGHT(E124,2)="T)",-1000000000000*VALUE(MID(E124,2,LEN(E124)-3)),IF(RIGHT(E124,2)="M)",-1000000*VALUE(MID(E124,2,LEN(E124)-3)),IF(RIGHT(E124,2)="B)",-1000000000*VALUE(MID(E124,2,LEN(E124)-3)),IF(RIGHT(E124,2)="k)",-1000*VALUE(MID(E124,2,LEN(E124)-3)),VALUE(SUBSTITUTE(E124,",","")))))),IF(RIGHT(E124,1)="T",1000000000000*VALUE(LEFT(E124,LEN(E124)-1)),IF(RIGHT(E124,1)="M",1000000*VALUE(LEFT(E124,LEN(E124)-1)),IF(RIGHT(E124,1)="B",1000000000*VALUE(LEFT(E124,LEN(E124)-1)),IF(RIGHT(E124,1)="%",0.01*VALUE(LEFT(E124,LEN(E124)-1)),IF(RIGHT(E124,1)="k",1000*VALUE(LEFT(E124,LEN(E124)-1)),VALUE(SUBSTITUTE(E124,",",""))))))))),"N/A")</f>
        <v>N/A</v>
      </c>
      <c r="M124" t="str">
        <f t="shared" ref="M124:M156" si="25">IFERROR(IF(TRIM(F124)="-", "N/A", IF(RIGHT(F124,1)=")",IF(RIGHT(F124,2)="T)",-1000000000000*VALUE(MID(F124,2,LEN(F124)-3)),IF(RIGHT(F124,2)="M)",-1000000*VALUE(MID(F124,2,LEN(F124)-3)),IF(RIGHT(F124,2)="B)",-1000000000*VALUE(MID(F124,2,LEN(F124)-3)),IF(RIGHT(F124,2)="k)",-1000*VALUE(MID(F124,2,LEN(F124)-3)),VALUE(SUBSTITUTE(F124,",","")))))),IF(RIGHT(F124,1)="T",1000000000000*VALUE(LEFT(F124,LEN(F124)-1)),IF(RIGHT(F124,1)="M",1000000*VALUE(LEFT(F124,LEN(F124)-1)),IF(RIGHT(F124,1)="B",1000000000*VALUE(LEFT(F124,LEN(F124)-1)),IF(RIGHT(F124,1)="%",0.01*VALUE(LEFT(F124,LEN(F124)-1)),IF(RIGHT(F124,1)="k",1000*VALUE(LEFT(F124,LEN(F124)-1)),VALUE(SUBSTITUTE(F124,",",""))))))))),"N/A")</f>
        <v>N/A</v>
      </c>
      <c r="N124" t="str">
        <f t="shared" ref="N124:N156" si="26">IFERROR(IF(TRIM(G124)="-", "N/A", IF(RIGHT(G124,1)=")",IF(RIGHT(G124,2)="T)",-1000000000000*VALUE(MID(G124,2,LEN(G124)-3)),IF(RIGHT(G124,2)="M)",-1000000*VALUE(MID(G124,2,LEN(G124)-3)),IF(RIGHT(G124,2)="B)",-1000000000*VALUE(MID(G124,2,LEN(G124)-3)),IF(RIGHT(G124,2)="k)",-1000*VALUE(MID(G124,2,LEN(G124)-3)),VALUE(SUBSTITUTE(G124,",","")))))),IF(RIGHT(G124,1)="T",1000000000000*VALUE(LEFT(G124,LEN(G124)-1)),IF(RIGHT(G124,1)="M",1000000*VALUE(LEFT(G124,LEN(G124)-1)),IF(RIGHT(G124,1)="B",1000000000*VALUE(LEFT(G124,LEN(G124)-1)),IF(RIGHT(G124,1)="%",0.01*VALUE(LEFT(G124,LEN(G124)-1)),IF(RIGHT(G124,1)="k",1000*VALUE(LEFT(G124,LEN(G124)-1)),VALUE(SUBSTITUTE(G124,",",""))))))))),"N/A")</f>
        <v>N/A</v>
      </c>
    </row>
    <row r="125" spans="1:14" x14ac:dyDescent="0.3">
      <c r="A125" s="1">
        <v>0</v>
      </c>
      <c r="B125" t="s">
        <v>211</v>
      </c>
      <c r="C125" t="s">
        <v>3251</v>
      </c>
      <c r="I125" t="str">
        <f t="shared" si="21"/>
        <v>N/A</v>
      </c>
      <c r="J125">
        <f t="shared" si="22"/>
        <v>0.24</v>
      </c>
      <c r="K125" t="str">
        <f t="shared" si="23"/>
        <v>N/A</v>
      </c>
      <c r="L125" t="str">
        <f t="shared" si="24"/>
        <v>N/A</v>
      </c>
      <c r="M125" t="str">
        <f t="shared" si="25"/>
        <v>N/A</v>
      </c>
      <c r="N125" t="str">
        <f t="shared" si="26"/>
        <v>N/A</v>
      </c>
    </row>
    <row r="126" spans="1:14" x14ac:dyDescent="0.3">
      <c r="A126" s="1">
        <v>1</v>
      </c>
      <c r="B126" t="s">
        <v>213</v>
      </c>
      <c r="C126" t="s">
        <v>3252</v>
      </c>
      <c r="I126" t="str">
        <f t="shared" si="21"/>
        <v>N/A</v>
      </c>
      <c r="J126">
        <f t="shared" si="22"/>
        <v>1.1399999999999999E-2</v>
      </c>
      <c r="K126" t="str">
        <f t="shared" si="23"/>
        <v>N/A</v>
      </c>
      <c r="L126" t="str">
        <f t="shared" si="24"/>
        <v>N/A</v>
      </c>
      <c r="M126" t="str">
        <f t="shared" si="25"/>
        <v>N/A</v>
      </c>
      <c r="N126" t="str">
        <f t="shared" si="26"/>
        <v>N/A</v>
      </c>
    </row>
    <row r="127" spans="1:14" x14ac:dyDescent="0.3">
      <c r="A127" s="1">
        <v>2</v>
      </c>
      <c r="B127" t="s">
        <v>215</v>
      </c>
      <c r="C127" t="s">
        <v>3253</v>
      </c>
      <c r="I127" t="str">
        <f t="shared" si="21"/>
        <v>N/A</v>
      </c>
      <c r="J127">
        <f t="shared" si="22"/>
        <v>0.23</v>
      </c>
      <c r="K127" t="str">
        <f t="shared" si="23"/>
        <v>N/A</v>
      </c>
      <c r="L127" t="str">
        <f t="shared" si="24"/>
        <v>N/A</v>
      </c>
      <c r="M127" t="str">
        <f t="shared" si="25"/>
        <v>N/A</v>
      </c>
      <c r="N127" t="str">
        <f t="shared" si="26"/>
        <v>N/A</v>
      </c>
    </row>
    <row r="128" spans="1:14" x14ac:dyDescent="0.3">
      <c r="A128" s="1">
        <v>3</v>
      </c>
      <c r="B128" t="s">
        <v>217</v>
      </c>
      <c r="C128" t="s">
        <v>3254</v>
      </c>
      <c r="I128" t="str">
        <f t="shared" si="21"/>
        <v>N/A</v>
      </c>
      <c r="J128">
        <f t="shared" si="22"/>
        <v>1.1000000000000001E-2</v>
      </c>
      <c r="K128" t="str">
        <f t="shared" si="23"/>
        <v>N/A</v>
      </c>
      <c r="L128" t="str">
        <f t="shared" si="24"/>
        <v>N/A</v>
      </c>
      <c r="M128" t="str">
        <f t="shared" si="25"/>
        <v>N/A</v>
      </c>
      <c r="N128" t="str">
        <f t="shared" si="26"/>
        <v>N/A</v>
      </c>
    </row>
    <row r="129" spans="1:60" x14ac:dyDescent="0.3">
      <c r="A129" s="1">
        <v>4</v>
      </c>
      <c r="B129" t="s">
        <v>219</v>
      </c>
      <c r="C129" t="s">
        <v>3255</v>
      </c>
      <c r="I129" t="str">
        <f t="shared" si="21"/>
        <v>N/A</v>
      </c>
      <c r="J129">
        <f t="shared" si="22"/>
        <v>1.8</v>
      </c>
      <c r="K129" t="str">
        <f t="shared" si="23"/>
        <v>N/A</v>
      </c>
      <c r="L129" t="str">
        <f t="shared" si="24"/>
        <v>N/A</v>
      </c>
      <c r="M129" t="str">
        <f t="shared" si="25"/>
        <v>N/A</v>
      </c>
      <c r="N129" t="str">
        <f t="shared" si="26"/>
        <v>N/A</v>
      </c>
    </row>
    <row r="130" spans="1:60" x14ac:dyDescent="0.3">
      <c r="A130" s="1">
        <v>5</v>
      </c>
      <c r="B130" t="s">
        <v>221</v>
      </c>
      <c r="C130" t="s">
        <v>3256</v>
      </c>
      <c r="I130" t="str">
        <f t="shared" si="21"/>
        <v>N/A</v>
      </c>
      <c r="J130">
        <f t="shared" si="22"/>
        <v>0.14940000000000001</v>
      </c>
      <c r="K130" t="str">
        <f t="shared" si="23"/>
        <v>N/A</v>
      </c>
      <c r="L130" t="str">
        <f t="shared" si="24"/>
        <v>N/A</v>
      </c>
      <c r="M130" t="str">
        <f t="shared" si="25"/>
        <v>N/A</v>
      </c>
      <c r="N130" t="str">
        <f t="shared" si="26"/>
        <v>N/A</v>
      </c>
    </row>
    <row r="131" spans="1:60" x14ac:dyDescent="0.3">
      <c r="A131" s="1">
        <v>6</v>
      </c>
      <c r="B131" t="s">
        <v>223</v>
      </c>
      <c r="C131" t="s">
        <v>3257</v>
      </c>
      <c r="I131" t="str">
        <f t="shared" si="21"/>
        <v>N/A</v>
      </c>
      <c r="J131" t="str">
        <f t="shared" si="22"/>
        <v>N/A</v>
      </c>
      <c r="K131" t="str">
        <f t="shared" si="23"/>
        <v>N/A</v>
      </c>
      <c r="L131" t="str">
        <f t="shared" si="24"/>
        <v>N/A</v>
      </c>
      <c r="M131" t="str">
        <f t="shared" si="25"/>
        <v>N/A</v>
      </c>
      <c r="N131" t="str">
        <f t="shared" si="26"/>
        <v>N/A</v>
      </c>
    </row>
    <row r="132" spans="1:60" x14ac:dyDescent="0.3">
      <c r="A132" s="1">
        <v>7</v>
      </c>
      <c r="B132" t="s">
        <v>225</v>
      </c>
      <c r="C132" t="s">
        <v>3258</v>
      </c>
      <c r="I132" t="str">
        <f t="shared" si="21"/>
        <v>N/A</v>
      </c>
      <c r="J132" t="str">
        <f t="shared" si="22"/>
        <v>N/A</v>
      </c>
      <c r="K132" t="str">
        <f t="shared" si="23"/>
        <v>N/A</v>
      </c>
      <c r="L132" t="str">
        <f t="shared" si="24"/>
        <v>N/A</v>
      </c>
      <c r="M132" t="str">
        <f t="shared" si="25"/>
        <v>N/A</v>
      </c>
      <c r="N132" t="str">
        <f t="shared" si="26"/>
        <v>N/A</v>
      </c>
    </row>
    <row r="133" spans="1:60" x14ac:dyDescent="0.3">
      <c r="A133" s="1">
        <v>8</v>
      </c>
      <c r="B133" t="s">
        <v>227</v>
      </c>
      <c r="C133" t="s">
        <v>2480</v>
      </c>
      <c r="I133" t="str">
        <f t="shared" si="21"/>
        <v>N/A</v>
      </c>
      <c r="J133">
        <f t="shared" si="22"/>
        <v>42826</v>
      </c>
      <c r="K133" t="str">
        <f t="shared" si="23"/>
        <v>N/A</v>
      </c>
      <c r="L133" t="str">
        <f t="shared" si="24"/>
        <v>N/A</v>
      </c>
      <c r="M133" t="str">
        <f t="shared" si="25"/>
        <v>N/A</v>
      </c>
      <c r="N133" t="str">
        <f t="shared" si="26"/>
        <v>N/A</v>
      </c>
    </row>
    <row r="134" spans="1:60" x14ac:dyDescent="0.3">
      <c r="A134" s="1">
        <v>9</v>
      </c>
      <c r="B134" t="s">
        <v>229</v>
      </c>
      <c r="C134" t="s">
        <v>3259</v>
      </c>
      <c r="I134" t="str">
        <f t="shared" si="21"/>
        <v>N/A</v>
      </c>
      <c r="J134" t="str">
        <f t="shared" si="22"/>
        <v>N/A</v>
      </c>
      <c r="K134" t="str">
        <f t="shared" si="23"/>
        <v>N/A</v>
      </c>
      <c r="L134" t="str">
        <f t="shared" si="24"/>
        <v>N/A</v>
      </c>
      <c r="M134" t="str">
        <f t="shared" si="25"/>
        <v>N/A</v>
      </c>
      <c r="N134" t="str">
        <f t="shared" si="26"/>
        <v>N/A</v>
      </c>
    </row>
    <row r="135" spans="1:60" x14ac:dyDescent="0.3">
      <c r="I135" t="str">
        <f t="shared" si="21"/>
        <v>N/A</v>
      </c>
      <c r="J135" t="str">
        <f t="shared" si="22"/>
        <v>N/A</v>
      </c>
      <c r="K135" t="str">
        <f t="shared" si="23"/>
        <v>N/A</v>
      </c>
      <c r="L135" t="str">
        <f t="shared" si="24"/>
        <v>N/A</v>
      </c>
      <c r="M135" t="str">
        <f t="shared" si="25"/>
        <v>N/A</v>
      </c>
      <c r="N135" t="str">
        <f t="shared" si="26"/>
        <v>N/A</v>
      </c>
    </row>
    <row r="136" spans="1:60" x14ac:dyDescent="0.3">
      <c r="I136" t="str">
        <f t="shared" si="21"/>
        <v>N/A</v>
      </c>
      <c r="J136" t="str">
        <f t="shared" si="22"/>
        <v>N/A</v>
      </c>
      <c r="K136" t="str">
        <f t="shared" si="23"/>
        <v>N/A</v>
      </c>
      <c r="L136" t="str">
        <f t="shared" si="24"/>
        <v>N/A</v>
      </c>
      <c r="M136" t="str">
        <f t="shared" si="25"/>
        <v>N/A</v>
      </c>
      <c r="N136" t="str">
        <f t="shared" si="26"/>
        <v>N/A</v>
      </c>
    </row>
    <row r="137" spans="1:60" x14ac:dyDescent="0.3">
      <c r="B137" s="1" t="s">
        <v>231</v>
      </c>
      <c r="C137" s="1" t="s">
        <v>232</v>
      </c>
      <c r="D137" s="1" t="s">
        <v>233</v>
      </c>
      <c r="E137" s="1" t="s">
        <v>234</v>
      </c>
      <c r="F137" s="1" t="s">
        <v>235</v>
      </c>
      <c r="I137" t="str">
        <f t="shared" si="21"/>
        <v>N/A</v>
      </c>
      <c r="J137" t="str">
        <f t="shared" si="22"/>
        <v>N/A</v>
      </c>
      <c r="K137" t="str">
        <f t="shared" si="23"/>
        <v>N/A</v>
      </c>
      <c r="L137" t="str">
        <f t="shared" si="24"/>
        <v>N/A</v>
      </c>
      <c r="M137" t="str">
        <f t="shared" si="25"/>
        <v>N/A</v>
      </c>
      <c r="N137" t="str">
        <f t="shared" si="26"/>
        <v>N/A</v>
      </c>
    </row>
    <row r="138" spans="1:60" x14ac:dyDescent="0.3">
      <c r="A138" s="1">
        <v>0</v>
      </c>
      <c r="B138" t="s">
        <v>3260</v>
      </c>
      <c r="C138" t="s">
        <v>3261</v>
      </c>
      <c r="D138" t="s">
        <v>3262</v>
      </c>
      <c r="F138">
        <v>65</v>
      </c>
      <c r="I138" t="str">
        <f t="shared" si="21"/>
        <v>N/A</v>
      </c>
      <c r="J138" t="str">
        <f t="shared" si="22"/>
        <v>N/A</v>
      </c>
      <c r="K138">
        <f t="shared" si="23"/>
        <v>539430</v>
      </c>
      <c r="L138" t="str">
        <f t="shared" si="24"/>
        <v>N/A</v>
      </c>
      <c r="M138">
        <f t="shared" si="25"/>
        <v>65</v>
      </c>
      <c r="N138" t="str">
        <f t="shared" si="26"/>
        <v>N/A</v>
      </c>
    </row>
    <row r="139" spans="1:60" x14ac:dyDescent="0.3">
      <c r="A139" s="1">
        <v>1</v>
      </c>
      <c r="B139" t="s">
        <v>3263</v>
      </c>
      <c r="C139" t="s">
        <v>3264</v>
      </c>
      <c r="D139" t="s">
        <v>3265</v>
      </c>
      <c r="F139">
        <v>52</v>
      </c>
      <c r="I139" t="str">
        <f t="shared" si="21"/>
        <v>N/A</v>
      </c>
      <c r="J139" t="str">
        <f t="shared" si="22"/>
        <v>N/A</v>
      </c>
      <c r="K139">
        <f t="shared" si="23"/>
        <v>216470</v>
      </c>
      <c r="L139" t="str">
        <f t="shared" si="24"/>
        <v>N/A</v>
      </c>
      <c r="M139">
        <f t="shared" si="25"/>
        <v>52</v>
      </c>
      <c r="N139" t="str">
        <f t="shared" si="26"/>
        <v>N/A</v>
      </c>
    </row>
    <row r="140" spans="1:60" x14ac:dyDescent="0.3">
      <c r="A140" s="1">
        <v>2</v>
      </c>
      <c r="B140" t="s">
        <v>3266</v>
      </c>
      <c r="C140" t="s">
        <v>3267</v>
      </c>
      <c r="D140" t="s">
        <v>3268</v>
      </c>
      <c r="F140">
        <v>54</v>
      </c>
      <c r="I140" t="str">
        <f t="shared" si="21"/>
        <v>N/A</v>
      </c>
      <c r="J140" t="str">
        <f t="shared" si="22"/>
        <v>N/A</v>
      </c>
      <c r="K140">
        <f t="shared" si="23"/>
        <v>325950</v>
      </c>
      <c r="L140" t="str">
        <f t="shared" si="24"/>
        <v>N/A</v>
      </c>
      <c r="M140">
        <f t="shared" si="25"/>
        <v>54</v>
      </c>
      <c r="N140" t="str">
        <f t="shared" si="26"/>
        <v>N/A</v>
      </c>
    </row>
    <row r="141" spans="1:60" x14ac:dyDescent="0.3">
      <c r="A141" s="1">
        <v>3</v>
      </c>
      <c r="B141" t="s">
        <v>3269</v>
      </c>
      <c r="C141" t="s">
        <v>3270</v>
      </c>
      <c r="D141" t="s">
        <v>3271</v>
      </c>
      <c r="F141">
        <v>66</v>
      </c>
      <c r="I141" t="str">
        <f t="shared" si="21"/>
        <v>N/A</v>
      </c>
      <c r="J141" t="str">
        <f t="shared" si="22"/>
        <v>N/A</v>
      </c>
      <c r="K141">
        <f t="shared" si="23"/>
        <v>254200</v>
      </c>
      <c r="L141" t="str">
        <f t="shared" si="24"/>
        <v>N/A</v>
      </c>
      <c r="M141">
        <f t="shared" si="25"/>
        <v>66</v>
      </c>
      <c r="N141" t="str">
        <f t="shared" si="26"/>
        <v>N/A</v>
      </c>
    </row>
    <row r="142" spans="1:60" x14ac:dyDescent="0.3">
      <c r="A142" s="1">
        <v>4</v>
      </c>
      <c r="B142" t="s">
        <v>3272</v>
      </c>
      <c r="C142" t="s">
        <v>3273</v>
      </c>
      <c r="D142" t="s">
        <v>3274</v>
      </c>
      <c r="F142">
        <v>54</v>
      </c>
      <c r="I142" t="str">
        <f t="shared" si="21"/>
        <v>N/A</v>
      </c>
      <c r="J142" t="str">
        <f t="shared" si="22"/>
        <v>N/A</v>
      </c>
      <c r="K142">
        <f t="shared" si="23"/>
        <v>348540</v>
      </c>
      <c r="L142" t="str">
        <f t="shared" si="24"/>
        <v>N/A</v>
      </c>
      <c r="M142">
        <f t="shared" si="25"/>
        <v>54</v>
      </c>
      <c r="N142" t="str">
        <f t="shared" si="26"/>
        <v>N/A</v>
      </c>
    </row>
    <row r="143" spans="1:60" x14ac:dyDescent="0.3">
      <c r="I143" t="str">
        <f t="shared" si="21"/>
        <v>N/A</v>
      </c>
      <c r="J143" t="str">
        <f t="shared" si="22"/>
        <v>N/A</v>
      </c>
      <c r="K143" t="str">
        <f t="shared" si="23"/>
        <v>N/A</v>
      </c>
      <c r="L143" t="str">
        <f t="shared" si="24"/>
        <v>N/A</v>
      </c>
      <c r="M143" t="str">
        <f t="shared" si="25"/>
        <v>N/A</v>
      </c>
      <c r="N143" t="str">
        <f t="shared" si="26"/>
        <v>N/A</v>
      </c>
      <c r="V143" t="str">
        <f>"z-score"</f>
        <v>z-score</v>
      </c>
    </row>
    <row r="144" spans="1:60" x14ac:dyDescent="0.3">
      <c r="B144" s="1" t="s">
        <v>251</v>
      </c>
      <c r="C144" s="1" t="s">
        <v>252</v>
      </c>
      <c r="D144" s="1" t="s">
        <v>253</v>
      </c>
      <c r="E144" s="1" t="s">
        <v>254</v>
      </c>
      <c r="F144" s="1" t="s">
        <v>255</v>
      </c>
      <c r="G144" s="1" t="s">
        <v>256</v>
      </c>
      <c r="H144" s="1" t="s">
        <v>257</v>
      </c>
      <c r="I144" t="str">
        <f t="shared" si="21"/>
        <v>pos_trend</v>
      </c>
      <c r="J144">
        <f t="shared" si="22"/>
        <v>2012</v>
      </c>
      <c r="K144">
        <f t="shared" si="23"/>
        <v>2013</v>
      </c>
      <c r="L144">
        <f t="shared" si="24"/>
        <v>2014</v>
      </c>
      <c r="M144">
        <f t="shared" si="25"/>
        <v>2015</v>
      </c>
      <c r="N144">
        <f t="shared" si="26"/>
        <v>2016</v>
      </c>
      <c r="P144" t="str">
        <f>"Max"</f>
        <v>Max</v>
      </c>
      <c r="Q144" t="str">
        <f>"Max Year"</f>
        <v>Max Year</v>
      </c>
      <c r="R144" t="str">
        <f>"Min"</f>
        <v>Min</v>
      </c>
      <c r="S144" t="str">
        <f>"Min Year"</f>
        <v>Min Year</v>
      </c>
      <c r="T144" t="str">
        <f>"Average"</f>
        <v>Average</v>
      </c>
      <c r="U144" t="str">
        <f>"SD"</f>
        <v>SD</v>
      </c>
      <c r="V144">
        <f>J144</f>
        <v>2012</v>
      </c>
      <c r="W144">
        <f>K144</f>
        <v>2013</v>
      </c>
      <c r="X144">
        <f>L144</f>
        <v>2014</v>
      </c>
      <c r="Y144">
        <f>M144</f>
        <v>2015</v>
      </c>
      <c r="Z144">
        <f>N144</f>
        <v>2016</v>
      </c>
      <c r="AA144" t="str">
        <f>"Max z"</f>
        <v>Max z</v>
      </c>
      <c r="AB144" t="str">
        <f>"Max z Year"</f>
        <v>Max z Year</v>
      </c>
      <c r="AC144" t="str">
        <f>"Direction"</f>
        <v>Direction</v>
      </c>
      <c r="AE144" t="str">
        <f>"Trendline"</f>
        <v>Trendline</v>
      </c>
      <c r="AF144" t="str">
        <f>"Correlation"</f>
        <v>Correlation</v>
      </c>
      <c r="AZ144" t="str">
        <f>"Max/Min inequality check"</f>
        <v>Max/Min inequality check</v>
      </c>
      <c r="BA144" t="str">
        <f>"If most recent year is max"</f>
        <v>If most recent year is max</v>
      </c>
      <c r="BC144" t="str">
        <f>"If most recent year is min"</f>
        <v>If most recent year is min</v>
      </c>
      <c r="BE144" t="str">
        <f>"Trend direction"</f>
        <v>Trend direction</v>
      </c>
      <c r="BF144" t="str">
        <f>"If trend matched by max or min in most recent year"</f>
        <v>If trend matched by max or min in most recent year</v>
      </c>
      <c r="BG144" t="str">
        <f>"If 5 years of increasing"</f>
        <v>If 5 years of increasing</v>
      </c>
      <c r="BH144" t="str">
        <f>"If correlation &gt; .8"</f>
        <v>If correlation &gt; .8</v>
      </c>
    </row>
    <row r="145" spans="1:60" x14ac:dyDescent="0.3">
      <c r="A145" s="1">
        <v>0</v>
      </c>
      <c r="B145" t="s">
        <v>3275</v>
      </c>
      <c r="C145" t="s">
        <v>3276</v>
      </c>
      <c r="D145" t="s">
        <v>3277</v>
      </c>
      <c r="E145" t="s">
        <v>3278</v>
      </c>
      <c r="F145" t="s">
        <v>3279</v>
      </c>
      <c r="G145" t="s">
        <v>3280</v>
      </c>
      <c r="I145" t="str">
        <f t="shared" si="21"/>
        <v>N/A</v>
      </c>
      <c r="J145">
        <f t="shared" si="22"/>
        <v>46760000</v>
      </c>
      <c r="K145">
        <f t="shared" si="23"/>
        <v>44880000</v>
      </c>
      <c r="L145">
        <f t="shared" si="24"/>
        <v>46080000</v>
      </c>
      <c r="M145">
        <f t="shared" si="25"/>
        <v>50700000</v>
      </c>
      <c r="N145">
        <f t="shared" si="26"/>
        <v>53570000</v>
      </c>
      <c r="P145">
        <f t="shared" ref="P145:P208" si="27">MAX(J145:N145)</f>
        <v>53570000</v>
      </c>
      <c r="Q145">
        <f>IFERROR(J144+MATCH(P145,J145:N145,0)-1,"")</f>
        <v>2016</v>
      </c>
      <c r="R145">
        <f t="shared" ref="R145:R208" si="28">IF(Q145="","",MIN(J145:N145))</f>
        <v>44880000</v>
      </c>
      <c r="S145">
        <f>IFERROR(J144+MATCH(R145,J145:N145,0)-1,"")</f>
        <v>2013</v>
      </c>
      <c r="T145">
        <f t="shared" ref="T145:T208" si="29">IFERROR(AVERAGE(J145:N145),"")</f>
        <v>48398000</v>
      </c>
      <c r="U145">
        <f t="shared" ref="U145:U208" si="30">IFERROR(STDEV(J145:N145),"")</f>
        <v>3622198.2275960548</v>
      </c>
      <c r="V145">
        <f t="shared" ref="V145:V208" si="31">IFERROR(IF(C145="-","",IF(ISBLANK(B145),"",IF(OR(ISNUMBER(FIND("Growth",B145)),ISNUMBER(FIND("Margin",B145))),"",(J145-T145)/U145))),"")</f>
        <v>-0.45221158453470173</v>
      </c>
      <c r="W145">
        <f t="shared" ref="W145:W208" si="32">IFERROR(IF(OR(D145="-",ISBLANK(D145)),"",(K145-T145)/U145),"")</f>
        <v>-0.97123342759040332</v>
      </c>
      <c r="X145">
        <f t="shared" ref="X145:X208" si="33">IFERROR(IF(OR(E145="-",ISBLANK(E145)),"",(L145-T145)/U145),"")</f>
        <v>-0.63994288946974265</v>
      </c>
      <c r="Y145">
        <f t="shared" ref="Y145:Y208" si="34">IFERROR(IF(OR(F145="-",ISBLANK(F145)),"",(M145-T145)/U145),"")</f>
        <v>0.63552568229480055</v>
      </c>
      <c r="Z145">
        <f t="shared" ref="Z145:Z208" si="35">IFERROR(IF(OR(G145="-",ISBLANK(G145)),"",(N145-T145)/U145),"")</f>
        <v>1.4278622193000472</v>
      </c>
      <c r="AA145">
        <f t="shared" ref="AA145:AA208" si="36">IF(MAX(MAX(V145:Z145),ABS(MIN(V145:Z145)))=ABS(MIN(V145:Z145)),MIN(V145:Z145),MAX(V145:Z145))</f>
        <v>1.4278622193000472</v>
      </c>
      <c r="AB145">
        <f>IFERROR(V144+MATCH(AA145,V145:Z145,0)-1,"")</f>
        <v>2016</v>
      </c>
      <c r="AC145" t="str">
        <f t="shared" ref="AC145:AC208" si="37">IF(AB145&lt;&gt;"",IF(S145=AB145,"Low",IF(AB145=Q145,"High","")),"")</f>
        <v>High</v>
      </c>
      <c r="AE145">
        <f>IF(ISNUMBER(MATCH("N/A",J145:N145,0)),"",IFERROR((5 * SUMPRODUCT(J144:N144,J145:N145) - PRODUCT(SUM(J144:N144),SUM(J145:N145))) / ((5 * SUM((J144^2)+(K144^2)+(L144^2)+(M144^2)+(N144^2))) - SUM(J144:N144)^2),""))</f>
        <v>1944000</v>
      </c>
      <c r="AF145">
        <f>IFERROR(CORREL(J144:N144,J145:N145),"")</f>
        <v>0.84858246085654176</v>
      </c>
      <c r="AZ145">
        <f t="shared" ref="AZ145:AZ208" si="38">IF(Q145=S145,0,1)</f>
        <v>1</v>
      </c>
      <c r="BA145" t="str">
        <f>IF(AZ145=1,IF(Q145="","",IF(Q145=N144,"Yes","No")),"")</f>
        <v>Yes</v>
      </c>
      <c r="BB145">
        <f t="shared" ref="BB145:BB208" si="39">IF(BA145="Yes",P145,"")</f>
        <v>53570000</v>
      </c>
      <c r="BC145" t="str">
        <f>IF(AZ145=1,IF(S145="","",IF(S145=N144,"Yes","No")),"")</f>
        <v>No</v>
      </c>
      <c r="BD145" t="str">
        <f t="shared" ref="BD145:BD208" si="40">IF(BC145="Yes",R145,"")</f>
        <v/>
      </c>
      <c r="BE145" t="str">
        <f t="shared" ref="BE145:BE208" si="41">IFERROR(IF(SIGN(AE145)=1,"Increasing",IF(SIGN(AE145)=-1,"Decreasing","")),"")</f>
        <v>Increasing</v>
      </c>
      <c r="BF145" t="str">
        <f t="shared" ref="BF145:BF208" si="42">IF(OR(AND(BE145="Increasing",BA145="Yes"),AND(BE145="Decreasing",BC145="Yes")),"Yes","No")</f>
        <v>Yes</v>
      </c>
      <c r="BG145" t="str">
        <f t="shared" ref="BG145:BG208" si="43">IF(I145="pos_trend","Yes","No")</f>
        <v>No</v>
      </c>
      <c r="BH145" t="str">
        <f t="shared" ref="BH145:BH208" si="44">IF(AF145&lt;&gt;"",IF(ABS(AF145)&gt;0.8,"Yes","No"),"")</f>
        <v>Yes</v>
      </c>
    </row>
    <row r="146" spans="1:60" x14ac:dyDescent="0.3">
      <c r="A146" s="1">
        <v>1</v>
      </c>
      <c r="B146" t="s">
        <v>3281</v>
      </c>
      <c r="C146" t="s">
        <v>3282</v>
      </c>
      <c r="D146" t="s">
        <v>3283</v>
      </c>
      <c r="E146" t="s">
        <v>3284</v>
      </c>
      <c r="F146" t="s">
        <v>3285</v>
      </c>
      <c r="G146" t="s">
        <v>3286</v>
      </c>
      <c r="I146" t="str">
        <f t="shared" si="21"/>
        <v>N/A</v>
      </c>
      <c r="J146">
        <f t="shared" si="22"/>
        <v>40050000</v>
      </c>
      <c r="K146">
        <f t="shared" si="23"/>
        <v>38780000</v>
      </c>
      <c r="L146">
        <f t="shared" si="24"/>
        <v>39650000</v>
      </c>
      <c r="M146">
        <f t="shared" si="25"/>
        <v>44780000</v>
      </c>
      <c r="N146">
        <f t="shared" si="26"/>
        <v>47190000</v>
      </c>
      <c r="P146">
        <f t="shared" si="27"/>
        <v>47190000</v>
      </c>
      <c r="Q146">
        <f>IFERROR(J144+MATCH(P146,J146:N146,0)-1,"")</f>
        <v>2016</v>
      </c>
      <c r="R146">
        <f t="shared" si="28"/>
        <v>38780000</v>
      </c>
      <c r="S146">
        <f>IFERROR(J144+MATCH(R146,J146:N146,0)-1,"")</f>
        <v>2013</v>
      </c>
      <c r="T146">
        <f t="shared" si="29"/>
        <v>42090000</v>
      </c>
      <c r="U146">
        <f t="shared" si="30"/>
        <v>3685016.9606122575</v>
      </c>
      <c r="V146">
        <f t="shared" si="31"/>
        <v>-0.55359311010092571</v>
      </c>
      <c r="W146">
        <f t="shared" si="32"/>
        <v>-0.89823195805591372</v>
      </c>
      <c r="X146">
        <f t="shared" si="33"/>
        <v>-0.66214077874816601</v>
      </c>
      <c r="Y146">
        <f t="shared" si="34"/>
        <v>0.72998307165269127</v>
      </c>
      <c r="Z146">
        <f t="shared" si="35"/>
        <v>1.3839827752523142</v>
      </c>
      <c r="AA146">
        <f t="shared" si="36"/>
        <v>1.3839827752523142</v>
      </c>
      <c r="AB146">
        <f>IFERROR(V144+MATCH(AA146,V146:Z146,0)-1,"")</f>
        <v>2016</v>
      </c>
      <c r="AC146" t="str">
        <f t="shared" si="37"/>
        <v>High</v>
      </c>
      <c r="AE146">
        <f>IF(ISNUMBER(MATCH("N/A",J146:N146,0)),"",IFERROR((5 * SUMPRODUCT(J144:N144,J146:N146) - PRODUCT(SUM(J144:N144),SUM(J146:N146))) / ((5 * SUM((J144^2)+(K144^2)+(L144^2)+(M144^2)+(N144^2))) - SUM(J144:N144)^2),""))</f>
        <v>2028000</v>
      </c>
      <c r="AF146">
        <f>IFERROR(CORREL(J144:N144,J146:N146),"")</f>
        <v>0.87015869443324778</v>
      </c>
      <c r="AZ146">
        <f t="shared" si="38"/>
        <v>1</v>
      </c>
      <c r="BA146" t="str">
        <f>IF(AZ146=1,IF(Q146="","",IF(Q146=N144,"Yes","No")),"")</f>
        <v>Yes</v>
      </c>
      <c r="BB146">
        <f t="shared" si="39"/>
        <v>47190000</v>
      </c>
      <c r="BC146" t="str">
        <f>IF(AZ146=1,IF(S146="","",IF(S146=N144,"Yes","No")),"")</f>
        <v>No</v>
      </c>
      <c r="BD146" t="str">
        <f t="shared" si="40"/>
        <v/>
      </c>
      <c r="BE146" t="str">
        <f t="shared" si="41"/>
        <v>Increasing</v>
      </c>
      <c r="BF146" t="str">
        <f t="shared" si="42"/>
        <v>Yes</v>
      </c>
      <c r="BG146" t="str">
        <f t="shared" si="43"/>
        <v>No</v>
      </c>
      <c r="BH146" t="str">
        <f t="shared" si="44"/>
        <v>Yes</v>
      </c>
    </row>
    <row r="147" spans="1:60" x14ac:dyDescent="0.3">
      <c r="A147" s="1">
        <v>2</v>
      </c>
      <c r="B147" t="s">
        <v>3287</v>
      </c>
      <c r="C147" t="s">
        <v>3288</v>
      </c>
      <c r="D147" t="s">
        <v>3289</v>
      </c>
      <c r="E147" t="s">
        <v>3290</v>
      </c>
      <c r="F147" t="s">
        <v>3291</v>
      </c>
      <c r="G147" t="s">
        <v>264</v>
      </c>
      <c r="I147" t="str">
        <f t="shared" si="21"/>
        <v>N/A</v>
      </c>
      <c r="J147">
        <f t="shared" si="22"/>
        <v>109000</v>
      </c>
      <c r="K147">
        <f t="shared" si="23"/>
        <v>131000</v>
      </c>
      <c r="L147">
        <f t="shared" si="24"/>
        <v>139000</v>
      </c>
      <c r="M147">
        <f t="shared" si="25"/>
        <v>102000</v>
      </c>
      <c r="N147" t="str">
        <f t="shared" si="26"/>
        <v>N/A</v>
      </c>
      <c r="P147">
        <f t="shared" si="27"/>
        <v>139000</v>
      </c>
      <c r="Q147">
        <f>IFERROR(J144+MATCH(P147,J147:N147,0)-1,"")</f>
        <v>2014</v>
      </c>
      <c r="R147">
        <f t="shared" si="28"/>
        <v>102000</v>
      </c>
      <c r="S147">
        <f>IFERROR(J144+MATCH(R147,J147:N147,0)-1,"")</f>
        <v>2015</v>
      </c>
      <c r="T147">
        <f t="shared" si="29"/>
        <v>120250</v>
      </c>
      <c r="U147">
        <f t="shared" si="30"/>
        <v>17576.025337563289</v>
      </c>
      <c r="V147">
        <f t="shared" si="31"/>
        <v>-0.6400764555087789</v>
      </c>
      <c r="W147">
        <f t="shared" si="32"/>
        <v>0.61162861304172211</v>
      </c>
      <c r="X147">
        <f t="shared" si="33"/>
        <v>1.0667940925146315</v>
      </c>
      <c r="Y147">
        <f t="shared" si="34"/>
        <v>-1.0383462500475746</v>
      </c>
      <c r="Z147" t="str">
        <f t="shared" si="35"/>
        <v/>
      </c>
      <c r="AA147">
        <f t="shared" si="36"/>
        <v>1.0667940925146315</v>
      </c>
      <c r="AB147">
        <f>IFERROR(V144+MATCH(AA147,V147:Z147,0)-1,"")</f>
        <v>2014</v>
      </c>
      <c r="AC147" t="str">
        <f t="shared" si="37"/>
        <v>High</v>
      </c>
      <c r="AE147" t="str">
        <f>IF(ISNUMBER(MATCH("N/A",J147:N147,0)),"",IFERROR((5 * SUMPRODUCT(J144:N144,J147:N147) - PRODUCT(SUM(J144:N144),SUM(J147:N147))) / ((5 * SUM((J144^2)+(K144^2)+(L144^2)+(M144^2)+(N144^2))) - SUM(J144:N144)^2),""))</f>
        <v/>
      </c>
      <c r="AF147">
        <f>IFERROR(CORREL(J144:N144,J147:N147),"")</f>
        <v>-9.5487617429050833E-2</v>
      </c>
      <c r="AZ147">
        <f t="shared" si="38"/>
        <v>1</v>
      </c>
      <c r="BA147" t="str">
        <f>IF(AZ147=1,IF(Q147="","",IF(Q147=N144,"Yes","No")),"")</f>
        <v>No</v>
      </c>
      <c r="BB147" t="str">
        <f t="shared" si="39"/>
        <v/>
      </c>
      <c r="BC147" t="str">
        <f>IF(AZ147=1,IF(S147="","",IF(S147=N144,"Yes","No")),"")</f>
        <v>No</v>
      </c>
      <c r="BD147" t="str">
        <f t="shared" si="40"/>
        <v/>
      </c>
      <c r="BE147" t="str">
        <f t="shared" si="41"/>
        <v/>
      </c>
      <c r="BF147" t="str">
        <f t="shared" si="42"/>
        <v>No</v>
      </c>
      <c r="BG147" t="str">
        <f t="shared" si="43"/>
        <v>No</v>
      </c>
      <c r="BH147" t="str">
        <f t="shared" si="44"/>
        <v>No</v>
      </c>
    </row>
    <row r="148" spans="1:60" x14ac:dyDescent="0.3">
      <c r="A148" s="1">
        <v>3</v>
      </c>
      <c r="B148" t="s">
        <v>3292</v>
      </c>
      <c r="C148" t="s">
        <v>264</v>
      </c>
      <c r="D148" t="s">
        <v>264</v>
      </c>
      <c r="E148" t="s">
        <v>264</v>
      </c>
      <c r="F148" t="s">
        <v>264</v>
      </c>
      <c r="G148" t="s">
        <v>264</v>
      </c>
      <c r="I148" t="str">
        <f t="shared" si="21"/>
        <v>N/A</v>
      </c>
      <c r="J148" t="str">
        <f t="shared" si="22"/>
        <v>N/A</v>
      </c>
      <c r="K148" t="str">
        <f t="shared" si="23"/>
        <v>N/A</v>
      </c>
      <c r="L148" t="str">
        <f t="shared" si="24"/>
        <v>N/A</v>
      </c>
      <c r="M148" t="str">
        <f t="shared" si="25"/>
        <v>N/A</v>
      </c>
      <c r="N148" t="str">
        <f t="shared" si="26"/>
        <v>N/A</v>
      </c>
      <c r="P148">
        <f t="shared" si="27"/>
        <v>0</v>
      </c>
      <c r="Q148" t="str">
        <f>IFERROR(J144+MATCH(P148,J148:N148,0)-1,"")</f>
        <v/>
      </c>
      <c r="R148" t="str">
        <f t="shared" si="28"/>
        <v/>
      </c>
      <c r="S148" t="str">
        <f>IFERROR(J144+MATCH(R148,J148:N148,0)-1,"")</f>
        <v/>
      </c>
      <c r="T148" t="str">
        <f t="shared" si="29"/>
        <v/>
      </c>
      <c r="U148" t="str">
        <f t="shared" si="30"/>
        <v/>
      </c>
      <c r="V148" t="str">
        <f t="shared" si="31"/>
        <v/>
      </c>
      <c r="W148" t="str">
        <f t="shared" si="32"/>
        <v/>
      </c>
      <c r="X148" t="str">
        <f t="shared" si="33"/>
        <v/>
      </c>
      <c r="Y148" t="str">
        <f t="shared" si="34"/>
        <v/>
      </c>
      <c r="Z148" t="str">
        <f t="shared" si="35"/>
        <v/>
      </c>
      <c r="AA148">
        <f t="shared" si="36"/>
        <v>0</v>
      </c>
      <c r="AB148" t="str">
        <f>IFERROR(V144+MATCH(AA148,V148:Z148,0)-1,"")</f>
        <v/>
      </c>
      <c r="AC148" t="str">
        <f t="shared" si="37"/>
        <v/>
      </c>
      <c r="AE148" t="str">
        <f>IF(ISNUMBER(MATCH("N/A",J148:N148,0)),"",IFERROR((5 * SUMPRODUCT(J144:N144,J148:N148) - PRODUCT(SUM(J144:N144),SUM(J148:N148))) / ((5 * SUM((J144^2)+(K144^2)+(L144^2)+(M144^2)+(N144^2))) - SUM(J144:N144)^2),""))</f>
        <v/>
      </c>
      <c r="AF148" t="str">
        <f>IFERROR(CORREL(J144:N144,J148:N148),"")</f>
        <v/>
      </c>
      <c r="AZ148">
        <f t="shared" si="38"/>
        <v>0</v>
      </c>
      <c r="BA148" t="str">
        <f>IF(AZ148=1,IF(Q148="","",IF(Q148=N144,"Yes","No")),"")</f>
        <v/>
      </c>
      <c r="BB148" t="str">
        <f t="shared" si="39"/>
        <v/>
      </c>
      <c r="BC148" t="str">
        <f>IF(AZ148=1,IF(S148="","",IF(S148=N144,"Yes","No")),"")</f>
        <v/>
      </c>
      <c r="BD148" t="str">
        <f t="shared" si="40"/>
        <v/>
      </c>
      <c r="BE148" t="str">
        <f t="shared" si="41"/>
        <v/>
      </c>
      <c r="BF148" t="str">
        <f t="shared" si="42"/>
        <v>No</v>
      </c>
      <c r="BG148" t="str">
        <f t="shared" si="43"/>
        <v>No</v>
      </c>
      <c r="BH148" t="str">
        <f t="shared" si="44"/>
        <v/>
      </c>
    </row>
    <row r="149" spans="1:60" x14ac:dyDescent="0.3">
      <c r="A149" s="1">
        <v>4</v>
      </c>
      <c r="B149" t="s">
        <v>3293</v>
      </c>
      <c r="C149" t="s">
        <v>264</v>
      </c>
      <c r="D149" t="s">
        <v>264</v>
      </c>
      <c r="E149" t="s">
        <v>264</v>
      </c>
      <c r="F149" t="s">
        <v>264</v>
      </c>
      <c r="G149" t="s">
        <v>3294</v>
      </c>
      <c r="I149" t="str">
        <f t="shared" si="21"/>
        <v>N/A</v>
      </c>
      <c r="J149" t="str">
        <f t="shared" si="22"/>
        <v>N/A</v>
      </c>
      <c r="K149" t="str">
        <f t="shared" si="23"/>
        <v>N/A</v>
      </c>
      <c r="L149" t="str">
        <f t="shared" si="24"/>
        <v>N/A</v>
      </c>
      <c r="M149" t="str">
        <f t="shared" si="25"/>
        <v>N/A</v>
      </c>
      <c r="N149">
        <f t="shared" si="26"/>
        <v>396000</v>
      </c>
      <c r="P149">
        <f t="shared" si="27"/>
        <v>396000</v>
      </c>
      <c r="Q149">
        <f>IFERROR(J144+MATCH(P149,J149:N149,0)-1,"")</f>
        <v>2016</v>
      </c>
      <c r="R149">
        <f t="shared" si="28"/>
        <v>396000</v>
      </c>
      <c r="S149">
        <f>IFERROR(J144+MATCH(R149,J149:N149,0)-1,"")</f>
        <v>2016</v>
      </c>
      <c r="T149">
        <f t="shared" si="29"/>
        <v>396000</v>
      </c>
      <c r="U149" t="str">
        <f t="shared" si="30"/>
        <v/>
      </c>
      <c r="V149" t="str">
        <f t="shared" si="31"/>
        <v/>
      </c>
      <c r="W149" t="str">
        <f t="shared" si="32"/>
        <v/>
      </c>
      <c r="X149" t="str">
        <f t="shared" si="33"/>
        <v/>
      </c>
      <c r="Y149" t="str">
        <f t="shared" si="34"/>
        <v/>
      </c>
      <c r="Z149" t="str">
        <f t="shared" si="35"/>
        <v/>
      </c>
      <c r="AA149">
        <f t="shared" si="36"/>
        <v>0</v>
      </c>
      <c r="AB149" t="str">
        <f>IFERROR(V144+MATCH(AA149,V149:Z149,0)-1,"")</f>
        <v/>
      </c>
      <c r="AC149" t="str">
        <f t="shared" si="37"/>
        <v/>
      </c>
      <c r="AE149" t="str">
        <f>IF(ISNUMBER(MATCH("N/A",J149:N149,0)),"",IFERROR((5 * SUMPRODUCT(J144:N144,J149:N149) - PRODUCT(SUM(J144:N144),SUM(J149:N149))) / ((5 * SUM((J144^2)+(K144^2)+(L144^2)+(M144^2)+(N144^2))) - SUM(J144:N144)^2),""))</f>
        <v/>
      </c>
      <c r="AF149" t="str">
        <f>IFERROR(CORREL(J144:N144,J149:N149),"")</f>
        <v/>
      </c>
      <c r="AZ149">
        <f t="shared" si="38"/>
        <v>0</v>
      </c>
      <c r="BA149" t="str">
        <f>IF(AZ149=1,IF(Q149="","",IF(Q149=N144,"Yes","No")),"")</f>
        <v/>
      </c>
      <c r="BB149" t="str">
        <f t="shared" si="39"/>
        <v/>
      </c>
      <c r="BC149" t="str">
        <f>IF(AZ149=1,IF(S149="","",IF(S149=N144,"Yes","No")),"")</f>
        <v/>
      </c>
      <c r="BD149" t="str">
        <f t="shared" si="40"/>
        <v/>
      </c>
      <c r="BE149" t="str">
        <f t="shared" si="41"/>
        <v/>
      </c>
      <c r="BF149" t="str">
        <f t="shared" si="42"/>
        <v>No</v>
      </c>
      <c r="BG149" t="str">
        <f t="shared" si="43"/>
        <v>No</v>
      </c>
      <c r="BH149" t="str">
        <f t="shared" si="44"/>
        <v/>
      </c>
    </row>
    <row r="150" spans="1:60" x14ac:dyDescent="0.3">
      <c r="A150" s="1">
        <v>5</v>
      </c>
      <c r="B150" t="s">
        <v>3295</v>
      </c>
      <c r="C150" t="s">
        <v>3296</v>
      </c>
      <c r="D150" t="s">
        <v>911</v>
      </c>
      <c r="E150" t="s">
        <v>2706</v>
      </c>
      <c r="F150" t="s">
        <v>3297</v>
      </c>
      <c r="G150" t="s">
        <v>3298</v>
      </c>
      <c r="I150" t="str">
        <f t="shared" si="21"/>
        <v>N/A</v>
      </c>
      <c r="J150">
        <f t="shared" si="22"/>
        <v>6610000</v>
      </c>
      <c r="K150">
        <f t="shared" si="23"/>
        <v>5970000</v>
      </c>
      <c r="L150">
        <f t="shared" si="24"/>
        <v>6290000</v>
      </c>
      <c r="M150">
        <f t="shared" si="25"/>
        <v>5820000</v>
      </c>
      <c r="N150">
        <f t="shared" si="26"/>
        <v>5990000</v>
      </c>
      <c r="P150">
        <f t="shared" si="27"/>
        <v>6610000</v>
      </c>
      <c r="Q150">
        <f>IFERROR(J144+MATCH(P150,J150:N150,0)-1,"")</f>
        <v>2012</v>
      </c>
      <c r="R150">
        <f t="shared" si="28"/>
        <v>5820000</v>
      </c>
      <c r="S150">
        <f>IFERROR(J144+MATCH(R150,J150:N150,0)-1,"")</f>
        <v>2015</v>
      </c>
      <c r="T150">
        <f t="shared" si="29"/>
        <v>6136000</v>
      </c>
      <c r="U150">
        <f t="shared" si="30"/>
        <v>315087.28949292767</v>
      </c>
      <c r="V150">
        <f t="shared" si="31"/>
        <v>1.5043450364589817</v>
      </c>
      <c r="W150">
        <f t="shared" si="32"/>
        <v>-0.52683813513120459</v>
      </c>
      <c r="X150">
        <f t="shared" si="33"/>
        <v>0.48875345066388859</v>
      </c>
      <c r="Y150">
        <f t="shared" si="34"/>
        <v>-1.0028966909726544</v>
      </c>
      <c r="Z150">
        <f t="shared" si="35"/>
        <v>-0.46336366101901127</v>
      </c>
      <c r="AA150">
        <f t="shared" si="36"/>
        <v>1.5043450364589817</v>
      </c>
      <c r="AB150">
        <f>IFERROR(V144+MATCH(AA150,V150:Z150,0)-1,"")</f>
        <v>2012</v>
      </c>
      <c r="AC150" t="str">
        <f t="shared" si="37"/>
        <v>High</v>
      </c>
      <c r="AE150">
        <f>IF(ISNUMBER(MATCH("N/A",J150:N150,0)),"",IFERROR((5 * SUMPRODUCT(J144:N144,J150:N150) - PRODUCT(SUM(J144:N144),SUM(J150:N150))) / ((5 * SUM((J144^2)+(K144^2)+(L144^2)+(M144^2)+(N144^2))) - SUM(J144:N144)^2),""))</f>
        <v>-139000</v>
      </c>
      <c r="AF150">
        <f>IFERROR(CORREL(J144:N144,J150:N150),"")</f>
        <v>-0.69751559237883953</v>
      </c>
      <c r="AZ150">
        <f t="shared" si="38"/>
        <v>1</v>
      </c>
      <c r="BA150" t="str">
        <f>IF(AZ150=1,IF(Q150="","",IF(Q150=N144,"Yes","No")),"")</f>
        <v>No</v>
      </c>
      <c r="BB150" t="str">
        <f t="shared" si="39"/>
        <v/>
      </c>
      <c r="BC150" t="str">
        <f>IF(AZ150=1,IF(S150="","",IF(S150=N144,"Yes","No")),"")</f>
        <v>No</v>
      </c>
      <c r="BD150" t="str">
        <f t="shared" si="40"/>
        <v/>
      </c>
      <c r="BE150" t="str">
        <f t="shared" si="41"/>
        <v>Decreasing</v>
      </c>
      <c r="BF150" t="str">
        <f t="shared" si="42"/>
        <v>No</v>
      </c>
      <c r="BG150" t="str">
        <f t="shared" si="43"/>
        <v>No</v>
      </c>
      <c r="BH150" t="str">
        <f t="shared" si="44"/>
        <v>No</v>
      </c>
    </row>
    <row r="151" spans="1:60" x14ac:dyDescent="0.3">
      <c r="A151" s="1">
        <v>6</v>
      </c>
      <c r="B151" t="s">
        <v>3299</v>
      </c>
      <c r="C151" t="s">
        <v>264</v>
      </c>
      <c r="D151" t="s">
        <v>3300</v>
      </c>
      <c r="E151" t="s">
        <v>3301</v>
      </c>
      <c r="F151" t="s">
        <v>3302</v>
      </c>
      <c r="G151" t="s">
        <v>3303</v>
      </c>
      <c r="I151" t="str">
        <f t="shared" si="21"/>
        <v>N/A</v>
      </c>
      <c r="J151" t="str">
        <f t="shared" si="22"/>
        <v>N/A</v>
      </c>
      <c r="K151">
        <f t="shared" si="23"/>
        <v>-4.02E-2</v>
      </c>
      <c r="L151">
        <f t="shared" si="24"/>
        <v>2.6600000000000002E-2</v>
      </c>
      <c r="M151">
        <f t="shared" si="25"/>
        <v>0.10039999999999999</v>
      </c>
      <c r="N151">
        <f t="shared" si="26"/>
        <v>5.6500000000000002E-2</v>
      </c>
      <c r="P151">
        <f t="shared" si="27"/>
        <v>0.10039999999999999</v>
      </c>
      <c r="Q151">
        <f>IFERROR(J144+MATCH(P151,J151:N151,0)-1,"")</f>
        <v>2015</v>
      </c>
      <c r="R151">
        <f t="shared" si="28"/>
        <v>-4.02E-2</v>
      </c>
      <c r="S151">
        <f>IFERROR(J144+MATCH(R151,J151:N151,0)-1,"")</f>
        <v>2013</v>
      </c>
      <c r="T151">
        <f t="shared" si="29"/>
        <v>3.5824999999999996E-2</v>
      </c>
      <c r="U151">
        <f t="shared" si="30"/>
        <v>5.9054459329221418E-2</v>
      </c>
      <c r="V151" t="str">
        <f t="shared" si="31"/>
        <v/>
      </c>
      <c r="W151">
        <f t="shared" si="32"/>
        <v>-1.2873710277520261</v>
      </c>
      <c r="X151">
        <f t="shared" si="33"/>
        <v>-0.1562117425979932</v>
      </c>
      <c r="Y151">
        <f t="shared" si="34"/>
        <v>1.093482198185953</v>
      </c>
      <c r="Z151">
        <f t="shared" si="35"/>
        <v>0.35010057216406637</v>
      </c>
      <c r="AA151">
        <f t="shared" si="36"/>
        <v>-1.2873710277520261</v>
      </c>
      <c r="AB151">
        <f>IFERROR(V144+MATCH(AA151,V151:Z151,0)-1,"")</f>
        <v>2013</v>
      </c>
      <c r="AC151" t="str">
        <f t="shared" si="37"/>
        <v>Low</v>
      </c>
      <c r="AE151" t="str">
        <f>IF(ISNUMBER(MATCH("N/A",J151:N151,0)),"",IFERROR((5 * SUMPRODUCT(J144:N144,J151:N151) - PRODUCT(SUM(J144:N144),SUM(J151:N151))) / ((5 * SUM((J144^2)+(K144^2)+(L144^2)+(M144^2)+(N144^2))) - SUM(J144:N144)^2),""))</f>
        <v/>
      </c>
      <c r="AF151">
        <f>IFERROR(CORREL(J144:N144,J151:N151),"")</f>
        <v>0.79552481765334859</v>
      </c>
      <c r="AZ151">
        <f t="shared" si="38"/>
        <v>1</v>
      </c>
      <c r="BA151" t="str">
        <f>IF(AZ151=1,IF(Q151="","",IF(Q151=N144,"Yes","No")),"")</f>
        <v>No</v>
      </c>
      <c r="BB151" t="str">
        <f t="shared" si="39"/>
        <v/>
      </c>
      <c r="BC151" t="str">
        <f>IF(AZ151=1,IF(S151="","",IF(S151=N144,"Yes","No")),"")</f>
        <v>No</v>
      </c>
      <c r="BD151" t="str">
        <f t="shared" si="40"/>
        <v/>
      </c>
      <c r="BE151" t="str">
        <f t="shared" si="41"/>
        <v/>
      </c>
      <c r="BF151" t="str">
        <f t="shared" si="42"/>
        <v>No</v>
      </c>
      <c r="BG151" t="str">
        <f t="shared" si="43"/>
        <v>No</v>
      </c>
      <c r="BH151" t="str">
        <f t="shared" si="44"/>
        <v>No</v>
      </c>
    </row>
    <row r="152" spans="1:60" x14ac:dyDescent="0.3">
      <c r="A152" s="1">
        <v>7</v>
      </c>
      <c r="B152" t="s">
        <v>3304</v>
      </c>
      <c r="C152" t="s">
        <v>3305</v>
      </c>
      <c r="D152" t="s">
        <v>3306</v>
      </c>
      <c r="E152" t="s">
        <v>3307</v>
      </c>
      <c r="F152" t="s">
        <v>1605</v>
      </c>
      <c r="G152" t="s">
        <v>1605</v>
      </c>
      <c r="I152" t="str">
        <f t="shared" si="21"/>
        <v>N/A</v>
      </c>
      <c r="J152">
        <f t="shared" si="22"/>
        <v>6180000</v>
      </c>
      <c r="K152">
        <f t="shared" si="23"/>
        <v>4910000</v>
      </c>
      <c r="L152">
        <f t="shared" si="24"/>
        <v>4099999.9999999995</v>
      </c>
      <c r="M152">
        <f t="shared" si="25"/>
        <v>3310000</v>
      </c>
      <c r="N152">
        <f t="shared" si="26"/>
        <v>3310000</v>
      </c>
      <c r="P152">
        <f t="shared" si="27"/>
        <v>6180000</v>
      </c>
      <c r="Q152">
        <f>IFERROR(J144+MATCH(P152,J152:N152,0)-1,"")</f>
        <v>2012</v>
      </c>
      <c r="R152">
        <f t="shared" si="28"/>
        <v>3310000</v>
      </c>
      <c r="S152">
        <f>IFERROR(J144+MATCH(R152,J152:N152,0)-1,"")</f>
        <v>2015</v>
      </c>
      <c r="T152">
        <f t="shared" si="29"/>
        <v>4362000</v>
      </c>
      <c r="U152">
        <f t="shared" si="30"/>
        <v>1213206.495201868</v>
      </c>
      <c r="V152">
        <f t="shared" si="31"/>
        <v>1.498508297795998</v>
      </c>
      <c r="W152">
        <f t="shared" si="32"/>
        <v>0.4516955705127651</v>
      </c>
      <c r="X152">
        <f t="shared" si="33"/>
        <v>-0.21595664137654136</v>
      </c>
      <c r="Y152">
        <f t="shared" si="34"/>
        <v>-0.86712361346611111</v>
      </c>
      <c r="Z152">
        <f t="shared" si="35"/>
        <v>-0.86712361346611111</v>
      </c>
      <c r="AA152">
        <f t="shared" si="36"/>
        <v>1.498508297795998</v>
      </c>
      <c r="AB152">
        <f>IFERROR(V144+MATCH(AA152,V152:Z152,0)-1,"")</f>
        <v>2012</v>
      </c>
      <c r="AC152" t="str">
        <f t="shared" si="37"/>
        <v>High</v>
      </c>
      <c r="AE152">
        <f>IF(ISNUMBER(MATCH("N/A",J152:N152,0)),"",IFERROR((5 * SUMPRODUCT(J144:N144,J152:N152) - PRODUCT(SUM(J144:N144),SUM(J152:N152))) / ((5 * SUM((J144^2)+(K144^2)+(L144^2)+(M144^2)+(N144^2))) - SUM(J144:N144)^2),""))</f>
        <v>-734000</v>
      </c>
      <c r="AF152">
        <f>IFERROR(CORREL(J144:N144,J152:N152),"")</f>
        <v>-0.95660211668145401</v>
      </c>
      <c r="AZ152">
        <f t="shared" si="38"/>
        <v>1</v>
      </c>
      <c r="BA152" t="str">
        <f>IF(AZ152=1,IF(Q152="","",IF(Q152=N144,"Yes","No")),"")</f>
        <v>No</v>
      </c>
      <c r="BB152" t="str">
        <f t="shared" si="39"/>
        <v/>
      </c>
      <c r="BC152" t="str">
        <f>IF(AZ152=1,IF(S152="","",IF(S152=N144,"Yes","No")),"")</f>
        <v>No</v>
      </c>
      <c r="BD152" t="str">
        <f t="shared" si="40"/>
        <v/>
      </c>
      <c r="BE152" t="str">
        <f t="shared" si="41"/>
        <v>Decreasing</v>
      </c>
      <c r="BF152" t="str">
        <f t="shared" si="42"/>
        <v>No</v>
      </c>
      <c r="BG152" t="str">
        <f t="shared" si="43"/>
        <v>No</v>
      </c>
      <c r="BH152" t="str">
        <f t="shared" si="44"/>
        <v>Yes</v>
      </c>
    </row>
    <row r="153" spans="1:60" x14ac:dyDescent="0.3">
      <c r="A153" s="1">
        <v>8</v>
      </c>
      <c r="B153" t="s">
        <v>3308</v>
      </c>
      <c r="C153" t="s">
        <v>2104</v>
      </c>
      <c r="D153" t="s">
        <v>1598</v>
      </c>
      <c r="E153" t="s">
        <v>3309</v>
      </c>
      <c r="F153" t="s">
        <v>1152</v>
      </c>
      <c r="G153" t="s">
        <v>342</v>
      </c>
      <c r="I153" t="str">
        <f t="shared" si="21"/>
        <v>neg_trend</v>
      </c>
      <c r="J153">
        <f t="shared" si="22"/>
        <v>3800000</v>
      </c>
      <c r="K153">
        <f t="shared" si="23"/>
        <v>2790000</v>
      </c>
      <c r="L153">
        <f t="shared" si="24"/>
        <v>2290000</v>
      </c>
      <c r="M153">
        <f t="shared" si="25"/>
        <v>2089999.9999999998</v>
      </c>
      <c r="N153">
        <f t="shared" si="26"/>
        <v>2000000</v>
      </c>
      <c r="P153">
        <f t="shared" si="27"/>
        <v>3800000</v>
      </c>
      <c r="Q153">
        <f>IFERROR(J144+MATCH(P153,J153:N153,0)-1,"")</f>
        <v>2012</v>
      </c>
      <c r="R153">
        <f t="shared" si="28"/>
        <v>2000000</v>
      </c>
      <c r="S153">
        <f>IFERROR(J144+MATCH(R153,J153:N153,0)-1,"")</f>
        <v>2016</v>
      </c>
      <c r="T153">
        <f t="shared" si="29"/>
        <v>2594000</v>
      </c>
      <c r="U153">
        <f t="shared" si="30"/>
        <v>740290.48352656804</v>
      </c>
      <c r="V153">
        <f t="shared" si="31"/>
        <v>1.6290902380034691</v>
      </c>
      <c r="W153">
        <f t="shared" si="32"/>
        <v>0.26476093420288555</v>
      </c>
      <c r="X153">
        <f t="shared" si="33"/>
        <v>-0.41064961223304697</v>
      </c>
      <c r="Y153">
        <f t="shared" si="34"/>
        <v>-0.68081383080742031</v>
      </c>
      <c r="Z153">
        <f t="shared" si="35"/>
        <v>-0.80238772916588774</v>
      </c>
      <c r="AA153">
        <f t="shared" si="36"/>
        <v>1.6290902380034691</v>
      </c>
      <c r="AB153">
        <f>IFERROR(V144+MATCH(AA153,V153:Z153,0)-1,"")</f>
        <v>2012</v>
      </c>
      <c r="AC153" t="str">
        <f t="shared" si="37"/>
        <v>High</v>
      </c>
      <c r="AE153">
        <f>IF(ISNUMBER(MATCH("N/A",J153:N153,0)),"",IFERROR((5 * SUMPRODUCT(J144:N144,J153:N153) - PRODUCT(SUM(J144:N144),SUM(J153:N153))) / ((5 * SUM((J144^2)+(K144^2)+(L144^2)+(M144^2)+(N144^2))) - SUM(J144:N144)^2),""))</f>
        <v>-430000</v>
      </c>
      <c r="AF153">
        <f>IFERROR(CORREL(J144:N144,J153:N153),"")</f>
        <v>-0.91840934344768066</v>
      </c>
      <c r="AZ153">
        <f t="shared" si="38"/>
        <v>1</v>
      </c>
      <c r="BA153" t="str">
        <f>IF(AZ153=1,IF(Q153="","",IF(Q153=N144,"Yes","No")),"")</f>
        <v>No</v>
      </c>
      <c r="BB153" t="str">
        <f t="shared" si="39"/>
        <v/>
      </c>
      <c r="BC153" t="str">
        <f>IF(AZ153=1,IF(S153="","",IF(S153=N144,"Yes","No")),"")</f>
        <v>Yes</v>
      </c>
      <c r="BD153">
        <f t="shared" si="40"/>
        <v>2000000</v>
      </c>
      <c r="BE153" t="str">
        <f t="shared" si="41"/>
        <v>Decreasing</v>
      </c>
      <c r="BF153" t="str">
        <f t="shared" si="42"/>
        <v>Yes</v>
      </c>
      <c r="BG153" t="str">
        <f t="shared" si="43"/>
        <v>No</v>
      </c>
      <c r="BH153" t="str">
        <f t="shared" si="44"/>
        <v>Yes</v>
      </c>
    </row>
    <row r="154" spans="1:60" x14ac:dyDescent="0.3">
      <c r="A154" s="1">
        <v>9</v>
      </c>
      <c r="B154" t="s">
        <v>3310</v>
      </c>
      <c r="C154" t="s">
        <v>2239</v>
      </c>
      <c r="D154" t="s">
        <v>3311</v>
      </c>
      <c r="E154" t="s">
        <v>3312</v>
      </c>
      <c r="F154" t="s">
        <v>3313</v>
      </c>
      <c r="G154" t="s">
        <v>1897</v>
      </c>
      <c r="I154" t="str">
        <f t="shared" si="21"/>
        <v>N/A</v>
      </c>
      <c r="J154">
        <f t="shared" si="22"/>
        <v>2380000</v>
      </c>
      <c r="K154">
        <f t="shared" si="23"/>
        <v>2100000</v>
      </c>
      <c r="L154">
        <f t="shared" si="24"/>
        <v>1790000</v>
      </c>
      <c r="M154">
        <f t="shared" si="25"/>
        <v>1200000</v>
      </c>
      <c r="N154">
        <f t="shared" si="26"/>
        <v>1290000</v>
      </c>
      <c r="P154">
        <f t="shared" si="27"/>
        <v>2380000</v>
      </c>
      <c r="Q154">
        <f>IFERROR(J144+MATCH(P154,J154:N154,0)-1,"")</f>
        <v>2012</v>
      </c>
      <c r="R154">
        <f t="shared" si="28"/>
        <v>1200000</v>
      </c>
      <c r="S154">
        <f>IFERROR(J144+MATCH(R154,J154:N154,0)-1,"")</f>
        <v>2015</v>
      </c>
      <c r="T154">
        <f t="shared" si="29"/>
        <v>1752000</v>
      </c>
      <c r="U154">
        <f t="shared" si="30"/>
        <v>508694.40728201444</v>
      </c>
      <c r="V154">
        <f t="shared" si="31"/>
        <v>1.234532935707791</v>
      </c>
      <c r="W154">
        <f t="shared" si="32"/>
        <v>0.68410423825845745</v>
      </c>
      <c r="X154">
        <f t="shared" si="33"/>
        <v>7.4701037510980992E-2</v>
      </c>
      <c r="Y154">
        <f t="shared" si="34"/>
        <v>-1.085130860685829</v>
      </c>
      <c r="Z154">
        <f t="shared" si="35"/>
        <v>-0.90820735079140047</v>
      </c>
      <c r="AA154">
        <f t="shared" si="36"/>
        <v>1.234532935707791</v>
      </c>
      <c r="AB154">
        <f>IFERROR(V144+MATCH(AA154,V154:Z154,0)-1,"")</f>
        <v>2012</v>
      </c>
      <c r="AC154" t="str">
        <f t="shared" si="37"/>
        <v>High</v>
      </c>
      <c r="AE154">
        <f>IF(ISNUMBER(MATCH("N/A",J154:N154,0)),"",IFERROR((5 * SUMPRODUCT(J144:N144,J154:N154) - PRODUCT(SUM(J144:N144),SUM(J154:N154))) / ((5 * SUM((J144^2)+(K144^2)+(L144^2)+(M144^2)+(N144^2))) - SUM(J144:N144)^2),""))</f>
        <v>-308000</v>
      </c>
      <c r="AF154">
        <f>IFERROR(CORREL(J144:N144,J154:N154),"")</f>
        <v>-0.95733460540278403</v>
      </c>
      <c r="AZ154">
        <f t="shared" si="38"/>
        <v>1</v>
      </c>
      <c r="BA154" t="str">
        <f>IF(AZ154=1,IF(Q154="","",IF(Q154=N144,"Yes","No")),"")</f>
        <v>No</v>
      </c>
      <c r="BB154" t="str">
        <f t="shared" si="39"/>
        <v/>
      </c>
      <c r="BC154" t="str">
        <f>IF(AZ154=1,IF(S154="","",IF(S154=N144,"Yes","No")),"")</f>
        <v>No</v>
      </c>
      <c r="BD154" t="str">
        <f t="shared" si="40"/>
        <v/>
      </c>
      <c r="BE154" t="str">
        <f t="shared" si="41"/>
        <v>Decreasing</v>
      </c>
      <c r="BF154" t="str">
        <f t="shared" si="42"/>
        <v>No</v>
      </c>
      <c r="BG154" t="str">
        <f t="shared" si="43"/>
        <v>No</v>
      </c>
      <c r="BH154" t="str">
        <f t="shared" si="44"/>
        <v>Yes</v>
      </c>
    </row>
    <row r="155" spans="1:60" x14ac:dyDescent="0.3">
      <c r="A155" s="1">
        <v>10</v>
      </c>
      <c r="B155" t="s">
        <v>3314</v>
      </c>
      <c r="C155" t="s">
        <v>2239</v>
      </c>
      <c r="D155" t="s">
        <v>3311</v>
      </c>
      <c r="E155" t="s">
        <v>3312</v>
      </c>
      <c r="F155" t="s">
        <v>3313</v>
      </c>
      <c r="G155" t="s">
        <v>1897</v>
      </c>
      <c r="I155" t="str">
        <f t="shared" si="21"/>
        <v>N/A</v>
      </c>
      <c r="J155">
        <f t="shared" si="22"/>
        <v>2380000</v>
      </c>
      <c r="K155">
        <f t="shared" si="23"/>
        <v>2100000</v>
      </c>
      <c r="L155">
        <f t="shared" si="24"/>
        <v>1790000</v>
      </c>
      <c r="M155">
        <f t="shared" si="25"/>
        <v>1200000</v>
      </c>
      <c r="N155">
        <f t="shared" si="26"/>
        <v>1290000</v>
      </c>
      <c r="P155">
        <f t="shared" si="27"/>
        <v>2380000</v>
      </c>
      <c r="Q155">
        <f>IFERROR(J144+MATCH(P155,J155:N155,0)-1,"")</f>
        <v>2012</v>
      </c>
      <c r="R155">
        <f t="shared" si="28"/>
        <v>1200000</v>
      </c>
      <c r="S155">
        <f>IFERROR(J144+MATCH(R155,J155:N155,0)-1,"")</f>
        <v>2015</v>
      </c>
      <c r="T155">
        <f t="shared" si="29"/>
        <v>1752000</v>
      </c>
      <c r="U155">
        <f t="shared" si="30"/>
        <v>508694.40728201444</v>
      </c>
      <c r="V155">
        <f t="shared" si="31"/>
        <v>1.234532935707791</v>
      </c>
      <c r="W155">
        <f t="shared" si="32"/>
        <v>0.68410423825845745</v>
      </c>
      <c r="X155">
        <f t="shared" si="33"/>
        <v>7.4701037510980992E-2</v>
      </c>
      <c r="Y155">
        <f t="shared" si="34"/>
        <v>-1.085130860685829</v>
      </c>
      <c r="Z155">
        <f t="shared" si="35"/>
        <v>-0.90820735079140047</v>
      </c>
      <c r="AA155">
        <f t="shared" si="36"/>
        <v>1.234532935707791</v>
      </c>
      <c r="AB155">
        <f>IFERROR(V144+MATCH(AA155,V155:Z155,0)-1,"")</f>
        <v>2012</v>
      </c>
      <c r="AC155" t="str">
        <f t="shared" si="37"/>
        <v>High</v>
      </c>
      <c r="AE155">
        <f>IF(ISNUMBER(MATCH("N/A",J155:N155,0)),"",IFERROR((5 * SUMPRODUCT(J144:N144,J155:N155) - PRODUCT(SUM(J144:N144),SUM(J155:N155))) / ((5 * SUM((J144^2)+(K144^2)+(L144^2)+(M144^2)+(N144^2))) - SUM(J144:N144)^2),""))</f>
        <v>-308000</v>
      </c>
      <c r="AF155">
        <f>IFERROR(CORREL(J144:N144,J155:N155),"")</f>
        <v>-0.95733460540278403</v>
      </c>
      <c r="AZ155">
        <f t="shared" si="38"/>
        <v>1</v>
      </c>
      <c r="BA155" t="str">
        <f>IF(AZ155=1,IF(Q155="","",IF(Q155=N144,"Yes","No")),"")</f>
        <v>No</v>
      </c>
      <c r="BB155" t="str">
        <f t="shared" si="39"/>
        <v/>
      </c>
      <c r="BC155" t="str">
        <f>IF(AZ155=1,IF(S155="","",IF(S155=N144,"Yes","No")),"")</f>
        <v>No</v>
      </c>
      <c r="BD155" t="str">
        <f t="shared" si="40"/>
        <v/>
      </c>
      <c r="BE155" t="str">
        <f t="shared" si="41"/>
        <v>Decreasing</v>
      </c>
      <c r="BF155" t="str">
        <f t="shared" si="42"/>
        <v>No</v>
      </c>
      <c r="BG155" t="str">
        <f t="shared" si="43"/>
        <v>No</v>
      </c>
      <c r="BH155" t="str">
        <f t="shared" si="44"/>
        <v>Yes</v>
      </c>
    </row>
    <row r="156" spans="1:60" x14ac:dyDescent="0.3">
      <c r="A156" s="1">
        <v>11</v>
      </c>
      <c r="B156" t="s">
        <v>366</v>
      </c>
      <c r="C156" t="s">
        <v>264</v>
      </c>
      <c r="D156" t="s">
        <v>264</v>
      </c>
      <c r="E156" t="s">
        <v>264</v>
      </c>
      <c r="F156" t="s">
        <v>264</v>
      </c>
      <c r="G156" t="s">
        <v>264</v>
      </c>
      <c r="I156" t="str">
        <f t="shared" ref="I156:I187" si="45">IF(AND(K156&gt; J156, L156&gt; K156, M156&gt; L156, N156&gt; M156), "pos_trend", IF(AND(K156&lt; J156, L156&lt; K156, M156&lt; L156, N156&lt; M156), "neg_trend", "N/A"))</f>
        <v>N/A</v>
      </c>
      <c r="J156" t="str">
        <f t="shared" si="22"/>
        <v>N/A</v>
      </c>
      <c r="K156" t="str">
        <f t="shared" si="23"/>
        <v>N/A</v>
      </c>
      <c r="L156" t="str">
        <f t="shared" si="24"/>
        <v>N/A</v>
      </c>
      <c r="M156" t="str">
        <f t="shared" si="25"/>
        <v>N/A</v>
      </c>
      <c r="N156" t="str">
        <f t="shared" si="26"/>
        <v>N/A</v>
      </c>
      <c r="P156">
        <f t="shared" si="27"/>
        <v>0</v>
      </c>
      <c r="Q156" t="str">
        <f>IFERROR(J144+MATCH(P156,J156:N156,0)-1,"")</f>
        <v/>
      </c>
      <c r="R156" t="str">
        <f t="shared" si="28"/>
        <v/>
      </c>
      <c r="S156" t="str">
        <f>IFERROR(J144+MATCH(R156,J156:N156,0)-1,"")</f>
        <v/>
      </c>
      <c r="T156" t="str">
        <f t="shared" si="29"/>
        <v/>
      </c>
      <c r="U156" t="str">
        <f t="shared" si="30"/>
        <v/>
      </c>
      <c r="V156" t="str">
        <f t="shared" si="31"/>
        <v/>
      </c>
      <c r="W156" t="str">
        <f t="shared" si="32"/>
        <v/>
      </c>
      <c r="X156" t="str">
        <f t="shared" si="33"/>
        <v/>
      </c>
      <c r="Y156" t="str">
        <f t="shared" si="34"/>
        <v/>
      </c>
      <c r="Z156" t="str">
        <f t="shared" si="35"/>
        <v/>
      </c>
      <c r="AA156">
        <f t="shared" si="36"/>
        <v>0</v>
      </c>
      <c r="AB156" t="str">
        <f>IFERROR(V144+MATCH(AA156,V156:Z156,0)-1,"")</f>
        <v/>
      </c>
      <c r="AC156" t="str">
        <f t="shared" si="37"/>
        <v/>
      </c>
      <c r="AE156" t="str">
        <f>IF(ISNUMBER(MATCH("N/A",J156:N156,0)),"",IFERROR((5 * SUMPRODUCT(J144:N144,J156:N156) - PRODUCT(SUM(J144:N144),SUM(J156:N156))) / ((5 * SUM((J144^2)+(K144^2)+(L144^2)+(M144^2)+(N144^2))) - SUM(J144:N144)^2),""))</f>
        <v/>
      </c>
      <c r="AF156" t="str">
        <f>IFERROR(CORREL(J144:N144,J156:N156),"")</f>
        <v/>
      </c>
      <c r="AZ156">
        <f t="shared" si="38"/>
        <v>0</v>
      </c>
      <c r="BA156" t="str">
        <f>IF(AZ156=1,IF(Q156="","",IF(Q156=N144,"Yes","No")),"")</f>
        <v/>
      </c>
      <c r="BB156" t="str">
        <f t="shared" si="39"/>
        <v/>
      </c>
      <c r="BC156" t="str">
        <f>IF(AZ156=1,IF(S156="","",IF(S156=N144,"Yes","No")),"")</f>
        <v/>
      </c>
      <c r="BD156" t="str">
        <f t="shared" si="40"/>
        <v/>
      </c>
      <c r="BE156" t="str">
        <f t="shared" si="41"/>
        <v/>
      </c>
      <c r="BF156" t="str">
        <f t="shared" si="42"/>
        <v>No</v>
      </c>
      <c r="BG156" t="str">
        <f t="shared" si="43"/>
        <v>No</v>
      </c>
      <c r="BH156" t="str">
        <f t="shared" si="44"/>
        <v/>
      </c>
    </row>
    <row r="157" spans="1:60" x14ac:dyDescent="0.3">
      <c r="A157" s="1">
        <v>12</v>
      </c>
      <c r="B157" t="s">
        <v>3315</v>
      </c>
      <c r="C157" t="s">
        <v>264</v>
      </c>
      <c r="D157" t="s">
        <v>264</v>
      </c>
      <c r="E157" t="s">
        <v>264</v>
      </c>
      <c r="F157" t="s">
        <v>264</v>
      </c>
      <c r="G157" t="s">
        <v>264</v>
      </c>
      <c r="P157">
        <f t="shared" si="27"/>
        <v>0</v>
      </c>
      <c r="Q157" t="str">
        <f>IFERROR(J144+MATCH(P157,J157:N157,0)-1,"")</f>
        <v/>
      </c>
      <c r="R157" t="str">
        <f t="shared" si="28"/>
        <v/>
      </c>
      <c r="S157" t="str">
        <f>IFERROR(J144+MATCH(R157,J157:N157,0)-1,"")</f>
        <v/>
      </c>
      <c r="T157" t="str">
        <f t="shared" si="29"/>
        <v/>
      </c>
      <c r="U157" t="str">
        <f t="shared" si="30"/>
        <v/>
      </c>
      <c r="V157" t="str">
        <f t="shared" si="31"/>
        <v/>
      </c>
      <c r="W157" t="str">
        <f t="shared" si="32"/>
        <v/>
      </c>
      <c r="X157" t="str">
        <f t="shared" si="33"/>
        <v/>
      </c>
      <c r="Y157" t="str">
        <f t="shared" si="34"/>
        <v/>
      </c>
      <c r="Z157" t="str">
        <f t="shared" si="35"/>
        <v/>
      </c>
      <c r="AA157">
        <f t="shared" si="36"/>
        <v>0</v>
      </c>
      <c r="AB157" t="str">
        <f>IFERROR(V144+MATCH(AA157,V157:Z157,0)-1,"")</f>
        <v/>
      </c>
      <c r="AC157" t="str">
        <f t="shared" si="37"/>
        <v/>
      </c>
      <c r="AE157">
        <f>IF(ISNUMBER(MATCH("N/A",J157:N157,0)),"",IFERROR((5 * SUMPRODUCT(J144:N144,J157:N157) - PRODUCT(SUM(J144:N144),SUM(J157:N157))) / ((5 * SUM((J144^2)+(K144^2)+(L144^2)+(M144^2)+(N144^2))) - SUM(J144:N144)^2),""))</f>
        <v>0</v>
      </c>
      <c r="AF157" t="str">
        <f>IFERROR(CORREL(J144:N144,J157:N157),"")</f>
        <v/>
      </c>
      <c r="AZ157">
        <f t="shared" si="38"/>
        <v>0</v>
      </c>
      <c r="BA157" t="str">
        <f>IF(AZ157=1,IF(Q157="","",IF(Q157=N144,"Yes","No")),"")</f>
        <v/>
      </c>
      <c r="BB157" t="str">
        <f t="shared" si="39"/>
        <v/>
      </c>
      <c r="BC157" t="str">
        <f>IF(AZ157=1,IF(S157="","",IF(S157=N144,"Yes","No")),"")</f>
        <v/>
      </c>
      <c r="BD157" t="str">
        <f t="shared" si="40"/>
        <v/>
      </c>
      <c r="BE157" t="str">
        <f t="shared" si="41"/>
        <v/>
      </c>
      <c r="BF157" t="str">
        <f t="shared" si="42"/>
        <v>No</v>
      </c>
      <c r="BG157" t="str">
        <f t="shared" si="43"/>
        <v>No</v>
      </c>
      <c r="BH157" t="str">
        <f t="shared" si="44"/>
        <v/>
      </c>
    </row>
    <row r="158" spans="1:60" x14ac:dyDescent="0.3">
      <c r="A158" s="1">
        <v>13</v>
      </c>
      <c r="B158" t="s">
        <v>3316</v>
      </c>
      <c r="C158" t="s">
        <v>264</v>
      </c>
      <c r="D158" t="s">
        <v>3317</v>
      </c>
      <c r="E158" t="s">
        <v>3318</v>
      </c>
      <c r="F158" t="s">
        <v>3319</v>
      </c>
      <c r="G158" t="s">
        <v>3320</v>
      </c>
      <c r="I158" t="str">
        <f t="shared" ref="I158:I204" si="46">IF(AND(K158&gt; J158, L158&gt; K158, M158&gt; L158, N158&gt; M158), "pos_trend", IF(AND(K158&lt; J158, L158&lt; K158, M158&lt; L158, N158&lt; M158), "neg_trend", "N/A"))</f>
        <v>N/A</v>
      </c>
      <c r="J158" t="str">
        <f>IFERROR(IF(TRIM(C158)="-", "0", IF(RIGHT(C158,1)=")",IF(RIGHT(C158,2)="T)",-1000000000000*VALUE(MID(C158,2,LEN(C158)-3)),IF(RIGHT(C158,2)="M)",-1000000*VALUE(MID(C158,2,LEN(C158)-3)),IF(RIGHT(C158,2)="B)",-1000000000*VALUE(MID(C158,2,LEN(C158)-3)),IF(RIGHT(C158,2)="k)",-1000*VALUE(MID(C158,2,LEN(C158)-3)),VALUE(SUBSTITUTE(C158,",","")))))),IF(RIGHT(C158,1)="T",1000000000000*VALUE(LEFT(C158,LEN(C158)-1)),IF(RIGHT(C158,1)="M",1000000*VALUE(LEFT(C158,LEN(C158)-1)),IF(RIGHT(C158,1)="B",1000000000*VALUE(LEFT(C158,LEN(C158)-1)),IF(RIGHT(C158,1)="%",0.01*VALUE(LEFT(C158,LEN(C158)-1)),IF(RIGHT(C158,1)="k",1000*VALUE(LEFT(C158,LEN(C158)-1)),VALUE(SUBSTITUTE(C158,",",""))))))))),"N/A")</f>
        <v>0</v>
      </c>
      <c r="K158">
        <f>IFERROR(IF(TRIM(D158)="-", "0", IF(RIGHT(D158,1)=")",IF(RIGHT(D158,2)="T)",-1000000000000*VALUE(MID(D158,2,LEN(D158)-3)),IF(RIGHT(D158,2)="M)",-1000000*VALUE(MID(D158,2,LEN(D158)-3)),IF(RIGHT(D158,2)="B)",-1000000000*VALUE(MID(D158,2,LEN(D158)-3)),IF(RIGHT(D158,2)="k)",-1000*VALUE(MID(D158,2,LEN(D158)-3)),VALUE(SUBSTITUTE(D158,",","")))))),IF(RIGHT(D158,1)="T",1000000000000*VALUE(LEFT(D158,LEN(D158)-1)),IF(RIGHT(D158,1)="M",1000000*VALUE(LEFT(D158,LEN(D158)-1)),IF(RIGHT(D158,1)="B",1000000000*VALUE(LEFT(D158,LEN(D158)-1)),IF(RIGHT(D158,1)="%",0.01*VALUE(LEFT(D158,LEN(D158)-1)),IF(RIGHT(D158,1)="k",1000*VALUE(LEFT(D158,LEN(D158)-1)),VALUE(SUBSTITUTE(D158,",",""))))))))),"N/A")</f>
        <v>-0.20649999999999999</v>
      </c>
      <c r="L158">
        <f>IFERROR(IF(TRIM(E158)="-", "0", IF(RIGHT(E158,1)=")",IF(RIGHT(E158,2)="T)",-1000000000000*VALUE(MID(E158,2,LEN(E158)-3)),IF(RIGHT(E158,2)="M)",-1000000*VALUE(MID(E158,2,LEN(E158)-3)),IF(RIGHT(E158,2)="B)",-1000000000*VALUE(MID(E158,2,LEN(E158)-3)),IF(RIGHT(E158,2)="k)",-1000*VALUE(MID(E158,2,LEN(E158)-3)),VALUE(SUBSTITUTE(E158,",","")))))),IF(RIGHT(E158,1)="T",1000000000000*VALUE(LEFT(E158,LEN(E158)-1)),IF(RIGHT(E158,1)="M",1000000*VALUE(LEFT(E158,LEN(E158)-1)),IF(RIGHT(E158,1)="B",1000000000*VALUE(LEFT(E158,LEN(E158)-1)),IF(RIGHT(E158,1)="%",0.01*VALUE(LEFT(E158,LEN(E158)-1)),IF(RIGHT(E158,1)="k",1000*VALUE(LEFT(E158,LEN(E158)-1)),VALUE(SUBSTITUTE(E158,",",""))))))))),"N/A")</f>
        <v>-0.1636</v>
      </c>
      <c r="M158">
        <f>IFERROR(IF(TRIM(F158)="-", "0", IF(RIGHT(F158,1)=")",IF(RIGHT(F158,2)="T)",-1000000000000*VALUE(MID(F158,2,LEN(F158)-3)),IF(RIGHT(F158,2)="M)",-1000000*VALUE(MID(F158,2,LEN(F158)-3)),IF(RIGHT(F158,2)="B)",-1000000000*VALUE(MID(F158,2,LEN(F158)-3)),IF(RIGHT(F158,2)="k)",-1000*VALUE(MID(F158,2,LEN(F158)-3)),VALUE(SUBSTITUTE(F158,",","")))))),IF(RIGHT(F158,1)="T",1000000000000*VALUE(LEFT(F158,LEN(F158)-1)),IF(RIGHT(F158,1)="M",1000000*VALUE(LEFT(F158,LEN(F158)-1)),IF(RIGHT(F158,1)="B",1000000000*VALUE(LEFT(F158,LEN(F158)-1)),IF(RIGHT(F158,1)="%",0.01*VALUE(LEFT(F158,LEN(F158)-1)),IF(RIGHT(F158,1)="k",1000*VALUE(LEFT(F158,LEN(F158)-1)),VALUE(SUBSTITUTE(F158,",",""))))))))),"N/A")</f>
        <v>-0.19370000000000001</v>
      </c>
      <c r="N158">
        <f>IFERROR(IF(TRIM(G158)="-", "0", IF(RIGHT(G158,1)=")",IF(RIGHT(G158,2)="T)",-1000000000000*VALUE(MID(G158,2,LEN(G158)-3)),IF(RIGHT(G158,2)="M)",-1000000*VALUE(MID(G158,2,LEN(G158)-3)),IF(RIGHT(G158,2)="B)",-1000000000*VALUE(MID(G158,2,LEN(G158)-3)),IF(RIGHT(G158,2)="k)",-1000*VALUE(MID(G158,2,LEN(G158)-3)),VALUE(SUBSTITUTE(G158,",","")))))),IF(RIGHT(G158,1)="T",1000000000000*VALUE(LEFT(G158,LEN(G158)-1)),IF(RIGHT(G158,1)="M",1000000*VALUE(LEFT(G158,LEN(G158)-1)),IF(RIGHT(G158,1)="B",1000000000*VALUE(LEFT(G158,LEN(G158)-1)),IF(RIGHT(G158,1)="%",0.01*VALUE(LEFT(G158,LEN(G158)-1)),IF(RIGHT(G158,1)="k",1000*VALUE(LEFT(G158,LEN(G158)-1)),VALUE(SUBSTITUTE(G158,",",""))))))))),"N/A")</f>
        <v>-2.9999999999999997E-4</v>
      </c>
      <c r="P158">
        <f t="shared" si="27"/>
        <v>-2.9999999999999997E-4</v>
      </c>
      <c r="Q158">
        <f>IFERROR(J144+MATCH(P158,J158:N158,0)-1,"")</f>
        <v>2016</v>
      </c>
      <c r="R158">
        <f t="shared" si="28"/>
        <v>-0.20649999999999999</v>
      </c>
      <c r="S158">
        <f>IFERROR(J144+MATCH(R158,J158:N158,0)-1,"")</f>
        <v>2013</v>
      </c>
      <c r="T158">
        <f t="shared" si="29"/>
        <v>-0.14102499999999998</v>
      </c>
      <c r="U158">
        <f t="shared" si="30"/>
        <v>9.5524495113382651E-2</v>
      </c>
      <c r="V158" t="str">
        <f t="shared" si="31"/>
        <v/>
      </c>
      <c r="W158">
        <f t="shared" si="32"/>
        <v>-0.68542628696738528</v>
      </c>
      <c r="X158">
        <f t="shared" si="33"/>
        <v>-0.2363268183014697</v>
      </c>
      <c r="Y158">
        <f t="shared" si="34"/>
        <v>-0.5514292427034293</v>
      </c>
      <c r="Z158">
        <f t="shared" si="35"/>
        <v>1.4731823479722836</v>
      </c>
      <c r="AA158">
        <f t="shared" si="36"/>
        <v>1.4731823479722836</v>
      </c>
      <c r="AB158">
        <f>IFERROR(V144+MATCH(AA158,V158:Z158,0)-1,"")</f>
        <v>2016</v>
      </c>
      <c r="AC158" t="str">
        <f t="shared" si="37"/>
        <v>High</v>
      </c>
      <c r="AE158">
        <f>IF(ISNUMBER(MATCH("N/A",J158:N158,0)),"",IFERROR((5 * SUMPRODUCT(J144:N144,J158:N158) - PRODUCT(SUM(J144:N144),SUM(J158:N158))) / ((5 * SUM((J144^2)+(K144^2)+(L144^2)+(M144^2)+(N144^2))) - SUM(J144:N144)^2),""))</f>
        <v>1.2199999999938883E-3</v>
      </c>
      <c r="AF158">
        <f>IFERROR(CORREL(J144:N144,J158:N158),"")</f>
        <v>0.79534598134147394</v>
      </c>
      <c r="AZ158">
        <f t="shared" si="38"/>
        <v>1</v>
      </c>
      <c r="BA158" t="str">
        <f>IF(AZ158=1,IF(Q158="","",IF(Q158=N144,"Yes","No")),"")</f>
        <v>Yes</v>
      </c>
      <c r="BB158">
        <f t="shared" si="39"/>
        <v>-2.9999999999999997E-4</v>
      </c>
      <c r="BC158" t="str">
        <f>IF(AZ158=1,IF(S158="","",IF(S158=N144,"Yes","No")),"")</f>
        <v>No</v>
      </c>
      <c r="BD158" t="str">
        <f t="shared" si="40"/>
        <v/>
      </c>
      <c r="BE158" t="str">
        <f t="shared" si="41"/>
        <v>Increasing</v>
      </c>
      <c r="BF158" t="str">
        <f t="shared" si="42"/>
        <v>Yes</v>
      </c>
      <c r="BG158" t="str">
        <f t="shared" si="43"/>
        <v>No</v>
      </c>
      <c r="BH158" t="str">
        <f t="shared" si="44"/>
        <v>No</v>
      </c>
    </row>
    <row r="159" spans="1:60" x14ac:dyDescent="0.3">
      <c r="I159" t="str">
        <f t="shared" si="46"/>
        <v>N/A</v>
      </c>
      <c r="J159" t="str">
        <f t="shared" ref="J159:J204" si="47">IFERROR(IF(TRIM(C159)="-", "N/A", IF(RIGHT(C159,1)=")",IF(RIGHT(C159,2)="T)",-1000000000000*VALUE(MID(C159,2,LEN(C159)-3)),IF(RIGHT(C159,2)="M)",-1000000*VALUE(MID(C159,2,LEN(C159)-3)),IF(RIGHT(C159,2)="B)",-1000000000*VALUE(MID(C159,2,LEN(C159)-3)),IF(RIGHT(C159,2)="k)",-1000*VALUE(MID(C159,2,LEN(C159)-3)),VALUE(SUBSTITUTE(C159,",","")))))),IF(RIGHT(C159,1)="T",1000000000000*VALUE(LEFT(C159,LEN(C159)-1)),IF(RIGHT(C159,1)="M",1000000*VALUE(LEFT(C159,LEN(C159)-1)),IF(RIGHT(C159,1)="B",1000000000*VALUE(LEFT(C159,LEN(C159)-1)),IF(RIGHT(C159,1)="%",0.01*VALUE(LEFT(C159,LEN(C159)-1)),IF(RIGHT(C159,1)="k",1000*VALUE(LEFT(C159,LEN(C159)-1)),VALUE(SUBSTITUTE(C159,",",""))))))))),"N/A")</f>
        <v>N/A</v>
      </c>
      <c r="K159" t="str">
        <f t="shared" ref="K159:K204" si="48">IFERROR(IF(TRIM(D159)="-", "N/A", IF(RIGHT(D159,1)=")",IF(RIGHT(D159,2)="T)",-1000000000000*VALUE(MID(D159,2,LEN(D159)-3)),IF(RIGHT(D159,2)="M)",-1000000*VALUE(MID(D159,2,LEN(D159)-3)),IF(RIGHT(D159,2)="B)",-1000000000*VALUE(MID(D159,2,LEN(D159)-3)),IF(RIGHT(D159,2)="k)",-1000*VALUE(MID(D159,2,LEN(D159)-3)),VALUE(SUBSTITUTE(D159,",","")))))),IF(RIGHT(D159,1)="T",1000000000000*VALUE(LEFT(D159,LEN(D159)-1)),IF(RIGHT(D159,1)="M",1000000*VALUE(LEFT(D159,LEN(D159)-1)),IF(RIGHT(D159,1)="B",1000000000*VALUE(LEFT(D159,LEN(D159)-1)),IF(RIGHT(D159,1)="%",0.01*VALUE(LEFT(D159,LEN(D159)-1)),IF(RIGHT(D159,1)="k",1000*VALUE(LEFT(D159,LEN(D159)-1)),VALUE(SUBSTITUTE(D159,",",""))))))))),"N/A")</f>
        <v>N/A</v>
      </c>
      <c r="L159" t="str">
        <f t="shared" ref="L159:L204" si="49">IFERROR(IF(TRIM(E159)="-", "N/A", IF(RIGHT(E159,1)=")",IF(RIGHT(E159,2)="T)",-1000000000000*VALUE(MID(E159,2,LEN(E159)-3)),IF(RIGHT(E159,2)="M)",-1000000*VALUE(MID(E159,2,LEN(E159)-3)),IF(RIGHT(E159,2)="B)",-1000000000*VALUE(MID(E159,2,LEN(E159)-3)),IF(RIGHT(E159,2)="k)",-1000*VALUE(MID(E159,2,LEN(E159)-3)),VALUE(SUBSTITUTE(E159,",","")))))),IF(RIGHT(E159,1)="T",1000000000000*VALUE(LEFT(E159,LEN(E159)-1)),IF(RIGHT(E159,1)="M",1000000*VALUE(LEFT(E159,LEN(E159)-1)),IF(RIGHT(E159,1)="B",1000000000*VALUE(LEFT(E159,LEN(E159)-1)),IF(RIGHT(E159,1)="%",0.01*VALUE(LEFT(E159,LEN(E159)-1)),IF(RIGHT(E159,1)="k",1000*VALUE(LEFT(E159,LEN(E159)-1)),VALUE(SUBSTITUTE(E159,",",""))))))))),"N/A")</f>
        <v>N/A</v>
      </c>
      <c r="M159" t="str">
        <f t="shared" ref="M159:M204" si="50">IFERROR(IF(TRIM(F159)="-", "N/A", IF(RIGHT(F159,1)=")",IF(RIGHT(F159,2)="T)",-1000000000000*VALUE(MID(F159,2,LEN(F159)-3)),IF(RIGHT(F159,2)="M)",-1000000*VALUE(MID(F159,2,LEN(F159)-3)),IF(RIGHT(F159,2)="B)",-1000000000*VALUE(MID(F159,2,LEN(F159)-3)),IF(RIGHT(F159,2)="k)",-1000*VALUE(MID(F159,2,LEN(F159)-3)),VALUE(SUBSTITUTE(F159,",","")))))),IF(RIGHT(F159,1)="T",1000000000000*VALUE(LEFT(F159,LEN(F159)-1)),IF(RIGHT(F159,1)="M",1000000*VALUE(LEFT(F159,LEN(F159)-1)),IF(RIGHT(F159,1)="B",1000000000*VALUE(LEFT(F159,LEN(F159)-1)),IF(RIGHT(F159,1)="%",0.01*VALUE(LEFT(F159,LEN(F159)-1)),IF(RIGHT(F159,1)="k",1000*VALUE(LEFT(F159,LEN(F159)-1)),VALUE(SUBSTITUTE(F159,",",""))))))))),"N/A")</f>
        <v>N/A</v>
      </c>
      <c r="N159" t="str">
        <f t="shared" ref="N159:N204" si="51">IFERROR(IF(TRIM(G159)="-", "N/A", IF(RIGHT(G159,1)=")",IF(RIGHT(G159,2)="T)",-1000000000000*VALUE(MID(G159,2,LEN(G159)-3)),IF(RIGHT(G159,2)="M)",-1000000*VALUE(MID(G159,2,LEN(G159)-3)),IF(RIGHT(G159,2)="B)",-1000000000*VALUE(MID(G159,2,LEN(G159)-3)),IF(RIGHT(G159,2)="k)",-1000*VALUE(MID(G159,2,LEN(G159)-3)),VALUE(SUBSTITUTE(G159,",","")))))),IF(RIGHT(G159,1)="T",1000000000000*VALUE(LEFT(G159,LEN(G159)-1)),IF(RIGHT(G159,1)="M",1000000*VALUE(LEFT(G159,LEN(G159)-1)),IF(RIGHT(G159,1)="B",1000000000*VALUE(LEFT(G159,LEN(G159)-1)),IF(RIGHT(G159,1)="%",0.01*VALUE(LEFT(G159,LEN(G159)-1)),IF(RIGHT(G159,1)="k",1000*VALUE(LEFT(G159,LEN(G159)-1)),VALUE(SUBSTITUTE(G159,",",""))))))))),"N/A")</f>
        <v>N/A</v>
      </c>
      <c r="P159">
        <f t="shared" si="27"/>
        <v>0</v>
      </c>
      <c r="Q159" t="str">
        <f>IFERROR(J144+MATCH(P159,J159:N159,0)-1,"")</f>
        <v/>
      </c>
      <c r="R159" t="str">
        <f t="shared" si="28"/>
        <v/>
      </c>
      <c r="S159" t="str">
        <f>IFERROR(J144+MATCH(R159,J159:N159,0)-1,"")</f>
        <v/>
      </c>
      <c r="T159" t="str">
        <f t="shared" si="29"/>
        <v/>
      </c>
      <c r="U159" t="str">
        <f t="shared" si="30"/>
        <v/>
      </c>
      <c r="V159" t="str">
        <f t="shared" si="31"/>
        <v/>
      </c>
      <c r="W159" t="str">
        <f t="shared" si="32"/>
        <v/>
      </c>
      <c r="X159" t="str">
        <f t="shared" si="33"/>
        <v/>
      </c>
      <c r="Y159" t="str">
        <f t="shared" si="34"/>
        <v/>
      </c>
      <c r="Z159" t="str">
        <f t="shared" si="35"/>
        <v/>
      </c>
      <c r="AA159">
        <f t="shared" si="36"/>
        <v>0</v>
      </c>
      <c r="AB159" t="str">
        <f>IFERROR(V144+MATCH(AA159,V159:Z159,0)-1,"")</f>
        <v/>
      </c>
      <c r="AC159" t="str">
        <f t="shared" si="37"/>
        <v/>
      </c>
      <c r="AE159" t="str">
        <f>IF(ISNUMBER(MATCH("N/A",J159:N159,0)),"",IFERROR((5 * SUMPRODUCT(J144:N144,J159:N159) - PRODUCT(SUM(J144:N144),SUM(J159:N159))) / ((5 * SUM((J144^2)+(K144^2)+(L144^2)+(M144^2)+(N144^2))) - SUM(J144:N144)^2),""))</f>
        <v/>
      </c>
      <c r="AF159" t="str">
        <f>IFERROR(CORREL(J144:N144,J159:N159),"")</f>
        <v/>
      </c>
      <c r="AZ159">
        <f t="shared" si="38"/>
        <v>0</v>
      </c>
      <c r="BA159" t="str">
        <f>IF(AZ159=1,IF(Q159="","",IF(Q159=N144,"Yes","No")),"")</f>
        <v/>
      </c>
      <c r="BB159" t="str">
        <f t="shared" si="39"/>
        <v/>
      </c>
      <c r="BC159" t="str">
        <f>IF(AZ159=1,IF(S159="","",IF(S159=N144,"Yes","No")),"")</f>
        <v/>
      </c>
      <c r="BD159" t="str">
        <f t="shared" si="40"/>
        <v/>
      </c>
      <c r="BE159" t="str">
        <f t="shared" si="41"/>
        <v/>
      </c>
      <c r="BF159" t="str">
        <f t="shared" si="42"/>
        <v>No</v>
      </c>
      <c r="BG159" t="str">
        <f t="shared" si="43"/>
        <v>No</v>
      </c>
      <c r="BH159" t="str">
        <f t="shared" si="44"/>
        <v/>
      </c>
    </row>
    <row r="160" spans="1:60" x14ac:dyDescent="0.3">
      <c r="B160" s="1" t="s">
        <v>316</v>
      </c>
      <c r="C160" s="1" t="s">
        <v>252</v>
      </c>
      <c r="D160" s="1" t="s">
        <v>253</v>
      </c>
      <c r="E160" s="1" t="s">
        <v>254</v>
      </c>
      <c r="F160" s="1" t="s">
        <v>255</v>
      </c>
      <c r="G160" s="1" t="s">
        <v>256</v>
      </c>
      <c r="H160" s="1" t="s">
        <v>257</v>
      </c>
      <c r="I160" t="str">
        <f t="shared" si="46"/>
        <v>pos_trend</v>
      </c>
      <c r="J160">
        <f t="shared" si="47"/>
        <v>2012</v>
      </c>
      <c r="K160">
        <f t="shared" si="48"/>
        <v>2013</v>
      </c>
      <c r="L160">
        <f t="shared" si="49"/>
        <v>2014</v>
      </c>
      <c r="M160">
        <f t="shared" si="50"/>
        <v>2015</v>
      </c>
      <c r="N160">
        <f t="shared" si="51"/>
        <v>2016</v>
      </c>
      <c r="P160">
        <f t="shared" si="27"/>
        <v>2016</v>
      </c>
      <c r="Q160">
        <f>IFERROR(J144+MATCH(P160,J160:N160,0)-1,"")</f>
        <v>2016</v>
      </c>
      <c r="R160">
        <f t="shared" si="28"/>
        <v>2012</v>
      </c>
      <c r="S160">
        <f>IFERROR(J144+MATCH(R160,J160:N160,0)-1,"")</f>
        <v>2012</v>
      </c>
      <c r="T160">
        <f t="shared" si="29"/>
        <v>2014</v>
      </c>
      <c r="U160">
        <f t="shared" si="30"/>
        <v>1.5811388300841898</v>
      </c>
      <c r="V160">
        <f t="shared" si="31"/>
        <v>-1.2649110640673518</v>
      </c>
      <c r="W160">
        <f t="shared" si="32"/>
        <v>-0.63245553203367588</v>
      </c>
      <c r="X160">
        <f t="shared" si="33"/>
        <v>0</v>
      </c>
      <c r="Y160">
        <f t="shared" si="34"/>
        <v>0.63245553203367588</v>
      </c>
      <c r="Z160">
        <f t="shared" si="35"/>
        <v>1.2649110640673518</v>
      </c>
      <c r="AA160">
        <f t="shared" si="36"/>
        <v>-1.2649110640673518</v>
      </c>
      <c r="AB160">
        <f>IFERROR(V144+MATCH(AA160,V160:Z160,0)-1,"")</f>
        <v>2012</v>
      </c>
      <c r="AC160" t="str">
        <f t="shared" si="37"/>
        <v>Low</v>
      </c>
      <c r="AE160">
        <f>IF(ISNUMBER(MATCH("N/A",J160:N160,0)),"",IFERROR((5 * SUMPRODUCT(J144:N144,J160:N160) - PRODUCT(SUM(J144:N144),SUM(J160:N160))) / ((5 * SUM((J144^2)+(K144^2)+(L144^2)+(M144^2)+(N144^2))) - SUM(J144:N144)^2),""))</f>
        <v>1</v>
      </c>
      <c r="AF160">
        <f>IFERROR(CORREL(J144:N144,J160:N160),"")</f>
        <v>0.99999999999999978</v>
      </c>
      <c r="AZ160">
        <f t="shared" si="38"/>
        <v>1</v>
      </c>
      <c r="BA160" t="str">
        <f>IF(AZ160=1,IF(Q160="","",IF(Q160=N144,"Yes","No")),"")</f>
        <v>Yes</v>
      </c>
      <c r="BB160">
        <f t="shared" si="39"/>
        <v>2016</v>
      </c>
      <c r="BC160" t="str">
        <f>IF(AZ160=1,IF(S160="","",IF(S160=N144,"Yes","No")),"")</f>
        <v>No</v>
      </c>
      <c r="BD160" t="str">
        <f t="shared" si="40"/>
        <v/>
      </c>
      <c r="BE160" t="str">
        <f t="shared" si="41"/>
        <v>Increasing</v>
      </c>
      <c r="BF160" t="str">
        <f t="shared" si="42"/>
        <v>Yes</v>
      </c>
      <c r="BG160" t="str">
        <f t="shared" si="43"/>
        <v>Yes</v>
      </c>
      <c r="BH160" t="str">
        <f t="shared" si="44"/>
        <v>Yes</v>
      </c>
    </row>
    <row r="161" spans="1:60" x14ac:dyDescent="0.3">
      <c r="A161" s="1">
        <v>0</v>
      </c>
      <c r="B161" t="s">
        <v>3321</v>
      </c>
      <c r="C161" t="s">
        <v>3322</v>
      </c>
      <c r="D161" t="s">
        <v>3323</v>
      </c>
      <c r="E161" t="s">
        <v>3324</v>
      </c>
      <c r="F161" t="s">
        <v>3325</v>
      </c>
      <c r="G161" t="s">
        <v>3326</v>
      </c>
      <c r="I161" t="str">
        <f t="shared" si="46"/>
        <v>N/A</v>
      </c>
      <c r="J161">
        <f t="shared" si="47"/>
        <v>40580000</v>
      </c>
      <c r="K161">
        <f t="shared" si="48"/>
        <v>39970000</v>
      </c>
      <c r="L161">
        <f t="shared" si="49"/>
        <v>41970000</v>
      </c>
      <c r="M161">
        <f t="shared" si="50"/>
        <v>47390000</v>
      </c>
      <c r="N161">
        <f t="shared" si="51"/>
        <v>50260000</v>
      </c>
      <c r="P161">
        <f t="shared" si="27"/>
        <v>50260000</v>
      </c>
      <c r="Q161">
        <f>IFERROR(J144+MATCH(P161,J161:N161,0)-1,"")</f>
        <v>2016</v>
      </c>
      <c r="R161">
        <f t="shared" si="28"/>
        <v>39970000</v>
      </c>
      <c r="S161">
        <f>IFERROR(J144+MATCH(R161,J161:N161,0)-1,"")</f>
        <v>2013</v>
      </c>
      <c r="T161">
        <f t="shared" si="29"/>
        <v>44034000</v>
      </c>
      <c r="U161">
        <f t="shared" si="30"/>
        <v>4547859.9362777211</v>
      </c>
      <c r="V161">
        <f t="shared" si="31"/>
        <v>-0.75947809483925954</v>
      </c>
      <c r="W161">
        <f t="shared" si="32"/>
        <v>-0.8936071156417924</v>
      </c>
      <c r="X161">
        <f t="shared" si="33"/>
        <v>-0.45383983432201264</v>
      </c>
      <c r="Y161">
        <f t="shared" si="34"/>
        <v>0.7379294980545904</v>
      </c>
      <c r="Z161">
        <f t="shared" si="35"/>
        <v>1.3689955467484742</v>
      </c>
      <c r="AA161">
        <f t="shared" si="36"/>
        <v>1.3689955467484742</v>
      </c>
      <c r="AB161">
        <f>IFERROR(V144+MATCH(AA161,V161:Z161,0)-1,"")</f>
        <v>2016</v>
      </c>
      <c r="AC161" t="str">
        <f t="shared" si="37"/>
        <v>High</v>
      </c>
      <c r="AE161">
        <f>IF(ISNUMBER(MATCH("N/A",J161:N161,0)),"",IFERROR((5 * SUMPRODUCT(J144:N144,J161:N161) - PRODUCT(SUM(J144:N144),SUM(J161:N161))) / ((5 * SUM((J144^2)+(K144^2)+(L144^2)+(M144^2)+(N144^2))) - SUM(J144:N144)^2),""))</f>
        <v>2678000</v>
      </c>
      <c r="AF161">
        <f>IFERROR(CORREL(J144:N144,J161:N161),"")</f>
        <v>0.93105105396695464</v>
      </c>
      <c r="AZ161">
        <f t="shared" si="38"/>
        <v>1</v>
      </c>
      <c r="BA161" t="str">
        <f>IF(AZ161=1,IF(Q161="","",IF(Q161=N144,"Yes","No")),"")</f>
        <v>Yes</v>
      </c>
      <c r="BB161">
        <f t="shared" si="39"/>
        <v>50260000</v>
      </c>
      <c r="BC161" t="str">
        <f>IF(AZ161=1,IF(S161="","",IF(S161=N144,"Yes","No")),"")</f>
        <v>No</v>
      </c>
      <c r="BD161" t="str">
        <f t="shared" si="40"/>
        <v/>
      </c>
      <c r="BE161" t="str">
        <f t="shared" si="41"/>
        <v>Increasing</v>
      </c>
      <c r="BF161" t="str">
        <f t="shared" si="42"/>
        <v>Yes</v>
      </c>
      <c r="BG161" t="str">
        <f t="shared" si="43"/>
        <v>No</v>
      </c>
      <c r="BH161" t="str">
        <f t="shared" si="44"/>
        <v>Yes</v>
      </c>
    </row>
    <row r="162" spans="1:60" x14ac:dyDescent="0.3">
      <c r="A162" s="1">
        <v>1</v>
      </c>
      <c r="B162" t="s">
        <v>3327</v>
      </c>
      <c r="C162" t="s">
        <v>264</v>
      </c>
      <c r="D162" t="s">
        <v>3328</v>
      </c>
      <c r="E162" t="s">
        <v>3329</v>
      </c>
      <c r="F162" t="s">
        <v>3330</v>
      </c>
      <c r="G162" t="s">
        <v>3331</v>
      </c>
      <c r="I162" t="str">
        <f t="shared" si="46"/>
        <v>N/A</v>
      </c>
      <c r="J162" t="str">
        <f t="shared" si="47"/>
        <v>N/A</v>
      </c>
      <c r="K162">
        <f t="shared" si="48"/>
        <v>-1.49E-2</v>
      </c>
      <c r="L162">
        <f t="shared" si="49"/>
        <v>0.05</v>
      </c>
      <c r="M162">
        <f t="shared" si="50"/>
        <v>0.12920000000000001</v>
      </c>
      <c r="N162">
        <f t="shared" si="51"/>
        <v>6.0499999999999998E-2</v>
      </c>
      <c r="P162">
        <f t="shared" si="27"/>
        <v>0.12920000000000001</v>
      </c>
      <c r="Q162">
        <f>IFERROR(J144+MATCH(P162,J162:N162,0)-1,"")</f>
        <v>2015</v>
      </c>
      <c r="R162">
        <f t="shared" si="28"/>
        <v>-1.49E-2</v>
      </c>
      <c r="S162">
        <f>IFERROR(J144+MATCH(R162,J162:N162,0)-1,"")</f>
        <v>2013</v>
      </c>
      <c r="T162">
        <f t="shared" si="29"/>
        <v>5.62E-2</v>
      </c>
      <c r="U162">
        <f t="shared" si="30"/>
        <v>5.8994745528733322E-2</v>
      </c>
      <c r="V162" t="str">
        <f t="shared" si="31"/>
        <v/>
      </c>
      <c r="W162">
        <f t="shared" si="32"/>
        <v>-1.2051920787652322</v>
      </c>
      <c r="X162">
        <f t="shared" si="33"/>
        <v>-0.10509410532130009</v>
      </c>
      <c r="Y162">
        <f t="shared" si="34"/>
        <v>1.2373983368475663</v>
      </c>
      <c r="Z162">
        <f t="shared" si="35"/>
        <v>7.28878472389662E-2</v>
      </c>
      <c r="AA162">
        <f t="shared" si="36"/>
        <v>1.2373983368475663</v>
      </c>
      <c r="AB162">
        <f>IFERROR(V144+MATCH(AA162,V162:Z162,0)-1,"")</f>
        <v>2015</v>
      </c>
      <c r="AC162" t="str">
        <f t="shared" si="37"/>
        <v>High</v>
      </c>
      <c r="AE162" t="str">
        <f>IF(ISNUMBER(MATCH("N/A",J162:N162,0)),"",IFERROR((5 * SUMPRODUCT(J144:N144,J162:N162) - PRODUCT(SUM(J144:N144),SUM(J162:N162))) / ((5 * SUM((J144^2)+(K144^2)+(L144^2)+(M144^2)+(N144^2))) - SUM(J144:N144)^2),""))</f>
        <v/>
      </c>
      <c r="AF162">
        <f>IFERROR(CORREL(J144:N144,J162:N162),"")</f>
        <v>0.66831325588460488</v>
      </c>
      <c r="AZ162">
        <f t="shared" si="38"/>
        <v>1</v>
      </c>
      <c r="BA162" t="str">
        <f>IF(AZ162=1,IF(Q162="","",IF(Q162=N144,"Yes","No")),"")</f>
        <v>No</v>
      </c>
      <c r="BB162" t="str">
        <f t="shared" si="39"/>
        <v/>
      </c>
      <c r="BC162" t="str">
        <f>IF(AZ162=1,IF(S162="","",IF(S162=N144,"Yes","No")),"")</f>
        <v>No</v>
      </c>
      <c r="BD162" t="str">
        <f t="shared" si="40"/>
        <v/>
      </c>
      <c r="BE162" t="str">
        <f t="shared" si="41"/>
        <v/>
      </c>
      <c r="BF162" t="str">
        <f t="shared" si="42"/>
        <v>No</v>
      </c>
      <c r="BG162" t="str">
        <f t="shared" si="43"/>
        <v>No</v>
      </c>
      <c r="BH162" t="str">
        <f t="shared" si="44"/>
        <v>No</v>
      </c>
    </row>
    <row r="163" spans="1:60" x14ac:dyDescent="0.3">
      <c r="A163" s="1">
        <v>2</v>
      </c>
      <c r="B163" t="s">
        <v>3332</v>
      </c>
      <c r="C163" t="s">
        <v>1561</v>
      </c>
      <c r="D163" t="s">
        <v>247</v>
      </c>
      <c r="E163" t="s">
        <v>3333</v>
      </c>
      <c r="F163" t="s">
        <v>3313</v>
      </c>
      <c r="G163" t="s">
        <v>3334</v>
      </c>
      <c r="I163" t="str">
        <f t="shared" si="46"/>
        <v>N/A</v>
      </c>
      <c r="J163">
        <f t="shared" si="47"/>
        <v>6400000</v>
      </c>
      <c r="K163">
        <f t="shared" si="48"/>
        <v>1100000</v>
      </c>
      <c r="L163">
        <f t="shared" si="49"/>
        <v>1500000</v>
      </c>
      <c r="M163">
        <f t="shared" si="50"/>
        <v>1200000</v>
      </c>
      <c r="N163">
        <f t="shared" si="51"/>
        <v>-1300000</v>
      </c>
      <c r="P163">
        <f t="shared" si="27"/>
        <v>6400000</v>
      </c>
      <c r="Q163">
        <f>IFERROR(J144+MATCH(P163,J163:N163,0)-1,"")</f>
        <v>2012</v>
      </c>
      <c r="R163">
        <f t="shared" si="28"/>
        <v>-1300000</v>
      </c>
      <c r="S163">
        <f>IFERROR(J144+MATCH(R163,J163:N163,0)-1,"")</f>
        <v>2016</v>
      </c>
      <c r="T163">
        <f t="shared" si="29"/>
        <v>1780000</v>
      </c>
      <c r="U163">
        <f t="shared" si="30"/>
        <v>2815492.8520598309</v>
      </c>
      <c r="V163">
        <f t="shared" si="31"/>
        <v>1.6409205218262164</v>
      </c>
      <c r="W163">
        <f t="shared" si="32"/>
        <v>-0.24152076944628292</v>
      </c>
      <c r="X163">
        <f t="shared" si="33"/>
        <v>-9.9449728595528267E-2</v>
      </c>
      <c r="Y163">
        <f t="shared" si="34"/>
        <v>-0.20600300923359427</v>
      </c>
      <c r="Z163">
        <f t="shared" si="35"/>
        <v>-1.093947014550811</v>
      </c>
      <c r="AA163">
        <f t="shared" si="36"/>
        <v>1.6409205218262164</v>
      </c>
      <c r="AB163">
        <f>IFERROR(V144+MATCH(AA163,V163:Z163,0)-1,"")</f>
        <v>2012</v>
      </c>
      <c r="AC163" t="str">
        <f t="shared" si="37"/>
        <v>High</v>
      </c>
      <c r="AE163">
        <f>IF(ISNUMBER(MATCH("N/A",J163:N163,0)),"",IFERROR((5 * SUMPRODUCT(J144:N144,J163:N163) - PRODUCT(SUM(J144:N144),SUM(J163:N163))) / ((5 * SUM((J144^2)+(K144^2)+(L144^2)+(M144^2)+(N144^2))) - SUM(J144:N144)^2),""))</f>
        <v>-1530000</v>
      </c>
      <c r="AF163">
        <f>IFERROR(CORREL(J144:N144,J163:N163),"")</f>
        <v>-0.85922520039749051</v>
      </c>
      <c r="AZ163">
        <f t="shared" si="38"/>
        <v>1</v>
      </c>
      <c r="BA163" t="str">
        <f>IF(AZ163=1,IF(Q163="","",IF(Q163=N144,"Yes","No")),"")</f>
        <v>No</v>
      </c>
      <c r="BB163" t="str">
        <f t="shared" si="39"/>
        <v/>
      </c>
      <c r="BC163" t="str">
        <f>IF(AZ163=1,IF(S163="","",IF(S163=N144,"Yes","No")),"")</f>
        <v>Yes</v>
      </c>
      <c r="BD163">
        <f t="shared" si="40"/>
        <v>-1300000</v>
      </c>
      <c r="BE163" t="str">
        <f t="shared" si="41"/>
        <v>Decreasing</v>
      </c>
      <c r="BF163" t="str">
        <f t="shared" si="42"/>
        <v>Yes</v>
      </c>
      <c r="BG163" t="str">
        <f t="shared" si="43"/>
        <v>No</v>
      </c>
      <c r="BH163" t="str">
        <f t="shared" si="44"/>
        <v>Yes</v>
      </c>
    </row>
    <row r="164" spans="1:60" x14ac:dyDescent="0.3">
      <c r="A164" s="1">
        <v>3</v>
      </c>
      <c r="B164" t="s">
        <v>3335</v>
      </c>
      <c r="C164" t="s">
        <v>264</v>
      </c>
      <c r="D164" t="s">
        <v>3336</v>
      </c>
      <c r="E164" t="s">
        <v>3337</v>
      </c>
      <c r="F164" t="s">
        <v>3338</v>
      </c>
      <c r="G164" t="s">
        <v>3339</v>
      </c>
      <c r="I164" t="str">
        <f t="shared" si="46"/>
        <v>N/A</v>
      </c>
      <c r="J164" t="str">
        <f t="shared" si="47"/>
        <v>N/A</v>
      </c>
      <c r="K164">
        <f t="shared" si="48"/>
        <v>-0.82810000000000006</v>
      </c>
      <c r="L164">
        <f t="shared" si="49"/>
        <v>0.36359999999999998</v>
      </c>
      <c r="M164">
        <f t="shared" si="50"/>
        <v>-0.2</v>
      </c>
      <c r="N164">
        <f t="shared" si="51"/>
        <v>-2.0833000000000004</v>
      </c>
      <c r="P164">
        <f t="shared" si="27"/>
        <v>0.36359999999999998</v>
      </c>
      <c r="Q164">
        <f>IFERROR(J144+MATCH(P164,J164:N164,0)-1,"")</f>
        <v>2014</v>
      </c>
      <c r="R164">
        <f t="shared" si="28"/>
        <v>-2.0833000000000004</v>
      </c>
      <c r="S164">
        <f>IFERROR(J144+MATCH(R164,J164:N164,0)-1,"")</f>
        <v>2016</v>
      </c>
      <c r="T164">
        <f t="shared" si="29"/>
        <v>-0.68695000000000017</v>
      </c>
      <c r="U164">
        <f t="shared" si="30"/>
        <v>1.0504748529434995</v>
      </c>
      <c r="V164" t="str">
        <f t="shared" si="31"/>
        <v/>
      </c>
      <c r="W164">
        <f t="shared" si="32"/>
        <v>-0.13436780481178423</v>
      </c>
      <c r="X164">
        <f t="shared" si="33"/>
        <v>1.0000715362736099</v>
      </c>
      <c r="Y164">
        <f t="shared" si="34"/>
        <v>0.4635522674679306</v>
      </c>
      <c r="Z164">
        <f t="shared" si="35"/>
        <v>-1.3292559989297561</v>
      </c>
      <c r="AA164">
        <f t="shared" si="36"/>
        <v>-1.3292559989297561</v>
      </c>
      <c r="AB164">
        <f>IFERROR(V144+MATCH(AA164,V164:Z164,0)-1,"")</f>
        <v>2016</v>
      </c>
      <c r="AC164" t="str">
        <f t="shared" si="37"/>
        <v>Low</v>
      </c>
      <c r="AE164" t="str">
        <f>IF(ISNUMBER(MATCH("N/A",J164:N164,0)),"",IFERROR((5 * SUMPRODUCT(J144:N144,J164:N164) - PRODUCT(SUM(J144:N144),SUM(J164:N164))) / ((5 * SUM((J144^2)+(K144^2)+(L144^2)+(M144^2)+(N144^2))) - SUM(J144:N144)^2),""))</f>
        <v/>
      </c>
      <c r="AF164">
        <f>IFERROR(CORREL(J144:N144,J164:N164),"")</f>
        <v>-0.53204254740666856</v>
      </c>
      <c r="AZ164">
        <f t="shared" si="38"/>
        <v>1</v>
      </c>
      <c r="BA164" t="str">
        <f>IF(AZ164=1,IF(Q164="","",IF(Q164=N144,"Yes","No")),"")</f>
        <v>No</v>
      </c>
      <c r="BB164" t="str">
        <f t="shared" si="39"/>
        <v/>
      </c>
      <c r="BC164" t="str">
        <f>IF(AZ164=1,IF(S164="","",IF(S164=N144,"Yes","No")),"")</f>
        <v>Yes</v>
      </c>
      <c r="BD164">
        <f t="shared" si="40"/>
        <v>-2.0833000000000004</v>
      </c>
      <c r="BE164" t="str">
        <f t="shared" si="41"/>
        <v/>
      </c>
      <c r="BF164" t="str">
        <f t="shared" si="42"/>
        <v>No</v>
      </c>
      <c r="BG164" t="str">
        <f t="shared" si="43"/>
        <v>No</v>
      </c>
      <c r="BH164" t="str">
        <f t="shared" si="44"/>
        <v>No</v>
      </c>
    </row>
    <row r="165" spans="1:60" x14ac:dyDescent="0.3">
      <c r="A165" s="1">
        <v>4</v>
      </c>
      <c r="B165" t="s">
        <v>3340</v>
      </c>
      <c r="C165" t="s">
        <v>3341</v>
      </c>
      <c r="D165" t="s">
        <v>3342</v>
      </c>
      <c r="E165" t="s">
        <v>3343</v>
      </c>
      <c r="F165" t="s">
        <v>3344</v>
      </c>
      <c r="G165" t="s">
        <v>3345</v>
      </c>
      <c r="I165" t="str">
        <f t="shared" si="46"/>
        <v>pos_trend</v>
      </c>
      <c r="J165">
        <f t="shared" si="47"/>
        <v>34180000</v>
      </c>
      <c r="K165">
        <f t="shared" si="48"/>
        <v>38870000</v>
      </c>
      <c r="L165">
        <f t="shared" si="49"/>
        <v>40470000</v>
      </c>
      <c r="M165">
        <f t="shared" si="50"/>
        <v>46190000</v>
      </c>
      <c r="N165">
        <f t="shared" si="51"/>
        <v>51560000</v>
      </c>
      <c r="P165">
        <f t="shared" si="27"/>
        <v>51560000</v>
      </c>
      <c r="Q165">
        <f>IFERROR(J144+MATCH(P165,J165:N165,0)-1,"")</f>
        <v>2016</v>
      </c>
      <c r="R165">
        <f t="shared" si="28"/>
        <v>34180000</v>
      </c>
      <c r="S165">
        <f>IFERROR(J144+MATCH(R165,J165:N165,0)-1,"")</f>
        <v>2012</v>
      </c>
      <c r="T165">
        <f t="shared" si="29"/>
        <v>42254000</v>
      </c>
      <c r="U165">
        <f t="shared" si="30"/>
        <v>6743836.4452290805</v>
      </c>
      <c r="V165">
        <f t="shared" si="31"/>
        <v>-1.1972413722625113</v>
      </c>
      <c r="W165">
        <f t="shared" si="32"/>
        <v>-0.50179152882540723</v>
      </c>
      <c r="X165">
        <f t="shared" si="33"/>
        <v>-0.26453785089377263</v>
      </c>
      <c r="Y165">
        <f t="shared" si="34"/>
        <v>0.58364404771182121</v>
      </c>
      <c r="Z165">
        <f t="shared" si="35"/>
        <v>1.37992670426987</v>
      </c>
      <c r="AA165">
        <f t="shared" si="36"/>
        <v>1.37992670426987</v>
      </c>
      <c r="AB165">
        <f>IFERROR(V144+MATCH(AA165,V165:Z165,0)-1,"")</f>
        <v>2016</v>
      </c>
      <c r="AC165" t="str">
        <f t="shared" si="37"/>
        <v>High</v>
      </c>
      <c r="AE165">
        <f>IF(ISNUMBER(MATCH("N/A",J165:N165,0)),"",IFERROR((5 * SUMPRODUCT(J144:N144,J165:N165) - PRODUCT(SUM(J144:N144),SUM(J165:N165))) / ((5 * SUM((J144^2)+(K144^2)+(L144^2)+(M144^2)+(N144^2))) - SUM(J144:N144)^2),""))</f>
        <v>4208000</v>
      </c>
      <c r="AF165">
        <f>IFERROR(CORREL(J144:N144,J165:N165),"")</f>
        <v>0.98659453725352908</v>
      </c>
      <c r="AZ165">
        <f t="shared" si="38"/>
        <v>1</v>
      </c>
      <c r="BA165" t="str">
        <f>IF(AZ165=1,IF(Q165="","",IF(Q165=N144,"Yes","No")),"")</f>
        <v>Yes</v>
      </c>
      <c r="BB165">
        <f t="shared" si="39"/>
        <v>51560000</v>
      </c>
      <c r="BC165" t="str">
        <f>IF(AZ165=1,IF(S165="","",IF(S165=N144,"Yes","No")),"")</f>
        <v>No</v>
      </c>
      <c r="BD165" t="str">
        <f t="shared" si="40"/>
        <v/>
      </c>
      <c r="BE165" t="str">
        <f t="shared" si="41"/>
        <v>Increasing</v>
      </c>
      <c r="BF165" t="str">
        <f t="shared" si="42"/>
        <v>Yes</v>
      </c>
      <c r="BG165" t="str">
        <f t="shared" si="43"/>
        <v>Yes</v>
      </c>
      <c r="BH165" t="str">
        <f t="shared" si="44"/>
        <v>Yes</v>
      </c>
    </row>
    <row r="166" spans="1:60" x14ac:dyDescent="0.3">
      <c r="A166" s="1">
        <v>5</v>
      </c>
      <c r="B166" t="s">
        <v>3346</v>
      </c>
      <c r="C166" t="s">
        <v>264</v>
      </c>
      <c r="D166" t="s">
        <v>3347</v>
      </c>
      <c r="E166" t="s">
        <v>3348</v>
      </c>
      <c r="F166" t="s">
        <v>3349</v>
      </c>
      <c r="G166" t="s">
        <v>3350</v>
      </c>
      <c r="I166" t="str">
        <f t="shared" si="46"/>
        <v>N/A</v>
      </c>
      <c r="J166" t="str">
        <f t="shared" si="47"/>
        <v>N/A</v>
      </c>
      <c r="K166">
        <f t="shared" si="48"/>
        <v>0.13739999999999999</v>
      </c>
      <c r="L166">
        <f t="shared" si="49"/>
        <v>4.1100000000000005E-2</v>
      </c>
      <c r="M166">
        <f t="shared" si="50"/>
        <v>0.1414</v>
      </c>
      <c r="N166">
        <f t="shared" si="51"/>
        <v>0.1162</v>
      </c>
      <c r="P166">
        <f t="shared" si="27"/>
        <v>0.1414</v>
      </c>
      <c r="Q166">
        <f>IFERROR(J144+MATCH(P166,J166:N166,0)-1,"")</f>
        <v>2015</v>
      </c>
      <c r="R166">
        <f t="shared" si="28"/>
        <v>4.1100000000000005E-2</v>
      </c>
      <c r="S166">
        <f>IFERROR(J144+MATCH(R166,J166:N166,0)-1,"")</f>
        <v>2014</v>
      </c>
      <c r="T166">
        <f t="shared" si="29"/>
        <v>0.10902499999999998</v>
      </c>
      <c r="U166">
        <f t="shared" si="30"/>
        <v>4.66139017175492E-2</v>
      </c>
      <c r="V166" t="str">
        <f t="shared" si="31"/>
        <v/>
      </c>
      <c r="W166">
        <f t="shared" si="32"/>
        <v>0.60872398478751222</v>
      </c>
      <c r="X166">
        <f t="shared" si="33"/>
        <v>-1.4571833186499294</v>
      </c>
      <c r="Y166">
        <f t="shared" si="34"/>
        <v>0.69453529541835102</v>
      </c>
      <c r="Z166">
        <f t="shared" si="35"/>
        <v>0.15392403844406724</v>
      </c>
      <c r="AA166">
        <f t="shared" si="36"/>
        <v>-1.4571833186499294</v>
      </c>
      <c r="AB166">
        <f>IFERROR(V144+MATCH(AA166,V166:Z166,0)-1,"")</f>
        <v>2014</v>
      </c>
      <c r="AC166" t="str">
        <f t="shared" si="37"/>
        <v>Low</v>
      </c>
      <c r="AE166" t="str">
        <f>IF(ISNUMBER(MATCH("N/A",J166:N166,0)),"",IFERROR((5 * SUMPRODUCT(J144:N144,J166:N166) - PRODUCT(SUM(J144:N144),SUM(J166:N166))) / ((5 * SUM((J144^2)+(K144^2)+(L144^2)+(M144^2)+(N144^2))) - SUM(J144:N144)^2),""))</f>
        <v/>
      </c>
      <c r="AF166">
        <f>IFERROR(CORREL(J144:N144,J166:N166),"")</f>
        <v>0.10164241679594625</v>
      </c>
      <c r="AZ166">
        <f t="shared" si="38"/>
        <v>1</v>
      </c>
      <c r="BA166" t="str">
        <f>IF(AZ166=1,IF(Q166="","",IF(Q166=N144,"Yes","No")),"")</f>
        <v>No</v>
      </c>
      <c r="BB166" t="str">
        <f t="shared" si="39"/>
        <v/>
      </c>
      <c r="BC166" t="str">
        <f>IF(AZ166=1,IF(S166="","",IF(S166=N144,"Yes","No")),"")</f>
        <v>No</v>
      </c>
      <c r="BD166" t="str">
        <f t="shared" si="40"/>
        <v/>
      </c>
      <c r="BE166" t="str">
        <f t="shared" si="41"/>
        <v/>
      </c>
      <c r="BF166" t="str">
        <f t="shared" si="42"/>
        <v>No</v>
      </c>
      <c r="BG166" t="str">
        <f t="shared" si="43"/>
        <v>No</v>
      </c>
      <c r="BH166" t="str">
        <f t="shared" si="44"/>
        <v>No</v>
      </c>
    </row>
    <row r="167" spans="1:60" x14ac:dyDescent="0.3">
      <c r="A167" s="1">
        <v>6</v>
      </c>
      <c r="B167" t="s">
        <v>3351</v>
      </c>
      <c r="C167" t="s">
        <v>264</v>
      </c>
      <c r="D167" t="s">
        <v>264</v>
      </c>
      <c r="E167" t="s">
        <v>264</v>
      </c>
      <c r="F167" t="s">
        <v>264</v>
      </c>
      <c r="G167" t="s">
        <v>3119</v>
      </c>
      <c r="I167" t="str">
        <f t="shared" si="46"/>
        <v>N/A</v>
      </c>
      <c r="J167" t="str">
        <f t="shared" si="47"/>
        <v>N/A</v>
      </c>
      <c r="K167" t="str">
        <f t="shared" si="48"/>
        <v>N/A</v>
      </c>
      <c r="L167" t="str">
        <f t="shared" si="49"/>
        <v>N/A</v>
      </c>
      <c r="M167" t="str">
        <f t="shared" si="50"/>
        <v>N/A</v>
      </c>
      <c r="N167">
        <f t="shared" si="51"/>
        <v>3.9300000000000002E-2</v>
      </c>
      <c r="P167">
        <f t="shared" si="27"/>
        <v>3.9300000000000002E-2</v>
      </c>
      <c r="Q167">
        <f>IFERROR(J144+MATCH(P167,J167:N167,0)-1,"")</f>
        <v>2016</v>
      </c>
      <c r="R167">
        <f t="shared" si="28"/>
        <v>3.9300000000000002E-2</v>
      </c>
      <c r="S167">
        <f>IFERROR(J144+MATCH(R167,J167:N167,0)-1,"")</f>
        <v>2016</v>
      </c>
      <c r="T167">
        <f t="shared" si="29"/>
        <v>3.9300000000000002E-2</v>
      </c>
      <c r="U167" t="str">
        <f t="shared" si="30"/>
        <v/>
      </c>
      <c r="V167" t="str">
        <f t="shared" si="31"/>
        <v/>
      </c>
      <c r="W167" t="str">
        <f t="shared" si="32"/>
        <v/>
      </c>
      <c r="X167" t="str">
        <f t="shared" si="33"/>
        <v/>
      </c>
      <c r="Y167" t="str">
        <f t="shared" si="34"/>
        <v/>
      </c>
      <c r="Z167" t="str">
        <f t="shared" si="35"/>
        <v/>
      </c>
      <c r="AA167">
        <f t="shared" si="36"/>
        <v>0</v>
      </c>
      <c r="AB167" t="str">
        <f>IFERROR(V144+MATCH(AA167,V167:Z167,0)-1,"")</f>
        <v/>
      </c>
      <c r="AC167" t="str">
        <f t="shared" si="37"/>
        <v/>
      </c>
      <c r="AE167" t="str">
        <f>IF(ISNUMBER(MATCH("N/A",J167:N167,0)),"",IFERROR((5 * SUMPRODUCT(J144:N144,J167:N167) - PRODUCT(SUM(J144:N144),SUM(J167:N167))) / ((5 * SUM((J144^2)+(K144^2)+(L144^2)+(M144^2)+(N144^2))) - SUM(J144:N144)^2),""))</f>
        <v/>
      </c>
      <c r="AF167" t="str">
        <f>IFERROR(CORREL(J144:N144,J167:N167),"")</f>
        <v/>
      </c>
      <c r="AZ167">
        <f t="shared" si="38"/>
        <v>0</v>
      </c>
      <c r="BA167" t="str">
        <f>IF(AZ167=1,IF(Q167="","",IF(Q167=N144,"Yes","No")),"")</f>
        <v/>
      </c>
      <c r="BB167" t="str">
        <f t="shared" si="39"/>
        <v/>
      </c>
      <c r="BC167" t="str">
        <f>IF(AZ167=1,IF(S167="","",IF(S167=N144,"Yes","No")),"")</f>
        <v/>
      </c>
      <c r="BD167" t="str">
        <f t="shared" si="40"/>
        <v/>
      </c>
      <c r="BE167" t="str">
        <f t="shared" si="41"/>
        <v/>
      </c>
      <c r="BF167" t="str">
        <f t="shared" si="42"/>
        <v>No</v>
      </c>
      <c r="BG167" t="str">
        <f t="shared" si="43"/>
        <v>No</v>
      </c>
      <c r="BH167" t="str">
        <f t="shared" si="44"/>
        <v/>
      </c>
    </row>
    <row r="168" spans="1:60" x14ac:dyDescent="0.3">
      <c r="A168" s="1">
        <v>7</v>
      </c>
      <c r="B168" t="s">
        <v>3352</v>
      </c>
      <c r="C168" t="s">
        <v>3353</v>
      </c>
      <c r="D168" t="s">
        <v>3354</v>
      </c>
      <c r="E168" t="s">
        <v>3355</v>
      </c>
      <c r="F168" t="s">
        <v>3356</v>
      </c>
      <c r="G168" t="s">
        <v>3357</v>
      </c>
      <c r="I168" t="str">
        <f t="shared" si="46"/>
        <v>pos_trend</v>
      </c>
      <c r="J168">
        <f t="shared" si="47"/>
        <v>11200000</v>
      </c>
      <c r="K168">
        <f t="shared" si="48"/>
        <v>12060000</v>
      </c>
      <c r="L168">
        <f t="shared" si="49"/>
        <v>13770000</v>
      </c>
      <c r="M168">
        <f t="shared" si="50"/>
        <v>14280000</v>
      </c>
      <c r="N168">
        <f t="shared" si="51"/>
        <v>16129999.999999998</v>
      </c>
      <c r="P168">
        <f t="shared" si="27"/>
        <v>16129999.999999998</v>
      </c>
      <c r="Q168">
        <f>IFERROR(J144+MATCH(P168,J168:N168,0)-1,"")</f>
        <v>2016</v>
      </c>
      <c r="R168">
        <f t="shared" si="28"/>
        <v>11200000</v>
      </c>
      <c r="S168">
        <f>IFERROR(J144+MATCH(R168,J168:N168,0)-1,"")</f>
        <v>2012</v>
      </c>
      <c r="T168">
        <f t="shared" si="29"/>
        <v>13488000</v>
      </c>
      <c r="U168">
        <f t="shared" si="30"/>
        <v>1933977.7661596837</v>
      </c>
      <c r="V168">
        <f t="shared" si="31"/>
        <v>-1.1830539316609112</v>
      </c>
      <c r="W168">
        <f t="shared" si="32"/>
        <v>-0.73837456923591827</v>
      </c>
      <c r="X168">
        <f t="shared" si="33"/>
        <v>0.14581346535331161</v>
      </c>
      <c r="Y168">
        <f t="shared" si="34"/>
        <v>0.40951866865185388</v>
      </c>
      <c r="Z168">
        <f t="shared" si="35"/>
        <v>1.366096366891663</v>
      </c>
      <c r="AA168">
        <f t="shared" si="36"/>
        <v>1.366096366891663</v>
      </c>
      <c r="AB168">
        <f>IFERROR(V144+MATCH(AA168,V168:Z168,0)-1,"")</f>
        <v>2016</v>
      </c>
      <c r="AC168" t="str">
        <f t="shared" si="37"/>
        <v>High</v>
      </c>
      <c r="AE168">
        <f>IF(ISNUMBER(MATCH("N/A",J168:N168,0)),"",IFERROR((5 * SUMPRODUCT(J144:N144,J168:N168) - PRODUCT(SUM(J144:N144),SUM(J168:N168))) / ((5 * SUM((J144^2)+(K144^2)+(L144^2)+(M144^2)+(N144^2))) - SUM(J144:N144)^2),""))</f>
        <v>1208000</v>
      </c>
      <c r="AF168">
        <f>IFERROR(CORREL(J144:N144,J168:N168),"")</f>
        <v>0.98760996127397871</v>
      </c>
      <c r="AZ168">
        <f t="shared" si="38"/>
        <v>1</v>
      </c>
      <c r="BA168" t="str">
        <f>IF(AZ168=1,IF(Q168="","",IF(Q168=N144,"Yes","No")),"")</f>
        <v>Yes</v>
      </c>
      <c r="BB168">
        <f t="shared" si="39"/>
        <v>16129999.999999998</v>
      </c>
      <c r="BC168" t="str">
        <f>IF(AZ168=1,IF(S168="","",IF(S168=N144,"Yes","No")),"")</f>
        <v>No</v>
      </c>
      <c r="BD168" t="str">
        <f t="shared" si="40"/>
        <v/>
      </c>
      <c r="BE168" t="str">
        <f t="shared" si="41"/>
        <v>Increasing</v>
      </c>
      <c r="BF168" t="str">
        <f t="shared" si="42"/>
        <v>Yes</v>
      </c>
      <c r="BG168" t="str">
        <f t="shared" si="43"/>
        <v>Yes</v>
      </c>
      <c r="BH168" t="str">
        <f t="shared" si="44"/>
        <v>Yes</v>
      </c>
    </row>
    <row r="169" spans="1:60" x14ac:dyDescent="0.3">
      <c r="A169" s="1">
        <v>8</v>
      </c>
      <c r="B169" t="s">
        <v>3358</v>
      </c>
      <c r="C169" t="s">
        <v>3359</v>
      </c>
      <c r="D169" t="s">
        <v>3360</v>
      </c>
      <c r="E169" t="s">
        <v>3361</v>
      </c>
      <c r="F169" t="s">
        <v>3362</v>
      </c>
      <c r="G169" t="s">
        <v>3363</v>
      </c>
      <c r="I169" t="str">
        <f t="shared" si="46"/>
        <v>N/A</v>
      </c>
      <c r="J169">
        <f t="shared" si="47"/>
        <v>158000</v>
      </c>
      <c r="K169">
        <f t="shared" si="48"/>
        <v>204000</v>
      </c>
      <c r="L169">
        <f t="shared" si="49"/>
        <v>113000</v>
      </c>
      <c r="M169">
        <f t="shared" si="50"/>
        <v>-18000</v>
      </c>
      <c r="N169">
        <f t="shared" si="51"/>
        <v>19000</v>
      </c>
      <c r="P169">
        <f t="shared" si="27"/>
        <v>204000</v>
      </c>
      <c r="Q169">
        <f>IFERROR(J144+MATCH(P169,J169:N169,0)-1,"")</f>
        <v>2013</v>
      </c>
      <c r="R169">
        <f t="shared" si="28"/>
        <v>-18000</v>
      </c>
      <c r="S169">
        <f>IFERROR(J144+MATCH(R169,J169:N169,0)-1,"")</f>
        <v>2015</v>
      </c>
      <c r="T169">
        <f t="shared" si="29"/>
        <v>95200</v>
      </c>
      <c r="U169">
        <f t="shared" si="30"/>
        <v>93164.907556439939</v>
      </c>
      <c r="V169">
        <f t="shared" si="31"/>
        <v>0.67407355030063576</v>
      </c>
      <c r="W169">
        <f t="shared" si="32"/>
        <v>1.167821692240592</v>
      </c>
      <c r="X169">
        <f t="shared" si="33"/>
        <v>0.19105906362024391</v>
      </c>
      <c r="Y169">
        <f t="shared" si="34"/>
        <v>-1.2150497753826748</v>
      </c>
      <c r="Z169">
        <f t="shared" si="35"/>
        <v>-0.81790453077879688</v>
      </c>
      <c r="AA169">
        <f t="shared" si="36"/>
        <v>-1.2150497753826748</v>
      </c>
      <c r="AB169">
        <f>IFERROR(V144+MATCH(AA169,V169:Z169,0)-1,"")</f>
        <v>2015</v>
      </c>
      <c r="AC169" t="str">
        <f t="shared" si="37"/>
        <v>Low</v>
      </c>
      <c r="AE169">
        <f>IF(ISNUMBER(MATCH("N/A",J169:N169,0)),"",IFERROR((5 * SUMPRODUCT(J144:N144,J169:N169) - PRODUCT(SUM(J144:N144),SUM(J169:N169))) / ((5 * SUM((J144^2)+(K144^2)+(L144^2)+(M144^2)+(N144^2))) - SUM(J144:N144)^2),""))</f>
        <v>-50000</v>
      </c>
      <c r="AF169">
        <f>IFERROR(CORREL(J144:N144,J169:N169),"")</f>
        <v>-0.84856995598172247</v>
      </c>
      <c r="AZ169">
        <f t="shared" si="38"/>
        <v>1</v>
      </c>
      <c r="BA169" t="str">
        <f>IF(AZ169=1,IF(Q169="","",IF(Q169=N144,"Yes","No")),"")</f>
        <v>No</v>
      </c>
      <c r="BB169" t="str">
        <f t="shared" si="39"/>
        <v/>
      </c>
      <c r="BC169" t="str">
        <f>IF(AZ169=1,IF(S169="","",IF(S169=N144,"Yes","No")),"")</f>
        <v>No</v>
      </c>
      <c r="BD169" t="str">
        <f t="shared" si="40"/>
        <v/>
      </c>
      <c r="BE169" t="str">
        <f t="shared" si="41"/>
        <v>Decreasing</v>
      </c>
      <c r="BF169" t="str">
        <f t="shared" si="42"/>
        <v>No</v>
      </c>
      <c r="BG169" t="str">
        <f t="shared" si="43"/>
        <v>No</v>
      </c>
      <c r="BH169" t="str">
        <f t="shared" si="44"/>
        <v>Yes</v>
      </c>
    </row>
    <row r="170" spans="1:60" x14ac:dyDescent="0.3">
      <c r="A170" s="1">
        <v>9</v>
      </c>
      <c r="B170" t="s">
        <v>3364</v>
      </c>
      <c r="C170" t="s">
        <v>264</v>
      </c>
      <c r="D170" t="s">
        <v>264</v>
      </c>
      <c r="E170" t="s">
        <v>264</v>
      </c>
      <c r="F170" t="s">
        <v>264</v>
      </c>
      <c r="G170" t="s">
        <v>264</v>
      </c>
      <c r="I170" t="str">
        <f t="shared" si="46"/>
        <v>N/A</v>
      </c>
      <c r="J170" t="str">
        <f t="shared" si="47"/>
        <v>N/A</v>
      </c>
      <c r="K170" t="str">
        <f t="shared" si="48"/>
        <v>N/A</v>
      </c>
      <c r="L170" t="str">
        <f t="shared" si="49"/>
        <v>N/A</v>
      </c>
      <c r="M170" t="str">
        <f t="shared" si="50"/>
        <v>N/A</v>
      </c>
      <c r="N170" t="str">
        <f t="shared" si="51"/>
        <v>N/A</v>
      </c>
      <c r="P170">
        <f t="shared" si="27"/>
        <v>0</v>
      </c>
      <c r="Q170" t="str">
        <f>IFERROR(J144+MATCH(P170,J170:N170,0)-1,"")</f>
        <v/>
      </c>
      <c r="R170" t="str">
        <f t="shared" si="28"/>
        <v/>
      </c>
      <c r="S170" t="str">
        <f>IFERROR(J144+MATCH(R170,J170:N170,0)-1,"")</f>
        <v/>
      </c>
      <c r="T170" t="str">
        <f t="shared" si="29"/>
        <v/>
      </c>
      <c r="U170" t="str">
        <f t="shared" si="30"/>
        <v/>
      </c>
      <c r="V170" t="str">
        <f t="shared" si="31"/>
        <v/>
      </c>
      <c r="W170" t="str">
        <f t="shared" si="32"/>
        <v/>
      </c>
      <c r="X170" t="str">
        <f t="shared" si="33"/>
        <v/>
      </c>
      <c r="Y170" t="str">
        <f t="shared" si="34"/>
        <v/>
      </c>
      <c r="Z170" t="str">
        <f t="shared" si="35"/>
        <v/>
      </c>
      <c r="AA170">
        <f t="shared" si="36"/>
        <v>0</v>
      </c>
      <c r="AB170" t="str">
        <f>IFERROR(V144+MATCH(AA170,V170:Z170,0)-1,"")</f>
        <v/>
      </c>
      <c r="AC170" t="str">
        <f t="shared" si="37"/>
        <v/>
      </c>
      <c r="AE170" t="str">
        <f>IF(ISNUMBER(MATCH("N/A",J170:N170,0)),"",IFERROR((5 * SUMPRODUCT(J144:N144,J170:N170) - PRODUCT(SUM(J144:N144),SUM(J170:N170))) / ((5 * SUM((J144^2)+(K144^2)+(L144^2)+(M144^2)+(N144^2))) - SUM(J144:N144)^2),""))</f>
        <v/>
      </c>
      <c r="AF170" t="str">
        <f>IFERROR(CORREL(J144:N144,J170:N170),"")</f>
        <v/>
      </c>
      <c r="AZ170">
        <f t="shared" si="38"/>
        <v>0</v>
      </c>
      <c r="BA170" t="str">
        <f>IF(AZ170=1,IF(Q170="","",IF(Q170=N144,"Yes","No")),"")</f>
        <v/>
      </c>
      <c r="BB170" t="str">
        <f t="shared" si="39"/>
        <v/>
      </c>
      <c r="BC170" t="str">
        <f>IF(AZ170=1,IF(S170="","",IF(S170=N144,"Yes","No")),"")</f>
        <v/>
      </c>
      <c r="BD170" t="str">
        <f t="shared" si="40"/>
        <v/>
      </c>
      <c r="BE170" t="str">
        <f t="shared" si="41"/>
        <v/>
      </c>
      <c r="BF170" t="str">
        <f t="shared" si="42"/>
        <v>No</v>
      </c>
      <c r="BG170" t="str">
        <f t="shared" si="43"/>
        <v>No</v>
      </c>
      <c r="BH170" t="str">
        <f t="shared" si="44"/>
        <v/>
      </c>
    </row>
    <row r="171" spans="1:60" x14ac:dyDescent="0.3">
      <c r="A171" s="1">
        <v>10</v>
      </c>
      <c r="B171" t="s">
        <v>3365</v>
      </c>
      <c r="C171" t="s">
        <v>3366</v>
      </c>
      <c r="D171" t="s">
        <v>3367</v>
      </c>
      <c r="E171" t="s">
        <v>3368</v>
      </c>
      <c r="F171" t="s">
        <v>2242</v>
      </c>
      <c r="G171" t="s">
        <v>3369</v>
      </c>
      <c r="I171" t="str">
        <f t="shared" si="46"/>
        <v>N/A</v>
      </c>
      <c r="J171">
        <f t="shared" si="47"/>
        <v>8620000</v>
      </c>
      <c r="K171">
        <f t="shared" si="48"/>
        <v>9070000</v>
      </c>
      <c r="L171">
        <f t="shared" si="49"/>
        <v>12210000</v>
      </c>
      <c r="M171">
        <f t="shared" si="50"/>
        <v>11780000</v>
      </c>
      <c r="N171">
        <f t="shared" si="51"/>
        <v>12610000</v>
      </c>
      <c r="P171">
        <f t="shared" si="27"/>
        <v>12610000</v>
      </c>
      <c r="Q171">
        <f>IFERROR(J144+MATCH(P171,J171:N171,0)-1,"")</f>
        <v>2016</v>
      </c>
      <c r="R171">
        <f t="shared" si="28"/>
        <v>8620000</v>
      </c>
      <c r="S171">
        <f>IFERROR(J144+MATCH(R171,J171:N171,0)-1,"")</f>
        <v>2012</v>
      </c>
      <c r="T171">
        <f t="shared" si="29"/>
        <v>10858000</v>
      </c>
      <c r="U171">
        <f t="shared" si="30"/>
        <v>1867691.0879478971</v>
      </c>
      <c r="V171">
        <f t="shared" si="31"/>
        <v>-1.1982709637807263</v>
      </c>
      <c r="W171">
        <f t="shared" si="32"/>
        <v>-0.95733176194814062</v>
      </c>
      <c r="X171">
        <f t="shared" si="33"/>
        <v>0.72388844639479089</v>
      </c>
      <c r="Y171">
        <f t="shared" si="34"/>
        <v>0.49365765353254232</v>
      </c>
      <c r="Z171">
        <f t="shared" si="35"/>
        <v>0.93805662580153371</v>
      </c>
      <c r="AA171">
        <f t="shared" si="36"/>
        <v>-1.1982709637807263</v>
      </c>
      <c r="AB171">
        <f>IFERROR(V144+MATCH(AA171,V171:Z171,0)-1,"")</f>
        <v>2012</v>
      </c>
      <c r="AC171" t="str">
        <f t="shared" si="37"/>
        <v>Low</v>
      </c>
      <c r="AE171">
        <f>IF(ISNUMBER(MATCH("N/A",J171:N171,0)),"",IFERROR((5 * SUMPRODUCT(J144:N144,J171:N171) - PRODUCT(SUM(J144:N144),SUM(J171:N171))) / ((5 * SUM((J144^2)+(K144^2)+(L144^2)+(M144^2)+(N144^2))) - SUM(J144:N144)^2),""))</f>
        <v>1069000</v>
      </c>
      <c r="AF171">
        <f>IFERROR(CORREL(J144:N144,J171:N171),"")</f>
        <v>0.90498767181950102</v>
      </c>
      <c r="AZ171">
        <f t="shared" si="38"/>
        <v>1</v>
      </c>
      <c r="BA171" t="str">
        <f>IF(AZ171=1,IF(Q171="","",IF(Q171=N144,"Yes","No")),"")</f>
        <v>Yes</v>
      </c>
      <c r="BB171">
        <f t="shared" si="39"/>
        <v>12610000</v>
      </c>
      <c r="BC171" t="str">
        <f>IF(AZ171=1,IF(S171="","",IF(S171=N144,"Yes","No")),"")</f>
        <v>No</v>
      </c>
      <c r="BD171" t="str">
        <f t="shared" si="40"/>
        <v/>
      </c>
      <c r="BE171" t="str">
        <f t="shared" si="41"/>
        <v>Increasing</v>
      </c>
      <c r="BF171" t="str">
        <f t="shared" si="42"/>
        <v>Yes</v>
      </c>
      <c r="BG171" t="str">
        <f t="shared" si="43"/>
        <v>No</v>
      </c>
      <c r="BH171" t="str">
        <f t="shared" si="44"/>
        <v>Yes</v>
      </c>
    </row>
    <row r="172" spans="1:60" x14ac:dyDescent="0.3">
      <c r="A172" s="1">
        <v>11</v>
      </c>
      <c r="B172" t="s">
        <v>3370</v>
      </c>
      <c r="C172" t="s">
        <v>3371</v>
      </c>
      <c r="D172" t="s">
        <v>3372</v>
      </c>
      <c r="E172" t="s">
        <v>3235</v>
      </c>
      <c r="F172" t="s">
        <v>3373</v>
      </c>
      <c r="G172" t="s">
        <v>2850</v>
      </c>
      <c r="I172" t="str">
        <f t="shared" si="46"/>
        <v>N/A</v>
      </c>
      <c r="J172">
        <f t="shared" si="47"/>
        <v>6460000</v>
      </c>
      <c r="K172">
        <f t="shared" si="48"/>
        <v>6450000</v>
      </c>
      <c r="L172">
        <f t="shared" si="49"/>
        <v>9080000</v>
      </c>
      <c r="M172">
        <f t="shared" si="50"/>
        <v>8960000</v>
      </c>
      <c r="N172">
        <f t="shared" si="51"/>
        <v>9930000</v>
      </c>
      <c r="P172">
        <f t="shared" si="27"/>
        <v>9930000</v>
      </c>
      <c r="Q172">
        <f>IFERROR(J144+MATCH(P172,J172:N172,0)-1,"")</f>
        <v>2016</v>
      </c>
      <c r="R172">
        <f t="shared" si="28"/>
        <v>6450000</v>
      </c>
      <c r="S172">
        <f>IFERROR(J144+MATCH(R172,J172:N172,0)-1,"")</f>
        <v>2013</v>
      </c>
      <c r="T172">
        <f t="shared" si="29"/>
        <v>8176000</v>
      </c>
      <c r="U172">
        <f t="shared" si="30"/>
        <v>1614939.6273545336</v>
      </c>
      <c r="V172">
        <f t="shared" si="31"/>
        <v>-1.0625784214676901</v>
      </c>
      <c r="W172">
        <f t="shared" si="32"/>
        <v>-1.068770603410975</v>
      </c>
      <c r="X172">
        <f t="shared" si="33"/>
        <v>0.55977324767295566</v>
      </c>
      <c r="Y172">
        <f t="shared" si="34"/>
        <v>0.4854670643535367</v>
      </c>
      <c r="Z172">
        <f t="shared" si="35"/>
        <v>1.0861087128521727</v>
      </c>
      <c r="AA172">
        <f t="shared" si="36"/>
        <v>1.0861087128521727</v>
      </c>
      <c r="AB172">
        <f>IFERROR(V144+MATCH(AA172,V172:Z172,0)-1,"")</f>
        <v>2016</v>
      </c>
      <c r="AC172" t="str">
        <f t="shared" si="37"/>
        <v>High</v>
      </c>
      <c r="AE172">
        <f>IF(ISNUMBER(MATCH("N/A",J172:N172,0)),"",IFERROR((5 * SUMPRODUCT(J144:N144,J172:N172) - PRODUCT(SUM(J144:N144),SUM(J172:N172))) / ((5 * SUM((J144^2)+(K144^2)+(L144^2)+(M144^2)+(N144^2))) - SUM(J144:N144)^2),""))</f>
        <v>945000</v>
      </c>
      <c r="AF172">
        <f>IFERROR(CORREL(J144:N144,J172:N172),"")</f>
        <v>0.92522108512328749</v>
      </c>
      <c r="AZ172">
        <f t="shared" si="38"/>
        <v>1</v>
      </c>
      <c r="BA172" t="str">
        <f>IF(AZ172=1,IF(Q172="","",IF(Q172=N144,"Yes","No")),"")</f>
        <v>Yes</v>
      </c>
      <c r="BB172">
        <f t="shared" si="39"/>
        <v>9930000</v>
      </c>
      <c r="BC172" t="str">
        <f>IF(AZ172=1,IF(S172="","",IF(S172=N144,"Yes","No")),"")</f>
        <v>No</v>
      </c>
      <c r="BD172" t="str">
        <f t="shared" si="40"/>
        <v/>
      </c>
      <c r="BE172" t="str">
        <f t="shared" si="41"/>
        <v>Increasing</v>
      </c>
      <c r="BF172" t="str">
        <f t="shared" si="42"/>
        <v>Yes</v>
      </c>
      <c r="BG172" t="str">
        <f t="shared" si="43"/>
        <v>No</v>
      </c>
      <c r="BH172" t="str">
        <f t="shared" si="44"/>
        <v>Yes</v>
      </c>
    </row>
    <row r="173" spans="1:60" x14ac:dyDescent="0.3">
      <c r="A173" s="1">
        <v>12</v>
      </c>
      <c r="B173" t="s">
        <v>3374</v>
      </c>
      <c r="C173" t="s">
        <v>3375</v>
      </c>
      <c r="D173" t="s">
        <v>3376</v>
      </c>
      <c r="E173" t="s">
        <v>3377</v>
      </c>
      <c r="F173" t="s">
        <v>3378</v>
      </c>
      <c r="G173" t="s">
        <v>624</v>
      </c>
      <c r="I173" t="str">
        <f t="shared" si="46"/>
        <v>N/A</v>
      </c>
      <c r="J173">
        <f t="shared" si="47"/>
        <v>1800000</v>
      </c>
      <c r="K173">
        <f t="shared" si="48"/>
        <v>2330000</v>
      </c>
      <c r="L173">
        <f t="shared" si="49"/>
        <v>789000</v>
      </c>
      <c r="M173">
        <f t="shared" si="50"/>
        <v>1410000</v>
      </c>
      <c r="N173">
        <f t="shared" si="51"/>
        <v>1760000</v>
      </c>
      <c r="P173">
        <f t="shared" si="27"/>
        <v>2330000</v>
      </c>
      <c r="Q173">
        <f>IFERROR(J144+MATCH(P173,J173:N173,0)-1,"")</f>
        <v>2013</v>
      </c>
      <c r="R173">
        <f t="shared" si="28"/>
        <v>789000</v>
      </c>
      <c r="S173">
        <f>IFERROR(J144+MATCH(R173,J173:N173,0)-1,"")</f>
        <v>2014</v>
      </c>
      <c r="T173">
        <f t="shared" si="29"/>
        <v>1617800</v>
      </c>
      <c r="U173">
        <f t="shared" si="30"/>
        <v>568052.9904859229</v>
      </c>
      <c r="V173">
        <f t="shared" si="31"/>
        <v>0.32074472461476311</v>
      </c>
      <c r="W173">
        <f t="shared" si="32"/>
        <v>1.253756272615995</v>
      </c>
      <c r="X173">
        <f t="shared" si="33"/>
        <v>-1.459018813176266</v>
      </c>
      <c r="Y173">
        <f t="shared" si="34"/>
        <v>-0.36581094278236981</v>
      </c>
      <c r="Z173">
        <f t="shared" si="35"/>
        <v>0.25032875872787769</v>
      </c>
      <c r="AA173">
        <f t="shared" si="36"/>
        <v>-1.459018813176266</v>
      </c>
      <c r="AB173">
        <f>IFERROR(V144+MATCH(AA173,V173:Z173,0)-1,"")</f>
        <v>2014</v>
      </c>
      <c r="AC173" t="str">
        <f t="shared" si="37"/>
        <v>Low</v>
      </c>
      <c r="AE173">
        <f>IF(ISNUMBER(MATCH("N/A",J173:N173,0)),"",IFERROR((5 * SUMPRODUCT(J144:N144,J173:N173) - PRODUCT(SUM(J144:N144),SUM(J173:N173))) / ((5 * SUM((J144^2)+(K144^2)+(L144^2)+(M144^2)+(N144^2))) - SUM(J144:N144)^2),""))</f>
        <v>-100000</v>
      </c>
      <c r="AF173">
        <f>IFERROR(CORREL(J144:N144,J173:N173),"")</f>
        <v>-0.27834354480409557</v>
      </c>
      <c r="AZ173">
        <f t="shared" si="38"/>
        <v>1</v>
      </c>
      <c r="BA173" t="str">
        <f>IF(AZ173=1,IF(Q173="","",IF(Q173=N144,"Yes","No")),"")</f>
        <v>No</v>
      </c>
      <c r="BB173" t="str">
        <f t="shared" si="39"/>
        <v/>
      </c>
      <c r="BC173" t="str">
        <f>IF(AZ173=1,IF(S173="","",IF(S173=N144,"Yes","No")),"")</f>
        <v>No</v>
      </c>
      <c r="BD173" t="str">
        <f t="shared" si="40"/>
        <v/>
      </c>
      <c r="BE173" t="str">
        <f t="shared" si="41"/>
        <v>Decreasing</v>
      </c>
      <c r="BF173" t="str">
        <f t="shared" si="42"/>
        <v>No</v>
      </c>
      <c r="BG173" t="str">
        <f t="shared" si="43"/>
        <v>No</v>
      </c>
      <c r="BH173" t="str">
        <f t="shared" si="44"/>
        <v>No</v>
      </c>
    </row>
    <row r="174" spans="1:60" x14ac:dyDescent="0.3">
      <c r="A174" s="1">
        <v>13</v>
      </c>
      <c r="B174" t="s">
        <v>3379</v>
      </c>
      <c r="C174" t="s">
        <v>3380</v>
      </c>
      <c r="D174" t="s">
        <v>3381</v>
      </c>
      <c r="E174" t="s">
        <v>3382</v>
      </c>
      <c r="F174" t="s">
        <v>3383</v>
      </c>
      <c r="G174" t="s">
        <v>3384</v>
      </c>
      <c r="I174" t="str">
        <f t="shared" si="46"/>
        <v>N/A</v>
      </c>
      <c r="J174">
        <f t="shared" si="47"/>
        <v>38070000</v>
      </c>
      <c r="K174">
        <f t="shared" si="48"/>
        <v>43380000</v>
      </c>
      <c r="L174">
        <f t="shared" si="49"/>
        <v>41550000</v>
      </c>
      <c r="M174">
        <f t="shared" si="50"/>
        <v>42940000</v>
      </c>
      <c r="N174">
        <f t="shared" si="51"/>
        <v>43860000</v>
      </c>
      <c r="P174">
        <f t="shared" si="27"/>
        <v>43860000</v>
      </c>
      <c r="Q174">
        <f>IFERROR(J144+MATCH(P174,J174:N174,0)-1,"")</f>
        <v>2016</v>
      </c>
      <c r="R174">
        <f t="shared" si="28"/>
        <v>38070000</v>
      </c>
      <c r="S174">
        <f>IFERROR(J144+MATCH(R174,J174:N174,0)-1,"")</f>
        <v>2012</v>
      </c>
      <c r="T174">
        <f t="shared" si="29"/>
        <v>41960000</v>
      </c>
      <c r="U174">
        <f t="shared" si="30"/>
        <v>2339177.2057712944</v>
      </c>
      <c r="V174">
        <f t="shared" si="31"/>
        <v>-1.662977901119447</v>
      </c>
      <c r="W174">
        <f t="shared" si="32"/>
        <v>0.60705105902046652</v>
      </c>
      <c r="X174">
        <f t="shared" si="33"/>
        <v>-0.17527530577351497</v>
      </c>
      <c r="Y174">
        <f t="shared" si="34"/>
        <v>0.41895073087327972</v>
      </c>
      <c r="Z174">
        <f t="shared" si="35"/>
        <v>0.81225141699921577</v>
      </c>
      <c r="AA174">
        <f t="shared" si="36"/>
        <v>-1.662977901119447</v>
      </c>
      <c r="AB174">
        <f>IFERROR(V144+MATCH(AA174,V174:Z174,0)-1,"")</f>
        <v>2012</v>
      </c>
      <c r="AC174" t="str">
        <f t="shared" si="37"/>
        <v>Low</v>
      </c>
      <c r="AE174">
        <f>IF(ISNUMBER(MATCH("N/A",J174:N174,0)),"",IFERROR((5 * SUMPRODUCT(J144:N144,J174:N174) - PRODUCT(SUM(J144:N144),SUM(J174:N174))) / ((5 * SUM((J144^2)+(K144^2)+(L144^2)+(M144^2)+(N144^2))) - SUM(J144:N144)^2),""))</f>
        <v>1114000</v>
      </c>
      <c r="AF174">
        <f>IFERROR(CORREL(J144:N144,J174:N174),"")</f>
        <v>0.75299496436953617</v>
      </c>
      <c r="AZ174">
        <f t="shared" si="38"/>
        <v>1</v>
      </c>
      <c r="BA174" t="str">
        <f>IF(AZ174=1,IF(Q174="","",IF(Q174=N144,"Yes","No")),"")</f>
        <v>Yes</v>
      </c>
      <c r="BB174">
        <f t="shared" si="39"/>
        <v>43860000</v>
      </c>
      <c r="BC174" t="str">
        <f>IF(AZ174=1,IF(S174="","",IF(S174=N144,"Yes","No")),"")</f>
        <v>No</v>
      </c>
      <c r="BD174" t="str">
        <f t="shared" si="40"/>
        <v/>
      </c>
      <c r="BE174" t="str">
        <f t="shared" si="41"/>
        <v>Increasing</v>
      </c>
      <c r="BF174" t="str">
        <f t="shared" si="42"/>
        <v>Yes</v>
      </c>
      <c r="BG174" t="str">
        <f t="shared" si="43"/>
        <v>No</v>
      </c>
      <c r="BH174" t="str">
        <f t="shared" si="44"/>
        <v>No</v>
      </c>
    </row>
    <row r="175" spans="1:60" x14ac:dyDescent="0.3">
      <c r="A175" s="1">
        <v>14</v>
      </c>
      <c r="B175" t="s">
        <v>3385</v>
      </c>
      <c r="C175" t="s">
        <v>3386</v>
      </c>
      <c r="D175" t="s">
        <v>3387</v>
      </c>
      <c r="E175" t="s">
        <v>3388</v>
      </c>
      <c r="F175" t="s">
        <v>567</v>
      </c>
      <c r="G175" t="s">
        <v>3389</v>
      </c>
      <c r="I175" t="str">
        <f t="shared" si="46"/>
        <v>N/A</v>
      </c>
      <c r="J175">
        <f t="shared" si="47"/>
        <v>21190000</v>
      </c>
      <c r="K175">
        <f t="shared" si="48"/>
        <v>24960000</v>
      </c>
      <c r="L175">
        <f t="shared" si="49"/>
        <v>22690000</v>
      </c>
      <c r="M175">
        <f t="shared" si="50"/>
        <v>24300000</v>
      </c>
      <c r="N175">
        <f t="shared" si="51"/>
        <v>26060000</v>
      </c>
      <c r="P175">
        <f t="shared" si="27"/>
        <v>26060000</v>
      </c>
      <c r="Q175">
        <f>IFERROR(J144+MATCH(P175,J175:N175,0)-1,"")</f>
        <v>2016</v>
      </c>
      <c r="R175">
        <f t="shared" si="28"/>
        <v>21190000</v>
      </c>
      <c r="S175">
        <f>IFERROR(J144+MATCH(R175,J175:N175,0)-1,"")</f>
        <v>2012</v>
      </c>
      <c r="T175">
        <f t="shared" si="29"/>
        <v>23840000</v>
      </c>
      <c r="U175">
        <f t="shared" si="30"/>
        <v>1919596.3117280675</v>
      </c>
      <c r="V175">
        <f t="shared" si="31"/>
        <v>-1.3804985891092931</v>
      </c>
      <c r="W175">
        <f t="shared" si="32"/>
        <v>0.58345600747260695</v>
      </c>
      <c r="X175">
        <f t="shared" si="33"/>
        <v>-0.59908429338705171</v>
      </c>
      <c r="Y175">
        <f t="shared" si="34"/>
        <v>0.2396337173548207</v>
      </c>
      <c r="Z175">
        <f t="shared" si="35"/>
        <v>1.1564931576689172</v>
      </c>
      <c r="AA175">
        <f t="shared" si="36"/>
        <v>-1.3804985891092931</v>
      </c>
      <c r="AB175">
        <f>IFERROR(V144+MATCH(AA175,V175:Z175,0)-1,"")</f>
        <v>2012</v>
      </c>
      <c r="AC175" t="str">
        <f t="shared" si="37"/>
        <v>Low</v>
      </c>
      <c r="AE175">
        <f>IF(ISNUMBER(MATCH("N/A",J175:N175,0)),"",IFERROR((5 * SUMPRODUCT(J144:N144,J175:N175) - PRODUCT(SUM(J144:N144),SUM(J175:N175))) / ((5 * SUM((J144^2)+(K144^2)+(L144^2)+(M144^2)+(N144^2))) - SUM(J144:N144)^2),""))</f>
        <v>908000</v>
      </c>
      <c r="AF175">
        <f>IFERROR(CORREL(J144:N144,J175:N175),"")</f>
        <v>0.74790415513145847</v>
      </c>
      <c r="AZ175">
        <f t="shared" si="38"/>
        <v>1</v>
      </c>
      <c r="BA175" t="str">
        <f>IF(AZ175=1,IF(Q175="","",IF(Q175=N144,"Yes","No")),"")</f>
        <v>Yes</v>
      </c>
      <c r="BB175">
        <f t="shared" si="39"/>
        <v>26060000</v>
      </c>
      <c r="BC175" t="str">
        <f>IF(AZ175=1,IF(S175="","",IF(S175=N144,"Yes","No")),"")</f>
        <v>No</v>
      </c>
      <c r="BD175" t="str">
        <f t="shared" si="40"/>
        <v/>
      </c>
      <c r="BE175" t="str">
        <f t="shared" si="41"/>
        <v>Increasing</v>
      </c>
      <c r="BF175" t="str">
        <f t="shared" si="42"/>
        <v>Yes</v>
      </c>
      <c r="BG175" t="str">
        <f t="shared" si="43"/>
        <v>No</v>
      </c>
      <c r="BH175" t="str">
        <f t="shared" si="44"/>
        <v>No</v>
      </c>
    </row>
    <row r="176" spans="1:60" x14ac:dyDescent="0.3">
      <c r="A176" s="1">
        <v>15</v>
      </c>
      <c r="B176" t="s">
        <v>3390</v>
      </c>
      <c r="C176" t="s">
        <v>3391</v>
      </c>
      <c r="D176" t="s">
        <v>3392</v>
      </c>
      <c r="E176" t="s">
        <v>3393</v>
      </c>
      <c r="F176" t="s">
        <v>3394</v>
      </c>
      <c r="G176" t="s">
        <v>3395</v>
      </c>
      <c r="I176" t="str">
        <f t="shared" si="46"/>
        <v>pos_trend</v>
      </c>
      <c r="J176">
        <f t="shared" si="47"/>
        <v>3380000</v>
      </c>
      <c r="K176">
        <f t="shared" si="48"/>
        <v>3480000</v>
      </c>
      <c r="L176">
        <f t="shared" si="49"/>
        <v>3680000</v>
      </c>
      <c r="M176">
        <f t="shared" si="50"/>
        <v>3920000</v>
      </c>
      <c r="N176">
        <f t="shared" si="51"/>
        <v>4340000</v>
      </c>
      <c r="P176">
        <f t="shared" si="27"/>
        <v>4340000</v>
      </c>
      <c r="Q176">
        <f>IFERROR(J144+MATCH(P176,J176:N176,0)-1,"")</f>
        <v>2016</v>
      </c>
      <c r="R176">
        <f t="shared" si="28"/>
        <v>3380000</v>
      </c>
      <c r="S176">
        <f>IFERROR(J144+MATCH(R176,J176:N176,0)-1,"")</f>
        <v>2012</v>
      </c>
      <c r="T176">
        <f t="shared" si="29"/>
        <v>3760000</v>
      </c>
      <c r="U176">
        <f t="shared" si="30"/>
        <v>384447.65573482175</v>
      </c>
      <c r="V176">
        <f t="shared" si="31"/>
        <v>-0.98843104992714648</v>
      </c>
      <c r="W176">
        <f t="shared" si="32"/>
        <v>-0.72831761573579212</v>
      </c>
      <c r="X176">
        <f t="shared" si="33"/>
        <v>-0.20809074735308347</v>
      </c>
      <c r="Y176">
        <f t="shared" si="34"/>
        <v>0.41618149470616694</v>
      </c>
      <c r="Z176">
        <f t="shared" si="35"/>
        <v>1.5086579183098552</v>
      </c>
      <c r="AA176">
        <f t="shared" si="36"/>
        <v>1.5086579183098552</v>
      </c>
      <c r="AB176">
        <f>IFERROR(V144+MATCH(AA176,V176:Z176,0)-1,"")</f>
        <v>2016</v>
      </c>
      <c r="AC176" t="str">
        <f t="shared" si="37"/>
        <v>High</v>
      </c>
      <c r="AE176">
        <f>IF(ISNUMBER(MATCH("N/A",J176:N176,0)),"",IFERROR((5 * SUMPRODUCT(J144:N144,J176:N176) - PRODUCT(SUM(J144:N144),SUM(J176:N176))) / ((5 * SUM((J144^2)+(K144^2)+(L144^2)+(M144^2)+(N144^2))) - SUM(J144:N144)^2),""))</f>
        <v>236000</v>
      </c>
      <c r="AF176">
        <f>IFERROR(CORREL(J144:N144,J176:N176),"")</f>
        <v>0.97061006442253717</v>
      </c>
      <c r="AZ176">
        <f t="shared" si="38"/>
        <v>1</v>
      </c>
      <c r="BA176" t="str">
        <f>IF(AZ176=1,IF(Q176="","",IF(Q176=N144,"Yes","No")),"")</f>
        <v>Yes</v>
      </c>
      <c r="BB176">
        <f t="shared" si="39"/>
        <v>4340000</v>
      </c>
      <c r="BC176" t="str">
        <f>IF(AZ176=1,IF(S176="","",IF(S176=N144,"Yes","No")),"")</f>
        <v>No</v>
      </c>
      <c r="BD176" t="str">
        <f t="shared" si="40"/>
        <v/>
      </c>
      <c r="BE176" t="str">
        <f t="shared" si="41"/>
        <v>Increasing</v>
      </c>
      <c r="BF176" t="str">
        <f t="shared" si="42"/>
        <v>Yes</v>
      </c>
      <c r="BG176" t="str">
        <f t="shared" si="43"/>
        <v>Yes</v>
      </c>
      <c r="BH176" t="str">
        <f t="shared" si="44"/>
        <v>Yes</v>
      </c>
    </row>
    <row r="177" spans="1:60" x14ac:dyDescent="0.3">
      <c r="A177" s="1">
        <v>16</v>
      </c>
      <c r="B177" t="s">
        <v>328</v>
      </c>
      <c r="C177" t="s">
        <v>3396</v>
      </c>
      <c r="D177" t="s">
        <v>3397</v>
      </c>
      <c r="E177" t="s">
        <v>3398</v>
      </c>
      <c r="F177" t="s">
        <v>1445</v>
      </c>
      <c r="G177" t="s">
        <v>3399</v>
      </c>
      <c r="I177" t="str">
        <f t="shared" si="46"/>
        <v>N/A</v>
      </c>
      <c r="J177">
        <f t="shared" si="47"/>
        <v>10950000</v>
      </c>
      <c r="K177">
        <f t="shared" si="48"/>
        <v>12300000</v>
      </c>
      <c r="L177">
        <f t="shared" si="49"/>
        <v>13120000</v>
      </c>
      <c r="M177">
        <f t="shared" si="50"/>
        <v>12690000</v>
      </c>
      <c r="N177">
        <f t="shared" si="51"/>
        <v>11280000</v>
      </c>
      <c r="P177">
        <f t="shared" si="27"/>
        <v>13120000</v>
      </c>
      <c r="Q177">
        <f>IFERROR(J144+MATCH(P177,J177:N177,0)-1,"")</f>
        <v>2014</v>
      </c>
      <c r="R177">
        <f t="shared" si="28"/>
        <v>10950000</v>
      </c>
      <c r="S177">
        <f>IFERROR(J144+MATCH(R177,J177:N177,0)-1,"")</f>
        <v>2012</v>
      </c>
      <c r="T177">
        <f t="shared" si="29"/>
        <v>12068000</v>
      </c>
      <c r="U177">
        <f t="shared" si="30"/>
        <v>924429.55383306521</v>
      </c>
      <c r="V177">
        <f t="shared" si="31"/>
        <v>-1.2093944804818411</v>
      </c>
      <c r="W177">
        <f t="shared" si="32"/>
        <v>0.25096558092288651</v>
      </c>
      <c r="X177">
        <f t="shared" si="33"/>
        <v>1.1379990997020544</v>
      </c>
      <c r="Y177">
        <f t="shared" si="34"/>
        <v>0.67284737643980785</v>
      </c>
      <c r="Z177">
        <f t="shared" si="35"/>
        <v>-0.85241757658290762</v>
      </c>
      <c r="AA177">
        <f t="shared" si="36"/>
        <v>-1.2093944804818411</v>
      </c>
      <c r="AB177">
        <f>IFERROR(V144+MATCH(AA177,V177:Z177,0)-1,"")</f>
        <v>2012</v>
      </c>
      <c r="AC177" t="str">
        <f t="shared" si="37"/>
        <v>Low</v>
      </c>
      <c r="AE177">
        <f>IF(ISNUMBER(MATCH("N/A",J177:N177,0)),"",IFERROR((5 * SUMPRODUCT(J144:N144,J177:N177) - PRODUCT(SUM(J144:N144),SUM(J177:N177))) / ((5 * SUM((J144^2)+(K144^2)+(L144^2)+(M144^2)+(N144^2))) - SUM(J144:N144)^2),""))</f>
        <v>105000</v>
      </c>
      <c r="AF177">
        <f>IFERROR(CORREL(J144:N144,J177:N177),"")</f>
        <v>0.17959137769931138</v>
      </c>
      <c r="AZ177">
        <f t="shared" si="38"/>
        <v>1</v>
      </c>
      <c r="BA177" t="str">
        <f>IF(AZ177=1,IF(Q177="","",IF(Q177=N144,"Yes","No")),"")</f>
        <v>No</v>
      </c>
      <c r="BB177" t="str">
        <f t="shared" si="39"/>
        <v/>
      </c>
      <c r="BC177" t="str">
        <f>IF(AZ177=1,IF(S177="","",IF(S177=N144,"Yes","No")),"")</f>
        <v>No</v>
      </c>
      <c r="BD177" t="str">
        <f t="shared" si="40"/>
        <v/>
      </c>
      <c r="BE177" t="str">
        <f t="shared" si="41"/>
        <v>Increasing</v>
      </c>
      <c r="BF177" t="str">
        <f t="shared" si="42"/>
        <v>No</v>
      </c>
      <c r="BG177" t="str">
        <f t="shared" si="43"/>
        <v>No</v>
      </c>
      <c r="BH177" t="str">
        <f t="shared" si="44"/>
        <v>No</v>
      </c>
    </row>
    <row r="178" spans="1:60" x14ac:dyDescent="0.3">
      <c r="A178" s="1">
        <v>17</v>
      </c>
      <c r="B178" t="s">
        <v>3400</v>
      </c>
      <c r="C178" t="s">
        <v>3401</v>
      </c>
      <c r="D178" t="s">
        <v>3402</v>
      </c>
      <c r="E178" t="s">
        <v>1445</v>
      </c>
      <c r="F178" t="s">
        <v>3403</v>
      </c>
      <c r="G178" t="s">
        <v>3404</v>
      </c>
      <c r="I178" t="str">
        <f t="shared" si="46"/>
        <v>pos_trend</v>
      </c>
      <c r="J178">
        <f t="shared" si="47"/>
        <v>7300000</v>
      </c>
      <c r="K178">
        <f t="shared" si="48"/>
        <v>7550000</v>
      </c>
      <c r="L178">
        <f t="shared" si="49"/>
        <v>12690000</v>
      </c>
      <c r="M178">
        <f t="shared" si="50"/>
        <v>17530000</v>
      </c>
      <c r="N178">
        <f t="shared" si="51"/>
        <v>23840000</v>
      </c>
      <c r="P178">
        <f t="shared" si="27"/>
        <v>23840000</v>
      </c>
      <c r="Q178">
        <f>IFERROR(J144+MATCH(P178,J178:N178,0)-1,"")</f>
        <v>2016</v>
      </c>
      <c r="R178">
        <f t="shared" si="28"/>
        <v>7300000</v>
      </c>
      <c r="S178">
        <f>IFERROR(J144+MATCH(R178,J178:N178,0)-1,"")</f>
        <v>2012</v>
      </c>
      <c r="T178">
        <f t="shared" si="29"/>
        <v>13782000</v>
      </c>
      <c r="U178">
        <f t="shared" si="30"/>
        <v>7022419.0988576012</v>
      </c>
      <c r="V178">
        <f t="shared" si="31"/>
        <v>-0.92304374158678226</v>
      </c>
      <c r="W178">
        <f t="shared" si="32"/>
        <v>-0.88744347386128153</v>
      </c>
      <c r="X178">
        <f t="shared" si="33"/>
        <v>-0.15550196942498709</v>
      </c>
      <c r="Y178">
        <f t="shared" si="34"/>
        <v>0.53371921374070652</v>
      </c>
      <c r="Z178">
        <f t="shared" si="35"/>
        <v>1.4322699711323443</v>
      </c>
      <c r="AA178">
        <f t="shared" si="36"/>
        <v>1.4322699711323443</v>
      </c>
      <c r="AB178">
        <f>IFERROR(V144+MATCH(AA178,V178:Z178,0)-1,"")</f>
        <v>2016</v>
      </c>
      <c r="AC178" t="str">
        <f t="shared" si="37"/>
        <v>High</v>
      </c>
      <c r="AE178">
        <f>IF(ISNUMBER(MATCH("N/A",J178:N178,0)),"",IFERROR((5 * SUMPRODUCT(J144:N144,J178:N178) - PRODUCT(SUM(J144:N144),SUM(J178:N178))) / ((5 * SUM((J144^2)+(K144^2)+(L144^2)+(M144^2)+(N144^2))) - SUM(J144:N144)^2),""))</f>
        <v>4306000</v>
      </c>
      <c r="AF178">
        <f>IFERROR(CORREL(J144:N144,J178:N178),"")</f>
        <v>0.96952114456542482</v>
      </c>
      <c r="AZ178">
        <f t="shared" si="38"/>
        <v>1</v>
      </c>
      <c r="BA178" t="str">
        <f>IF(AZ178=1,IF(Q178="","",IF(Q178=N144,"Yes","No")),"")</f>
        <v>Yes</v>
      </c>
      <c r="BB178">
        <f t="shared" si="39"/>
        <v>23840000</v>
      </c>
      <c r="BC178" t="str">
        <f>IF(AZ178=1,IF(S178="","",IF(S178=N144,"Yes","No")),"")</f>
        <v>No</v>
      </c>
      <c r="BD178" t="str">
        <f t="shared" si="40"/>
        <v/>
      </c>
      <c r="BE178" t="str">
        <f t="shared" si="41"/>
        <v>Increasing</v>
      </c>
      <c r="BF178" t="str">
        <f t="shared" si="42"/>
        <v>Yes</v>
      </c>
      <c r="BG178" t="str">
        <f t="shared" si="43"/>
        <v>Yes</v>
      </c>
      <c r="BH178" t="str">
        <f t="shared" si="44"/>
        <v>Yes</v>
      </c>
    </row>
    <row r="179" spans="1:60" x14ac:dyDescent="0.3">
      <c r="A179" s="1">
        <v>18</v>
      </c>
      <c r="B179" t="s">
        <v>3405</v>
      </c>
      <c r="C179" t="s">
        <v>264</v>
      </c>
      <c r="D179" t="s">
        <v>3406</v>
      </c>
      <c r="E179" t="s">
        <v>3407</v>
      </c>
      <c r="F179" t="s">
        <v>3408</v>
      </c>
      <c r="G179" t="s">
        <v>3409</v>
      </c>
      <c r="I179" t="str">
        <f t="shared" si="46"/>
        <v>N/A</v>
      </c>
      <c r="J179" t="str">
        <f t="shared" si="47"/>
        <v>N/A</v>
      </c>
      <c r="K179">
        <f t="shared" si="48"/>
        <v>3.4000000000000002E-2</v>
      </c>
      <c r="L179">
        <f t="shared" si="49"/>
        <v>0.68030000000000002</v>
      </c>
      <c r="M179">
        <f t="shared" si="50"/>
        <v>0.38109999999999999</v>
      </c>
      <c r="N179">
        <f t="shared" si="51"/>
        <v>0.36</v>
      </c>
      <c r="P179">
        <f t="shared" si="27"/>
        <v>0.68030000000000002</v>
      </c>
      <c r="Q179">
        <f>IFERROR(J144+MATCH(P179,J179:N179,0)-1,"")</f>
        <v>2014</v>
      </c>
      <c r="R179">
        <f t="shared" si="28"/>
        <v>3.4000000000000002E-2</v>
      </c>
      <c r="S179">
        <f>IFERROR(J144+MATCH(R179,J179:N179,0)-1,"")</f>
        <v>2013</v>
      </c>
      <c r="T179">
        <f t="shared" si="29"/>
        <v>0.36385000000000001</v>
      </c>
      <c r="U179">
        <f t="shared" si="30"/>
        <v>0.26410478349826733</v>
      </c>
      <c r="V179" t="str">
        <f t="shared" si="31"/>
        <v/>
      </c>
      <c r="W179">
        <f t="shared" si="32"/>
        <v>-1.2489361064608056</v>
      </c>
      <c r="X179">
        <f t="shared" si="33"/>
        <v>1.1981986687570771</v>
      </c>
      <c r="Y179">
        <f t="shared" si="34"/>
        <v>6.5314985103680098E-2</v>
      </c>
      <c r="Z179">
        <f t="shared" si="35"/>
        <v>-1.4577547399951877E-2</v>
      </c>
      <c r="AA179">
        <f t="shared" si="36"/>
        <v>-1.2489361064608056</v>
      </c>
      <c r="AB179">
        <f>IFERROR(V144+MATCH(AA179,V179:Z179,0)-1,"")</f>
        <v>2013</v>
      </c>
      <c r="AC179" t="str">
        <f t="shared" si="37"/>
        <v>Low</v>
      </c>
      <c r="AE179" t="str">
        <f>IF(ISNUMBER(MATCH("N/A",J179:N179,0)),"",IFERROR((5 * SUMPRODUCT(J144:N144,J179:N179) - PRODUCT(SUM(J144:N144),SUM(J179:N179))) / ((5 * SUM((J144^2)+(K144^2)+(L144^2)+(M144^2)+(N144^2))) - SUM(J144:N144)^2),""))</f>
        <v/>
      </c>
      <c r="AF179">
        <f>IFERROR(CORREL(J144:N144,J179:N179),"")</f>
        <v>0.33181035958313632</v>
      </c>
      <c r="AZ179">
        <f t="shared" si="38"/>
        <v>1</v>
      </c>
      <c r="BA179" t="str">
        <f>IF(AZ179=1,IF(Q179="","",IF(Q179=N144,"Yes","No")),"")</f>
        <v>No</v>
      </c>
      <c r="BB179" t="str">
        <f t="shared" si="39"/>
        <v/>
      </c>
      <c r="BC179" t="str">
        <f>IF(AZ179=1,IF(S179="","",IF(S179=N144,"Yes","No")),"")</f>
        <v>No</v>
      </c>
      <c r="BD179" t="str">
        <f t="shared" si="40"/>
        <v/>
      </c>
      <c r="BE179" t="str">
        <f t="shared" si="41"/>
        <v/>
      </c>
      <c r="BF179" t="str">
        <f t="shared" si="42"/>
        <v>No</v>
      </c>
      <c r="BG179" t="str">
        <f t="shared" si="43"/>
        <v>No</v>
      </c>
      <c r="BH179" t="str">
        <f t="shared" si="44"/>
        <v>No</v>
      </c>
    </row>
    <row r="180" spans="1:60" x14ac:dyDescent="0.3">
      <c r="A180" s="1">
        <v>19</v>
      </c>
      <c r="B180" t="s">
        <v>3410</v>
      </c>
      <c r="C180" t="s">
        <v>264</v>
      </c>
      <c r="D180" t="s">
        <v>264</v>
      </c>
      <c r="E180" t="s">
        <v>264</v>
      </c>
      <c r="F180" t="s">
        <v>264</v>
      </c>
      <c r="G180" t="s">
        <v>3411</v>
      </c>
      <c r="I180" t="str">
        <f t="shared" si="46"/>
        <v>N/A</v>
      </c>
      <c r="J180" t="str">
        <f t="shared" si="47"/>
        <v>N/A</v>
      </c>
      <c r="K180" t="str">
        <f t="shared" si="48"/>
        <v>N/A</v>
      </c>
      <c r="L180" t="str">
        <f t="shared" si="49"/>
        <v>N/A</v>
      </c>
      <c r="M180" t="str">
        <f t="shared" si="50"/>
        <v>N/A</v>
      </c>
      <c r="N180">
        <f t="shared" si="51"/>
        <v>0.34200000000000003</v>
      </c>
      <c r="P180">
        <f t="shared" si="27"/>
        <v>0.34200000000000003</v>
      </c>
      <c r="Q180">
        <f>IFERROR(J144+MATCH(P180,J180:N180,0)-1,"")</f>
        <v>2016</v>
      </c>
      <c r="R180">
        <f t="shared" si="28"/>
        <v>0.34200000000000003</v>
      </c>
      <c r="S180">
        <f>IFERROR(J144+MATCH(R180,J180:N180,0)-1,"")</f>
        <v>2016</v>
      </c>
      <c r="T180">
        <f t="shared" si="29"/>
        <v>0.34200000000000003</v>
      </c>
      <c r="U180" t="str">
        <f t="shared" si="30"/>
        <v/>
      </c>
      <c r="V180" t="str">
        <f t="shared" si="31"/>
        <v/>
      </c>
      <c r="W180" t="str">
        <f t="shared" si="32"/>
        <v/>
      </c>
      <c r="X180" t="str">
        <f t="shared" si="33"/>
        <v/>
      </c>
      <c r="Y180" t="str">
        <f t="shared" si="34"/>
        <v/>
      </c>
      <c r="Z180" t="str">
        <f t="shared" si="35"/>
        <v/>
      </c>
      <c r="AA180">
        <f t="shared" si="36"/>
        <v>0</v>
      </c>
      <c r="AB180" t="str">
        <f>IFERROR(V144+MATCH(AA180,V180:Z180,0)-1,"")</f>
        <v/>
      </c>
      <c r="AC180" t="str">
        <f t="shared" si="37"/>
        <v/>
      </c>
      <c r="AE180" t="str">
        <f>IF(ISNUMBER(MATCH("N/A",J180:N180,0)),"",IFERROR((5 * SUMPRODUCT(J144:N144,J180:N180) - PRODUCT(SUM(J144:N144),SUM(J180:N180))) / ((5 * SUM((J144^2)+(K144^2)+(L144^2)+(M144^2)+(N144^2))) - SUM(J144:N144)^2),""))</f>
        <v/>
      </c>
      <c r="AF180" t="str">
        <f>IFERROR(CORREL(J144:N144,J180:N180),"")</f>
        <v/>
      </c>
      <c r="AZ180">
        <f t="shared" si="38"/>
        <v>0</v>
      </c>
      <c r="BA180" t="str">
        <f>IF(AZ180=1,IF(Q180="","",IF(Q180=N144,"Yes","No")),"")</f>
        <v/>
      </c>
      <c r="BB180" t="str">
        <f t="shared" si="39"/>
        <v/>
      </c>
      <c r="BC180" t="str">
        <f>IF(AZ180=1,IF(S180="","",IF(S180=N144,"Yes","No")),"")</f>
        <v/>
      </c>
      <c r="BD180" t="str">
        <f t="shared" si="40"/>
        <v/>
      </c>
      <c r="BE180" t="str">
        <f t="shared" si="41"/>
        <v/>
      </c>
      <c r="BF180" t="str">
        <f t="shared" si="42"/>
        <v>No</v>
      </c>
      <c r="BG180" t="str">
        <f t="shared" si="43"/>
        <v>No</v>
      </c>
      <c r="BH180" t="str">
        <f t="shared" si="44"/>
        <v/>
      </c>
    </row>
    <row r="181" spans="1:60" x14ac:dyDescent="0.3">
      <c r="A181" s="1">
        <v>20</v>
      </c>
      <c r="B181" t="s">
        <v>3412</v>
      </c>
      <c r="C181" t="s">
        <v>264</v>
      </c>
      <c r="D181" t="s">
        <v>264</v>
      </c>
      <c r="E181" t="s">
        <v>264</v>
      </c>
      <c r="F181" t="s">
        <v>264</v>
      </c>
      <c r="G181" t="s">
        <v>264</v>
      </c>
      <c r="I181" t="str">
        <f t="shared" si="46"/>
        <v>N/A</v>
      </c>
      <c r="J181" t="str">
        <f t="shared" si="47"/>
        <v>N/A</v>
      </c>
      <c r="K181" t="str">
        <f t="shared" si="48"/>
        <v>N/A</v>
      </c>
      <c r="L181" t="str">
        <f t="shared" si="49"/>
        <v>N/A</v>
      </c>
      <c r="M181" t="str">
        <f t="shared" si="50"/>
        <v>N/A</v>
      </c>
      <c r="N181" t="str">
        <f t="shared" si="51"/>
        <v>N/A</v>
      </c>
      <c r="P181">
        <f t="shared" si="27"/>
        <v>0</v>
      </c>
      <c r="Q181" t="str">
        <f>IFERROR(J144+MATCH(P181,J181:N181,0)-1,"")</f>
        <v/>
      </c>
      <c r="R181" t="str">
        <f t="shared" si="28"/>
        <v/>
      </c>
      <c r="S181" t="str">
        <f>IFERROR(J144+MATCH(R181,J181:N181,0)-1,"")</f>
        <v/>
      </c>
      <c r="T181" t="str">
        <f t="shared" si="29"/>
        <v/>
      </c>
      <c r="U181" t="str">
        <f t="shared" si="30"/>
        <v/>
      </c>
      <c r="V181" t="str">
        <f t="shared" si="31"/>
        <v/>
      </c>
      <c r="W181" t="str">
        <f t="shared" si="32"/>
        <v/>
      </c>
      <c r="X181" t="str">
        <f t="shared" si="33"/>
        <v/>
      </c>
      <c r="Y181" t="str">
        <f t="shared" si="34"/>
        <v/>
      </c>
      <c r="Z181" t="str">
        <f t="shared" si="35"/>
        <v/>
      </c>
      <c r="AA181">
        <f t="shared" si="36"/>
        <v>0</v>
      </c>
      <c r="AB181" t="str">
        <f>IFERROR(V144+MATCH(AA181,V181:Z181,0)-1,"")</f>
        <v/>
      </c>
      <c r="AC181" t="str">
        <f t="shared" si="37"/>
        <v/>
      </c>
      <c r="AE181" t="str">
        <f>IF(ISNUMBER(MATCH("N/A",J181:N181,0)),"",IFERROR((5 * SUMPRODUCT(J144:N144,J181:N181) - PRODUCT(SUM(J144:N144),SUM(J181:N181))) / ((5 * SUM((J144^2)+(K144^2)+(L144^2)+(M144^2)+(N144^2))) - SUM(J144:N144)^2),""))</f>
        <v/>
      </c>
      <c r="AF181" t="str">
        <f>IFERROR(CORREL(J144:N144,J181:N181),"")</f>
        <v/>
      </c>
      <c r="AZ181">
        <f t="shared" si="38"/>
        <v>0</v>
      </c>
      <c r="BA181" t="str">
        <f>IF(AZ181=1,IF(Q181="","",IF(Q181=N144,"Yes","No")),"")</f>
        <v/>
      </c>
      <c r="BB181" t="str">
        <f t="shared" si="39"/>
        <v/>
      </c>
      <c r="BC181" t="str">
        <f>IF(AZ181=1,IF(S181="","",IF(S181=N144,"Yes","No")),"")</f>
        <v/>
      </c>
      <c r="BD181" t="str">
        <f t="shared" si="40"/>
        <v/>
      </c>
      <c r="BE181" t="str">
        <f t="shared" si="41"/>
        <v/>
      </c>
      <c r="BF181" t="str">
        <f t="shared" si="42"/>
        <v>No</v>
      </c>
      <c r="BG181" t="str">
        <f t="shared" si="43"/>
        <v>No</v>
      </c>
      <c r="BH181" t="str">
        <f t="shared" si="44"/>
        <v/>
      </c>
    </row>
    <row r="182" spans="1:60" x14ac:dyDescent="0.3">
      <c r="A182" s="1">
        <v>21</v>
      </c>
      <c r="B182" t="s">
        <v>347</v>
      </c>
      <c r="C182" t="s">
        <v>264</v>
      </c>
      <c r="D182" t="s">
        <v>264</v>
      </c>
      <c r="E182" t="s">
        <v>264</v>
      </c>
      <c r="F182" t="s">
        <v>264</v>
      </c>
      <c r="G182" t="s">
        <v>264</v>
      </c>
      <c r="I182" t="str">
        <f t="shared" si="46"/>
        <v>N/A</v>
      </c>
      <c r="J182" t="str">
        <f t="shared" si="47"/>
        <v>N/A</v>
      </c>
      <c r="K182" t="str">
        <f t="shared" si="48"/>
        <v>N/A</v>
      </c>
      <c r="L182" t="str">
        <f t="shared" si="49"/>
        <v>N/A</v>
      </c>
      <c r="M182" t="str">
        <f t="shared" si="50"/>
        <v>N/A</v>
      </c>
      <c r="N182" t="str">
        <f t="shared" si="51"/>
        <v>N/A</v>
      </c>
      <c r="P182">
        <f t="shared" si="27"/>
        <v>0</v>
      </c>
      <c r="Q182" t="str">
        <f>IFERROR(J144+MATCH(P182,J182:N182,0)-1,"")</f>
        <v/>
      </c>
      <c r="R182" t="str">
        <f t="shared" si="28"/>
        <v/>
      </c>
      <c r="S182" t="str">
        <f>IFERROR(J144+MATCH(R182,J182:N182,0)-1,"")</f>
        <v/>
      </c>
      <c r="T182" t="str">
        <f t="shared" si="29"/>
        <v/>
      </c>
      <c r="U182" t="str">
        <f t="shared" si="30"/>
        <v/>
      </c>
      <c r="V182" t="str">
        <f t="shared" si="31"/>
        <v/>
      </c>
      <c r="W182" t="str">
        <f t="shared" si="32"/>
        <v/>
      </c>
      <c r="X182" t="str">
        <f t="shared" si="33"/>
        <v/>
      </c>
      <c r="Y182" t="str">
        <f t="shared" si="34"/>
        <v/>
      </c>
      <c r="Z182" t="str">
        <f t="shared" si="35"/>
        <v/>
      </c>
      <c r="AA182">
        <f t="shared" si="36"/>
        <v>0</v>
      </c>
      <c r="AB182" t="str">
        <f>IFERROR(V144+MATCH(AA182,V182:Z182,0)-1,"")</f>
        <v/>
      </c>
      <c r="AC182" t="str">
        <f t="shared" si="37"/>
        <v/>
      </c>
      <c r="AE182" t="str">
        <f>IF(ISNUMBER(MATCH("N/A",J182:N182,0)),"",IFERROR((5 * SUMPRODUCT(J144:N144,J182:N182) - PRODUCT(SUM(J144:N144),SUM(J182:N182))) / ((5 * SUM((J144^2)+(K144^2)+(L144^2)+(M144^2)+(N144^2))) - SUM(J144:N144)^2),""))</f>
        <v/>
      </c>
      <c r="AF182" t="str">
        <f>IFERROR(CORREL(J144:N144,J182:N182),"")</f>
        <v/>
      </c>
      <c r="AZ182">
        <f t="shared" si="38"/>
        <v>0</v>
      </c>
      <c r="BA182" t="str">
        <f>IF(AZ182=1,IF(Q182="","",IF(Q182=N144,"Yes","No")),"")</f>
        <v/>
      </c>
      <c r="BB182" t="str">
        <f t="shared" si="39"/>
        <v/>
      </c>
      <c r="BC182" t="str">
        <f>IF(AZ182=1,IF(S182="","",IF(S182=N144,"Yes","No")),"")</f>
        <v/>
      </c>
      <c r="BD182" t="str">
        <f t="shared" si="40"/>
        <v/>
      </c>
      <c r="BE182" t="str">
        <f t="shared" si="41"/>
        <v/>
      </c>
      <c r="BF182" t="str">
        <f t="shared" si="42"/>
        <v>No</v>
      </c>
      <c r="BG182" t="str">
        <f t="shared" si="43"/>
        <v>No</v>
      </c>
      <c r="BH182" t="str">
        <f t="shared" si="44"/>
        <v/>
      </c>
    </row>
    <row r="183" spans="1:60" x14ac:dyDescent="0.3">
      <c r="A183" s="1">
        <v>22</v>
      </c>
      <c r="B183" t="s">
        <v>3413</v>
      </c>
      <c r="C183" t="s">
        <v>264</v>
      </c>
      <c r="D183" t="s">
        <v>264</v>
      </c>
      <c r="E183" t="s">
        <v>264</v>
      </c>
      <c r="F183" t="s">
        <v>264</v>
      </c>
      <c r="G183" t="s">
        <v>264</v>
      </c>
      <c r="I183" t="str">
        <f t="shared" si="46"/>
        <v>N/A</v>
      </c>
      <c r="J183" t="str">
        <f t="shared" si="47"/>
        <v>N/A</v>
      </c>
      <c r="K183" t="str">
        <f t="shared" si="48"/>
        <v>N/A</v>
      </c>
      <c r="L183" t="str">
        <f t="shared" si="49"/>
        <v>N/A</v>
      </c>
      <c r="M183" t="str">
        <f t="shared" si="50"/>
        <v>N/A</v>
      </c>
      <c r="N183" t="str">
        <f t="shared" si="51"/>
        <v>N/A</v>
      </c>
      <c r="P183">
        <f t="shared" si="27"/>
        <v>0</v>
      </c>
      <c r="Q183" t="str">
        <f>IFERROR(J144+MATCH(P183,J183:N183,0)-1,"")</f>
        <v/>
      </c>
      <c r="R183" t="str">
        <f t="shared" si="28"/>
        <v/>
      </c>
      <c r="S183" t="str">
        <f>IFERROR(J144+MATCH(R183,J183:N183,0)-1,"")</f>
        <v/>
      </c>
      <c r="T183" t="str">
        <f t="shared" si="29"/>
        <v/>
      </c>
      <c r="U183" t="str">
        <f t="shared" si="30"/>
        <v/>
      </c>
      <c r="V183" t="str">
        <f t="shared" si="31"/>
        <v/>
      </c>
      <c r="W183" t="str">
        <f t="shared" si="32"/>
        <v/>
      </c>
      <c r="X183" t="str">
        <f t="shared" si="33"/>
        <v/>
      </c>
      <c r="Y183" t="str">
        <f t="shared" si="34"/>
        <v/>
      </c>
      <c r="Z183" t="str">
        <f t="shared" si="35"/>
        <v/>
      </c>
      <c r="AA183">
        <f t="shared" si="36"/>
        <v>0</v>
      </c>
      <c r="AB183" t="str">
        <f>IFERROR(V144+MATCH(AA183,V183:Z183,0)-1,"")</f>
        <v/>
      </c>
      <c r="AC183" t="str">
        <f t="shared" si="37"/>
        <v/>
      </c>
      <c r="AE183" t="str">
        <f>IF(ISNUMBER(MATCH("N/A",J183:N183,0)),"",IFERROR((5 * SUMPRODUCT(J144:N144,J183:N183) - PRODUCT(SUM(J144:N144),SUM(J183:N183))) / ((5 * SUM((J144^2)+(K144^2)+(L144^2)+(M144^2)+(N144^2))) - SUM(J144:N144)^2),""))</f>
        <v/>
      </c>
      <c r="AF183" t="str">
        <f>IFERROR(CORREL(J144:N144,J183:N183),"")</f>
        <v/>
      </c>
      <c r="AZ183">
        <f t="shared" si="38"/>
        <v>0</v>
      </c>
      <c r="BA183" t="str">
        <f>IF(AZ183=1,IF(Q183="","",IF(Q183=N144,"Yes","No")),"")</f>
        <v/>
      </c>
      <c r="BB183" t="str">
        <f t="shared" si="39"/>
        <v/>
      </c>
      <c r="BC183" t="str">
        <f>IF(AZ183=1,IF(S183="","",IF(S183=N144,"Yes","No")),"")</f>
        <v/>
      </c>
      <c r="BD183" t="str">
        <f t="shared" si="40"/>
        <v/>
      </c>
      <c r="BE183" t="str">
        <f t="shared" si="41"/>
        <v/>
      </c>
      <c r="BF183" t="str">
        <f t="shared" si="42"/>
        <v>No</v>
      </c>
      <c r="BG183" t="str">
        <f t="shared" si="43"/>
        <v>No</v>
      </c>
      <c r="BH183" t="str">
        <f t="shared" si="44"/>
        <v/>
      </c>
    </row>
    <row r="184" spans="1:60" x14ac:dyDescent="0.3">
      <c r="A184" s="1">
        <v>23</v>
      </c>
      <c r="B184" t="s">
        <v>353</v>
      </c>
      <c r="C184" t="s">
        <v>264</v>
      </c>
      <c r="D184" t="s">
        <v>264</v>
      </c>
      <c r="E184" t="s">
        <v>264</v>
      </c>
      <c r="F184" t="s">
        <v>264</v>
      </c>
      <c r="G184" t="s">
        <v>264</v>
      </c>
      <c r="I184" t="str">
        <f t="shared" si="46"/>
        <v>N/A</v>
      </c>
      <c r="J184" t="str">
        <f t="shared" si="47"/>
        <v>N/A</v>
      </c>
      <c r="K184" t="str">
        <f t="shared" si="48"/>
        <v>N/A</v>
      </c>
      <c r="L184" t="str">
        <f t="shared" si="49"/>
        <v>N/A</v>
      </c>
      <c r="M184" t="str">
        <f t="shared" si="50"/>
        <v>N/A</v>
      </c>
      <c r="N184" t="str">
        <f t="shared" si="51"/>
        <v>N/A</v>
      </c>
      <c r="P184">
        <f t="shared" si="27"/>
        <v>0</v>
      </c>
      <c r="Q184" t="str">
        <f>IFERROR(J144+MATCH(P184,J184:N184,0)-1,"")</f>
        <v/>
      </c>
      <c r="R184" t="str">
        <f t="shared" si="28"/>
        <v/>
      </c>
      <c r="S184" t="str">
        <f>IFERROR(J144+MATCH(R184,J184:N184,0)-1,"")</f>
        <v/>
      </c>
      <c r="T184" t="str">
        <f t="shared" si="29"/>
        <v/>
      </c>
      <c r="U184" t="str">
        <f t="shared" si="30"/>
        <v/>
      </c>
      <c r="V184" t="str">
        <f t="shared" si="31"/>
        <v/>
      </c>
      <c r="W184" t="str">
        <f t="shared" si="32"/>
        <v/>
      </c>
      <c r="X184" t="str">
        <f t="shared" si="33"/>
        <v/>
      </c>
      <c r="Y184" t="str">
        <f t="shared" si="34"/>
        <v/>
      </c>
      <c r="Z184" t="str">
        <f t="shared" si="35"/>
        <v/>
      </c>
      <c r="AA184">
        <f t="shared" si="36"/>
        <v>0</v>
      </c>
      <c r="AB184" t="str">
        <f>IFERROR(V144+MATCH(AA184,V184:Z184,0)-1,"")</f>
        <v/>
      </c>
      <c r="AC184" t="str">
        <f t="shared" si="37"/>
        <v/>
      </c>
      <c r="AE184" t="str">
        <f>IF(ISNUMBER(MATCH("N/A",J184:N184,0)),"",IFERROR((5 * SUMPRODUCT(J144:N144,J184:N184) - PRODUCT(SUM(J144:N144),SUM(J184:N184))) / ((5 * SUM((J144^2)+(K144^2)+(L144^2)+(M144^2)+(N144^2))) - SUM(J144:N144)^2),""))</f>
        <v/>
      </c>
      <c r="AF184" t="str">
        <f>IFERROR(CORREL(J144:N144,J184:N184),"")</f>
        <v/>
      </c>
      <c r="AZ184">
        <f t="shared" si="38"/>
        <v>0</v>
      </c>
      <c r="BA184" t="str">
        <f>IF(AZ184=1,IF(Q184="","",IF(Q184=N144,"Yes","No")),"")</f>
        <v/>
      </c>
      <c r="BB184" t="str">
        <f t="shared" si="39"/>
        <v/>
      </c>
      <c r="BC184" t="str">
        <f>IF(AZ184=1,IF(S184="","",IF(S184=N144,"Yes","No")),"")</f>
        <v/>
      </c>
      <c r="BD184" t="str">
        <f t="shared" si="40"/>
        <v/>
      </c>
      <c r="BE184" t="str">
        <f t="shared" si="41"/>
        <v/>
      </c>
      <c r="BF184" t="str">
        <f t="shared" si="42"/>
        <v>No</v>
      </c>
      <c r="BG184" t="str">
        <f t="shared" si="43"/>
        <v>No</v>
      </c>
      <c r="BH184" t="str">
        <f t="shared" si="44"/>
        <v/>
      </c>
    </row>
    <row r="185" spans="1:60" x14ac:dyDescent="0.3">
      <c r="A185" s="1">
        <v>24</v>
      </c>
      <c r="B185" t="s">
        <v>331</v>
      </c>
      <c r="C185" t="s">
        <v>264</v>
      </c>
      <c r="D185" t="s">
        <v>264</v>
      </c>
      <c r="E185" t="s">
        <v>264</v>
      </c>
      <c r="F185" t="s">
        <v>264</v>
      </c>
      <c r="G185" t="s">
        <v>264</v>
      </c>
      <c r="I185" t="str">
        <f t="shared" si="46"/>
        <v>N/A</v>
      </c>
      <c r="J185" t="str">
        <f t="shared" si="47"/>
        <v>N/A</v>
      </c>
      <c r="K185" t="str">
        <f t="shared" si="48"/>
        <v>N/A</v>
      </c>
      <c r="L185" t="str">
        <f t="shared" si="49"/>
        <v>N/A</v>
      </c>
      <c r="M185" t="str">
        <f t="shared" si="50"/>
        <v>N/A</v>
      </c>
      <c r="N185" t="str">
        <f t="shared" si="51"/>
        <v>N/A</v>
      </c>
      <c r="P185">
        <f t="shared" si="27"/>
        <v>0</v>
      </c>
      <c r="Q185" t="str">
        <f>IFERROR(J144+MATCH(P185,J185:N185,0)-1,"")</f>
        <v/>
      </c>
      <c r="R185" t="str">
        <f t="shared" si="28"/>
        <v/>
      </c>
      <c r="S185" t="str">
        <f>IFERROR(J144+MATCH(R185,J185:N185,0)-1,"")</f>
        <v/>
      </c>
      <c r="T185" t="str">
        <f t="shared" si="29"/>
        <v/>
      </c>
      <c r="U185" t="str">
        <f t="shared" si="30"/>
        <v/>
      </c>
      <c r="V185" t="str">
        <f t="shared" si="31"/>
        <v/>
      </c>
      <c r="W185" t="str">
        <f t="shared" si="32"/>
        <v/>
      </c>
      <c r="X185" t="str">
        <f t="shared" si="33"/>
        <v/>
      </c>
      <c r="Y185" t="str">
        <f t="shared" si="34"/>
        <v/>
      </c>
      <c r="Z185" t="str">
        <f t="shared" si="35"/>
        <v/>
      </c>
      <c r="AA185">
        <f t="shared" si="36"/>
        <v>0</v>
      </c>
      <c r="AB185" t="str">
        <f>IFERROR(V144+MATCH(AA185,V185:Z185,0)-1,"")</f>
        <v/>
      </c>
      <c r="AC185" t="str">
        <f t="shared" si="37"/>
        <v/>
      </c>
      <c r="AE185" t="str">
        <f>IF(ISNUMBER(MATCH("N/A",J185:N185,0)),"",IFERROR((5 * SUMPRODUCT(J144:N144,J185:N185) - PRODUCT(SUM(J144:N144),SUM(J185:N185))) / ((5 * SUM((J144^2)+(K144^2)+(L144^2)+(M144^2)+(N144^2))) - SUM(J144:N144)^2),""))</f>
        <v/>
      </c>
      <c r="AF185" t="str">
        <f>IFERROR(CORREL(J144:N144,J185:N185),"")</f>
        <v/>
      </c>
      <c r="AZ185">
        <f t="shared" si="38"/>
        <v>0</v>
      </c>
      <c r="BA185" t="str">
        <f>IF(AZ185=1,IF(Q185="","",IF(Q185=N144,"Yes","No")),"")</f>
        <v/>
      </c>
      <c r="BB185" t="str">
        <f t="shared" si="39"/>
        <v/>
      </c>
      <c r="BC185" t="str">
        <f>IF(AZ185=1,IF(S185="","",IF(S185=N144,"Yes","No")),"")</f>
        <v/>
      </c>
      <c r="BD185" t="str">
        <f t="shared" si="40"/>
        <v/>
      </c>
      <c r="BE185" t="str">
        <f t="shared" si="41"/>
        <v/>
      </c>
      <c r="BF185" t="str">
        <f t="shared" si="42"/>
        <v>No</v>
      </c>
      <c r="BG185" t="str">
        <f t="shared" si="43"/>
        <v>No</v>
      </c>
      <c r="BH185" t="str">
        <f t="shared" si="44"/>
        <v/>
      </c>
    </row>
    <row r="186" spans="1:60" x14ac:dyDescent="0.3">
      <c r="A186" s="1">
        <v>25</v>
      </c>
      <c r="B186" t="s">
        <v>367</v>
      </c>
      <c r="C186" t="s">
        <v>3401</v>
      </c>
      <c r="D186" t="s">
        <v>3402</v>
      </c>
      <c r="E186" t="s">
        <v>1445</v>
      </c>
      <c r="F186" t="s">
        <v>3403</v>
      </c>
      <c r="G186" t="s">
        <v>3404</v>
      </c>
      <c r="I186" t="str">
        <f t="shared" si="46"/>
        <v>pos_trend</v>
      </c>
      <c r="J186">
        <f t="shared" si="47"/>
        <v>7300000</v>
      </c>
      <c r="K186">
        <f t="shared" si="48"/>
        <v>7550000</v>
      </c>
      <c r="L186">
        <f t="shared" si="49"/>
        <v>12690000</v>
      </c>
      <c r="M186">
        <f t="shared" si="50"/>
        <v>17530000</v>
      </c>
      <c r="N186">
        <f t="shared" si="51"/>
        <v>23840000</v>
      </c>
      <c r="P186">
        <f t="shared" si="27"/>
        <v>23840000</v>
      </c>
      <c r="Q186">
        <f>IFERROR(J144+MATCH(P186,J186:N186,0)-1,"")</f>
        <v>2016</v>
      </c>
      <c r="R186">
        <f t="shared" si="28"/>
        <v>7300000</v>
      </c>
      <c r="S186">
        <f>IFERROR(J144+MATCH(R186,J186:N186,0)-1,"")</f>
        <v>2012</v>
      </c>
      <c r="T186">
        <f t="shared" si="29"/>
        <v>13782000</v>
      </c>
      <c r="U186">
        <f t="shared" si="30"/>
        <v>7022419.0988576012</v>
      </c>
      <c r="V186">
        <f t="shared" si="31"/>
        <v>-0.92304374158678226</v>
      </c>
      <c r="W186">
        <f t="shared" si="32"/>
        <v>-0.88744347386128153</v>
      </c>
      <c r="X186">
        <f t="shared" si="33"/>
        <v>-0.15550196942498709</v>
      </c>
      <c r="Y186">
        <f t="shared" si="34"/>
        <v>0.53371921374070652</v>
      </c>
      <c r="Z186">
        <f t="shared" si="35"/>
        <v>1.4322699711323443</v>
      </c>
      <c r="AA186">
        <f t="shared" si="36"/>
        <v>1.4322699711323443</v>
      </c>
      <c r="AB186">
        <f>IFERROR(V144+MATCH(AA186,V186:Z186,0)-1,"")</f>
        <v>2016</v>
      </c>
      <c r="AC186" t="str">
        <f t="shared" si="37"/>
        <v>High</v>
      </c>
      <c r="AE186">
        <f>IF(ISNUMBER(MATCH("N/A",J186:N186,0)),"",IFERROR((5 * SUMPRODUCT(J144:N144,J186:N186) - PRODUCT(SUM(J144:N144),SUM(J186:N186))) / ((5 * SUM((J144^2)+(K144^2)+(L144^2)+(M144^2)+(N144^2))) - SUM(J144:N144)^2),""))</f>
        <v>4306000</v>
      </c>
      <c r="AF186">
        <f>IFERROR(CORREL(J144:N144,J186:N186),"")</f>
        <v>0.96952114456542482</v>
      </c>
      <c r="AZ186">
        <f t="shared" si="38"/>
        <v>1</v>
      </c>
      <c r="BA186" t="str">
        <f>IF(AZ186=1,IF(Q186="","",IF(Q186=N144,"Yes","No")),"")</f>
        <v>Yes</v>
      </c>
      <c r="BB186">
        <f t="shared" si="39"/>
        <v>23840000</v>
      </c>
      <c r="BC186" t="str">
        <f>IF(AZ186=1,IF(S186="","",IF(S186=N144,"Yes","No")),"")</f>
        <v>No</v>
      </c>
      <c r="BD186" t="str">
        <f t="shared" si="40"/>
        <v/>
      </c>
      <c r="BE186" t="str">
        <f t="shared" si="41"/>
        <v>Increasing</v>
      </c>
      <c r="BF186" t="str">
        <f t="shared" si="42"/>
        <v>Yes</v>
      </c>
      <c r="BG186" t="str">
        <f t="shared" si="43"/>
        <v>Yes</v>
      </c>
      <c r="BH186" t="str">
        <f t="shared" si="44"/>
        <v>Yes</v>
      </c>
    </row>
    <row r="187" spans="1:60" x14ac:dyDescent="0.3">
      <c r="A187" s="1">
        <v>26</v>
      </c>
      <c r="B187" t="s">
        <v>373</v>
      </c>
      <c r="C187" t="s">
        <v>264</v>
      </c>
      <c r="D187" t="s">
        <v>3406</v>
      </c>
      <c r="E187" t="s">
        <v>3407</v>
      </c>
      <c r="F187" t="s">
        <v>3408</v>
      </c>
      <c r="G187" t="s">
        <v>3409</v>
      </c>
      <c r="I187" t="str">
        <f t="shared" si="46"/>
        <v>N/A</v>
      </c>
      <c r="J187" t="str">
        <f t="shared" si="47"/>
        <v>N/A</v>
      </c>
      <c r="K187">
        <f t="shared" si="48"/>
        <v>3.4000000000000002E-2</v>
      </c>
      <c r="L187">
        <f t="shared" si="49"/>
        <v>0.68030000000000002</v>
      </c>
      <c r="M187">
        <f t="shared" si="50"/>
        <v>0.38109999999999999</v>
      </c>
      <c r="N187">
        <f t="shared" si="51"/>
        <v>0.36</v>
      </c>
      <c r="P187">
        <f t="shared" si="27"/>
        <v>0.68030000000000002</v>
      </c>
      <c r="Q187">
        <f>IFERROR(J144+MATCH(P187,J187:N187,0)-1,"")</f>
        <v>2014</v>
      </c>
      <c r="R187">
        <f t="shared" si="28"/>
        <v>3.4000000000000002E-2</v>
      </c>
      <c r="S187">
        <f>IFERROR(J144+MATCH(R187,J187:N187,0)-1,"")</f>
        <v>2013</v>
      </c>
      <c r="T187">
        <f t="shared" si="29"/>
        <v>0.36385000000000001</v>
      </c>
      <c r="U187">
        <f t="shared" si="30"/>
        <v>0.26410478349826733</v>
      </c>
      <c r="V187" t="str">
        <f t="shared" si="31"/>
        <v/>
      </c>
      <c r="W187">
        <f t="shared" si="32"/>
        <v>-1.2489361064608056</v>
      </c>
      <c r="X187">
        <f t="shared" si="33"/>
        <v>1.1981986687570771</v>
      </c>
      <c r="Y187">
        <f t="shared" si="34"/>
        <v>6.5314985103680098E-2</v>
      </c>
      <c r="Z187">
        <f t="shared" si="35"/>
        <v>-1.4577547399951877E-2</v>
      </c>
      <c r="AA187">
        <f t="shared" si="36"/>
        <v>-1.2489361064608056</v>
      </c>
      <c r="AB187">
        <f>IFERROR(V144+MATCH(AA187,V187:Z187,0)-1,"")</f>
        <v>2013</v>
      </c>
      <c r="AC187" t="str">
        <f t="shared" si="37"/>
        <v>Low</v>
      </c>
      <c r="AE187" t="str">
        <f>IF(ISNUMBER(MATCH("N/A",J187:N187,0)),"",IFERROR((5 * SUMPRODUCT(J144:N144,J187:N187) - PRODUCT(SUM(J144:N144),SUM(J187:N187))) / ((5 * SUM((J144^2)+(K144^2)+(L144^2)+(M144^2)+(N144^2))) - SUM(J144:N144)^2),""))</f>
        <v/>
      </c>
      <c r="AF187">
        <f>IFERROR(CORREL(J144:N144,J187:N187),"")</f>
        <v>0.33181035958313632</v>
      </c>
      <c r="AZ187">
        <f t="shared" si="38"/>
        <v>1</v>
      </c>
      <c r="BA187" t="str">
        <f>IF(AZ187=1,IF(Q187="","",IF(Q187=N144,"Yes","No")),"")</f>
        <v>No</v>
      </c>
      <c r="BB187" t="str">
        <f t="shared" si="39"/>
        <v/>
      </c>
      <c r="BC187" t="str">
        <f>IF(AZ187=1,IF(S187="","",IF(S187=N144,"Yes","No")),"")</f>
        <v>No</v>
      </c>
      <c r="BD187" t="str">
        <f t="shared" si="40"/>
        <v/>
      </c>
      <c r="BE187" t="str">
        <f t="shared" si="41"/>
        <v/>
      </c>
      <c r="BF187" t="str">
        <f t="shared" si="42"/>
        <v>No</v>
      </c>
      <c r="BG187" t="str">
        <f t="shared" si="43"/>
        <v>No</v>
      </c>
      <c r="BH187" t="str">
        <f t="shared" si="44"/>
        <v>No</v>
      </c>
    </row>
    <row r="188" spans="1:60" x14ac:dyDescent="0.3">
      <c r="A188" s="1">
        <v>27</v>
      </c>
      <c r="B188" t="s">
        <v>378</v>
      </c>
      <c r="C188" t="s">
        <v>264</v>
      </c>
      <c r="D188" t="s">
        <v>264</v>
      </c>
      <c r="E188" t="s">
        <v>264</v>
      </c>
      <c r="F188" t="s">
        <v>264</v>
      </c>
      <c r="G188" t="s">
        <v>3411</v>
      </c>
      <c r="I188" t="str">
        <f t="shared" si="46"/>
        <v>N/A</v>
      </c>
      <c r="J188" t="str">
        <f t="shared" si="47"/>
        <v>N/A</v>
      </c>
      <c r="K188" t="str">
        <f t="shared" si="48"/>
        <v>N/A</v>
      </c>
      <c r="L188" t="str">
        <f t="shared" si="49"/>
        <v>N/A</v>
      </c>
      <c r="M188" t="str">
        <f t="shared" si="50"/>
        <v>N/A</v>
      </c>
      <c r="N188">
        <f t="shared" si="51"/>
        <v>0.34200000000000003</v>
      </c>
      <c r="P188">
        <f t="shared" si="27"/>
        <v>0.34200000000000003</v>
      </c>
      <c r="Q188">
        <f>IFERROR(J144+MATCH(P188,J188:N188,0)-1,"")</f>
        <v>2016</v>
      </c>
      <c r="R188">
        <f t="shared" si="28"/>
        <v>0.34200000000000003</v>
      </c>
      <c r="S188">
        <f>IFERROR(J144+MATCH(R188,J188:N188,0)-1,"")</f>
        <v>2016</v>
      </c>
      <c r="T188">
        <f t="shared" si="29"/>
        <v>0.34200000000000003</v>
      </c>
      <c r="U188" t="str">
        <f t="shared" si="30"/>
        <v/>
      </c>
      <c r="V188" t="str">
        <f t="shared" si="31"/>
        <v/>
      </c>
      <c r="W188" t="str">
        <f t="shared" si="32"/>
        <v/>
      </c>
      <c r="X188" t="str">
        <f t="shared" si="33"/>
        <v/>
      </c>
      <c r="Y188" t="str">
        <f t="shared" si="34"/>
        <v/>
      </c>
      <c r="Z188" t="str">
        <f t="shared" si="35"/>
        <v/>
      </c>
      <c r="AA188">
        <f t="shared" si="36"/>
        <v>0</v>
      </c>
      <c r="AB188" t="str">
        <f>IFERROR(V144+MATCH(AA188,V188:Z188,0)-1,"")</f>
        <v/>
      </c>
      <c r="AC188" t="str">
        <f t="shared" si="37"/>
        <v/>
      </c>
      <c r="AE188" t="str">
        <f>IF(ISNUMBER(MATCH("N/A",J188:N188,0)),"",IFERROR((5 * SUMPRODUCT(J144:N144,J188:N188) - PRODUCT(SUM(J144:N144),SUM(J188:N188))) / ((5 * SUM((J144^2)+(K144^2)+(L144^2)+(M144^2)+(N144^2))) - SUM(J144:N144)^2),""))</f>
        <v/>
      </c>
      <c r="AF188" t="str">
        <f>IFERROR(CORREL(J144:N144,J188:N188),"")</f>
        <v/>
      </c>
      <c r="AZ188">
        <f t="shared" si="38"/>
        <v>0</v>
      </c>
      <c r="BA188" t="str">
        <f>IF(AZ188=1,IF(Q188="","",IF(Q188=N144,"Yes","No")),"")</f>
        <v/>
      </c>
      <c r="BB188" t="str">
        <f t="shared" si="39"/>
        <v/>
      </c>
      <c r="BC188" t="str">
        <f>IF(AZ188=1,IF(S188="","",IF(S188=N144,"Yes","No")),"")</f>
        <v/>
      </c>
      <c r="BD188" t="str">
        <f t="shared" si="40"/>
        <v/>
      </c>
      <c r="BE188" t="str">
        <f t="shared" si="41"/>
        <v/>
      </c>
      <c r="BF188" t="str">
        <f t="shared" si="42"/>
        <v>No</v>
      </c>
      <c r="BG188" t="str">
        <f t="shared" si="43"/>
        <v>No</v>
      </c>
      <c r="BH188" t="str">
        <f t="shared" si="44"/>
        <v/>
      </c>
    </row>
    <row r="189" spans="1:60" x14ac:dyDescent="0.3">
      <c r="A189" s="1">
        <v>28</v>
      </c>
      <c r="B189" t="s">
        <v>3414</v>
      </c>
      <c r="C189" t="s">
        <v>343</v>
      </c>
      <c r="D189" t="s">
        <v>1777</v>
      </c>
      <c r="E189" t="s">
        <v>3415</v>
      </c>
      <c r="F189" t="s">
        <v>3416</v>
      </c>
      <c r="G189" t="s">
        <v>3417</v>
      </c>
      <c r="I189" t="str">
        <f t="shared" si="46"/>
        <v>N/A</v>
      </c>
      <c r="J189">
        <f t="shared" si="47"/>
        <v>1730000</v>
      </c>
      <c r="K189">
        <f t="shared" si="48"/>
        <v>1370000</v>
      </c>
      <c r="L189">
        <f t="shared" si="49"/>
        <v>3160000</v>
      </c>
      <c r="M189">
        <f t="shared" si="50"/>
        <v>4780000</v>
      </c>
      <c r="N189">
        <f t="shared" si="51"/>
        <v>6620000</v>
      </c>
      <c r="P189">
        <f t="shared" si="27"/>
        <v>6620000</v>
      </c>
      <c r="Q189">
        <f>IFERROR(J144+MATCH(P189,J189:N189,0)-1,"")</f>
        <v>2016</v>
      </c>
      <c r="R189">
        <f t="shared" si="28"/>
        <v>1370000</v>
      </c>
      <c r="S189">
        <f>IFERROR(J144+MATCH(R189,J189:N189,0)-1,"")</f>
        <v>2013</v>
      </c>
      <c r="T189">
        <f t="shared" si="29"/>
        <v>3532000</v>
      </c>
      <c r="U189">
        <f t="shared" si="30"/>
        <v>2188211.5985434316</v>
      </c>
      <c r="V189">
        <f t="shared" si="31"/>
        <v>-0.8235035410649908</v>
      </c>
      <c r="W189">
        <f t="shared" si="32"/>
        <v>-0.98802145159961718</v>
      </c>
      <c r="X189">
        <f t="shared" si="33"/>
        <v>-0.17000184088578058</v>
      </c>
      <c r="Y189">
        <f t="shared" si="34"/>
        <v>0.570328756520038</v>
      </c>
      <c r="Z189">
        <f t="shared" si="35"/>
        <v>1.4111980770303505</v>
      </c>
      <c r="AA189">
        <f t="shared" si="36"/>
        <v>1.4111980770303505</v>
      </c>
      <c r="AB189">
        <f>IFERROR(V144+MATCH(AA189,V189:Z189,0)-1,"")</f>
        <v>2016</v>
      </c>
      <c r="AC189" t="str">
        <f t="shared" si="37"/>
        <v>High</v>
      </c>
      <c r="AE189">
        <f>IF(ISNUMBER(MATCH("N/A",J189:N189,0)),"",IFERROR((5 * SUMPRODUCT(J144:N144,J189:N189) - PRODUCT(SUM(J144:N144),SUM(J189:N189))) / ((5 * SUM((J144^2)+(K144^2)+(L144^2)+(M144^2)+(N144^2))) - SUM(J144:N144)^2),""))</f>
        <v>1319000</v>
      </c>
      <c r="AF189">
        <f>IFERROR(CORREL(J144:N144,J189:N189),"")</f>
        <v>0.95307150289727927</v>
      </c>
      <c r="AZ189">
        <f t="shared" si="38"/>
        <v>1</v>
      </c>
      <c r="BA189" t="str">
        <f>IF(AZ189=1,IF(Q189="","",IF(Q189=N144,"Yes","No")),"")</f>
        <v>Yes</v>
      </c>
      <c r="BB189">
        <f t="shared" si="39"/>
        <v>6620000</v>
      </c>
      <c r="BC189" t="str">
        <f>IF(AZ189=1,IF(S189="","",IF(S189=N144,"Yes","No")),"")</f>
        <v>No</v>
      </c>
      <c r="BD189" t="str">
        <f t="shared" si="40"/>
        <v/>
      </c>
      <c r="BE189" t="str">
        <f t="shared" si="41"/>
        <v>Increasing</v>
      </c>
      <c r="BF189" t="str">
        <f t="shared" si="42"/>
        <v>Yes</v>
      </c>
      <c r="BG189" t="str">
        <f t="shared" si="43"/>
        <v>No</v>
      </c>
      <c r="BH189" t="str">
        <f t="shared" si="44"/>
        <v>Yes</v>
      </c>
    </row>
    <row r="190" spans="1:60" x14ac:dyDescent="0.3">
      <c r="A190" s="1">
        <v>29</v>
      </c>
      <c r="B190" t="s">
        <v>3418</v>
      </c>
      <c r="C190" t="s">
        <v>3100</v>
      </c>
      <c r="D190" t="s">
        <v>3419</v>
      </c>
      <c r="E190" t="s">
        <v>3420</v>
      </c>
      <c r="F190" t="s">
        <v>3421</v>
      </c>
      <c r="G190" t="s">
        <v>3372</v>
      </c>
      <c r="I190" t="str">
        <f t="shared" si="46"/>
        <v>N/A</v>
      </c>
      <c r="J190">
        <f t="shared" si="47"/>
        <v>1400000</v>
      </c>
      <c r="K190">
        <f t="shared" si="48"/>
        <v>11000</v>
      </c>
      <c r="L190">
        <f t="shared" si="49"/>
        <v>3150000</v>
      </c>
      <c r="M190">
        <f t="shared" si="50"/>
        <v>5190000</v>
      </c>
      <c r="N190">
        <f t="shared" si="51"/>
        <v>6450000</v>
      </c>
      <c r="P190">
        <f t="shared" si="27"/>
        <v>6450000</v>
      </c>
      <c r="Q190">
        <f>IFERROR(J144+MATCH(P190,J190:N190,0)-1,"")</f>
        <v>2016</v>
      </c>
      <c r="R190">
        <f t="shared" si="28"/>
        <v>11000</v>
      </c>
      <c r="S190">
        <f>IFERROR(J144+MATCH(R190,J190:N190,0)-1,"")</f>
        <v>2013</v>
      </c>
      <c r="T190">
        <f t="shared" si="29"/>
        <v>3240200</v>
      </c>
      <c r="U190">
        <f t="shared" si="30"/>
        <v>2642287.8722803844</v>
      </c>
      <c r="V190">
        <f t="shared" si="31"/>
        <v>-0.696441905253815</v>
      </c>
      <c r="W190">
        <f t="shared" si="32"/>
        <v>-1.2221227042960654</v>
      </c>
      <c r="X190">
        <f t="shared" si="33"/>
        <v>-3.4137082846372194E-2</v>
      </c>
      <c r="Y190">
        <f t="shared" si="34"/>
        <v>0.7379211101314469</v>
      </c>
      <c r="Z190">
        <f t="shared" si="35"/>
        <v>1.2147805822648057</v>
      </c>
      <c r="AA190">
        <f t="shared" si="36"/>
        <v>-1.2221227042960654</v>
      </c>
      <c r="AB190">
        <f>IFERROR(V144+MATCH(AA190,V190:Z190,0)-1,"")</f>
        <v>2013</v>
      </c>
      <c r="AC190" t="str">
        <f t="shared" si="37"/>
        <v>Low</v>
      </c>
      <c r="AE190">
        <f>IF(ISNUMBER(MATCH("N/A",J190:N190,0)),"",IFERROR((5 * SUMPRODUCT(J144:N144,J190:N190) - PRODUCT(SUM(J144:N144),SUM(J190:N190))) / ((5 * SUM((J144^2)+(K144^2)+(L144^2)+(M144^2)+(N144^2))) - SUM(J144:N144)^2),""))</f>
        <v>1527900</v>
      </c>
      <c r="AF190">
        <f>IFERROR(CORREL(J144:N144,J190:N190),"")</f>
        <v>0.91429175595492429</v>
      </c>
      <c r="AZ190">
        <f t="shared" si="38"/>
        <v>1</v>
      </c>
      <c r="BA190" t="str">
        <f>IF(AZ190=1,IF(Q190="","",IF(Q190=N144,"Yes","No")),"")</f>
        <v>Yes</v>
      </c>
      <c r="BB190">
        <f t="shared" si="39"/>
        <v>6450000</v>
      </c>
      <c r="BC190" t="str">
        <f>IF(AZ190=1,IF(S190="","",IF(S190=N144,"Yes","No")),"")</f>
        <v>No</v>
      </c>
      <c r="BD190" t="str">
        <f t="shared" si="40"/>
        <v/>
      </c>
      <c r="BE190" t="str">
        <f t="shared" si="41"/>
        <v>Increasing</v>
      </c>
      <c r="BF190" t="str">
        <f t="shared" si="42"/>
        <v>Yes</v>
      </c>
      <c r="BG190" t="str">
        <f t="shared" si="43"/>
        <v>No</v>
      </c>
      <c r="BH190" t="str">
        <f t="shared" si="44"/>
        <v>Yes</v>
      </c>
    </row>
    <row r="191" spans="1:60" x14ac:dyDescent="0.3">
      <c r="A191" s="1">
        <v>30</v>
      </c>
      <c r="B191" t="s">
        <v>3422</v>
      </c>
      <c r="C191" t="s">
        <v>264</v>
      </c>
      <c r="D191" t="s">
        <v>264</v>
      </c>
      <c r="E191" t="s">
        <v>264</v>
      </c>
      <c r="F191" t="s">
        <v>264</v>
      </c>
      <c r="G191" t="s">
        <v>264</v>
      </c>
      <c r="I191" t="str">
        <f t="shared" si="46"/>
        <v>N/A</v>
      </c>
      <c r="J191" t="str">
        <f t="shared" si="47"/>
        <v>N/A</v>
      </c>
      <c r="K191" t="str">
        <f t="shared" si="48"/>
        <v>N/A</v>
      </c>
      <c r="L191" t="str">
        <f t="shared" si="49"/>
        <v>N/A</v>
      </c>
      <c r="M191" t="str">
        <f t="shared" si="50"/>
        <v>N/A</v>
      </c>
      <c r="N191" t="str">
        <f t="shared" si="51"/>
        <v>N/A</v>
      </c>
      <c r="P191">
        <f t="shared" si="27"/>
        <v>0</v>
      </c>
      <c r="Q191" t="str">
        <f>IFERROR(J144+MATCH(P191,J191:N191,0)-1,"")</f>
        <v/>
      </c>
      <c r="R191" t="str">
        <f t="shared" si="28"/>
        <v/>
      </c>
      <c r="S191" t="str">
        <f>IFERROR(J144+MATCH(R191,J191:N191,0)-1,"")</f>
        <v/>
      </c>
      <c r="T191" t="str">
        <f t="shared" si="29"/>
        <v/>
      </c>
      <c r="U191" t="str">
        <f t="shared" si="30"/>
        <v/>
      </c>
      <c r="V191" t="str">
        <f t="shared" si="31"/>
        <v/>
      </c>
      <c r="W191" t="str">
        <f t="shared" si="32"/>
        <v/>
      </c>
      <c r="X191" t="str">
        <f t="shared" si="33"/>
        <v/>
      </c>
      <c r="Y191" t="str">
        <f t="shared" si="34"/>
        <v/>
      </c>
      <c r="Z191" t="str">
        <f t="shared" si="35"/>
        <v/>
      </c>
      <c r="AA191">
        <f t="shared" si="36"/>
        <v>0</v>
      </c>
      <c r="AB191" t="str">
        <f>IFERROR(V144+MATCH(AA191,V191:Z191,0)-1,"")</f>
        <v/>
      </c>
      <c r="AC191" t="str">
        <f t="shared" si="37"/>
        <v/>
      </c>
      <c r="AE191" t="str">
        <f>IF(ISNUMBER(MATCH("N/A",J191:N191,0)),"",IFERROR((5 * SUMPRODUCT(J144:N144,J191:N191) - PRODUCT(SUM(J144:N144),SUM(J191:N191))) / ((5 * SUM((J144^2)+(K144^2)+(L144^2)+(M144^2)+(N144^2))) - SUM(J144:N144)^2),""))</f>
        <v/>
      </c>
      <c r="AF191" t="str">
        <f>IFERROR(CORREL(J144:N144,J191:N191),"")</f>
        <v/>
      </c>
      <c r="AZ191">
        <f t="shared" si="38"/>
        <v>0</v>
      </c>
      <c r="BA191" t="str">
        <f>IF(AZ191=1,IF(Q191="","",IF(Q191=N144,"Yes","No")),"")</f>
        <v/>
      </c>
      <c r="BB191" t="str">
        <f t="shared" si="39"/>
        <v/>
      </c>
      <c r="BC191" t="str">
        <f>IF(AZ191=1,IF(S191="","",IF(S191=N144,"Yes","No")),"")</f>
        <v/>
      </c>
      <c r="BD191" t="str">
        <f t="shared" si="40"/>
        <v/>
      </c>
      <c r="BE191" t="str">
        <f t="shared" si="41"/>
        <v/>
      </c>
      <c r="BF191" t="str">
        <f t="shared" si="42"/>
        <v>No</v>
      </c>
      <c r="BG191" t="str">
        <f t="shared" si="43"/>
        <v>No</v>
      </c>
      <c r="BH191" t="str">
        <f t="shared" si="44"/>
        <v/>
      </c>
    </row>
    <row r="192" spans="1:60" x14ac:dyDescent="0.3">
      <c r="A192" s="1">
        <v>31</v>
      </c>
      <c r="B192" t="s">
        <v>3423</v>
      </c>
      <c r="C192" t="s">
        <v>3424</v>
      </c>
      <c r="D192" t="s">
        <v>3425</v>
      </c>
      <c r="E192" t="s">
        <v>3419</v>
      </c>
      <c r="F192" t="s">
        <v>3426</v>
      </c>
      <c r="G192" t="s">
        <v>3427</v>
      </c>
      <c r="I192" t="str">
        <f t="shared" si="46"/>
        <v>N/A</v>
      </c>
      <c r="J192">
        <f t="shared" si="47"/>
        <v>330000</v>
      </c>
      <c r="K192">
        <f t="shared" si="48"/>
        <v>1360000</v>
      </c>
      <c r="L192">
        <f t="shared" si="49"/>
        <v>11000</v>
      </c>
      <c r="M192">
        <f t="shared" si="50"/>
        <v>-410000</v>
      </c>
      <c r="N192">
        <f t="shared" si="51"/>
        <v>170000</v>
      </c>
      <c r="P192">
        <f t="shared" si="27"/>
        <v>1360000</v>
      </c>
      <c r="Q192">
        <f>IFERROR(J144+MATCH(P192,J192:N192,0)-1,"")</f>
        <v>2013</v>
      </c>
      <c r="R192">
        <f t="shared" si="28"/>
        <v>-410000</v>
      </c>
      <c r="S192">
        <f>IFERROR(J144+MATCH(R192,J192:N192,0)-1,"")</f>
        <v>2015</v>
      </c>
      <c r="T192">
        <f t="shared" si="29"/>
        <v>292200</v>
      </c>
      <c r="U192">
        <f t="shared" si="30"/>
        <v>657403.37693078513</v>
      </c>
      <c r="V192">
        <f t="shared" si="31"/>
        <v>5.7498944067608256E-2</v>
      </c>
      <c r="W192">
        <f t="shared" si="32"/>
        <v>1.6242691131056108</v>
      </c>
      <c r="X192">
        <f t="shared" si="33"/>
        <v>-0.42774346750823916</v>
      </c>
      <c r="Y192">
        <f t="shared" si="34"/>
        <v>-1.0681417599014422</v>
      </c>
      <c r="Z192">
        <f t="shared" si="35"/>
        <v>-0.18588282976353779</v>
      </c>
      <c r="AA192">
        <f t="shared" si="36"/>
        <v>1.6242691131056108</v>
      </c>
      <c r="AB192">
        <f>IFERROR(V144+MATCH(AA192,V192:Z192,0)-1,"")</f>
        <v>2013</v>
      </c>
      <c r="AC192" t="str">
        <f t="shared" si="37"/>
        <v>High</v>
      </c>
      <c r="AE192">
        <f>IF(ISNUMBER(MATCH("N/A",J192:N192,0)),"",IFERROR((5 * SUMPRODUCT(J144:N144,J192:N192) - PRODUCT(SUM(J144:N144),SUM(J192:N192))) / ((5 * SUM((J144^2)+(K144^2)+(L144^2)+(M144^2)+(N144^2))) - SUM(J144:N144)^2),""))</f>
        <v>-209000</v>
      </c>
      <c r="AF192">
        <f>IFERROR(CORREL(J144:N144,J192:N192),"")</f>
        <v>-0.5026716124130709</v>
      </c>
      <c r="AZ192">
        <f t="shared" si="38"/>
        <v>1</v>
      </c>
      <c r="BA192" t="str">
        <f>IF(AZ192=1,IF(Q192="","",IF(Q192=N144,"Yes","No")),"")</f>
        <v>No</v>
      </c>
      <c r="BB192" t="str">
        <f t="shared" si="39"/>
        <v/>
      </c>
      <c r="BC192" t="str">
        <f>IF(AZ192=1,IF(S192="","",IF(S192=N144,"Yes","No")),"")</f>
        <v>No</v>
      </c>
      <c r="BD192" t="str">
        <f t="shared" si="40"/>
        <v/>
      </c>
      <c r="BE192" t="str">
        <f t="shared" si="41"/>
        <v>Decreasing</v>
      </c>
      <c r="BF192" t="str">
        <f t="shared" si="42"/>
        <v>No</v>
      </c>
      <c r="BG192" t="str">
        <f t="shared" si="43"/>
        <v>No</v>
      </c>
      <c r="BH192" t="str">
        <f t="shared" si="44"/>
        <v>No</v>
      </c>
    </row>
    <row r="193" spans="1:60" x14ac:dyDescent="0.3">
      <c r="A193" s="1">
        <v>32</v>
      </c>
      <c r="B193" t="s">
        <v>3428</v>
      </c>
      <c r="C193" t="s">
        <v>264</v>
      </c>
      <c r="D193" t="s">
        <v>264</v>
      </c>
      <c r="E193" t="s">
        <v>264</v>
      </c>
      <c r="F193" t="s">
        <v>264</v>
      </c>
      <c r="G193" t="s">
        <v>264</v>
      </c>
      <c r="I193" t="str">
        <f t="shared" si="46"/>
        <v>N/A</v>
      </c>
      <c r="J193" t="str">
        <f t="shared" si="47"/>
        <v>N/A</v>
      </c>
      <c r="K193" t="str">
        <f t="shared" si="48"/>
        <v>N/A</v>
      </c>
      <c r="L193" t="str">
        <f t="shared" si="49"/>
        <v>N/A</v>
      </c>
      <c r="M193" t="str">
        <f t="shared" si="50"/>
        <v>N/A</v>
      </c>
      <c r="N193" t="str">
        <f t="shared" si="51"/>
        <v>N/A</v>
      </c>
      <c r="P193">
        <f t="shared" si="27"/>
        <v>0</v>
      </c>
      <c r="Q193" t="str">
        <f>IFERROR(J144+MATCH(P193,J193:N193,0)-1,"")</f>
        <v/>
      </c>
      <c r="R193" t="str">
        <f t="shared" si="28"/>
        <v/>
      </c>
      <c r="S193" t="str">
        <f>IFERROR(J144+MATCH(R193,J193:N193,0)-1,"")</f>
        <v/>
      </c>
      <c r="T193" t="str">
        <f t="shared" si="29"/>
        <v/>
      </c>
      <c r="U193" t="str">
        <f t="shared" si="30"/>
        <v/>
      </c>
      <c r="V193" t="str">
        <f t="shared" si="31"/>
        <v/>
      </c>
      <c r="W193" t="str">
        <f t="shared" si="32"/>
        <v/>
      </c>
      <c r="X193" t="str">
        <f t="shared" si="33"/>
        <v/>
      </c>
      <c r="Y193" t="str">
        <f t="shared" si="34"/>
        <v/>
      </c>
      <c r="Z193" t="str">
        <f t="shared" si="35"/>
        <v/>
      </c>
      <c r="AA193">
        <f t="shared" si="36"/>
        <v>0</v>
      </c>
      <c r="AB193" t="str">
        <f>IFERROR(V144+MATCH(AA193,V193:Z193,0)-1,"")</f>
        <v/>
      </c>
      <c r="AC193" t="str">
        <f t="shared" si="37"/>
        <v/>
      </c>
      <c r="AE193" t="str">
        <f>IF(ISNUMBER(MATCH("N/A",J193:N193,0)),"",IFERROR((5 * SUMPRODUCT(J144:N144,J193:N193) - PRODUCT(SUM(J144:N144),SUM(J193:N193))) / ((5 * SUM((J144^2)+(K144^2)+(L144^2)+(M144^2)+(N144^2))) - SUM(J144:N144)^2),""))</f>
        <v/>
      </c>
      <c r="AF193" t="str">
        <f>IFERROR(CORREL(J144:N144,J193:N193),"")</f>
        <v/>
      </c>
      <c r="AZ193">
        <f t="shared" si="38"/>
        <v>0</v>
      </c>
      <c r="BA193" t="str">
        <f>IF(AZ193=1,IF(Q193="","",IF(Q193=N144,"Yes","No")),"")</f>
        <v/>
      </c>
      <c r="BB193" t="str">
        <f t="shared" si="39"/>
        <v/>
      </c>
      <c r="BC193" t="str">
        <f>IF(AZ193=1,IF(S193="","",IF(S193=N144,"Yes","No")),"")</f>
        <v/>
      </c>
      <c r="BD193" t="str">
        <f t="shared" si="40"/>
        <v/>
      </c>
      <c r="BE193" t="str">
        <f t="shared" si="41"/>
        <v/>
      </c>
      <c r="BF193" t="str">
        <f t="shared" si="42"/>
        <v>No</v>
      </c>
      <c r="BG193" t="str">
        <f t="shared" si="43"/>
        <v>No</v>
      </c>
      <c r="BH193" t="str">
        <f t="shared" si="44"/>
        <v/>
      </c>
    </row>
    <row r="194" spans="1:60" x14ac:dyDescent="0.3">
      <c r="A194" s="1">
        <v>33</v>
      </c>
      <c r="B194" t="s">
        <v>398</v>
      </c>
      <c r="C194" t="s">
        <v>264</v>
      </c>
      <c r="D194" t="s">
        <v>264</v>
      </c>
      <c r="E194" t="s">
        <v>264</v>
      </c>
      <c r="F194" t="s">
        <v>264</v>
      </c>
      <c r="G194" t="s">
        <v>264</v>
      </c>
      <c r="I194" t="str">
        <f t="shared" si="46"/>
        <v>N/A</v>
      </c>
      <c r="J194" t="str">
        <f t="shared" si="47"/>
        <v>N/A</v>
      </c>
      <c r="K194" t="str">
        <f t="shared" si="48"/>
        <v>N/A</v>
      </c>
      <c r="L194" t="str">
        <f t="shared" si="49"/>
        <v>N/A</v>
      </c>
      <c r="M194" t="str">
        <f t="shared" si="50"/>
        <v>N/A</v>
      </c>
      <c r="N194" t="str">
        <f t="shared" si="51"/>
        <v>N/A</v>
      </c>
      <c r="P194">
        <f t="shared" si="27"/>
        <v>0</v>
      </c>
      <c r="Q194" t="str">
        <f>IFERROR(J144+MATCH(P194,J194:N194,0)-1,"")</f>
        <v/>
      </c>
      <c r="R194" t="str">
        <f t="shared" si="28"/>
        <v/>
      </c>
      <c r="S194" t="str">
        <f>IFERROR(J144+MATCH(R194,J194:N194,0)-1,"")</f>
        <v/>
      </c>
      <c r="T194" t="str">
        <f t="shared" si="29"/>
        <v/>
      </c>
      <c r="U194" t="str">
        <f t="shared" si="30"/>
        <v/>
      </c>
      <c r="V194" t="str">
        <f t="shared" si="31"/>
        <v/>
      </c>
      <c r="W194" t="str">
        <f t="shared" si="32"/>
        <v/>
      </c>
      <c r="X194" t="str">
        <f t="shared" si="33"/>
        <v/>
      </c>
      <c r="Y194" t="str">
        <f t="shared" si="34"/>
        <v/>
      </c>
      <c r="Z194" t="str">
        <f t="shared" si="35"/>
        <v/>
      </c>
      <c r="AA194">
        <f t="shared" si="36"/>
        <v>0</v>
      </c>
      <c r="AB194" t="str">
        <f>IFERROR(V144+MATCH(AA194,V194:Z194,0)-1,"")</f>
        <v/>
      </c>
      <c r="AC194" t="str">
        <f t="shared" si="37"/>
        <v/>
      </c>
      <c r="AE194" t="str">
        <f>IF(ISNUMBER(MATCH("N/A",J194:N194,0)),"",IFERROR((5 * SUMPRODUCT(J144:N144,J194:N194) - PRODUCT(SUM(J144:N144),SUM(J194:N194))) / ((5 * SUM((J144^2)+(K144^2)+(L144^2)+(M144^2)+(N144^2))) - SUM(J144:N144)^2),""))</f>
        <v/>
      </c>
      <c r="AF194" t="str">
        <f>IFERROR(CORREL(J144:N144,J194:N194),"")</f>
        <v/>
      </c>
      <c r="AZ194">
        <f t="shared" si="38"/>
        <v>0</v>
      </c>
      <c r="BA194" t="str">
        <f>IF(AZ194=1,IF(Q194="","",IF(Q194=N144,"Yes","No")),"")</f>
        <v/>
      </c>
      <c r="BB194" t="str">
        <f t="shared" si="39"/>
        <v/>
      </c>
      <c r="BC194" t="str">
        <f>IF(AZ194=1,IF(S194="","",IF(S194=N144,"Yes","No")),"")</f>
        <v/>
      </c>
      <c r="BD194" t="str">
        <f t="shared" si="40"/>
        <v/>
      </c>
      <c r="BE194" t="str">
        <f t="shared" si="41"/>
        <v/>
      </c>
      <c r="BF194" t="str">
        <f t="shared" si="42"/>
        <v>No</v>
      </c>
      <c r="BG194" t="str">
        <f t="shared" si="43"/>
        <v>No</v>
      </c>
      <c r="BH194" t="str">
        <f t="shared" si="44"/>
        <v/>
      </c>
    </row>
    <row r="195" spans="1:60" x14ac:dyDescent="0.3">
      <c r="A195" s="1">
        <v>34</v>
      </c>
      <c r="B195" t="s">
        <v>399</v>
      </c>
      <c r="C195" t="s">
        <v>264</v>
      </c>
      <c r="D195" t="s">
        <v>264</v>
      </c>
      <c r="E195" t="s">
        <v>264</v>
      </c>
      <c r="F195" t="s">
        <v>264</v>
      </c>
      <c r="G195" t="s">
        <v>264</v>
      </c>
      <c r="I195" t="str">
        <f t="shared" si="46"/>
        <v>N/A</v>
      </c>
      <c r="J195" t="str">
        <f t="shared" si="47"/>
        <v>N/A</v>
      </c>
      <c r="K195" t="str">
        <f t="shared" si="48"/>
        <v>N/A</v>
      </c>
      <c r="L195" t="str">
        <f t="shared" si="49"/>
        <v>N/A</v>
      </c>
      <c r="M195" t="str">
        <f t="shared" si="50"/>
        <v>N/A</v>
      </c>
      <c r="N195" t="str">
        <f t="shared" si="51"/>
        <v>N/A</v>
      </c>
      <c r="P195">
        <f t="shared" si="27"/>
        <v>0</v>
      </c>
      <c r="Q195" t="str">
        <f>IFERROR(J144+MATCH(P195,J195:N195,0)-1,"")</f>
        <v/>
      </c>
      <c r="R195" t="str">
        <f t="shared" si="28"/>
        <v/>
      </c>
      <c r="S195" t="str">
        <f>IFERROR(J144+MATCH(R195,J195:N195,0)-1,"")</f>
        <v/>
      </c>
      <c r="T195" t="str">
        <f t="shared" si="29"/>
        <v/>
      </c>
      <c r="U195" t="str">
        <f t="shared" si="30"/>
        <v/>
      </c>
      <c r="V195" t="str">
        <f t="shared" si="31"/>
        <v/>
      </c>
      <c r="W195" t="str">
        <f t="shared" si="32"/>
        <v/>
      </c>
      <c r="X195" t="str">
        <f t="shared" si="33"/>
        <v/>
      </c>
      <c r="Y195" t="str">
        <f t="shared" si="34"/>
        <v/>
      </c>
      <c r="Z195" t="str">
        <f t="shared" si="35"/>
        <v/>
      </c>
      <c r="AA195">
        <f t="shared" si="36"/>
        <v>0</v>
      </c>
      <c r="AB195" t="str">
        <f>IFERROR(V144+MATCH(AA195,V195:Z195,0)-1,"")</f>
        <v/>
      </c>
      <c r="AC195" t="str">
        <f t="shared" si="37"/>
        <v/>
      </c>
      <c r="AE195" t="str">
        <f>IF(ISNUMBER(MATCH("N/A",J195:N195,0)),"",IFERROR((5 * SUMPRODUCT(J144:N144,J195:N195) - PRODUCT(SUM(J144:N144),SUM(J195:N195))) / ((5 * SUM((J144^2)+(K144^2)+(L144^2)+(M144^2)+(N144^2))) - SUM(J144:N144)^2),""))</f>
        <v/>
      </c>
      <c r="AF195" t="str">
        <f>IFERROR(CORREL(J144:N144,J195:N195),"")</f>
        <v/>
      </c>
      <c r="AZ195">
        <f t="shared" si="38"/>
        <v>0</v>
      </c>
      <c r="BA195" t="str">
        <f>IF(AZ195=1,IF(Q195="","",IF(Q195=N144,"Yes","No")),"")</f>
        <v/>
      </c>
      <c r="BB195" t="str">
        <f t="shared" si="39"/>
        <v/>
      </c>
      <c r="BC195" t="str">
        <f>IF(AZ195=1,IF(S195="","",IF(S195=N144,"Yes","No")),"")</f>
        <v/>
      </c>
      <c r="BD195" t="str">
        <f t="shared" si="40"/>
        <v/>
      </c>
      <c r="BE195" t="str">
        <f t="shared" si="41"/>
        <v/>
      </c>
      <c r="BF195" t="str">
        <f t="shared" si="42"/>
        <v>No</v>
      </c>
      <c r="BG195" t="str">
        <f t="shared" si="43"/>
        <v>No</v>
      </c>
      <c r="BH195" t="str">
        <f t="shared" si="44"/>
        <v/>
      </c>
    </row>
    <row r="196" spans="1:60" x14ac:dyDescent="0.3">
      <c r="A196" s="1">
        <v>35</v>
      </c>
      <c r="B196" t="s">
        <v>400</v>
      </c>
      <c r="C196" t="s">
        <v>264</v>
      </c>
      <c r="D196" t="s">
        <v>264</v>
      </c>
      <c r="E196" t="s">
        <v>264</v>
      </c>
      <c r="F196" t="s">
        <v>264</v>
      </c>
      <c r="G196" t="s">
        <v>264</v>
      </c>
      <c r="I196" t="str">
        <f t="shared" si="46"/>
        <v>N/A</v>
      </c>
      <c r="J196" t="str">
        <f t="shared" si="47"/>
        <v>N/A</v>
      </c>
      <c r="K196" t="str">
        <f t="shared" si="48"/>
        <v>N/A</v>
      </c>
      <c r="L196" t="str">
        <f t="shared" si="49"/>
        <v>N/A</v>
      </c>
      <c r="M196" t="str">
        <f t="shared" si="50"/>
        <v>N/A</v>
      </c>
      <c r="N196" t="str">
        <f t="shared" si="51"/>
        <v>N/A</v>
      </c>
      <c r="P196">
        <f t="shared" si="27"/>
        <v>0</v>
      </c>
      <c r="Q196" t="str">
        <f>IFERROR(J144+MATCH(P196,J196:N196,0)-1,"")</f>
        <v/>
      </c>
      <c r="R196" t="str">
        <f t="shared" si="28"/>
        <v/>
      </c>
      <c r="S196" t="str">
        <f>IFERROR(J144+MATCH(R196,J196:N196,0)-1,"")</f>
        <v/>
      </c>
      <c r="T196" t="str">
        <f t="shared" si="29"/>
        <v/>
      </c>
      <c r="U196" t="str">
        <f t="shared" si="30"/>
        <v/>
      </c>
      <c r="V196" t="str">
        <f t="shared" si="31"/>
        <v/>
      </c>
      <c r="W196" t="str">
        <f t="shared" si="32"/>
        <v/>
      </c>
      <c r="X196" t="str">
        <f t="shared" si="33"/>
        <v/>
      </c>
      <c r="Y196" t="str">
        <f t="shared" si="34"/>
        <v/>
      </c>
      <c r="Z196" t="str">
        <f t="shared" si="35"/>
        <v/>
      </c>
      <c r="AA196">
        <f t="shared" si="36"/>
        <v>0</v>
      </c>
      <c r="AB196" t="str">
        <f>IFERROR(V144+MATCH(AA196,V196:Z196,0)-1,"")</f>
        <v/>
      </c>
      <c r="AC196" t="str">
        <f t="shared" si="37"/>
        <v/>
      </c>
      <c r="AE196" t="str">
        <f>IF(ISNUMBER(MATCH("N/A",J196:N196,0)),"",IFERROR((5 * SUMPRODUCT(J144:N144,J196:N196) - PRODUCT(SUM(J144:N144),SUM(J196:N196))) / ((5 * SUM((J144^2)+(K144^2)+(L144^2)+(M144^2)+(N144^2))) - SUM(J144:N144)^2),""))</f>
        <v/>
      </c>
      <c r="AF196" t="str">
        <f>IFERROR(CORREL(J144:N144,J196:N196),"")</f>
        <v/>
      </c>
      <c r="AZ196">
        <f t="shared" si="38"/>
        <v>0</v>
      </c>
      <c r="BA196" t="str">
        <f>IF(AZ196=1,IF(Q196="","",IF(Q196=N144,"Yes","No")),"")</f>
        <v/>
      </c>
      <c r="BB196" t="str">
        <f t="shared" si="39"/>
        <v/>
      </c>
      <c r="BC196" t="str">
        <f>IF(AZ196=1,IF(S196="","",IF(S196=N144,"Yes","No")),"")</f>
        <v/>
      </c>
      <c r="BD196" t="str">
        <f t="shared" si="40"/>
        <v/>
      </c>
      <c r="BE196" t="str">
        <f t="shared" si="41"/>
        <v/>
      </c>
      <c r="BF196" t="str">
        <f t="shared" si="42"/>
        <v>No</v>
      </c>
      <c r="BG196" t="str">
        <f t="shared" si="43"/>
        <v>No</v>
      </c>
      <c r="BH196" t="str">
        <f t="shared" si="44"/>
        <v/>
      </c>
    </row>
    <row r="197" spans="1:60" x14ac:dyDescent="0.3">
      <c r="A197" s="1">
        <v>36</v>
      </c>
      <c r="B197" t="s">
        <v>401</v>
      </c>
      <c r="C197" t="s">
        <v>3429</v>
      </c>
      <c r="D197" t="s">
        <v>3305</v>
      </c>
      <c r="E197" t="s">
        <v>3430</v>
      </c>
      <c r="F197" t="s">
        <v>3431</v>
      </c>
      <c r="G197" t="s">
        <v>3432</v>
      </c>
      <c r="I197" t="str">
        <f t="shared" si="46"/>
        <v>pos_trend</v>
      </c>
      <c r="J197">
        <f t="shared" si="47"/>
        <v>5580000</v>
      </c>
      <c r="K197">
        <f t="shared" si="48"/>
        <v>6180000</v>
      </c>
      <c r="L197">
        <f t="shared" si="49"/>
        <v>9530000</v>
      </c>
      <c r="M197">
        <f t="shared" si="50"/>
        <v>12750000</v>
      </c>
      <c r="N197">
        <f t="shared" si="51"/>
        <v>17220000</v>
      </c>
      <c r="P197">
        <f t="shared" si="27"/>
        <v>17220000</v>
      </c>
      <c r="Q197">
        <f>IFERROR(J144+MATCH(P197,J197:N197,0)-1,"")</f>
        <v>2016</v>
      </c>
      <c r="R197">
        <f t="shared" si="28"/>
        <v>5580000</v>
      </c>
      <c r="S197">
        <f>IFERROR(J144+MATCH(R197,J197:N197,0)-1,"")</f>
        <v>2012</v>
      </c>
      <c r="T197">
        <f t="shared" si="29"/>
        <v>10252000</v>
      </c>
      <c r="U197">
        <f t="shared" si="30"/>
        <v>4840534.0614440469</v>
      </c>
      <c r="V197">
        <f t="shared" si="31"/>
        <v>-0.96518275477359838</v>
      </c>
      <c r="W197">
        <f t="shared" si="32"/>
        <v>-0.8412294900338384</v>
      </c>
      <c r="X197">
        <f t="shared" si="33"/>
        <v>-0.14915709523684462</v>
      </c>
      <c r="Y197">
        <f t="shared" si="34"/>
        <v>0.51605875886653441</v>
      </c>
      <c r="Z197">
        <f t="shared" si="35"/>
        <v>1.4395105811777469</v>
      </c>
      <c r="AA197">
        <f t="shared" si="36"/>
        <v>1.4395105811777469</v>
      </c>
      <c r="AB197">
        <f>IFERROR(V144+MATCH(AA197,V197:Z197,0)-1,"")</f>
        <v>2016</v>
      </c>
      <c r="AC197" t="str">
        <f t="shared" si="37"/>
        <v>High</v>
      </c>
      <c r="AE197">
        <f>IF(ISNUMBER(MATCH("N/A",J197:N197,0)),"",IFERROR((5 * SUMPRODUCT(J144:N144,J197:N197) - PRODUCT(SUM(J144:N144),SUM(J197:N197))) / ((5 * SUM((J144^2)+(K144^2)+(L144^2)+(M144^2)+(N144^2))) - SUM(J144:N144)^2),""))</f>
        <v>2985000</v>
      </c>
      <c r="AF197">
        <f>IFERROR(CORREL(J144:N144,J197:N197),"")</f>
        <v>0.9750369169788069</v>
      </c>
      <c r="AZ197">
        <f t="shared" si="38"/>
        <v>1</v>
      </c>
      <c r="BA197" t="str">
        <f>IF(AZ197=1,IF(Q197="","",IF(Q197=N144,"Yes","No")),"")</f>
        <v>Yes</v>
      </c>
      <c r="BB197">
        <f t="shared" si="39"/>
        <v>17220000</v>
      </c>
      <c r="BC197" t="str">
        <f>IF(AZ197=1,IF(S197="","",IF(S197=N144,"Yes","No")),"")</f>
        <v>No</v>
      </c>
      <c r="BD197" t="str">
        <f t="shared" si="40"/>
        <v/>
      </c>
      <c r="BE197" t="str">
        <f t="shared" si="41"/>
        <v>Increasing</v>
      </c>
      <c r="BF197" t="str">
        <f t="shared" si="42"/>
        <v>Yes</v>
      </c>
      <c r="BG197" t="str">
        <f t="shared" si="43"/>
        <v>Yes</v>
      </c>
      <c r="BH197" t="str">
        <f t="shared" si="44"/>
        <v>Yes</v>
      </c>
    </row>
    <row r="198" spans="1:60" x14ac:dyDescent="0.3">
      <c r="A198" s="1">
        <v>37</v>
      </c>
      <c r="B198" t="s">
        <v>407</v>
      </c>
      <c r="C198" t="s">
        <v>264</v>
      </c>
      <c r="D198" t="s">
        <v>264</v>
      </c>
      <c r="E198" t="s">
        <v>264</v>
      </c>
      <c r="F198" t="s">
        <v>264</v>
      </c>
      <c r="G198" t="s">
        <v>264</v>
      </c>
      <c r="I198" t="str">
        <f t="shared" si="46"/>
        <v>N/A</v>
      </c>
      <c r="J198" t="str">
        <f t="shared" si="47"/>
        <v>N/A</v>
      </c>
      <c r="K198" t="str">
        <f t="shared" si="48"/>
        <v>N/A</v>
      </c>
      <c r="L198" t="str">
        <f t="shared" si="49"/>
        <v>N/A</v>
      </c>
      <c r="M198" t="str">
        <f t="shared" si="50"/>
        <v>N/A</v>
      </c>
      <c r="N198" t="str">
        <f t="shared" si="51"/>
        <v>N/A</v>
      </c>
      <c r="P198">
        <f t="shared" si="27"/>
        <v>0</v>
      </c>
      <c r="Q198" t="str">
        <f>IFERROR(J144+MATCH(P198,J198:N198,0)-1,"")</f>
        <v/>
      </c>
      <c r="R198" t="str">
        <f t="shared" si="28"/>
        <v/>
      </c>
      <c r="S198" t="str">
        <f>IFERROR(J144+MATCH(R198,J198:N198,0)-1,"")</f>
        <v/>
      </c>
      <c r="T198" t="str">
        <f t="shared" si="29"/>
        <v/>
      </c>
      <c r="U198" t="str">
        <f t="shared" si="30"/>
        <v/>
      </c>
      <c r="V198" t="str">
        <f t="shared" si="31"/>
        <v/>
      </c>
      <c r="W198" t="str">
        <f t="shared" si="32"/>
        <v/>
      </c>
      <c r="X198" t="str">
        <f t="shared" si="33"/>
        <v/>
      </c>
      <c r="Y198" t="str">
        <f t="shared" si="34"/>
        <v/>
      </c>
      <c r="Z198" t="str">
        <f t="shared" si="35"/>
        <v/>
      </c>
      <c r="AA198">
        <f t="shared" si="36"/>
        <v>0</v>
      </c>
      <c r="AB198" t="str">
        <f>IFERROR(V144+MATCH(AA198,V198:Z198,0)-1,"")</f>
        <v/>
      </c>
      <c r="AC198" t="str">
        <f t="shared" si="37"/>
        <v/>
      </c>
      <c r="AE198" t="str">
        <f>IF(ISNUMBER(MATCH("N/A",J198:N198,0)),"",IFERROR((5 * SUMPRODUCT(J144:N144,J198:N198) - PRODUCT(SUM(J144:N144),SUM(J198:N198))) / ((5 * SUM((J144^2)+(K144^2)+(L144^2)+(M144^2)+(N144^2))) - SUM(J144:N144)^2),""))</f>
        <v/>
      </c>
      <c r="AF198" t="str">
        <f>IFERROR(CORREL(J144:N144,J198:N198),"")</f>
        <v/>
      </c>
      <c r="AZ198">
        <f t="shared" si="38"/>
        <v>0</v>
      </c>
      <c r="BA198" t="str">
        <f>IF(AZ198=1,IF(Q198="","",IF(Q198=N144,"Yes","No")),"")</f>
        <v/>
      </c>
      <c r="BB198" t="str">
        <f t="shared" si="39"/>
        <v/>
      </c>
      <c r="BC198" t="str">
        <f>IF(AZ198=1,IF(S198="","",IF(S198=N144,"Yes","No")),"")</f>
        <v/>
      </c>
      <c r="BD198" t="str">
        <f t="shared" si="40"/>
        <v/>
      </c>
      <c r="BE198" t="str">
        <f t="shared" si="41"/>
        <v/>
      </c>
      <c r="BF198" t="str">
        <f t="shared" si="42"/>
        <v>No</v>
      </c>
      <c r="BG198" t="str">
        <f t="shared" si="43"/>
        <v>No</v>
      </c>
      <c r="BH198" t="str">
        <f t="shared" si="44"/>
        <v/>
      </c>
    </row>
    <row r="199" spans="1:60" x14ac:dyDescent="0.3">
      <c r="A199" s="1">
        <v>38</v>
      </c>
      <c r="B199" t="s">
        <v>408</v>
      </c>
      <c r="C199" t="s">
        <v>3429</v>
      </c>
      <c r="D199" t="s">
        <v>3305</v>
      </c>
      <c r="E199" t="s">
        <v>3430</v>
      </c>
      <c r="F199" t="s">
        <v>3431</v>
      </c>
      <c r="G199" t="s">
        <v>3432</v>
      </c>
      <c r="I199" t="str">
        <f t="shared" si="46"/>
        <v>pos_trend</v>
      </c>
      <c r="J199">
        <f t="shared" si="47"/>
        <v>5580000</v>
      </c>
      <c r="K199">
        <f t="shared" si="48"/>
        <v>6180000</v>
      </c>
      <c r="L199">
        <f t="shared" si="49"/>
        <v>9530000</v>
      </c>
      <c r="M199">
        <f t="shared" si="50"/>
        <v>12750000</v>
      </c>
      <c r="N199">
        <f t="shared" si="51"/>
        <v>17220000</v>
      </c>
      <c r="P199">
        <f t="shared" si="27"/>
        <v>17220000</v>
      </c>
      <c r="Q199">
        <f>IFERROR(J144+MATCH(P199,J199:N199,0)-1,"")</f>
        <v>2016</v>
      </c>
      <c r="R199">
        <f t="shared" si="28"/>
        <v>5580000</v>
      </c>
      <c r="S199">
        <f>IFERROR(J144+MATCH(R199,J199:N199,0)-1,"")</f>
        <v>2012</v>
      </c>
      <c r="T199">
        <f t="shared" si="29"/>
        <v>10252000</v>
      </c>
      <c r="U199">
        <f t="shared" si="30"/>
        <v>4840534.0614440469</v>
      </c>
      <c r="V199">
        <f t="shared" si="31"/>
        <v>-0.96518275477359838</v>
      </c>
      <c r="W199">
        <f t="shared" si="32"/>
        <v>-0.8412294900338384</v>
      </c>
      <c r="X199">
        <f t="shared" si="33"/>
        <v>-0.14915709523684462</v>
      </c>
      <c r="Y199">
        <f t="shared" si="34"/>
        <v>0.51605875886653441</v>
      </c>
      <c r="Z199">
        <f t="shared" si="35"/>
        <v>1.4395105811777469</v>
      </c>
      <c r="AA199">
        <f t="shared" si="36"/>
        <v>1.4395105811777469</v>
      </c>
      <c r="AB199">
        <f>IFERROR(V144+MATCH(AA199,V199:Z199,0)-1,"")</f>
        <v>2016</v>
      </c>
      <c r="AC199" t="str">
        <f t="shared" si="37"/>
        <v>High</v>
      </c>
      <c r="AE199">
        <f>IF(ISNUMBER(MATCH("N/A",J199:N199,0)),"",IFERROR((5 * SUMPRODUCT(J144:N144,J199:N199) - PRODUCT(SUM(J144:N144),SUM(J199:N199))) / ((5 * SUM((J144^2)+(K144^2)+(L144^2)+(M144^2)+(N144^2))) - SUM(J144:N144)^2),""))</f>
        <v>2985000</v>
      </c>
      <c r="AF199">
        <f>IFERROR(CORREL(J144:N144,J199:N199),"")</f>
        <v>0.9750369169788069</v>
      </c>
      <c r="AZ199">
        <f t="shared" si="38"/>
        <v>1</v>
      </c>
      <c r="BA199" t="str">
        <f>IF(AZ199=1,IF(Q199="","",IF(Q199=N144,"Yes","No")),"")</f>
        <v>Yes</v>
      </c>
      <c r="BB199">
        <f t="shared" si="39"/>
        <v>17220000</v>
      </c>
      <c r="BC199" t="str">
        <f>IF(AZ199=1,IF(S199="","",IF(S199=N144,"Yes","No")),"")</f>
        <v>No</v>
      </c>
      <c r="BD199" t="str">
        <f t="shared" si="40"/>
        <v/>
      </c>
      <c r="BE199" t="str">
        <f t="shared" si="41"/>
        <v>Increasing</v>
      </c>
      <c r="BF199" t="str">
        <f t="shared" si="42"/>
        <v>Yes</v>
      </c>
      <c r="BG199" t="str">
        <f t="shared" si="43"/>
        <v>Yes</v>
      </c>
      <c r="BH199" t="str">
        <f t="shared" si="44"/>
        <v>Yes</v>
      </c>
    </row>
    <row r="200" spans="1:60" x14ac:dyDescent="0.3">
      <c r="A200" s="1">
        <v>39</v>
      </c>
      <c r="B200" t="s">
        <v>409</v>
      </c>
      <c r="C200" t="s">
        <v>264</v>
      </c>
      <c r="D200" t="s">
        <v>3433</v>
      </c>
      <c r="E200" t="s">
        <v>3434</v>
      </c>
      <c r="F200" t="s">
        <v>3435</v>
      </c>
      <c r="G200" t="s">
        <v>3436</v>
      </c>
      <c r="I200" t="str">
        <f t="shared" si="46"/>
        <v>N/A</v>
      </c>
      <c r="J200" t="str">
        <f t="shared" si="47"/>
        <v>N/A</v>
      </c>
      <c r="K200">
        <f t="shared" si="48"/>
        <v>0.1075</v>
      </c>
      <c r="L200">
        <f t="shared" si="49"/>
        <v>0.54200000000000004</v>
      </c>
      <c r="M200">
        <f t="shared" si="50"/>
        <v>0.33760000000000001</v>
      </c>
      <c r="N200">
        <f t="shared" si="51"/>
        <v>0.35090000000000005</v>
      </c>
      <c r="P200">
        <f t="shared" si="27"/>
        <v>0.54200000000000004</v>
      </c>
      <c r="Q200">
        <f>IFERROR(J144+MATCH(P200,J200:N200,0)-1,"")</f>
        <v>2014</v>
      </c>
      <c r="R200">
        <f t="shared" si="28"/>
        <v>0.1075</v>
      </c>
      <c r="S200">
        <f>IFERROR(J144+MATCH(R200,J200:N200,0)-1,"")</f>
        <v>2013</v>
      </c>
      <c r="T200">
        <f t="shared" si="29"/>
        <v>0.33450000000000002</v>
      </c>
      <c r="U200">
        <f t="shared" si="30"/>
        <v>0.17782371420407722</v>
      </c>
      <c r="V200" t="str">
        <f t="shared" si="31"/>
        <v/>
      </c>
      <c r="W200">
        <f t="shared" si="32"/>
        <v>-1.2765451504375072</v>
      </c>
      <c r="X200">
        <f t="shared" si="33"/>
        <v>1.1668859855320826</v>
      </c>
      <c r="Y200">
        <f t="shared" si="34"/>
        <v>1.7432995446503351E-2</v>
      </c>
      <c r="Z200">
        <f t="shared" si="35"/>
        <v>9.2226169458921356E-2</v>
      </c>
      <c r="AA200">
        <f t="shared" si="36"/>
        <v>-1.2765451504375072</v>
      </c>
      <c r="AB200">
        <f>IFERROR(V144+MATCH(AA200,V200:Z200,0)-1,"")</f>
        <v>2013</v>
      </c>
      <c r="AC200" t="str">
        <f t="shared" si="37"/>
        <v>Low</v>
      </c>
      <c r="AE200" t="str">
        <f>IF(ISNUMBER(MATCH("N/A",J200:N200,0)),"",IFERROR((5 * SUMPRODUCT(J144:N144,J200:N200) - PRODUCT(SUM(J144:N144),SUM(J200:N200))) / ((5 * SUM((J144^2)+(K144^2)+(L144^2)+(M144^2)+(N144^2))) - SUM(J144:N144)^2),""))</f>
        <v/>
      </c>
      <c r="AF200">
        <f>IFERROR(CORREL(J144:N144,J200:N200),"")</f>
        <v>0.38172910974419555</v>
      </c>
      <c r="AZ200">
        <f t="shared" si="38"/>
        <v>1</v>
      </c>
      <c r="BA200" t="str">
        <f>IF(AZ200=1,IF(Q200="","",IF(Q200=N144,"Yes","No")),"")</f>
        <v>No</v>
      </c>
      <c r="BB200" t="str">
        <f t="shared" si="39"/>
        <v/>
      </c>
      <c r="BC200" t="str">
        <f>IF(AZ200=1,IF(S200="","",IF(S200=N144,"Yes","No")),"")</f>
        <v>No</v>
      </c>
      <c r="BD200" t="str">
        <f t="shared" si="40"/>
        <v/>
      </c>
      <c r="BE200" t="str">
        <f t="shared" si="41"/>
        <v/>
      </c>
      <c r="BF200" t="str">
        <f t="shared" si="42"/>
        <v>No</v>
      </c>
      <c r="BG200" t="str">
        <f t="shared" si="43"/>
        <v>No</v>
      </c>
      <c r="BH200" t="str">
        <f t="shared" si="44"/>
        <v>No</v>
      </c>
    </row>
    <row r="201" spans="1:60" x14ac:dyDescent="0.3">
      <c r="A201" s="1">
        <v>40</v>
      </c>
      <c r="B201" t="s">
        <v>3437</v>
      </c>
      <c r="C201" t="s">
        <v>264</v>
      </c>
      <c r="D201" t="s">
        <v>264</v>
      </c>
      <c r="E201" t="s">
        <v>264</v>
      </c>
      <c r="F201" t="s">
        <v>264</v>
      </c>
      <c r="G201" t="s">
        <v>3438</v>
      </c>
      <c r="I201" t="str">
        <f t="shared" si="46"/>
        <v>N/A</v>
      </c>
      <c r="J201" t="str">
        <f t="shared" si="47"/>
        <v>N/A</v>
      </c>
      <c r="K201" t="str">
        <f t="shared" si="48"/>
        <v>N/A</v>
      </c>
      <c r="L201" t="str">
        <f t="shared" si="49"/>
        <v>N/A</v>
      </c>
      <c r="M201" t="str">
        <f t="shared" si="50"/>
        <v>N/A</v>
      </c>
      <c r="N201">
        <f t="shared" si="51"/>
        <v>0.247</v>
      </c>
      <c r="P201">
        <f t="shared" si="27"/>
        <v>0.247</v>
      </c>
      <c r="Q201">
        <f>IFERROR(J144+MATCH(P201,J201:N201,0)-1,"")</f>
        <v>2016</v>
      </c>
      <c r="R201">
        <f t="shared" si="28"/>
        <v>0.247</v>
      </c>
      <c r="S201">
        <f>IFERROR(J144+MATCH(R201,J201:N201,0)-1,"")</f>
        <v>2016</v>
      </c>
      <c r="T201">
        <f t="shared" si="29"/>
        <v>0.247</v>
      </c>
      <c r="U201" t="str">
        <f t="shared" si="30"/>
        <v/>
      </c>
      <c r="V201" t="str">
        <f t="shared" si="31"/>
        <v/>
      </c>
      <c r="W201" t="str">
        <f t="shared" si="32"/>
        <v/>
      </c>
      <c r="X201" t="str">
        <f t="shared" si="33"/>
        <v/>
      </c>
      <c r="Y201" t="str">
        <f t="shared" si="34"/>
        <v/>
      </c>
      <c r="Z201" t="str">
        <f t="shared" si="35"/>
        <v/>
      </c>
      <c r="AA201">
        <f t="shared" si="36"/>
        <v>0</v>
      </c>
      <c r="AB201" t="str">
        <f>IFERROR(V144+MATCH(AA201,V201:Z201,0)-1,"")</f>
        <v/>
      </c>
      <c r="AC201" t="str">
        <f t="shared" si="37"/>
        <v/>
      </c>
      <c r="AE201" t="str">
        <f>IF(ISNUMBER(MATCH("N/A",J201:N201,0)),"",IFERROR((5 * SUMPRODUCT(J144:N144,J201:N201) - PRODUCT(SUM(J144:N144),SUM(J201:N201))) / ((5 * SUM((J144^2)+(K144^2)+(L144^2)+(M144^2)+(N144^2))) - SUM(J144:N144)^2),""))</f>
        <v/>
      </c>
      <c r="AF201" t="str">
        <f>IFERROR(CORREL(J144:N144,J201:N201),"")</f>
        <v/>
      </c>
      <c r="AZ201">
        <f t="shared" si="38"/>
        <v>0</v>
      </c>
      <c r="BA201" t="str">
        <f>IF(AZ201=1,IF(Q201="","",IF(Q201=N144,"Yes","No")),"")</f>
        <v/>
      </c>
      <c r="BB201" t="str">
        <f t="shared" si="39"/>
        <v/>
      </c>
      <c r="BC201" t="str">
        <f>IF(AZ201=1,IF(S201="","",IF(S201=N144,"Yes","No")),"")</f>
        <v/>
      </c>
      <c r="BD201" t="str">
        <f t="shared" si="40"/>
        <v/>
      </c>
      <c r="BE201" t="str">
        <f t="shared" si="41"/>
        <v/>
      </c>
      <c r="BF201" t="str">
        <f t="shared" si="42"/>
        <v>No</v>
      </c>
      <c r="BG201" t="str">
        <f t="shared" si="43"/>
        <v>No</v>
      </c>
      <c r="BH201" t="str">
        <f t="shared" si="44"/>
        <v/>
      </c>
    </row>
    <row r="202" spans="1:60" x14ac:dyDescent="0.3">
      <c r="A202" s="1">
        <v>41</v>
      </c>
      <c r="B202" t="s">
        <v>416</v>
      </c>
      <c r="C202" t="s">
        <v>264</v>
      </c>
      <c r="D202" t="s">
        <v>264</v>
      </c>
      <c r="E202" t="s">
        <v>264</v>
      </c>
      <c r="F202" t="s">
        <v>264</v>
      </c>
      <c r="G202" t="s">
        <v>264</v>
      </c>
      <c r="I202" t="str">
        <f t="shared" si="46"/>
        <v>N/A</v>
      </c>
      <c r="J202" t="str">
        <f t="shared" si="47"/>
        <v>N/A</v>
      </c>
      <c r="K202" t="str">
        <f t="shared" si="48"/>
        <v>N/A</v>
      </c>
      <c r="L202" t="str">
        <f t="shared" si="49"/>
        <v>N/A</v>
      </c>
      <c r="M202" t="str">
        <f t="shared" si="50"/>
        <v>N/A</v>
      </c>
      <c r="N202" t="str">
        <f t="shared" si="51"/>
        <v>N/A</v>
      </c>
      <c r="P202">
        <f t="shared" si="27"/>
        <v>0</v>
      </c>
      <c r="Q202" t="str">
        <f>IFERROR(J144+MATCH(P202,J202:N202,0)-1,"")</f>
        <v/>
      </c>
      <c r="R202" t="str">
        <f t="shared" si="28"/>
        <v/>
      </c>
      <c r="S202" t="str">
        <f>IFERROR(J144+MATCH(R202,J202:N202,0)-1,"")</f>
        <v/>
      </c>
      <c r="T202" t="str">
        <f t="shared" si="29"/>
        <v/>
      </c>
      <c r="U202" t="str">
        <f t="shared" si="30"/>
        <v/>
      </c>
      <c r="V202" t="str">
        <f t="shared" si="31"/>
        <v/>
      </c>
      <c r="W202" t="str">
        <f t="shared" si="32"/>
        <v/>
      </c>
      <c r="X202" t="str">
        <f t="shared" si="33"/>
        <v/>
      </c>
      <c r="Y202" t="str">
        <f t="shared" si="34"/>
        <v/>
      </c>
      <c r="Z202" t="str">
        <f t="shared" si="35"/>
        <v/>
      </c>
      <c r="AA202">
        <f t="shared" si="36"/>
        <v>0</v>
      </c>
      <c r="AB202" t="str">
        <f>IFERROR(V144+MATCH(AA202,V202:Z202,0)-1,"")</f>
        <v/>
      </c>
      <c r="AC202" t="str">
        <f t="shared" si="37"/>
        <v/>
      </c>
      <c r="AE202" t="str">
        <f>IF(ISNUMBER(MATCH("N/A",J202:N202,0)),"",IFERROR((5 * SUMPRODUCT(J144:N144,J202:N202) - PRODUCT(SUM(J144:N144),SUM(J202:N202))) / ((5 * SUM((J144^2)+(K144^2)+(L144^2)+(M144^2)+(N144^2))) - SUM(J144:N144)^2),""))</f>
        <v/>
      </c>
      <c r="AF202" t="str">
        <f>IFERROR(CORREL(J144:N144,J202:N202),"")</f>
        <v/>
      </c>
      <c r="AZ202">
        <f t="shared" si="38"/>
        <v>0</v>
      </c>
      <c r="BA202" t="str">
        <f>IF(AZ202=1,IF(Q202="","",IF(Q202=N144,"Yes","No")),"")</f>
        <v/>
      </c>
      <c r="BB202" t="str">
        <f t="shared" si="39"/>
        <v/>
      </c>
      <c r="BC202" t="str">
        <f>IF(AZ202=1,IF(S202="","",IF(S202=N144,"Yes","No")),"")</f>
        <v/>
      </c>
      <c r="BD202" t="str">
        <f t="shared" si="40"/>
        <v/>
      </c>
      <c r="BE202" t="str">
        <f t="shared" si="41"/>
        <v/>
      </c>
      <c r="BF202" t="str">
        <f t="shared" si="42"/>
        <v>No</v>
      </c>
      <c r="BG202" t="str">
        <f t="shared" si="43"/>
        <v>No</v>
      </c>
      <c r="BH202" t="str">
        <f t="shared" si="44"/>
        <v/>
      </c>
    </row>
    <row r="203" spans="1:60" x14ac:dyDescent="0.3">
      <c r="A203" s="1">
        <v>42</v>
      </c>
      <c r="B203" t="s">
        <v>417</v>
      </c>
      <c r="C203" t="s">
        <v>264</v>
      </c>
      <c r="D203" t="s">
        <v>264</v>
      </c>
      <c r="E203" t="s">
        <v>264</v>
      </c>
      <c r="F203" t="s">
        <v>264</v>
      </c>
      <c r="G203" t="s">
        <v>264</v>
      </c>
      <c r="I203" t="str">
        <f t="shared" si="46"/>
        <v>N/A</v>
      </c>
      <c r="J203" t="str">
        <f t="shared" si="47"/>
        <v>N/A</v>
      </c>
      <c r="K203" t="str">
        <f t="shared" si="48"/>
        <v>N/A</v>
      </c>
      <c r="L203" t="str">
        <f t="shared" si="49"/>
        <v>N/A</v>
      </c>
      <c r="M203" t="str">
        <f t="shared" si="50"/>
        <v>N/A</v>
      </c>
      <c r="N203" t="str">
        <f t="shared" si="51"/>
        <v>N/A</v>
      </c>
      <c r="P203">
        <f t="shared" si="27"/>
        <v>0</v>
      </c>
      <c r="Q203" t="str">
        <f>IFERROR(J144+MATCH(P203,J203:N203,0)-1,"")</f>
        <v/>
      </c>
      <c r="R203" t="str">
        <f t="shared" si="28"/>
        <v/>
      </c>
      <c r="S203" t="str">
        <f>IFERROR(J144+MATCH(R203,J203:N203,0)-1,"")</f>
        <v/>
      </c>
      <c r="T203" t="str">
        <f t="shared" si="29"/>
        <v/>
      </c>
      <c r="U203" t="str">
        <f t="shared" si="30"/>
        <v/>
      </c>
      <c r="V203" t="str">
        <f t="shared" si="31"/>
        <v/>
      </c>
      <c r="W203" t="str">
        <f t="shared" si="32"/>
        <v/>
      </c>
      <c r="X203" t="str">
        <f t="shared" si="33"/>
        <v/>
      </c>
      <c r="Y203" t="str">
        <f t="shared" si="34"/>
        <v/>
      </c>
      <c r="Z203" t="str">
        <f t="shared" si="35"/>
        <v/>
      </c>
      <c r="AA203">
        <f t="shared" si="36"/>
        <v>0</v>
      </c>
      <c r="AB203" t="str">
        <f>IFERROR(V144+MATCH(AA203,V203:Z203,0)-1,"")</f>
        <v/>
      </c>
      <c r="AC203" t="str">
        <f t="shared" si="37"/>
        <v/>
      </c>
      <c r="AE203" t="str">
        <f>IF(ISNUMBER(MATCH("N/A",J203:N203,0)),"",IFERROR((5 * SUMPRODUCT(J144:N144,J203:N203) - PRODUCT(SUM(J144:N144),SUM(J203:N203))) / ((5 * SUM((J144^2)+(K144^2)+(L144^2)+(M144^2)+(N144^2))) - SUM(J144:N144)^2),""))</f>
        <v/>
      </c>
      <c r="AF203" t="str">
        <f>IFERROR(CORREL(J144:N144,J203:N203),"")</f>
        <v/>
      </c>
      <c r="AZ203">
        <f t="shared" si="38"/>
        <v>0</v>
      </c>
      <c r="BA203" t="str">
        <f>IF(AZ203=1,IF(Q203="","",IF(Q203=N144,"Yes","No")),"")</f>
        <v/>
      </c>
      <c r="BB203" t="str">
        <f t="shared" si="39"/>
        <v/>
      </c>
      <c r="BC203" t="str">
        <f>IF(AZ203=1,IF(S203="","",IF(S203=N144,"Yes","No")),"")</f>
        <v/>
      </c>
      <c r="BD203" t="str">
        <f t="shared" si="40"/>
        <v/>
      </c>
      <c r="BE203" t="str">
        <f t="shared" si="41"/>
        <v/>
      </c>
      <c r="BF203" t="str">
        <f t="shared" si="42"/>
        <v>No</v>
      </c>
      <c r="BG203" t="str">
        <f t="shared" si="43"/>
        <v>No</v>
      </c>
      <c r="BH203" t="str">
        <f t="shared" si="44"/>
        <v/>
      </c>
    </row>
    <row r="204" spans="1:60" x14ac:dyDescent="0.3">
      <c r="A204" s="1">
        <v>43</v>
      </c>
      <c r="B204" t="s">
        <v>418</v>
      </c>
      <c r="C204" t="s">
        <v>264</v>
      </c>
      <c r="D204" t="s">
        <v>264</v>
      </c>
      <c r="E204" t="s">
        <v>264</v>
      </c>
      <c r="F204" t="s">
        <v>264</v>
      </c>
      <c r="G204" t="s">
        <v>264</v>
      </c>
      <c r="I204" t="str">
        <f t="shared" si="46"/>
        <v>N/A</v>
      </c>
      <c r="J204" t="str">
        <f t="shared" si="47"/>
        <v>N/A</v>
      </c>
      <c r="K204" t="str">
        <f t="shared" si="48"/>
        <v>N/A</v>
      </c>
      <c r="L204" t="str">
        <f t="shared" si="49"/>
        <v>N/A</v>
      </c>
      <c r="M204" t="str">
        <f t="shared" si="50"/>
        <v>N/A</v>
      </c>
      <c r="N204" t="str">
        <f t="shared" si="51"/>
        <v>N/A</v>
      </c>
      <c r="P204">
        <f t="shared" si="27"/>
        <v>0</v>
      </c>
      <c r="Q204" t="str">
        <f>IFERROR(J144+MATCH(P204,J204:N204,0)-1,"")</f>
        <v/>
      </c>
      <c r="R204" t="str">
        <f t="shared" si="28"/>
        <v/>
      </c>
      <c r="S204" t="str">
        <f>IFERROR(J144+MATCH(R204,J204:N204,0)-1,"")</f>
        <v/>
      </c>
      <c r="T204" t="str">
        <f t="shared" si="29"/>
        <v/>
      </c>
      <c r="U204" t="str">
        <f t="shared" si="30"/>
        <v/>
      </c>
      <c r="V204" t="str">
        <f t="shared" si="31"/>
        <v/>
      </c>
      <c r="W204" t="str">
        <f t="shared" si="32"/>
        <v/>
      </c>
      <c r="X204" t="str">
        <f t="shared" si="33"/>
        <v/>
      </c>
      <c r="Y204" t="str">
        <f t="shared" si="34"/>
        <v/>
      </c>
      <c r="Z204" t="str">
        <f t="shared" si="35"/>
        <v/>
      </c>
      <c r="AA204">
        <f t="shared" si="36"/>
        <v>0</v>
      </c>
      <c r="AB204" t="str">
        <f>IFERROR(V144+MATCH(AA204,V204:Z204,0)-1,"")</f>
        <v/>
      </c>
      <c r="AC204" t="str">
        <f t="shared" si="37"/>
        <v/>
      </c>
      <c r="AE204" t="str">
        <f>IF(ISNUMBER(MATCH("N/A",J204:N204,0)),"",IFERROR((5 * SUMPRODUCT(J144:N144,J204:N204) - PRODUCT(SUM(J144:N144),SUM(J204:N204))) / ((5 * SUM((J144^2)+(K144^2)+(L144^2)+(M144^2)+(N144^2))) - SUM(J144:N144)^2),""))</f>
        <v/>
      </c>
      <c r="AF204" t="str">
        <f>IFERROR(CORREL(J144:N144,J204:N204),"")</f>
        <v/>
      </c>
      <c r="AZ204">
        <f t="shared" si="38"/>
        <v>0</v>
      </c>
      <c r="BA204" t="str">
        <f>IF(AZ204=1,IF(Q204="","",IF(Q204=N144,"Yes","No")),"")</f>
        <v/>
      </c>
      <c r="BB204" t="str">
        <f t="shared" si="39"/>
        <v/>
      </c>
      <c r="BC204" t="str">
        <f>IF(AZ204=1,IF(S204="","",IF(S204=N144,"Yes","No")),"")</f>
        <v/>
      </c>
      <c r="BD204" t="str">
        <f t="shared" si="40"/>
        <v/>
      </c>
      <c r="BE204" t="str">
        <f t="shared" si="41"/>
        <v/>
      </c>
      <c r="BF204" t="str">
        <f t="shared" si="42"/>
        <v>No</v>
      </c>
      <c r="BG204" t="str">
        <f t="shared" si="43"/>
        <v>No</v>
      </c>
      <c r="BH204" t="str">
        <f t="shared" si="44"/>
        <v/>
      </c>
    </row>
    <row r="205" spans="1:60" x14ac:dyDescent="0.3">
      <c r="A205" s="1">
        <v>44</v>
      </c>
      <c r="B205" t="s">
        <v>419</v>
      </c>
      <c r="C205" t="s">
        <v>264</v>
      </c>
      <c r="D205" t="s">
        <v>264</v>
      </c>
      <c r="E205" t="s">
        <v>264</v>
      </c>
      <c r="F205" t="s">
        <v>264</v>
      </c>
      <c r="G205" t="s">
        <v>264</v>
      </c>
      <c r="P205">
        <f t="shared" si="27"/>
        <v>0</v>
      </c>
      <c r="Q205" t="str">
        <f>IFERROR(J144+MATCH(P205,J205:N205,0)-1,"")</f>
        <v/>
      </c>
      <c r="R205" t="str">
        <f t="shared" si="28"/>
        <v/>
      </c>
      <c r="S205" t="str">
        <f>IFERROR(J144+MATCH(R205,J205:N205,0)-1,"")</f>
        <v/>
      </c>
      <c r="T205" t="str">
        <f t="shared" si="29"/>
        <v/>
      </c>
      <c r="U205" t="str">
        <f t="shared" si="30"/>
        <v/>
      </c>
      <c r="V205" t="str">
        <f t="shared" si="31"/>
        <v/>
      </c>
      <c r="W205" t="str">
        <f t="shared" si="32"/>
        <v/>
      </c>
      <c r="X205" t="str">
        <f t="shared" si="33"/>
        <v/>
      </c>
      <c r="Y205" t="str">
        <f t="shared" si="34"/>
        <v/>
      </c>
      <c r="Z205" t="str">
        <f t="shared" si="35"/>
        <v/>
      </c>
      <c r="AA205">
        <f t="shared" si="36"/>
        <v>0</v>
      </c>
      <c r="AB205" t="str">
        <f>IFERROR(V144+MATCH(AA205,V205:Z205,0)-1,"")</f>
        <v/>
      </c>
      <c r="AC205" t="str">
        <f t="shared" si="37"/>
        <v/>
      </c>
      <c r="AE205">
        <f>IF(ISNUMBER(MATCH("N/A",J205:N205,0)),"",IFERROR((5 * SUMPRODUCT(J144:N144,J205:N205) - PRODUCT(SUM(J144:N144),SUM(J205:N205))) / ((5 * SUM((J144^2)+(K144^2)+(L144^2)+(M144^2)+(N144^2))) - SUM(J144:N144)^2),""))</f>
        <v>0</v>
      </c>
      <c r="AF205" t="str">
        <f>IFERROR(CORREL(J144:N144,J205:N205),"")</f>
        <v/>
      </c>
      <c r="AZ205">
        <f t="shared" si="38"/>
        <v>0</v>
      </c>
      <c r="BA205" t="str">
        <f>IF(AZ205=1,IF(Q205="","",IF(Q205=N144,"Yes","No")),"")</f>
        <v/>
      </c>
      <c r="BB205" t="str">
        <f t="shared" si="39"/>
        <v/>
      </c>
      <c r="BC205" t="str">
        <f>IF(AZ205=1,IF(S205="","",IF(S205=N144,"Yes","No")),"")</f>
        <v/>
      </c>
      <c r="BD205" t="str">
        <f t="shared" si="40"/>
        <v/>
      </c>
      <c r="BE205" t="str">
        <f t="shared" si="41"/>
        <v/>
      </c>
      <c r="BF205" t="str">
        <f t="shared" si="42"/>
        <v>No</v>
      </c>
      <c r="BG205" t="str">
        <f t="shared" si="43"/>
        <v>No</v>
      </c>
      <c r="BH205" t="str">
        <f t="shared" si="44"/>
        <v/>
      </c>
    </row>
    <row r="206" spans="1:60" x14ac:dyDescent="0.3">
      <c r="A206" s="1">
        <v>45</v>
      </c>
      <c r="B206" t="s">
        <v>420</v>
      </c>
      <c r="C206" t="s">
        <v>264</v>
      </c>
      <c r="D206" t="s">
        <v>264</v>
      </c>
      <c r="E206" t="s">
        <v>264</v>
      </c>
      <c r="F206" t="s">
        <v>264</v>
      </c>
      <c r="G206" t="s">
        <v>264</v>
      </c>
      <c r="I206" t="str">
        <f t="shared" ref="I206:I226" si="52">IF(AND(K206&gt; J206, L206&gt; K206, M206&gt; L206, N206&gt; M206), "pos_trend", IF(AND(K206&lt; J206, L206&lt; K206, M206&lt; L206, N206&lt; M206), "neg_trend", "N/A"))</f>
        <v>N/A</v>
      </c>
      <c r="J206" t="str">
        <f t="shared" ref="J206:J226" si="53">IFERROR(IF(TRIM(C206)="-", "N/A", IF(RIGHT(C206,1)=")",IF(RIGHT(C206,2)="T)",-1000000000000*VALUE(MID(C206,2,LEN(C206)-3)),IF(RIGHT(C206,2)="M)",-1000000*VALUE(MID(C206,2,LEN(C206)-3)),IF(RIGHT(C206,2)="B)",-1000000000*VALUE(MID(C206,2,LEN(C206)-3)),IF(RIGHT(C206,2)="k)",-1000*VALUE(MID(C206,2,LEN(C206)-3)),VALUE(SUBSTITUTE(C206,",","")))))),IF(RIGHT(C206,1)="T",1000000000000*VALUE(LEFT(C206,LEN(C206)-1)),IF(RIGHT(C206,1)="M",1000000*VALUE(LEFT(C206,LEN(C206)-1)),IF(RIGHT(C206,1)="B",1000000000*VALUE(LEFT(C206,LEN(C206)-1)),IF(RIGHT(C206,1)="%",0.01*VALUE(LEFT(C206,LEN(C206)-1)),IF(RIGHT(C206,1)="k",1000*VALUE(LEFT(C206,LEN(C206)-1)),VALUE(SUBSTITUTE(C206,",",""))))))))),"N/A")</f>
        <v>N/A</v>
      </c>
      <c r="K206" t="str">
        <f t="shared" ref="K206:K226" si="54">IFERROR(IF(TRIM(D206)="-", "N/A", IF(RIGHT(D206,1)=")",IF(RIGHT(D206,2)="T)",-1000000000000*VALUE(MID(D206,2,LEN(D206)-3)),IF(RIGHT(D206,2)="M)",-1000000*VALUE(MID(D206,2,LEN(D206)-3)),IF(RIGHT(D206,2)="B)",-1000000000*VALUE(MID(D206,2,LEN(D206)-3)),IF(RIGHT(D206,2)="k)",-1000*VALUE(MID(D206,2,LEN(D206)-3)),VALUE(SUBSTITUTE(D206,",","")))))),IF(RIGHT(D206,1)="T",1000000000000*VALUE(LEFT(D206,LEN(D206)-1)),IF(RIGHT(D206,1)="M",1000000*VALUE(LEFT(D206,LEN(D206)-1)),IF(RIGHT(D206,1)="B",1000000000*VALUE(LEFT(D206,LEN(D206)-1)),IF(RIGHT(D206,1)="%",0.01*VALUE(LEFT(D206,LEN(D206)-1)),IF(RIGHT(D206,1)="k",1000*VALUE(LEFT(D206,LEN(D206)-1)),VALUE(SUBSTITUTE(D206,",",""))))))))),"N/A")</f>
        <v>N/A</v>
      </c>
      <c r="L206" t="str">
        <f t="shared" ref="L206:L226" si="55">IFERROR(IF(TRIM(E206)="-", "N/A", IF(RIGHT(E206,1)=")",IF(RIGHT(E206,2)="T)",-1000000000000*VALUE(MID(E206,2,LEN(E206)-3)),IF(RIGHT(E206,2)="M)",-1000000*VALUE(MID(E206,2,LEN(E206)-3)),IF(RIGHT(E206,2)="B)",-1000000000*VALUE(MID(E206,2,LEN(E206)-3)),IF(RIGHT(E206,2)="k)",-1000*VALUE(MID(E206,2,LEN(E206)-3)),VALUE(SUBSTITUTE(E206,",","")))))),IF(RIGHT(E206,1)="T",1000000000000*VALUE(LEFT(E206,LEN(E206)-1)),IF(RIGHT(E206,1)="M",1000000*VALUE(LEFT(E206,LEN(E206)-1)),IF(RIGHT(E206,1)="B",1000000000*VALUE(LEFT(E206,LEN(E206)-1)),IF(RIGHT(E206,1)="%",0.01*VALUE(LEFT(E206,LEN(E206)-1)),IF(RIGHT(E206,1)="k",1000*VALUE(LEFT(E206,LEN(E206)-1)),VALUE(SUBSTITUTE(E206,",",""))))))))),"N/A")</f>
        <v>N/A</v>
      </c>
      <c r="M206" t="str">
        <f t="shared" ref="M206:M226" si="56">IFERROR(IF(TRIM(F206)="-", "N/A", IF(RIGHT(F206,1)=")",IF(RIGHT(F206,2)="T)",-1000000000000*VALUE(MID(F206,2,LEN(F206)-3)),IF(RIGHT(F206,2)="M)",-1000000*VALUE(MID(F206,2,LEN(F206)-3)),IF(RIGHT(F206,2)="B)",-1000000000*VALUE(MID(F206,2,LEN(F206)-3)),IF(RIGHT(F206,2)="k)",-1000*VALUE(MID(F206,2,LEN(F206)-3)),VALUE(SUBSTITUTE(F206,",","")))))),IF(RIGHT(F206,1)="T",1000000000000*VALUE(LEFT(F206,LEN(F206)-1)),IF(RIGHT(F206,1)="M",1000000*VALUE(LEFT(F206,LEN(F206)-1)),IF(RIGHT(F206,1)="B",1000000000*VALUE(LEFT(F206,LEN(F206)-1)),IF(RIGHT(F206,1)="%",0.01*VALUE(LEFT(F206,LEN(F206)-1)),IF(RIGHT(F206,1)="k",1000*VALUE(LEFT(F206,LEN(F206)-1)),VALUE(SUBSTITUTE(F206,",",""))))))))),"N/A")</f>
        <v>N/A</v>
      </c>
      <c r="N206" t="str">
        <f t="shared" ref="N206:N226" si="57">IFERROR(IF(TRIM(G206)="-", "N/A", IF(RIGHT(G206,1)=")",IF(RIGHT(G206,2)="T)",-1000000000000*VALUE(MID(G206,2,LEN(G206)-3)),IF(RIGHT(G206,2)="M)",-1000000*VALUE(MID(G206,2,LEN(G206)-3)),IF(RIGHT(G206,2)="B)",-1000000000*VALUE(MID(G206,2,LEN(G206)-3)),IF(RIGHT(G206,2)="k)",-1000*VALUE(MID(G206,2,LEN(G206)-3)),VALUE(SUBSTITUTE(G206,",","")))))),IF(RIGHT(G206,1)="T",1000000000000*VALUE(LEFT(G206,LEN(G206)-1)),IF(RIGHT(G206,1)="M",1000000*VALUE(LEFT(G206,LEN(G206)-1)),IF(RIGHT(G206,1)="B",1000000000*VALUE(LEFT(G206,LEN(G206)-1)),IF(RIGHT(G206,1)="%",0.01*VALUE(LEFT(G206,LEN(G206)-1)),IF(RIGHT(G206,1)="k",1000*VALUE(LEFT(G206,LEN(G206)-1)),VALUE(SUBSTITUTE(G206,",",""))))))))),"N/A")</f>
        <v>N/A</v>
      </c>
      <c r="P206">
        <f t="shared" si="27"/>
        <v>0</v>
      </c>
      <c r="Q206" t="str">
        <f>IFERROR(J144+MATCH(P206,J206:N206,0)-1,"")</f>
        <v/>
      </c>
      <c r="R206" t="str">
        <f t="shared" si="28"/>
        <v/>
      </c>
      <c r="S206" t="str">
        <f>IFERROR(J144+MATCH(R206,J206:N206,0)-1,"")</f>
        <v/>
      </c>
      <c r="T206" t="str">
        <f t="shared" si="29"/>
        <v/>
      </c>
      <c r="U206" t="str">
        <f t="shared" si="30"/>
        <v/>
      </c>
      <c r="V206" t="str">
        <f t="shared" si="31"/>
        <v/>
      </c>
      <c r="W206" t="str">
        <f t="shared" si="32"/>
        <v/>
      </c>
      <c r="X206" t="str">
        <f t="shared" si="33"/>
        <v/>
      </c>
      <c r="Y206" t="str">
        <f t="shared" si="34"/>
        <v/>
      </c>
      <c r="Z206" t="str">
        <f t="shared" si="35"/>
        <v/>
      </c>
      <c r="AA206">
        <f t="shared" si="36"/>
        <v>0</v>
      </c>
      <c r="AB206" t="str">
        <f>IFERROR(V144+MATCH(AA206,V206:Z206,0)-1,"")</f>
        <v/>
      </c>
      <c r="AC206" t="str">
        <f t="shared" si="37"/>
        <v/>
      </c>
      <c r="AE206" t="str">
        <f>IF(ISNUMBER(MATCH("N/A",J206:N206,0)),"",IFERROR((5 * SUMPRODUCT(J144:N144,J206:N206) - PRODUCT(SUM(J144:N144),SUM(J206:N206))) / ((5 * SUM((J144^2)+(K144^2)+(L144^2)+(M144^2)+(N144^2))) - SUM(J144:N144)^2),""))</f>
        <v/>
      </c>
      <c r="AF206" t="str">
        <f>IFERROR(CORREL(J144:N144,J206:N206),"")</f>
        <v/>
      </c>
      <c r="AZ206">
        <f t="shared" si="38"/>
        <v>0</v>
      </c>
      <c r="BA206" t="str">
        <f>IF(AZ206=1,IF(Q206="","",IF(Q206=N144,"Yes","No")),"")</f>
        <v/>
      </c>
      <c r="BB206" t="str">
        <f t="shared" si="39"/>
        <v/>
      </c>
      <c r="BC206" t="str">
        <f>IF(AZ206=1,IF(S206="","",IF(S206=N144,"Yes","No")),"")</f>
        <v/>
      </c>
      <c r="BD206" t="str">
        <f t="shared" si="40"/>
        <v/>
      </c>
      <c r="BE206" t="str">
        <f t="shared" si="41"/>
        <v/>
      </c>
      <c r="BF206" t="str">
        <f t="shared" si="42"/>
        <v>No</v>
      </c>
      <c r="BG206" t="str">
        <f t="shared" si="43"/>
        <v>No</v>
      </c>
      <c r="BH206" t="str">
        <f t="shared" si="44"/>
        <v/>
      </c>
    </row>
    <row r="207" spans="1:60" x14ac:dyDescent="0.3">
      <c r="A207" s="1">
        <v>46</v>
      </c>
      <c r="B207" t="s">
        <v>421</v>
      </c>
      <c r="C207" t="s">
        <v>3439</v>
      </c>
      <c r="D207" t="s">
        <v>2670</v>
      </c>
      <c r="E207" t="s">
        <v>3440</v>
      </c>
      <c r="F207" t="s">
        <v>3441</v>
      </c>
      <c r="G207" t="s">
        <v>3333</v>
      </c>
      <c r="I207" t="str">
        <f t="shared" si="52"/>
        <v>N/A</v>
      </c>
      <c r="J207">
        <f t="shared" si="53"/>
        <v>1190000</v>
      </c>
      <c r="K207">
        <f t="shared" si="54"/>
        <v>1160000</v>
      </c>
      <c r="L207">
        <f t="shared" si="55"/>
        <v>1870000</v>
      </c>
      <c r="M207">
        <f t="shared" si="56"/>
        <v>1580000</v>
      </c>
      <c r="N207">
        <f t="shared" si="57"/>
        <v>1500000</v>
      </c>
      <c r="P207">
        <f t="shared" si="27"/>
        <v>1870000</v>
      </c>
      <c r="Q207">
        <f>IFERROR(J144+MATCH(P207,J207:N207,0)-1,"")</f>
        <v>2014</v>
      </c>
      <c r="R207">
        <f t="shared" si="28"/>
        <v>1160000</v>
      </c>
      <c r="S207">
        <f>IFERROR(J144+MATCH(R207,J207:N207,0)-1,"")</f>
        <v>2013</v>
      </c>
      <c r="T207">
        <f t="shared" si="29"/>
        <v>1460000</v>
      </c>
      <c r="U207">
        <f t="shared" si="30"/>
        <v>294533.52950046281</v>
      </c>
      <c r="V207">
        <f t="shared" si="31"/>
        <v>-0.91670378057780932</v>
      </c>
      <c r="W207">
        <f t="shared" si="32"/>
        <v>-1.0185597561975659</v>
      </c>
      <c r="X207">
        <f t="shared" si="33"/>
        <v>1.3920316668033401</v>
      </c>
      <c r="Y207">
        <f t="shared" si="34"/>
        <v>0.40742390247902638</v>
      </c>
      <c r="Z207">
        <f t="shared" si="35"/>
        <v>0.1358079674930088</v>
      </c>
      <c r="AA207">
        <f t="shared" si="36"/>
        <v>1.3920316668033401</v>
      </c>
      <c r="AB207">
        <f>IFERROR(V144+MATCH(AA207,V207:Z207,0)-1,"")</f>
        <v>2014</v>
      </c>
      <c r="AC207" t="str">
        <f t="shared" si="37"/>
        <v>High</v>
      </c>
      <c r="AE207">
        <f>IF(ISNUMBER(MATCH("N/A",J207:N207,0)),"",IFERROR((5 * SUMPRODUCT(J144:N144,J207:N207) - PRODUCT(SUM(J144:N144),SUM(J207:N207))) / ((5 * SUM((J144^2)+(K144^2)+(L144^2)+(M144^2)+(N144^2))) - SUM(J144:N144)^2),""))</f>
        <v>104000</v>
      </c>
      <c r="AF207">
        <f>IFERROR(CORREL(J144:N144,J207:N207),"")</f>
        <v>0.55830125217881976</v>
      </c>
      <c r="AZ207">
        <f t="shared" si="38"/>
        <v>1</v>
      </c>
      <c r="BA207" t="str">
        <f>IF(AZ207=1,IF(Q207="","",IF(Q207=N144,"Yes","No")),"")</f>
        <v>No</v>
      </c>
      <c r="BB207" t="str">
        <f t="shared" si="39"/>
        <v/>
      </c>
      <c r="BC207" t="str">
        <f>IF(AZ207=1,IF(S207="","",IF(S207=N144,"Yes","No")),"")</f>
        <v>No</v>
      </c>
      <c r="BD207" t="str">
        <f t="shared" si="40"/>
        <v/>
      </c>
      <c r="BE207" t="str">
        <f t="shared" si="41"/>
        <v>Increasing</v>
      </c>
      <c r="BF207" t="str">
        <f t="shared" si="42"/>
        <v>No</v>
      </c>
      <c r="BG207" t="str">
        <f t="shared" si="43"/>
        <v>No</v>
      </c>
      <c r="BH207" t="str">
        <f t="shared" si="44"/>
        <v>No</v>
      </c>
    </row>
    <row r="208" spans="1:60" x14ac:dyDescent="0.3">
      <c r="A208" s="1">
        <v>47</v>
      </c>
      <c r="B208" t="s">
        <v>422</v>
      </c>
      <c r="C208" t="s">
        <v>878</v>
      </c>
      <c r="D208" t="s">
        <v>3442</v>
      </c>
      <c r="E208" t="s">
        <v>3443</v>
      </c>
      <c r="F208" t="s">
        <v>3444</v>
      </c>
      <c r="G208" t="s">
        <v>3445</v>
      </c>
      <c r="I208" t="str">
        <f t="shared" si="52"/>
        <v>pos_trend</v>
      </c>
      <c r="J208">
        <f t="shared" si="53"/>
        <v>4390000</v>
      </c>
      <c r="K208">
        <f t="shared" si="54"/>
        <v>5020000</v>
      </c>
      <c r="L208">
        <f t="shared" si="55"/>
        <v>7660000</v>
      </c>
      <c r="M208">
        <f t="shared" si="56"/>
        <v>11170000</v>
      </c>
      <c r="N208">
        <f t="shared" si="57"/>
        <v>15720000</v>
      </c>
      <c r="P208">
        <f t="shared" si="27"/>
        <v>15720000</v>
      </c>
      <c r="Q208">
        <f>IFERROR(J144+MATCH(P208,J208:N208,0)-1,"")</f>
        <v>2016</v>
      </c>
      <c r="R208">
        <f t="shared" si="28"/>
        <v>4390000</v>
      </c>
      <c r="S208">
        <f>IFERROR(J144+MATCH(R208,J208:N208,0)-1,"")</f>
        <v>2012</v>
      </c>
      <c r="T208">
        <f t="shared" si="29"/>
        <v>8792000</v>
      </c>
      <c r="U208">
        <f t="shared" si="30"/>
        <v>4704760.3552147057</v>
      </c>
      <c r="V208">
        <f t="shared" si="31"/>
        <v>-0.9356480814417828</v>
      </c>
      <c r="W208">
        <f t="shared" si="32"/>
        <v>-0.80174115474747953</v>
      </c>
      <c r="X208">
        <f t="shared" si="33"/>
        <v>-0.24060736669516086</v>
      </c>
      <c r="Y208">
        <f t="shared" si="34"/>
        <v>0.50544551060167187</v>
      </c>
      <c r="Z208">
        <f t="shared" si="35"/>
        <v>1.4725510922827514</v>
      </c>
      <c r="AA208">
        <f t="shared" si="36"/>
        <v>1.4725510922827514</v>
      </c>
      <c r="AB208">
        <f>IFERROR(V144+MATCH(AA208,V208:Z208,0)-1,"")</f>
        <v>2016</v>
      </c>
      <c r="AC208" t="str">
        <f t="shared" si="37"/>
        <v>High</v>
      </c>
      <c r="AE208">
        <f>IF(ISNUMBER(MATCH("N/A",J208:N208,0)),"",IFERROR((5 * SUMPRODUCT(J144:N144,J208:N208) - PRODUCT(SUM(J144:N144),SUM(J208:N208))) / ((5 * SUM((J144^2)+(K144^2)+(L144^2)+(M144^2)+(N144^2))) - SUM(J144:N144)^2),""))</f>
        <v>2881000</v>
      </c>
      <c r="AF208">
        <f>IFERROR(CORREL(J144:N144,J208:N208),"")</f>
        <v>0.96822380430568544</v>
      </c>
      <c r="AZ208">
        <f t="shared" si="38"/>
        <v>1</v>
      </c>
      <c r="BA208" t="str">
        <f>IF(AZ208=1,IF(Q208="","",IF(Q208=N144,"Yes","No")),"")</f>
        <v>Yes</v>
      </c>
      <c r="BB208">
        <f t="shared" si="39"/>
        <v>15720000</v>
      </c>
      <c r="BC208" t="str">
        <f>IF(AZ208=1,IF(S208="","",IF(S208=N144,"Yes","No")),"")</f>
        <v>No</v>
      </c>
      <c r="BD208" t="str">
        <f t="shared" si="40"/>
        <v/>
      </c>
      <c r="BE208" t="str">
        <f t="shared" si="41"/>
        <v>Increasing</v>
      </c>
      <c r="BF208" t="str">
        <f t="shared" si="42"/>
        <v>Yes</v>
      </c>
      <c r="BG208" t="str">
        <f t="shared" si="43"/>
        <v>Yes</v>
      </c>
      <c r="BH208" t="str">
        <f t="shared" si="44"/>
        <v>Yes</v>
      </c>
    </row>
    <row r="209" spans="1:60" x14ac:dyDescent="0.3">
      <c r="A209" s="1">
        <v>48</v>
      </c>
      <c r="B209" t="s">
        <v>423</v>
      </c>
      <c r="C209" t="s">
        <v>3446</v>
      </c>
      <c r="D209" t="s">
        <v>3447</v>
      </c>
      <c r="E209" t="s">
        <v>3448</v>
      </c>
      <c r="F209" t="s">
        <v>3449</v>
      </c>
      <c r="G209" t="s">
        <v>3450</v>
      </c>
      <c r="I209" t="str">
        <f t="shared" si="52"/>
        <v>pos_trend</v>
      </c>
      <c r="J209">
        <f t="shared" si="53"/>
        <v>0.56999999999999995</v>
      </c>
      <c r="K209">
        <f t="shared" si="54"/>
        <v>0.65</v>
      </c>
      <c r="L209">
        <f t="shared" si="55"/>
        <v>0.99</v>
      </c>
      <c r="M209">
        <f t="shared" si="56"/>
        <v>1.43</v>
      </c>
      <c r="N209">
        <f t="shared" si="57"/>
        <v>1.96</v>
      </c>
      <c r="P209">
        <f t="shared" ref="P209:P272" si="58">MAX(J209:N209)</f>
        <v>1.96</v>
      </c>
      <c r="Q209">
        <f>IFERROR(J144+MATCH(P209,J209:N209,0)-1,"")</f>
        <v>2016</v>
      </c>
      <c r="R209">
        <f t="shared" ref="R209:R272" si="59">IF(Q209="","",MIN(J209:N209))</f>
        <v>0.56999999999999995</v>
      </c>
      <c r="S209">
        <f>IFERROR(J144+MATCH(R209,J209:N209,0)-1,"")</f>
        <v>2012</v>
      </c>
      <c r="T209">
        <f t="shared" ref="T209:T272" si="60">IFERROR(AVERAGE(J209:N209),"")</f>
        <v>1.1199999999999999</v>
      </c>
      <c r="U209">
        <f t="shared" ref="U209:U272" si="61">IFERROR(STDEV(J209:N209),"")</f>
        <v>0.57922361830298319</v>
      </c>
      <c r="V209">
        <f t="shared" ref="V209:V272" si="62">IFERROR(IF(C209="-","",IF(ISBLANK(B209),"",IF(OR(ISNUMBER(FIND("Growth",B209)),ISNUMBER(FIND("Margin",B209))),"",(J209-T209)/U209))),"")</f>
        <v>-0.94954691525079216</v>
      </c>
      <c r="W209">
        <f t="shared" ref="W209:W272" si="63">IFERROR(IF(OR(D209="-",ISBLANK(D209)),"",(K209-T209)/U209),"")</f>
        <v>-0.81143100030522219</v>
      </c>
      <c r="X209">
        <f t="shared" ref="X209:X272" si="64">IFERROR(IF(OR(E209="-",ISBLANK(E209)),"",(L209-T209)/U209),"")</f>
        <v>-0.22443836178655072</v>
      </c>
      <c r="Y209">
        <f t="shared" ref="Y209:Y272" si="65">IFERROR(IF(OR(F209="-",ISBLANK(F209)),"",(M209-T209)/U209),"")</f>
        <v>0.53519917041408294</v>
      </c>
      <c r="Z209">
        <f t="shared" ref="Z209:Z272" si="66">IFERROR(IF(OR(G209="-",ISBLANK(G209)),"",(N209-T209)/U209),"")</f>
        <v>1.4502171069284828</v>
      </c>
      <c r="AA209">
        <f t="shared" ref="AA209:AA272" si="67">IF(MAX(MAX(V209:Z209),ABS(MIN(V209:Z209)))=ABS(MIN(V209:Z209)),MIN(V209:Z209),MAX(V209:Z209))</f>
        <v>1.4502171069284828</v>
      </c>
      <c r="AB209">
        <f>IFERROR(V144+MATCH(AA209,V209:Z209,0)-1,"")</f>
        <v>2016</v>
      </c>
      <c r="AC209" t="str">
        <f t="shared" ref="AC209:AC272" si="68">IF(AB209&lt;&gt;"",IF(S209=AB209,"Low",IF(AB209=Q209,"High","")),"")</f>
        <v>High</v>
      </c>
      <c r="AE209">
        <f>IF(ISNUMBER(MATCH("N/A",J209:N209,0)),"",IFERROR((5 * SUMPRODUCT(J144:N144,J209:N209) - PRODUCT(SUM(J144:N144),SUM(J209:N209))) / ((5 * SUM((J144^2)+(K144^2)+(L144^2)+(M144^2)+(N144^2))) - SUM(J144:N144)^2),""))</f>
        <v>0.35599999999991266</v>
      </c>
      <c r="AF209">
        <f>IFERROR(CORREL(J144:N144,J209:N209),"")</f>
        <v>0.97179294097005287</v>
      </c>
      <c r="AZ209">
        <f t="shared" ref="AZ209:AZ272" si="69">IF(Q209=S209,0,1)</f>
        <v>1</v>
      </c>
      <c r="BA209" t="str">
        <f>IF(AZ209=1,IF(Q209="","",IF(Q209=N144,"Yes","No")),"")</f>
        <v>Yes</v>
      </c>
      <c r="BB209">
        <f t="shared" ref="BB209:BB272" si="70">IF(BA209="Yes",P209,"")</f>
        <v>1.96</v>
      </c>
      <c r="BC209" t="str">
        <f>IF(AZ209=1,IF(S209="","",IF(S209=N144,"Yes","No")),"")</f>
        <v>No</v>
      </c>
      <c r="BD209" t="str">
        <f t="shared" ref="BD209:BD272" si="71">IF(BC209="Yes",R209,"")</f>
        <v/>
      </c>
      <c r="BE209" t="str">
        <f t="shared" ref="BE209:BE272" si="72">IFERROR(IF(SIGN(AE209)=1,"Increasing",IF(SIGN(AE209)=-1,"Decreasing","")),"")</f>
        <v>Increasing</v>
      </c>
      <c r="BF209" t="str">
        <f t="shared" ref="BF209:BF272" si="73">IF(OR(AND(BE209="Increasing",BA209="Yes"),AND(BE209="Decreasing",BC209="Yes")),"Yes","No")</f>
        <v>Yes</v>
      </c>
      <c r="BG209" t="str">
        <f t="shared" ref="BG209:BG272" si="74">IF(I209="pos_trend","Yes","No")</f>
        <v>Yes</v>
      </c>
      <c r="BH209" t="str">
        <f t="shared" ref="BH209:BH272" si="75">IF(AF209&lt;&gt;"",IF(ABS(AF209)&gt;0.8,"Yes","No"),"")</f>
        <v>Yes</v>
      </c>
    </row>
    <row r="210" spans="1:60" x14ac:dyDescent="0.3">
      <c r="A210" s="1">
        <v>49</v>
      </c>
      <c r="B210" t="s">
        <v>429</v>
      </c>
      <c r="C210" t="s">
        <v>264</v>
      </c>
      <c r="D210" t="s">
        <v>3451</v>
      </c>
      <c r="E210" t="s">
        <v>3452</v>
      </c>
      <c r="F210" t="s">
        <v>3453</v>
      </c>
      <c r="G210" t="s">
        <v>3454</v>
      </c>
      <c r="I210" t="str">
        <f t="shared" si="52"/>
        <v>N/A</v>
      </c>
      <c r="J210" t="str">
        <f t="shared" si="53"/>
        <v>N/A</v>
      </c>
      <c r="K210">
        <f t="shared" si="54"/>
        <v>0.1404</v>
      </c>
      <c r="L210">
        <f t="shared" si="55"/>
        <v>0.52310000000000001</v>
      </c>
      <c r="M210">
        <f t="shared" si="56"/>
        <v>0.44439999999999996</v>
      </c>
      <c r="N210">
        <f t="shared" si="57"/>
        <v>0.37060000000000004</v>
      </c>
      <c r="P210">
        <f t="shared" si="58"/>
        <v>0.52310000000000001</v>
      </c>
      <c r="Q210">
        <f>IFERROR(J144+MATCH(P210,J210:N210,0)-1,"")</f>
        <v>2014</v>
      </c>
      <c r="R210">
        <f t="shared" si="59"/>
        <v>0.1404</v>
      </c>
      <c r="S210">
        <f>IFERROR(J144+MATCH(R210,J210:N210,0)-1,"")</f>
        <v>2013</v>
      </c>
      <c r="T210">
        <f t="shared" si="60"/>
        <v>0.36962499999999998</v>
      </c>
      <c r="U210">
        <f t="shared" si="61"/>
        <v>0.16501608759956313</v>
      </c>
      <c r="V210" t="str">
        <f t="shared" si="62"/>
        <v/>
      </c>
      <c r="W210">
        <f t="shared" si="63"/>
        <v>-1.3891069854731355</v>
      </c>
      <c r="X210">
        <f t="shared" si="64"/>
        <v>0.93006083365902292</v>
      </c>
      <c r="Y210">
        <f t="shared" si="65"/>
        <v>0.45313763698878257</v>
      </c>
      <c r="Z210">
        <f t="shared" si="66"/>
        <v>5.9085148253305237E-3</v>
      </c>
      <c r="AA210">
        <f t="shared" si="67"/>
        <v>-1.3891069854731355</v>
      </c>
      <c r="AB210">
        <f>IFERROR(V144+MATCH(AA210,V210:Z210,0)-1,"")</f>
        <v>2013</v>
      </c>
      <c r="AC210" t="str">
        <f t="shared" si="68"/>
        <v>Low</v>
      </c>
      <c r="AE210" t="str">
        <f>IF(ISNUMBER(MATCH("N/A",J210:N210,0)),"",IFERROR((5 * SUMPRODUCT(J144:N144,J210:N210) - PRODUCT(SUM(J144:N144),SUM(J210:N210))) / ((5 * SUM((J144^2)+(K144^2)+(L144^2)+(M144^2)+(N144^2))) - SUM(J144:N144)^2),""))</f>
        <v/>
      </c>
      <c r="AF210">
        <f>IFERROR(CORREL(J144:N144,J210:N210),"")</f>
        <v>0.47871666009825536</v>
      </c>
      <c r="AZ210">
        <f t="shared" si="69"/>
        <v>1</v>
      </c>
      <c r="BA210" t="str">
        <f>IF(AZ210=1,IF(Q210="","",IF(Q210=N144,"Yes","No")),"")</f>
        <v>No</v>
      </c>
      <c r="BB210" t="str">
        <f t="shared" si="70"/>
        <v/>
      </c>
      <c r="BC210" t="str">
        <f>IF(AZ210=1,IF(S210="","",IF(S210=N144,"Yes","No")),"")</f>
        <v>No</v>
      </c>
      <c r="BD210" t="str">
        <f t="shared" si="71"/>
        <v/>
      </c>
      <c r="BE210" t="str">
        <f t="shared" si="72"/>
        <v/>
      </c>
      <c r="BF210" t="str">
        <f t="shared" si="73"/>
        <v>No</v>
      </c>
      <c r="BG210" t="str">
        <f t="shared" si="74"/>
        <v>No</v>
      </c>
      <c r="BH210" t="str">
        <f t="shared" si="75"/>
        <v>No</v>
      </c>
    </row>
    <row r="211" spans="1:60" x14ac:dyDescent="0.3">
      <c r="A211" s="1">
        <v>50</v>
      </c>
      <c r="B211" t="s">
        <v>434</v>
      </c>
      <c r="C211" t="s">
        <v>3455</v>
      </c>
      <c r="D211" t="s">
        <v>3455</v>
      </c>
      <c r="E211" t="s">
        <v>3455</v>
      </c>
      <c r="F211" t="s">
        <v>3456</v>
      </c>
      <c r="G211" t="s">
        <v>1508</v>
      </c>
      <c r="I211" t="str">
        <f t="shared" si="52"/>
        <v>N/A</v>
      </c>
      <c r="J211">
        <f t="shared" si="53"/>
        <v>7710000</v>
      </c>
      <c r="K211">
        <f t="shared" si="54"/>
        <v>7710000</v>
      </c>
      <c r="L211">
        <f t="shared" si="55"/>
        <v>7710000</v>
      </c>
      <c r="M211">
        <f t="shared" si="56"/>
        <v>7820000</v>
      </c>
      <c r="N211">
        <f t="shared" si="57"/>
        <v>8010000</v>
      </c>
      <c r="P211">
        <f t="shared" si="58"/>
        <v>8010000</v>
      </c>
      <c r="Q211">
        <f>IFERROR(J144+MATCH(P211,J211:N211,0)-1,"")</f>
        <v>2016</v>
      </c>
      <c r="R211">
        <f t="shared" si="59"/>
        <v>7710000</v>
      </c>
      <c r="S211">
        <f>IFERROR(J144+MATCH(R211,J211:N211,0)-1,"")</f>
        <v>2012</v>
      </c>
      <c r="T211">
        <f t="shared" si="60"/>
        <v>7792000</v>
      </c>
      <c r="U211">
        <f t="shared" si="61"/>
        <v>130843.41787036901</v>
      </c>
      <c r="V211">
        <f t="shared" si="62"/>
        <v>-0.62670328652863661</v>
      </c>
      <c r="W211">
        <f t="shared" si="63"/>
        <v>-0.62670328652863661</v>
      </c>
      <c r="X211">
        <f t="shared" si="64"/>
        <v>-0.62670328652863661</v>
      </c>
      <c r="Y211">
        <f t="shared" si="65"/>
        <v>0.21399624418051005</v>
      </c>
      <c r="Z211">
        <f t="shared" si="66"/>
        <v>1.6661136154053997</v>
      </c>
      <c r="AA211">
        <f t="shared" si="67"/>
        <v>1.6661136154053997</v>
      </c>
      <c r="AB211">
        <f>IFERROR(V144+MATCH(AA211,V211:Z211,0)-1,"")</f>
        <v>2016</v>
      </c>
      <c r="AC211" t="str">
        <f t="shared" si="68"/>
        <v>High</v>
      </c>
      <c r="AE211">
        <f>IF(ISNUMBER(MATCH("N/A",J211:N211,0)),"",IFERROR((5 * SUMPRODUCT(J144:N144,J211:N211) - PRODUCT(SUM(J144:N144),SUM(J211:N211))) / ((5 * SUM((J144^2)+(K144^2)+(L144^2)+(M144^2)+(N144^2))) - SUM(J144:N144)^2),""))</f>
        <v>71000</v>
      </c>
      <c r="AF211">
        <f>IFERROR(CORREL(J144:N144,J211:N211),"")</f>
        <v>0.85797863402802632</v>
      </c>
      <c r="AZ211">
        <f t="shared" si="69"/>
        <v>1</v>
      </c>
      <c r="BA211" t="str">
        <f>IF(AZ211=1,IF(Q211="","",IF(Q211=N144,"Yes","No")),"")</f>
        <v>Yes</v>
      </c>
      <c r="BB211">
        <f t="shared" si="70"/>
        <v>8010000</v>
      </c>
      <c r="BC211" t="str">
        <f>IF(AZ211=1,IF(S211="","",IF(S211=N144,"Yes","No")),"")</f>
        <v>No</v>
      </c>
      <c r="BD211" t="str">
        <f t="shared" si="71"/>
        <v/>
      </c>
      <c r="BE211" t="str">
        <f t="shared" si="72"/>
        <v>Increasing</v>
      </c>
      <c r="BF211" t="str">
        <f t="shared" si="73"/>
        <v>Yes</v>
      </c>
      <c r="BG211" t="str">
        <f t="shared" si="74"/>
        <v>No</v>
      </c>
      <c r="BH211" t="str">
        <f t="shared" si="75"/>
        <v>Yes</v>
      </c>
    </row>
    <row r="212" spans="1:60" x14ac:dyDescent="0.3">
      <c r="A212" s="1">
        <v>51</v>
      </c>
      <c r="B212" t="s">
        <v>440</v>
      </c>
      <c r="C212" t="s">
        <v>3446</v>
      </c>
      <c r="D212" t="s">
        <v>1719</v>
      </c>
      <c r="E212" t="s">
        <v>3457</v>
      </c>
      <c r="F212" t="s">
        <v>3458</v>
      </c>
      <c r="G212" t="s">
        <v>3459</v>
      </c>
      <c r="I212" t="str">
        <f t="shared" si="52"/>
        <v>pos_trend</v>
      </c>
      <c r="J212">
        <f t="shared" si="53"/>
        <v>0.56999999999999995</v>
      </c>
      <c r="K212">
        <f t="shared" si="54"/>
        <v>0.64</v>
      </c>
      <c r="L212">
        <f t="shared" si="55"/>
        <v>0.85</v>
      </c>
      <c r="M212">
        <f t="shared" si="56"/>
        <v>1.17</v>
      </c>
      <c r="N212">
        <f t="shared" si="57"/>
        <v>1.57</v>
      </c>
      <c r="P212">
        <f t="shared" si="58"/>
        <v>1.57</v>
      </c>
      <c r="Q212">
        <f>IFERROR(J144+MATCH(P212,J212:N212,0)-1,"")</f>
        <v>2016</v>
      </c>
      <c r="R212">
        <f t="shared" si="59"/>
        <v>0.56999999999999995</v>
      </c>
      <c r="S212">
        <f>IFERROR(J144+MATCH(R212,J212:N212,0)-1,"")</f>
        <v>2012</v>
      </c>
      <c r="T212">
        <f t="shared" si="60"/>
        <v>0.96</v>
      </c>
      <c r="U212">
        <f t="shared" si="61"/>
        <v>0.41315856520227201</v>
      </c>
      <c r="V212">
        <f t="shared" si="62"/>
        <v>-0.94394751276441735</v>
      </c>
      <c r="W212">
        <f t="shared" si="63"/>
        <v>-0.7745210361143936</v>
      </c>
      <c r="X212">
        <f t="shared" si="64"/>
        <v>-0.2662416061643228</v>
      </c>
      <c r="Y212">
        <f t="shared" si="65"/>
        <v>0.5082794299500708</v>
      </c>
      <c r="Z212">
        <f t="shared" si="66"/>
        <v>1.4764307250930633</v>
      </c>
      <c r="AA212">
        <f t="shared" si="67"/>
        <v>1.4764307250930633</v>
      </c>
      <c r="AB212">
        <f>IFERROR(V144+MATCH(AA212,V212:Z212,0)-1,"")</f>
        <v>2016</v>
      </c>
      <c r="AC212" t="str">
        <f t="shared" si="68"/>
        <v>High</v>
      </c>
      <c r="AE212">
        <f>IF(ISNUMBER(MATCH("N/A",J212:N212,0)),"",IFERROR((5 * SUMPRODUCT(J144:N144,J212:N212) - PRODUCT(SUM(J144:N144),SUM(J212:N212))) / ((5 * SUM((J144^2)+(K144^2)+(L144^2)+(M144^2)+(N144^2))) - SUM(J144:N144)^2),""))</f>
        <v>0.2529999999998836</v>
      </c>
      <c r="AF212">
        <f>IFERROR(CORREL(J144:N144,J212:N212),"")</f>
        <v>0.9682193658879038</v>
      </c>
      <c r="AZ212">
        <f t="shared" si="69"/>
        <v>1</v>
      </c>
      <c r="BA212" t="str">
        <f>IF(AZ212=1,IF(Q212="","",IF(Q212=N144,"Yes","No")),"")</f>
        <v>Yes</v>
      </c>
      <c r="BB212">
        <f t="shared" si="70"/>
        <v>1.57</v>
      </c>
      <c r="BC212" t="str">
        <f>IF(AZ212=1,IF(S212="","",IF(S212=N144,"Yes","No")),"")</f>
        <v>No</v>
      </c>
      <c r="BD212" t="str">
        <f t="shared" si="71"/>
        <v/>
      </c>
      <c r="BE212" t="str">
        <f t="shared" si="72"/>
        <v>Increasing</v>
      </c>
      <c r="BF212" t="str">
        <f t="shared" si="73"/>
        <v>Yes</v>
      </c>
      <c r="BG212" t="str">
        <f t="shared" si="74"/>
        <v>Yes</v>
      </c>
      <c r="BH212" t="str">
        <f t="shared" si="75"/>
        <v>Yes</v>
      </c>
    </row>
    <row r="213" spans="1:60" x14ac:dyDescent="0.3">
      <c r="A213" s="1">
        <v>52</v>
      </c>
      <c r="B213" t="s">
        <v>444</v>
      </c>
      <c r="C213" t="s">
        <v>264</v>
      </c>
      <c r="D213" t="s">
        <v>3460</v>
      </c>
      <c r="E213" t="s">
        <v>3461</v>
      </c>
      <c r="F213" t="s">
        <v>3462</v>
      </c>
      <c r="G213" t="s">
        <v>3463</v>
      </c>
      <c r="I213" t="str">
        <f t="shared" si="52"/>
        <v>N/A</v>
      </c>
      <c r="J213" t="str">
        <f t="shared" si="53"/>
        <v>N/A</v>
      </c>
      <c r="K213">
        <f t="shared" si="54"/>
        <v>0.12279999999999999</v>
      </c>
      <c r="L213">
        <f t="shared" si="55"/>
        <v>0.3281</v>
      </c>
      <c r="M213">
        <f t="shared" si="56"/>
        <v>0.3765</v>
      </c>
      <c r="N213">
        <f t="shared" si="57"/>
        <v>0.34189999999999998</v>
      </c>
      <c r="P213">
        <f t="shared" si="58"/>
        <v>0.3765</v>
      </c>
      <c r="Q213">
        <f>IFERROR(J144+MATCH(P213,J213:N213,0)-1,"")</f>
        <v>2015</v>
      </c>
      <c r="R213">
        <f t="shared" si="59"/>
        <v>0.12279999999999999</v>
      </c>
      <c r="S213">
        <f>IFERROR(J144+MATCH(R213,J213:N213,0)-1,"")</f>
        <v>2013</v>
      </c>
      <c r="T213">
        <f t="shared" si="60"/>
        <v>0.29232499999999995</v>
      </c>
      <c r="U213">
        <f t="shared" si="61"/>
        <v>0.11483566156323873</v>
      </c>
      <c r="V213" t="str">
        <f t="shared" si="62"/>
        <v/>
      </c>
      <c r="W213">
        <f t="shared" si="63"/>
        <v>-1.476240025896872</v>
      </c>
      <c r="X213">
        <f t="shared" si="64"/>
        <v>0.31153214526742778</v>
      </c>
      <c r="Y213">
        <f t="shared" si="65"/>
        <v>0.73300400636997087</v>
      </c>
      <c r="Z213">
        <f t="shared" si="66"/>
        <v>0.43170387425947498</v>
      </c>
      <c r="AA213">
        <f t="shared" si="67"/>
        <v>-1.476240025896872</v>
      </c>
      <c r="AB213">
        <f>IFERROR(V144+MATCH(AA213,V213:Z213,0)-1,"")</f>
        <v>2013</v>
      </c>
      <c r="AC213" t="str">
        <f t="shared" si="68"/>
        <v>Low</v>
      </c>
      <c r="AE213" t="str">
        <f>IF(ISNUMBER(MATCH("N/A",J213:N213,0)),"",IFERROR((5 * SUMPRODUCT(J144:N144,J213:N213) - PRODUCT(SUM(J144:N144),SUM(J213:N213))) / ((5 * SUM((J144^2)+(K144^2)+(L144^2)+(M144^2)+(N144^2))) - SUM(J144:N144)^2),""))</f>
        <v/>
      </c>
      <c r="AF213">
        <f>IFERROR(CORREL(J144:N144,J213:N213),"")</f>
        <v>0.79335527837853015</v>
      </c>
      <c r="AZ213">
        <f t="shared" si="69"/>
        <v>1</v>
      </c>
      <c r="BA213" t="str">
        <f>IF(AZ213=1,IF(Q213="","",IF(Q213=N144,"Yes","No")),"")</f>
        <v>No</v>
      </c>
      <c r="BB213" t="str">
        <f t="shared" si="70"/>
        <v/>
      </c>
      <c r="BC213" t="str">
        <f>IF(AZ213=1,IF(S213="","",IF(S213=N144,"Yes","No")),"")</f>
        <v>No</v>
      </c>
      <c r="BD213" t="str">
        <f t="shared" si="71"/>
        <v/>
      </c>
      <c r="BE213" t="str">
        <f t="shared" si="72"/>
        <v/>
      </c>
      <c r="BF213" t="str">
        <f t="shared" si="73"/>
        <v>No</v>
      </c>
      <c r="BG213" t="str">
        <f t="shared" si="74"/>
        <v>No</v>
      </c>
      <c r="BH213" t="str">
        <f t="shared" si="75"/>
        <v>No</v>
      </c>
    </row>
    <row r="214" spans="1:60" x14ac:dyDescent="0.3">
      <c r="A214" s="1">
        <v>53</v>
      </c>
      <c r="B214" t="s">
        <v>449</v>
      </c>
      <c r="C214" t="s">
        <v>3455</v>
      </c>
      <c r="D214" t="s">
        <v>3456</v>
      </c>
      <c r="E214" t="s">
        <v>3464</v>
      </c>
      <c r="F214" t="s">
        <v>2667</v>
      </c>
      <c r="G214" t="s">
        <v>3396</v>
      </c>
      <c r="I214" t="str">
        <f t="shared" si="52"/>
        <v>pos_trend</v>
      </c>
      <c r="J214">
        <f t="shared" si="53"/>
        <v>7710000</v>
      </c>
      <c r="K214">
        <f t="shared" si="54"/>
        <v>7820000</v>
      </c>
      <c r="L214">
        <f t="shared" si="55"/>
        <v>10900000</v>
      </c>
      <c r="M214">
        <f t="shared" si="56"/>
        <v>10920000</v>
      </c>
      <c r="N214">
        <f t="shared" si="57"/>
        <v>10950000</v>
      </c>
      <c r="P214">
        <f t="shared" si="58"/>
        <v>10950000</v>
      </c>
      <c r="Q214">
        <f>IFERROR(J144+MATCH(P214,J214:N214,0)-1,"")</f>
        <v>2016</v>
      </c>
      <c r="R214">
        <f t="shared" si="59"/>
        <v>7710000</v>
      </c>
      <c r="S214">
        <f>IFERROR(J144+MATCH(R214,J214:N214,0)-1,"")</f>
        <v>2012</v>
      </c>
      <c r="T214">
        <f t="shared" si="60"/>
        <v>9660000</v>
      </c>
      <c r="U214">
        <f t="shared" si="61"/>
        <v>1730419.0243984258</v>
      </c>
      <c r="V214">
        <f t="shared" si="62"/>
        <v>-1.1268946841808507</v>
      </c>
      <c r="W214">
        <f t="shared" si="63"/>
        <v>-1.0633262660988541</v>
      </c>
      <c r="X214">
        <f t="shared" si="64"/>
        <v>0.71658944019705384</v>
      </c>
      <c r="Y214">
        <f t="shared" si="65"/>
        <v>0.72814733439378054</v>
      </c>
      <c r="Z214">
        <f t="shared" si="66"/>
        <v>0.74548417568887049</v>
      </c>
      <c r="AA214">
        <f t="shared" si="67"/>
        <v>-1.1268946841808507</v>
      </c>
      <c r="AB214">
        <f>IFERROR(V144+MATCH(AA214,V214:Z214,0)-1,"")</f>
        <v>2012</v>
      </c>
      <c r="AC214" t="str">
        <f t="shared" si="68"/>
        <v>Low</v>
      </c>
      <c r="AE214">
        <f>IF(ISNUMBER(MATCH("N/A",J214:N214,0)),"",IFERROR((5 * SUMPRODUCT(J144:N144,J214:N214) - PRODUCT(SUM(J144:N144),SUM(J214:N214))) / ((5 * SUM((J144^2)+(K144^2)+(L144^2)+(M144^2)+(N144^2))) - SUM(J144:N144)^2),""))</f>
        <v>958000</v>
      </c>
      <c r="AF214">
        <f>IFERROR(CORREL(J144:N144,J214:N214),"")</f>
        <v>0.87535503127471936</v>
      </c>
      <c r="AZ214">
        <f t="shared" si="69"/>
        <v>1</v>
      </c>
      <c r="BA214" t="str">
        <f>IF(AZ214=1,IF(Q214="","",IF(Q214=N144,"Yes","No")),"")</f>
        <v>Yes</v>
      </c>
      <c r="BB214">
        <f t="shared" si="70"/>
        <v>10950000</v>
      </c>
      <c r="BC214" t="str">
        <f>IF(AZ214=1,IF(S214="","",IF(S214=N144,"Yes","No")),"")</f>
        <v>No</v>
      </c>
      <c r="BD214" t="str">
        <f t="shared" si="71"/>
        <v/>
      </c>
      <c r="BE214" t="str">
        <f t="shared" si="72"/>
        <v>Increasing</v>
      </c>
      <c r="BF214" t="str">
        <f t="shared" si="73"/>
        <v>Yes</v>
      </c>
      <c r="BG214" t="str">
        <f t="shared" si="74"/>
        <v>Yes</v>
      </c>
      <c r="BH214" t="str">
        <f t="shared" si="75"/>
        <v>Yes</v>
      </c>
    </row>
    <row r="215" spans="1:60" x14ac:dyDescent="0.3">
      <c r="I215" t="str">
        <f t="shared" si="52"/>
        <v>N/A</v>
      </c>
      <c r="J215" t="str">
        <f t="shared" si="53"/>
        <v>N/A</v>
      </c>
      <c r="K215" t="str">
        <f t="shared" si="54"/>
        <v>N/A</v>
      </c>
      <c r="L215" t="str">
        <f t="shared" si="55"/>
        <v>N/A</v>
      </c>
      <c r="M215" t="str">
        <f t="shared" si="56"/>
        <v>N/A</v>
      </c>
      <c r="N215" t="str">
        <f t="shared" si="57"/>
        <v>N/A</v>
      </c>
      <c r="P215">
        <f t="shared" si="58"/>
        <v>0</v>
      </c>
      <c r="Q215" t="str">
        <f>IFERROR(J144+MATCH(P215,J215:N215,0)-1,"")</f>
        <v/>
      </c>
      <c r="R215" t="str">
        <f t="shared" si="59"/>
        <v/>
      </c>
      <c r="S215" t="str">
        <f>IFERROR(J144+MATCH(R215,J215:N215,0)-1,"")</f>
        <v/>
      </c>
      <c r="T215" t="str">
        <f t="shared" si="60"/>
        <v/>
      </c>
      <c r="U215" t="str">
        <f t="shared" si="61"/>
        <v/>
      </c>
      <c r="V215" t="str">
        <f t="shared" si="62"/>
        <v/>
      </c>
      <c r="W215" t="str">
        <f t="shared" si="63"/>
        <v/>
      </c>
      <c r="X215" t="str">
        <f t="shared" si="64"/>
        <v/>
      </c>
      <c r="Y215" t="str">
        <f t="shared" si="65"/>
        <v/>
      </c>
      <c r="Z215" t="str">
        <f t="shared" si="66"/>
        <v/>
      </c>
      <c r="AA215">
        <f t="shared" si="67"/>
        <v>0</v>
      </c>
      <c r="AB215" t="str">
        <f>IFERROR(V144+MATCH(AA215,V215:Z215,0)-1,"")</f>
        <v/>
      </c>
      <c r="AC215" t="str">
        <f t="shared" si="68"/>
        <v/>
      </c>
      <c r="AE215" t="str">
        <f>IF(ISNUMBER(MATCH("N/A",J215:N215,0)),"",IFERROR((5 * SUMPRODUCT(J144:N144,J215:N215) - PRODUCT(SUM(J144:N144),SUM(J215:N215))) / ((5 * SUM((J144^2)+(K144^2)+(L144^2)+(M144^2)+(N144^2))) - SUM(J144:N144)^2),""))</f>
        <v/>
      </c>
      <c r="AF215" t="str">
        <f>IFERROR(CORREL(J144:N144,J215:N215),"")</f>
        <v/>
      </c>
      <c r="AZ215">
        <f t="shared" si="69"/>
        <v>0</v>
      </c>
      <c r="BA215" t="str">
        <f>IF(AZ215=1,IF(Q215="","",IF(Q215=N144,"Yes","No")),"")</f>
        <v/>
      </c>
      <c r="BB215" t="str">
        <f t="shared" si="70"/>
        <v/>
      </c>
      <c r="BC215" t="str">
        <f>IF(AZ215=1,IF(S215="","",IF(S215=N144,"Yes","No")),"")</f>
        <v/>
      </c>
      <c r="BD215" t="str">
        <f t="shared" si="71"/>
        <v/>
      </c>
      <c r="BE215" t="str">
        <f t="shared" si="72"/>
        <v/>
      </c>
      <c r="BF215" t="str">
        <f t="shared" si="73"/>
        <v>No</v>
      </c>
      <c r="BG215" t="str">
        <f t="shared" si="74"/>
        <v>No</v>
      </c>
      <c r="BH215" t="str">
        <f t="shared" si="75"/>
        <v/>
      </c>
    </row>
    <row r="216" spans="1:60" x14ac:dyDescent="0.3">
      <c r="B216" s="1" t="s">
        <v>251</v>
      </c>
      <c r="C216" s="1" t="s">
        <v>252</v>
      </c>
      <c r="D216" s="1" t="s">
        <v>253</v>
      </c>
      <c r="E216" s="1" t="s">
        <v>254</v>
      </c>
      <c r="F216" s="1" t="s">
        <v>255</v>
      </c>
      <c r="G216" s="1" t="s">
        <v>256</v>
      </c>
      <c r="H216" s="1" t="s">
        <v>257</v>
      </c>
      <c r="I216" t="str">
        <f t="shared" si="52"/>
        <v>pos_trend</v>
      </c>
      <c r="J216">
        <f t="shared" si="53"/>
        <v>2012</v>
      </c>
      <c r="K216">
        <f t="shared" si="54"/>
        <v>2013</v>
      </c>
      <c r="L216">
        <f t="shared" si="55"/>
        <v>2014</v>
      </c>
      <c r="M216">
        <f t="shared" si="56"/>
        <v>2015</v>
      </c>
      <c r="N216">
        <f t="shared" si="57"/>
        <v>2016</v>
      </c>
      <c r="P216">
        <f t="shared" si="58"/>
        <v>2016</v>
      </c>
      <c r="Q216">
        <f>IFERROR(J144+MATCH(P216,J216:N216,0)-1,"")</f>
        <v>2016</v>
      </c>
      <c r="R216">
        <f t="shared" si="59"/>
        <v>2012</v>
      </c>
      <c r="S216">
        <f>IFERROR(J144+MATCH(R216,J216:N216,0)-1,"")</f>
        <v>2012</v>
      </c>
      <c r="T216">
        <f t="shared" si="60"/>
        <v>2014</v>
      </c>
      <c r="U216">
        <f t="shared" si="61"/>
        <v>1.5811388300841898</v>
      </c>
      <c r="V216">
        <f t="shared" si="62"/>
        <v>-1.2649110640673518</v>
      </c>
      <c r="W216">
        <f t="shared" si="63"/>
        <v>-0.63245553203367588</v>
      </c>
      <c r="X216">
        <f t="shared" si="64"/>
        <v>0</v>
      </c>
      <c r="Y216">
        <f t="shared" si="65"/>
        <v>0.63245553203367588</v>
      </c>
      <c r="Z216">
        <f t="shared" si="66"/>
        <v>1.2649110640673518</v>
      </c>
      <c r="AA216">
        <f t="shared" si="67"/>
        <v>-1.2649110640673518</v>
      </c>
      <c r="AB216">
        <f>IFERROR(V144+MATCH(AA216,V216:Z216,0)-1,"")</f>
        <v>2012</v>
      </c>
      <c r="AC216" t="str">
        <f t="shared" si="68"/>
        <v>Low</v>
      </c>
      <c r="AE216">
        <f>IF(ISNUMBER(MATCH("N/A",J216:N216,0)),"",IFERROR((5 * SUMPRODUCT(J144:N144,J216:N216) - PRODUCT(SUM(J144:N144),SUM(J216:N216))) / ((5 * SUM((J144^2)+(K144^2)+(L144^2)+(M144^2)+(N144^2))) - SUM(J144:N144)^2),""))</f>
        <v>1</v>
      </c>
      <c r="AF216">
        <f>IFERROR(CORREL(J144:N144,J216:N216),"")</f>
        <v>0.99999999999999978</v>
      </c>
      <c r="AZ216">
        <f t="shared" si="69"/>
        <v>1</v>
      </c>
      <c r="BA216" t="str">
        <f>IF(AZ216=1,IF(Q216="","",IF(Q216=N144,"Yes","No")),"")</f>
        <v>Yes</v>
      </c>
      <c r="BB216">
        <f t="shared" si="70"/>
        <v>2016</v>
      </c>
      <c r="BC216" t="str">
        <f>IF(AZ216=1,IF(S216="","",IF(S216=N144,"Yes","No")),"")</f>
        <v>No</v>
      </c>
      <c r="BD216" t="str">
        <f t="shared" si="71"/>
        <v/>
      </c>
      <c r="BE216" t="str">
        <f t="shared" si="72"/>
        <v>Increasing</v>
      </c>
      <c r="BF216" t="str">
        <f t="shared" si="73"/>
        <v>Yes</v>
      </c>
      <c r="BG216" t="str">
        <f t="shared" si="74"/>
        <v>Yes</v>
      </c>
      <c r="BH216" t="str">
        <f t="shared" si="75"/>
        <v>Yes</v>
      </c>
    </row>
    <row r="217" spans="1:60" x14ac:dyDescent="0.3">
      <c r="A217" s="1">
        <v>0</v>
      </c>
      <c r="B217" t="s">
        <v>3465</v>
      </c>
      <c r="C217" t="s">
        <v>3466</v>
      </c>
      <c r="D217" t="s">
        <v>3467</v>
      </c>
      <c r="E217" t="s">
        <v>3468</v>
      </c>
      <c r="F217" t="s">
        <v>3469</v>
      </c>
      <c r="G217" t="s">
        <v>3470</v>
      </c>
      <c r="I217" t="str">
        <f t="shared" si="52"/>
        <v>N/A</v>
      </c>
      <c r="J217">
        <f t="shared" si="53"/>
        <v>46130000</v>
      </c>
      <c r="K217">
        <f t="shared" si="54"/>
        <v>33880000</v>
      </c>
      <c r="L217">
        <f t="shared" si="55"/>
        <v>29860000</v>
      </c>
      <c r="M217">
        <f t="shared" si="56"/>
        <v>35560000</v>
      </c>
      <c r="N217">
        <f t="shared" si="57"/>
        <v>36700000</v>
      </c>
      <c r="P217">
        <f t="shared" si="58"/>
        <v>46130000</v>
      </c>
      <c r="Q217">
        <f>IFERROR(J144+MATCH(P217,J217:N217,0)-1,"")</f>
        <v>2012</v>
      </c>
      <c r="R217">
        <f t="shared" si="59"/>
        <v>29860000</v>
      </c>
      <c r="S217">
        <f>IFERROR(J144+MATCH(R217,J217:N217,0)-1,"")</f>
        <v>2014</v>
      </c>
      <c r="T217">
        <f t="shared" si="60"/>
        <v>36426000</v>
      </c>
      <c r="U217">
        <f t="shared" si="61"/>
        <v>6012219.2242133021</v>
      </c>
      <c r="V217">
        <f t="shared" si="62"/>
        <v>1.6140462677938638</v>
      </c>
      <c r="W217">
        <f t="shared" si="63"/>
        <v>-0.42347091898219058</v>
      </c>
      <c r="X217">
        <f t="shared" si="64"/>
        <v>-1.0921092121119651</v>
      </c>
      <c r="Y217">
        <f t="shared" si="65"/>
        <v>-0.14403999051004598</v>
      </c>
      <c r="Z217">
        <f t="shared" si="66"/>
        <v>4.5573853810337871E-2</v>
      </c>
      <c r="AA217">
        <f t="shared" si="67"/>
        <v>1.6140462677938638</v>
      </c>
      <c r="AB217">
        <f>IFERROR(V144+MATCH(AA217,V217:Z217,0)-1,"")</f>
        <v>2012</v>
      </c>
      <c r="AC217" t="str">
        <f t="shared" si="68"/>
        <v>High</v>
      </c>
      <c r="AE217">
        <f>IF(ISNUMBER(MATCH("N/A",J217:N217,0)),"",IFERROR((5 * SUMPRODUCT(J144:N144,J217:N217) - PRODUCT(SUM(J144:N144),SUM(J217:N217))) / ((5 * SUM((J144^2)+(K144^2)+(L144^2)+(M144^2)+(N144^2))) - SUM(J144:N144)^2),""))</f>
        <v>-1718000</v>
      </c>
      <c r="AF217">
        <f>IFERROR(CORREL(J144:N144,J217:N217),"")</f>
        <v>-0.45181261839966885</v>
      </c>
      <c r="AZ217">
        <f t="shared" si="69"/>
        <v>1</v>
      </c>
      <c r="BA217" t="str">
        <f>IF(AZ217=1,IF(Q217="","",IF(Q217=N144,"Yes","No")),"")</f>
        <v>No</v>
      </c>
      <c r="BB217" t="str">
        <f t="shared" si="70"/>
        <v/>
      </c>
      <c r="BC217" t="str">
        <f>IF(AZ217=1,IF(S217="","",IF(S217=N144,"Yes","No")),"")</f>
        <v>No</v>
      </c>
      <c r="BD217" t="str">
        <f t="shared" si="71"/>
        <v/>
      </c>
      <c r="BE217" t="str">
        <f t="shared" si="72"/>
        <v>Decreasing</v>
      </c>
      <c r="BF217" t="str">
        <f t="shared" si="73"/>
        <v>No</v>
      </c>
      <c r="BG217" t="str">
        <f t="shared" si="74"/>
        <v>No</v>
      </c>
      <c r="BH217" t="str">
        <f t="shared" si="75"/>
        <v>No</v>
      </c>
    </row>
    <row r="218" spans="1:60" x14ac:dyDescent="0.3">
      <c r="A218" s="1">
        <v>1</v>
      </c>
      <c r="B218" t="s">
        <v>3471</v>
      </c>
      <c r="C218" t="s">
        <v>264</v>
      </c>
      <c r="D218" t="s">
        <v>3472</v>
      </c>
      <c r="E218" t="s">
        <v>3473</v>
      </c>
      <c r="F218" t="s">
        <v>3474</v>
      </c>
      <c r="G218" t="s">
        <v>3475</v>
      </c>
      <c r="I218" t="str">
        <f t="shared" si="52"/>
        <v>N/A</v>
      </c>
      <c r="J218" t="str">
        <f t="shared" si="53"/>
        <v>N/A</v>
      </c>
      <c r="K218">
        <f t="shared" si="54"/>
        <v>-0.26550000000000001</v>
      </c>
      <c r="L218">
        <f t="shared" si="55"/>
        <v>-0.11880000000000002</v>
      </c>
      <c r="M218">
        <f t="shared" si="56"/>
        <v>0.19100000000000003</v>
      </c>
      <c r="N218">
        <f t="shared" si="57"/>
        <v>3.1899999999999998E-2</v>
      </c>
      <c r="P218">
        <f t="shared" si="58"/>
        <v>0.19100000000000003</v>
      </c>
      <c r="Q218">
        <f>IFERROR(J144+MATCH(P218,J218:N218,0)-1,"")</f>
        <v>2015</v>
      </c>
      <c r="R218">
        <f t="shared" si="59"/>
        <v>-0.26550000000000001</v>
      </c>
      <c r="S218">
        <f>IFERROR(J144+MATCH(R218,J218:N218,0)-1,"")</f>
        <v>2013</v>
      </c>
      <c r="T218">
        <f t="shared" si="60"/>
        <v>-4.0349999999999997E-2</v>
      </c>
      <c r="U218">
        <f t="shared" si="61"/>
        <v>0.19629043957021106</v>
      </c>
      <c r="V218" t="str">
        <f t="shared" si="62"/>
        <v/>
      </c>
      <c r="W218">
        <f t="shared" si="63"/>
        <v>-1.1470247888434026</v>
      </c>
      <c r="X218">
        <f t="shared" si="64"/>
        <v>-0.39966286779820098</v>
      </c>
      <c r="Y218">
        <f t="shared" si="65"/>
        <v>1.178610636903936</v>
      </c>
      <c r="Z218">
        <f t="shared" si="66"/>
        <v>0.36807701973766743</v>
      </c>
      <c r="AA218">
        <f t="shared" si="67"/>
        <v>1.178610636903936</v>
      </c>
      <c r="AB218">
        <f>IFERROR(V144+MATCH(AA218,V218:Z218,0)-1,"")</f>
        <v>2015</v>
      </c>
      <c r="AC218" t="str">
        <f t="shared" si="68"/>
        <v>High</v>
      </c>
      <c r="AE218" t="str">
        <f>IF(ISNUMBER(MATCH("N/A",J218:N218,0)),"",IFERROR((5 * SUMPRODUCT(J144:N144,J218:N218) - PRODUCT(SUM(J144:N144),SUM(J218:N218))) / ((5 * SUM((J144^2)+(K144^2)+(L144^2)+(M144^2)+(N144^2))) - SUM(J144:N144)^2),""))</f>
        <v/>
      </c>
      <c r="AF218">
        <f>IFERROR(CORREL(J144:N144,J218:N218),"")</f>
        <v>0.79055064056004853</v>
      </c>
      <c r="AZ218">
        <f t="shared" si="69"/>
        <v>1</v>
      </c>
      <c r="BA218" t="str">
        <f>IF(AZ218=1,IF(Q218="","",IF(Q218=N144,"Yes","No")),"")</f>
        <v>No</v>
      </c>
      <c r="BB218" t="str">
        <f t="shared" si="70"/>
        <v/>
      </c>
      <c r="BC218" t="str">
        <f>IF(AZ218=1,IF(S218="","",IF(S218=N144,"Yes","No")),"")</f>
        <v>No</v>
      </c>
      <c r="BD218" t="str">
        <f t="shared" si="71"/>
        <v/>
      </c>
      <c r="BE218" t="str">
        <f t="shared" si="72"/>
        <v/>
      </c>
      <c r="BF218" t="str">
        <f t="shared" si="73"/>
        <v>No</v>
      </c>
      <c r="BG218" t="str">
        <f t="shared" si="74"/>
        <v>No</v>
      </c>
      <c r="BH218" t="str">
        <f t="shared" si="75"/>
        <v>No</v>
      </c>
    </row>
    <row r="219" spans="1:60" x14ac:dyDescent="0.3">
      <c r="A219" s="1">
        <v>2</v>
      </c>
      <c r="B219" t="s">
        <v>3476</v>
      </c>
      <c r="C219" t="s">
        <v>3477</v>
      </c>
      <c r="D219" t="s">
        <v>3478</v>
      </c>
      <c r="E219" t="s">
        <v>3479</v>
      </c>
      <c r="F219" t="s">
        <v>3480</v>
      </c>
      <c r="G219" t="s">
        <v>3481</v>
      </c>
      <c r="I219" t="str">
        <f t="shared" si="52"/>
        <v>neg_trend</v>
      </c>
      <c r="J219">
        <f t="shared" si="53"/>
        <v>221400000</v>
      </c>
      <c r="K219">
        <f t="shared" si="54"/>
        <v>215480000</v>
      </c>
      <c r="L219">
        <f t="shared" si="55"/>
        <v>212900000</v>
      </c>
      <c r="M219">
        <f t="shared" si="56"/>
        <v>212400000</v>
      </c>
      <c r="N219">
        <f t="shared" si="57"/>
        <v>212190000</v>
      </c>
      <c r="P219">
        <f t="shared" si="58"/>
        <v>221400000</v>
      </c>
      <c r="Q219">
        <f>IFERROR(J144+MATCH(P219,J219:N219,0)-1,"")</f>
        <v>2012</v>
      </c>
      <c r="R219">
        <f t="shared" si="59"/>
        <v>212190000</v>
      </c>
      <c r="S219">
        <f>IFERROR(J144+MATCH(R219,J219:N219,0)-1,"")</f>
        <v>2016</v>
      </c>
      <c r="T219">
        <f t="shared" si="60"/>
        <v>214874000</v>
      </c>
      <c r="U219">
        <f t="shared" si="61"/>
        <v>3878695.6570476112</v>
      </c>
      <c r="V219">
        <f t="shared" si="62"/>
        <v>1.6825243785606696</v>
      </c>
      <c r="W219">
        <f t="shared" si="63"/>
        <v>0.15623808970391753</v>
      </c>
      <c r="X219">
        <f t="shared" si="64"/>
        <v>-0.508933975372167</v>
      </c>
      <c r="Y219">
        <f t="shared" si="65"/>
        <v>-0.63784329030939269</v>
      </c>
      <c r="Z219">
        <f t="shared" si="66"/>
        <v>-0.69198520258302743</v>
      </c>
      <c r="AA219">
        <f t="shared" si="67"/>
        <v>1.6825243785606696</v>
      </c>
      <c r="AB219">
        <f>IFERROR(V144+MATCH(AA219,V219:Z219,0)-1,"")</f>
        <v>2012</v>
      </c>
      <c r="AC219" t="str">
        <f t="shared" si="68"/>
        <v>High</v>
      </c>
      <c r="AE219">
        <f>IF(ISNUMBER(MATCH("N/A",J219:N219,0)),"",IFERROR((5 * SUMPRODUCT(J144:N144,J219:N219) - PRODUCT(SUM(J144:N144),SUM(J219:N219))) / ((5 * SUM((J144^2)+(K144^2)+(L144^2)+(M144^2)+(N144^2))) - SUM(J144:N144)^2),""))</f>
        <v>-2150000</v>
      </c>
      <c r="AF219">
        <f>IFERROR(CORREL(J144:N144,J219:N219),"")</f>
        <v>-0.87644115064923711</v>
      </c>
      <c r="AZ219">
        <f t="shared" si="69"/>
        <v>1</v>
      </c>
      <c r="BA219" t="str">
        <f>IF(AZ219=1,IF(Q219="","",IF(Q219=N144,"Yes","No")),"")</f>
        <v>No</v>
      </c>
      <c r="BB219" t="str">
        <f t="shared" si="70"/>
        <v/>
      </c>
      <c r="BC219" t="str">
        <f>IF(AZ219=1,IF(S219="","",IF(S219=N144,"Yes","No")),"")</f>
        <v>Yes</v>
      </c>
      <c r="BD219">
        <f t="shared" si="71"/>
        <v>212190000</v>
      </c>
      <c r="BE219" t="str">
        <f t="shared" si="72"/>
        <v>Decreasing</v>
      </c>
      <c r="BF219" t="str">
        <f t="shared" si="73"/>
        <v>Yes</v>
      </c>
      <c r="BG219" t="str">
        <f t="shared" si="74"/>
        <v>No</v>
      </c>
      <c r="BH219" t="str">
        <f t="shared" si="75"/>
        <v>Yes</v>
      </c>
    </row>
    <row r="220" spans="1:60" x14ac:dyDescent="0.3">
      <c r="A220" s="1">
        <v>3</v>
      </c>
      <c r="B220" t="s">
        <v>3482</v>
      </c>
      <c r="C220" t="s">
        <v>264</v>
      </c>
      <c r="D220" t="s">
        <v>264</v>
      </c>
      <c r="E220" t="s">
        <v>264</v>
      </c>
      <c r="F220" t="s">
        <v>264</v>
      </c>
      <c r="G220" t="s">
        <v>264</v>
      </c>
      <c r="I220" t="str">
        <f t="shared" si="52"/>
        <v>N/A</v>
      </c>
      <c r="J220" t="str">
        <f t="shared" si="53"/>
        <v>N/A</v>
      </c>
      <c r="K220" t="str">
        <f t="shared" si="54"/>
        <v>N/A</v>
      </c>
      <c r="L220" t="str">
        <f t="shared" si="55"/>
        <v>N/A</v>
      </c>
      <c r="M220" t="str">
        <f t="shared" si="56"/>
        <v>N/A</v>
      </c>
      <c r="N220" t="str">
        <f t="shared" si="57"/>
        <v>N/A</v>
      </c>
      <c r="P220">
        <f t="shared" si="58"/>
        <v>0</v>
      </c>
      <c r="Q220" t="str">
        <f>IFERROR(J144+MATCH(P220,J220:N220,0)-1,"")</f>
        <v/>
      </c>
      <c r="R220" t="str">
        <f t="shared" si="59"/>
        <v/>
      </c>
      <c r="S220" t="str">
        <f>IFERROR(J144+MATCH(R220,J220:N220,0)-1,"")</f>
        <v/>
      </c>
      <c r="T220" t="str">
        <f t="shared" si="60"/>
        <v/>
      </c>
      <c r="U220" t="str">
        <f t="shared" si="61"/>
        <v/>
      </c>
      <c r="V220" t="str">
        <f t="shared" si="62"/>
        <v/>
      </c>
      <c r="W220" t="str">
        <f t="shared" si="63"/>
        <v/>
      </c>
      <c r="X220" t="str">
        <f t="shared" si="64"/>
        <v/>
      </c>
      <c r="Y220" t="str">
        <f t="shared" si="65"/>
        <v/>
      </c>
      <c r="Z220" t="str">
        <f t="shared" si="66"/>
        <v/>
      </c>
      <c r="AA220">
        <f t="shared" si="67"/>
        <v>0</v>
      </c>
      <c r="AB220" t="str">
        <f>IFERROR(V144+MATCH(AA220,V220:Z220,0)-1,"")</f>
        <v/>
      </c>
      <c r="AC220" t="str">
        <f t="shared" si="68"/>
        <v/>
      </c>
      <c r="AE220" t="str">
        <f>IF(ISNUMBER(MATCH("N/A",J220:N220,0)),"",IFERROR((5 * SUMPRODUCT(J144:N144,J220:N220) - PRODUCT(SUM(J144:N144),SUM(J220:N220))) / ((5 * SUM((J144^2)+(K144^2)+(L144^2)+(M144^2)+(N144^2))) - SUM(J144:N144)^2),""))</f>
        <v/>
      </c>
      <c r="AF220" t="str">
        <f>IFERROR(CORREL(J144:N144,J220:N220),"")</f>
        <v/>
      </c>
      <c r="AZ220">
        <f t="shared" si="69"/>
        <v>0</v>
      </c>
      <c r="BA220" t="str">
        <f>IF(AZ220=1,IF(Q220="","",IF(Q220=N144,"Yes","No")),"")</f>
        <v/>
      </c>
      <c r="BB220" t="str">
        <f t="shared" si="70"/>
        <v/>
      </c>
      <c r="BC220" t="str">
        <f>IF(AZ220=1,IF(S220="","",IF(S220=N144,"Yes","No")),"")</f>
        <v/>
      </c>
      <c r="BD220" t="str">
        <f t="shared" si="71"/>
        <v/>
      </c>
      <c r="BE220" t="str">
        <f t="shared" si="72"/>
        <v/>
      </c>
      <c r="BF220" t="str">
        <f t="shared" si="73"/>
        <v>No</v>
      </c>
      <c r="BG220" t="str">
        <f t="shared" si="74"/>
        <v>No</v>
      </c>
      <c r="BH220" t="str">
        <f t="shared" si="75"/>
        <v/>
      </c>
    </row>
    <row r="221" spans="1:60" x14ac:dyDescent="0.3">
      <c r="A221" s="1">
        <v>4</v>
      </c>
      <c r="B221" t="s">
        <v>3483</v>
      </c>
      <c r="C221" t="s">
        <v>264</v>
      </c>
      <c r="D221" t="s">
        <v>264</v>
      </c>
      <c r="E221" t="s">
        <v>264</v>
      </c>
      <c r="F221" t="s">
        <v>264</v>
      </c>
      <c r="G221" t="s">
        <v>264</v>
      </c>
      <c r="I221" t="str">
        <f t="shared" si="52"/>
        <v>N/A</v>
      </c>
      <c r="J221" t="str">
        <f t="shared" si="53"/>
        <v>N/A</v>
      </c>
      <c r="K221" t="str">
        <f t="shared" si="54"/>
        <v>N/A</v>
      </c>
      <c r="L221" t="str">
        <f t="shared" si="55"/>
        <v>N/A</v>
      </c>
      <c r="M221" t="str">
        <f t="shared" si="56"/>
        <v>N/A</v>
      </c>
      <c r="N221" t="str">
        <f t="shared" si="57"/>
        <v>N/A</v>
      </c>
      <c r="P221">
        <f t="shared" si="58"/>
        <v>0</v>
      </c>
      <c r="Q221" t="str">
        <f>IFERROR(J144+MATCH(P221,J221:N221,0)-1,"")</f>
        <v/>
      </c>
      <c r="R221" t="str">
        <f t="shared" si="59"/>
        <v/>
      </c>
      <c r="S221" t="str">
        <f>IFERROR(J144+MATCH(R221,J221:N221,0)-1,"")</f>
        <v/>
      </c>
      <c r="T221" t="str">
        <f t="shared" si="60"/>
        <v/>
      </c>
      <c r="U221" t="str">
        <f t="shared" si="61"/>
        <v/>
      </c>
      <c r="V221" t="str">
        <f t="shared" si="62"/>
        <v/>
      </c>
      <c r="W221" t="str">
        <f t="shared" si="63"/>
        <v/>
      </c>
      <c r="X221" t="str">
        <f t="shared" si="64"/>
        <v/>
      </c>
      <c r="Y221" t="str">
        <f t="shared" si="65"/>
        <v/>
      </c>
      <c r="Z221" t="str">
        <f t="shared" si="66"/>
        <v/>
      </c>
      <c r="AA221">
        <f t="shared" si="67"/>
        <v>0</v>
      </c>
      <c r="AB221" t="str">
        <f>IFERROR(V144+MATCH(AA221,V221:Z221,0)-1,"")</f>
        <v/>
      </c>
      <c r="AC221" t="str">
        <f t="shared" si="68"/>
        <v/>
      </c>
      <c r="AE221" t="str">
        <f>IF(ISNUMBER(MATCH("N/A",J221:N221,0)),"",IFERROR((5 * SUMPRODUCT(J144:N144,J221:N221) - PRODUCT(SUM(J144:N144),SUM(J221:N221))) / ((5 * SUM((J144^2)+(K144^2)+(L144^2)+(M144^2)+(N144^2))) - SUM(J144:N144)^2),""))</f>
        <v/>
      </c>
      <c r="AF221" t="str">
        <f>IFERROR(CORREL(J144:N144,J221:N221),"")</f>
        <v/>
      </c>
      <c r="AZ221">
        <f t="shared" si="69"/>
        <v>0</v>
      </c>
      <c r="BA221" t="str">
        <f>IF(AZ221=1,IF(Q221="","",IF(Q221=N144,"Yes","No")),"")</f>
        <v/>
      </c>
      <c r="BB221" t="str">
        <f t="shared" si="70"/>
        <v/>
      </c>
      <c r="BC221" t="str">
        <f>IF(AZ221=1,IF(S221="","",IF(S221=N144,"Yes","No")),"")</f>
        <v/>
      </c>
      <c r="BD221" t="str">
        <f t="shared" si="71"/>
        <v/>
      </c>
      <c r="BE221" t="str">
        <f t="shared" si="72"/>
        <v/>
      </c>
      <c r="BF221" t="str">
        <f t="shared" si="73"/>
        <v>No</v>
      </c>
      <c r="BG221" t="str">
        <f t="shared" si="74"/>
        <v>No</v>
      </c>
      <c r="BH221" t="str">
        <f t="shared" si="75"/>
        <v/>
      </c>
    </row>
    <row r="222" spans="1:60" x14ac:dyDescent="0.3">
      <c r="A222" s="1">
        <v>5</v>
      </c>
      <c r="B222" t="s">
        <v>3484</v>
      </c>
      <c r="C222" t="s">
        <v>264</v>
      </c>
      <c r="D222" t="s">
        <v>264</v>
      </c>
      <c r="E222" t="s">
        <v>264</v>
      </c>
      <c r="F222" t="s">
        <v>264</v>
      </c>
      <c r="G222" t="s">
        <v>264</v>
      </c>
      <c r="I222" t="str">
        <f t="shared" si="52"/>
        <v>N/A</v>
      </c>
      <c r="J222" t="str">
        <f t="shared" si="53"/>
        <v>N/A</v>
      </c>
      <c r="K222" t="str">
        <f t="shared" si="54"/>
        <v>N/A</v>
      </c>
      <c r="L222" t="str">
        <f t="shared" si="55"/>
        <v>N/A</v>
      </c>
      <c r="M222" t="str">
        <f t="shared" si="56"/>
        <v>N/A</v>
      </c>
      <c r="N222" t="str">
        <f t="shared" si="57"/>
        <v>N/A</v>
      </c>
      <c r="P222">
        <f t="shared" si="58"/>
        <v>0</v>
      </c>
      <c r="Q222" t="str">
        <f>IFERROR(J144+MATCH(P222,J222:N222,0)-1,"")</f>
        <v/>
      </c>
      <c r="R222" t="str">
        <f t="shared" si="59"/>
        <v/>
      </c>
      <c r="S222" t="str">
        <f>IFERROR(J144+MATCH(R222,J222:N222,0)-1,"")</f>
        <v/>
      </c>
      <c r="T222" t="str">
        <f t="shared" si="60"/>
        <v/>
      </c>
      <c r="U222" t="str">
        <f t="shared" si="61"/>
        <v/>
      </c>
      <c r="V222" t="str">
        <f t="shared" si="62"/>
        <v/>
      </c>
      <c r="W222" t="str">
        <f t="shared" si="63"/>
        <v/>
      </c>
      <c r="X222" t="str">
        <f t="shared" si="64"/>
        <v/>
      </c>
      <c r="Y222" t="str">
        <f t="shared" si="65"/>
        <v/>
      </c>
      <c r="Z222" t="str">
        <f t="shared" si="66"/>
        <v/>
      </c>
      <c r="AA222">
        <f t="shared" si="67"/>
        <v>0</v>
      </c>
      <c r="AB222" t="str">
        <f>IFERROR(V144+MATCH(AA222,V222:Z222,0)-1,"")</f>
        <v/>
      </c>
      <c r="AC222" t="str">
        <f t="shared" si="68"/>
        <v/>
      </c>
      <c r="AE222" t="str">
        <f>IF(ISNUMBER(MATCH("N/A",J222:N222,0)),"",IFERROR((5 * SUMPRODUCT(J144:N144,J222:N222) - PRODUCT(SUM(J144:N144),SUM(J222:N222))) / ((5 * SUM((J144^2)+(K144^2)+(L144^2)+(M144^2)+(N144^2))) - SUM(J144:N144)^2),""))</f>
        <v/>
      </c>
      <c r="AF222" t="str">
        <f>IFERROR(CORREL(J144:N144,J222:N222),"")</f>
        <v/>
      </c>
      <c r="AZ222">
        <f t="shared" si="69"/>
        <v>0</v>
      </c>
      <c r="BA222" t="str">
        <f>IF(AZ222=1,IF(Q222="","",IF(Q222=N144,"Yes","No")),"")</f>
        <v/>
      </c>
      <c r="BB222" t="str">
        <f t="shared" si="70"/>
        <v/>
      </c>
      <c r="BC222" t="str">
        <f>IF(AZ222=1,IF(S222="","",IF(S222=N144,"Yes","No")),"")</f>
        <v/>
      </c>
      <c r="BD222" t="str">
        <f t="shared" si="71"/>
        <v/>
      </c>
      <c r="BE222" t="str">
        <f t="shared" si="72"/>
        <v/>
      </c>
      <c r="BF222" t="str">
        <f t="shared" si="73"/>
        <v>No</v>
      </c>
      <c r="BG222" t="str">
        <f t="shared" si="74"/>
        <v>No</v>
      </c>
      <c r="BH222" t="str">
        <f t="shared" si="75"/>
        <v/>
      </c>
    </row>
    <row r="223" spans="1:60" x14ac:dyDescent="0.3">
      <c r="A223" s="1">
        <v>6</v>
      </c>
      <c r="B223" t="s">
        <v>3485</v>
      </c>
      <c r="C223" t="s">
        <v>264</v>
      </c>
      <c r="D223" t="s">
        <v>264</v>
      </c>
      <c r="E223" t="s">
        <v>264</v>
      </c>
      <c r="F223" t="s">
        <v>264</v>
      </c>
      <c r="G223" t="s">
        <v>264</v>
      </c>
      <c r="I223" t="str">
        <f t="shared" si="52"/>
        <v>N/A</v>
      </c>
      <c r="J223" t="str">
        <f t="shared" si="53"/>
        <v>N/A</v>
      </c>
      <c r="K223" t="str">
        <f t="shared" si="54"/>
        <v>N/A</v>
      </c>
      <c r="L223" t="str">
        <f t="shared" si="55"/>
        <v>N/A</v>
      </c>
      <c r="M223" t="str">
        <f t="shared" si="56"/>
        <v>N/A</v>
      </c>
      <c r="N223" t="str">
        <f t="shared" si="57"/>
        <v>N/A</v>
      </c>
      <c r="P223">
        <f t="shared" si="58"/>
        <v>0</v>
      </c>
      <c r="Q223" t="str">
        <f>IFERROR(J144+MATCH(P223,J223:N223,0)-1,"")</f>
        <v/>
      </c>
      <c r="R223" t="str">
        <f t="shared" si="59"/>
        <v/>
      </c>
      <c r="S223" t="str">
        <f>IFERROR(J144+MATCH(R223,J223:N223,0)-1,"")</f>
        <v/>
      </c>
      <c r="T223" t="str">
        <f t="shared" si="60"/>
        <v/>
      </c>
      <c r="U223" t="str">
        <f t="shared" si="61"/>
        <v/>
      </c>
      <c r="V223" t="str">
        <f t="shared" si="62"/>
        <v/>
      </c>
      <c r="W223" t="str">
        <f t="shared" si="63"/>
        <v/>
      </c>
      <c r="X223" t="str">
        <f t="shared" si="64"/>
        <v/>
      </c>
      <c r="Y223" t="str">
        <f t="shared" si="65"/>
        <v/>
      </c>
      <c r="Z223" t="str">
        <f t="shared" si="66"/>
        <v/>
      </c>
      <c r="AA223">
        <f t="shared" si="67"/>
        <v>0</v>
      </c>
      <c r="AB223" t="str">
        <f>IFERROR(V144+MATCH(AA223,V223:Z223,0)-1,"")</f>
        <v/>
      </c>
      <c r="AC223" t="str">
        <f t="shared" si="68"/>
        <v/>
      </c>
      <c r="AE223" t="str">
        <f>IF(ISNUMBER(MATCH("N/A",J223:N223,0)),"",IFERROR((5 * SUMPRODUCT(J144:N144,J223:N223) - PRODUCT(SUM(J144:N144),SUM(J223:N223))) / ((5 * SUM((J144^2)+(K144^2)+(L144^2)+(M144^2)+(N144^2))) - SUM(J144:N144)^2),""))</f>
        <v/>
      </c>
      <c r="AF223" t="str">
        <f>IFERROR(CORREL(J144:N144,J223:N223),"")</f>
        <v/>
      </c>
      <c r="AZ223">
        <f t="shared" si="69"/>
        <v>0</v>
      </c>
      <c r="BA223" t="str">
        <f>IF(AZ223=1,IF(Q223="","",IF(Q223=N144,"Yes","No")),"")</f>
        <v/>
      </c>
      <c r="BB223" t="str">
        <f t="shared" si="70"/>
        <v/>
      </c>
      <c r="BC223" t="str">
        <f>IF(AZ223=1,IF(S223="","",IF(S223=N144,"Yes","No")),"")</f>
        <v/>
      </c>
      <c r="BD223" t="str">
        <f t="shared" si="71"/>
        <v/>
      </c>
      <c r="BE223" t="str">
        <f t="shared" si="72"/>
        <v/>
      </c>
      <c r="BF223" t="str">
        <f t="shared" si="73"/>
        <v>No</v>
      </c>
      <c r="BG223" t="str">
        <f t="shared" si="74"/>
        <v>No</v>
      </c>
      <c r="BH223" t="str">
        <f t="shared" si="75"/>
        <v/>
      </c>
    </row>
    <row r="224" spans="1:60" x14ac:dyDescent="0.3">
      <c r="A224" s="1">
        <v>7</v>
      </c>
      <c r="B224" t="s">
        <v>3486</v>
      </c>
      <c r="C224" t="s">
        <v>3487</v>
      </c>
      <c r="D224" t="s">
        <v>3345</v>
      </c>
      <c r="E224" t="s">
        <v>3488</v>
      </c>
      <c r="F224" t="s">
        <v>3489</v>
      </c>
      <c r="G224" t="s">
        <v>3490</v>
      </c>
      <c r="I224" t="str">
        <f t="shared" si="52"/>
        <v>neg_trend</v>
      </c>
      <c r="J224">
        <f t="shared" si="53"/>
        <v>54290000</v>
      </c>
      <c r="K224">
        <f t="shared" si="54"/>
        <v>51560000</v>
      </c>
      <c r="L224">
        <f t="shared" si="55"/>
        <v>42900000</v>
      </c>
      <c r="M224">
        <f t="shared" si="56"/>
        <v>40940000</v>
      </c>
      <c r="N224">
        <f t="shared" si="57"/>
        <v>37450000</v>
      </c>
      <c r="P224">
        <f t="shared" si="58"/>
        <v>54290000</v>
      </c>
      <c r="Q224">
        <f>IFERROR(J144+MATCH(P224,J224:N224,0)-1,"")</f>
        <v>2012</v>
      </c>
      <c r="R224">
        <f t="shared" si="59"/>
        <v>37450000</v>
      </c>
      <c r="S224">
        <f>IFERROR(J144+MATCH(R224,J224:N224,0)-1,"")</f>
        <v>2016</v>
      </c>
      <c r="T224">
        <f t="shared" si="60"/>
        <v>45428000</v>
      </c>
      <c r="U224">
        <f t="shared" si="61"/>
        <v>7181884.8500933237</v>
      </c>
      <c r="V224">
        <f t="shared" si="62"/>
        <v>1.2339379125362675</v>
      </c>
      <c r="W224">
        <f t="shared" si="63"/>
        <v>0.85381485891135089</v>
      </c>
      <c r="X224">
        <f t="shared" si="64"/>
        <v>-0.35199673244094831</v>
      </c>
      <c r="Y224">
        <f t="shared" si="65"/>
        <v>-0.62490559145370894</v>
      </c>
      <c r="Z224">
        <f t="shared" si="66"/>
        <v>-1.1108504475529613</v>
      </c>
      <c r="AA224">
        <f t="shared" si="67"/>
        <v>1.2339379125362675</v>
      </c>
      <c r="AB224">
        <f>IFERROR(V144+MATCH(AA224,V224:Z224,0)-1,"")</f>
        <v>2012</v>
      </c>
      <c r="AC224" t="str">
        <f t="shared" si="68"/>
        <v>High</v>
      </c>
      <c r="AE224">
        <f>IF(ISNUMBER(MATCH("N/A",J224:N224,0)),"",IFERROR((5 * SUMPRODUCT(J144:N144,J224:N224) - PRODUCT(SUM(J144:N144),SUM(J224:N224))) / ((5 * SUM((J144^2)+(K144^2)+(L144^2)+(M144^2)+(N144^2))) - SUM(J144:N144)^2),""))</f>
        <v>-4430000</v>
      </c>
      <c r="AF224">
        <f>IFERROR(CORREL(J144:N144,J224:N224),"")</f>
        <v>-0.97529341718447937</v>
      </c>
      <c r="AZ224">
        <f t="shared" si="69"/>
        <v>1</v>
      </c>
      <c r="BA224" t="str">
        <f>IF(AZ224=1,IF(Q224="","",IF(Q224=N144,"Yes","No")),"")</f>
        <v>No</v>
      </c>
      <c r="BB224" t="str">
        <f t="shared" si="70"/>
        <v/>
      </c>
      <c r="BC224" t="str">
        <f>IF(AZ224=1,IF(S224="","",IF(S224=N144,"Yes","No")),"")</f>
        <v>Yes</v>
      </c>
      <c r="BD224">
        <f t="shared" si="71"/>
        <v>37450000</v>
      </c>
      <c r="BE224" t="str">
        <f t="shared" si="72"/>
        <v>Decreasing</v>
      </c>
      <c r="BF224" t="str">
        <f t="shared" si="73"/>
        <v>Yes</v>
      </c>
      <c r="BG224" t="str">
        <f t="shared" si="74"/>
        <v>No</v>
      </c>
      <c r="BH224" t="str">
        <f t="shared" si="75"/>
        <v>Yes</v>
      </c>
    </row>
    <row r="225" spans="1:60" x14ac:dyDescent="0.3">
      <c r="A225" s="1">
        <v>8</v>
      </c>
      <c r="B225" t="s">
        <v>3491</v>
      </c>
      <c r="C225" t="s">
        <v>264</v>
      </c>
      <c r="D225" t="s">
        <v>3492</v>
      </c>
      <c r="E225" t="s">
        <v>264</v>
      </c>
      <c r="F225" t="s">
        <v>3493</v>
      </c>
      <c r="G225" t="s">
        <v>3494</v>
      </c>
      <c r="I225" t="str">
        <f t="shared" si="52"/>
        <v>N/A</v>
      </c>
      <c r="J225" t="str">
        <f t="shared" si="53"/>
        <v>N/A</v>
      </c>
      <c r="K225">
        <f t="shared" si="54"/>
        <v>15420000</v>
      </c>
      <c r="L225" t="str">
        <f t="shared" si="55"/>
        <v>N/A</v>
      </c>
      <c r="M225">
        <f t="shared" si="56"/>
        <v>13450000</v>
      </c>
      <c r="N225">
        <f t="shared" si="57"/>
        <v>14060000</v>
      </c>
      <c r="P225">
        <f t="shared" si="58"/>
        <v>15420000</v>
      </c>
      <c r="Q225">
        <f>IFERROR(J144+MATCH(P225,J225:N225,0)-1,"")</f>
        <v>2013</v>
      </c>
      <c r="R225">
        <f t="shared" si="59"/>
        <v>13450000</v>
      </c>
      <c r="S225">
        <f>IFERROR(J144+MATCH(R225,J225:N225,0)-1,"")</f>
        <v>2015</v>
      </c>
      <c r="T225">
        <f t="shared" si="60"/>
        <v>14310000</v>
      </c>
      <c r="U225">
        <f t="shared" si="61"/>
        <v>1008513.7579626765</v>
      </c>
      <c r="V225" t="str">
        <f t="shared" si="62"/>
        <v/>
      </c>
      <c r="W225">
        <f t="shared" si="63"/>
        <v>1.1006295067727567</v>
      </c>
      <c r="X225" t="str">
        <f t="shared" si="64"/>
        <v/>
      </c>
      <c r="Y225">
        <f t="shared" si="65"/>
        <v>-0.85273997822033409</v>
      </c>
      <c r="Z225">
        <f t="shared" si="66"/>
        <v>-0.24788952855242269</v>
      </c>
      <c r="AA225">
        <f t="shared" si="67"/>
        <v>1.1006295067727567</v>
      </c>
      <c r="AB225">
        <f>IFERROR(V144+MATCH(AA225,V225:Z225,0)-1,"")</f>
        <v>2013</v>
      </c>
      <c r="AC225" t="str">
        <f t="shared" si="68"/>
        <v>High</v>
      </c>
      <c r="AE225" t="str">
        <f>IF(ISNUMBER(MATCH("N/A",J225:N225,0)),"",IFERROR((5 * SUMPRODUCT(J144:N144,J225:N225) - PRODUCT(SUM(J144:N144),SUM(J225:N225))) / ((5 * SUM((J144^2)+(K144^2)+(L144^2)+(M144^2)+(N144^2))) - SUM(J144:N144)^2),""))</f>
        <v/>
      </c>
      <c r="AF225">
        <f>IFERROR(CORREL(J144:N144,J225:N225),"")</f>
        <v>-0.80167204159675243</v>
      </c>
      <c r="AZ225">
        <f t="shared" si="69"/>
        <v>1</v>
      </c>
      <c r="BA225" t="str">
        <f>IF(AZ225=1,IF(Q225="","",IF(Q225=N144,"Yes","No")),"")</f>
        <v>No</v>
      </c>
      <c r="BB225" t="str">
        <f t="shared" si="70"/>
        <v/>
      </c>
      <c r="BC225" t="str">
        <f>IF(AZ225=1,IF(S225="","",IF(S225=N144,"Yes","No")),"")</f>
        <v>No</v>
      </c>
      <c r="BD225" t="str">
        <f t="shared" si="71"/>
        <v/>
      </c>
      <c r="BE225" t="str">
        <f t="shared" si="72"/>
        <v/>
      </c>
      <c r="BF225" t="str">
        <f t="shared" si="73"/>
        <v>No</v>
      </c>
      <c r="BG225" t="str">
        <f t="shared" si="74"/>
        <v>No</v>
      </c>
      <c r="BH225" t="str">
        <f t="shared" si="75"/>
        <v>Yes</v>
      </c>
    </row>
    <row r="226" spans="1:60" x14ac:dyDescent="0.3">
      <c r="A226" s="1">
        <v>9</v>
      </c>
      <c r="B226" t="s">
        <v>3495</v>
      </c>
      <c r="C226" t="s">
        <v>3496</v>
      </c>
      <c r="D226" t="s">
        <v>3497</v>
      </c>
      <c r="E226" t="s">
        <v>3498</v>
      </c>
      <c r="F226" t="s">
        <v>3499</v>
      </c>
      <c r="G226" t="s">
        <v>3500</v>
      </c>
      <c r="I226" t="str">
        <f t="shared" si="52"/>
        <v>pos_trend</v>
      </c>
      <c r="J226">
        <f t="shared" si="53"/>
        <v>79810000</v>
      </c>
      <c r="K226">
        <f t="shared" si="54"/>
        <v>80630000</v>
      </c>
      <c r="L226">
        <f t="shared" si="55"/>
        <v>88020000</v>
      </c>
      <c r="M226">
        <f t="shared" si="56"/>
        <v>92150000</v>
      </c>
      <c r="N226">
        <f t="shared" si="57"/>
        <v>95000000</v>
      </c>
      <c r="P226">
        <f t="shared" si="58"/>
        <v>95000000</v>
      </c>
      <c r="Q226">
        <f>IFERROR(J144+MATCH(P226,J226:N226,0)-1,"")</f>
        <v>2016</v>
      </c>
      <c r="R226">
        <f t="shared" si="59"/>
        <v>79810000</v>
      </c>
      <c r="S226">
        <f>IFERROR(J144+MATCH(R226,J226:N226,0)-1,"")</f>
        <v>2012</v>
      </c>
      <c r="T226">
        <f t="shared" si="60"/>
        <v>87122000</v>
      </c>
      <c r="U226">
        <f t="shared" si="61"/>
        <v>6777932.5756457625</v>
      </c>
      <c r="V226">
        <f t="shared" si="62"/>
        <v>-1.0787950334993344</v>
      </c>
      <c r="W226">
        <f t="shared" si="63"/>
        <v>-0.95781419002703483</v>
      </c>
      <c r="X226">
        <f t="shared" si="64"/>
        <v>0.13248877736356704</v>
      </c>
      <c r="Y226">
        <f t="shared" si="65"/>
        <v>0.74181912314478293</v>
      </c>
      <c r="Z226">
        <f t="shared" si="66"/>
        <v>1.1623013230180193</v>
      </c>
      <c r="AA226">
        <f t="shared" si="67"/>
        <v>1.1623013230180193</v>
      </c>
      <c r="AB226">
        <f>IFERROR(V144+MATCH(AA226,V226:Z226,0)-1,"")</f>
        <v>2016</v>
      </c>
      <c r="AC226" t="str">
        <f t="shared" si="68"/>
        <v>High</v>
      </c>
      <c r="AE226">
        <f>IF(ISNUMBER(MATCH("N/A",J226:N226,0)),"",IFERROR((5 * SUMPRODUCT(J144:N144,J226:N226) - PRODUCT(SUM(J144:N144),SUM(J226:N226))) / ((5 * SUM((J144^2)+(K144^2)+(L144^2)+(M144^2)+(N144^2))) - SUM(J144:N144)^2),""))</f>
        <v>4190000</v>
      </c>
      <c r="AF226">
        <f>IFERROR(CORREL(J144:N144,J226:N226),"")</f>
        <v>0.97743251708601797</v>
      </c>
      <c r="AZ226">
        <f t="shared" si="69"/>
        <v>1</v>
      </c>
      <c r="BA226" t="str">
        <f>IF(AZ226=1,IF(Q226="","",IF(Q226=N144,"Yes","No")),"")</f>
        <v>Yes</v>
      </c>
      <c r="BB226">
        <f t="shared" si="70"/>
        <v>95000000</v>
      </c>
      <c r="BC226" t="str">
        <f>IF(AZ226=1,IF(S226="","",IF(S226=N144,"Yes","No")),"")</f>
        <v>No</v>
      </c>
      <c r="BD226" t="str">
        <f t="shared" si="71"/>
        <v/>
      </c>
      <c r="BE226" t="str">
        <f t="shared" si="72"/>
        <v>Increasing</v>
      </c>
      <c r="BF226" t="str">
        <f t="shared" si="73"/>
        <v>Yes</v>
      </c>
      <c r="BG226" t="str">
        <f t="shared" si="74"/>
        <v>Yes</v>
      </c>
      <c r="BH226" t="str">
        <f t="shared" si="75"/>
        <v>Yes</v>
      </c>
    </row>
    <row r="227" spans="1:60" x14ac:dyDescent="0.3">
      <c r="A227" s="1">
        <v>10</v>
      </c>
      <c r="B227" t="s">
        <v>3501</v>
      </c>
      <c r="C227" t="s">
        <v>3502</v>
      </c>
      <c r="D227" t="s">
        <v>3503</v>
      </c>
      <c r="E227" t="s">
        <v>3504</v>
      </c>
      <c r="F227" t="s">
        <v>3505</v>
      </c>
      <c r="G227" t="s">
        <v>3506</v>
      </c>
      <c r="P227">
        <f t="shared" si="58"/>
        <v>0</v>
      </c>
      <c r="Q227" t="str">
        <f>IFERROR(J144+MATCH(P227,J227:N227,0)-1,"")</f>
        <v/>
      </c>
      <c r="R227" t="str">
        <f t="shared" si="59"/>
        <v/>
      </c>
      <c r="S227" t="str">
        <f>IFERROR(J144+MATCH(R227,J227:N227,0)-1,"")</f>
        <v/>
      </c>
      <c r="T227" t="str">
        <f t="shared" si="60"/>
        <v/>
      </c>
      <c r="U227" t="str">
        <f t="shared" si="61"/>
        <v/>
      </c>
      <c r="V227" t="str">
        <f t="shared" si="62"/>
        <v/>
      </c>
      <c r="W227" t="str">
        <f t="shared" si="63"/>
        <v/>
      </c>
      <c r="X227" t="str">
        <f t="shared" si="64"/>
        <v/>
      </c>
      <c r="Y227" t="str">
        <f t="shared" si="65"/>
        <v/>
      </c>
      <c r="Z227" t="str">
        <f t="shared" si="66"/>
        <v/>
      </c>
      <c r="AA227">
        <f t="shared" si="67"/>
        <v>0</v>
      </c>
      <c r="AB227" t="str">
        <f>IFERROR(V144+MATCH(AA227,V227:Z227,0)-1,"")</f>
        <v/>
      </c>
      <c r="AC227" t="str">
        <f t="shared" si="68"/>
        <v/>
      </c>
      <c r="AE227">
        <f>IF(ISNUMBER(MATCH("N/A",J227:N227,0)),"",IFERROR((5 * SUMPRODUCT(J144:N144,J227:N227) - PRODUCT(SUM(J144:N144),SUM(J227:N227))) / ((5 * SUM((J144^2)+(K144^2)+(L144^2)+(M144^2)+(N144^2))) - SUM(J144:N144)^2),""))</f>
        <v>0</v>
      </c>
      <c r="AF227" t="str">
        <f>IFERROR(CORREL(J144:N144,J227:N227),"")</f>
        <v/>
      </c>
      <c r="AZ227">
        <f t="shared" si="69"/>
        <v>0</v>
      </c>
      <c r="BA227" t="str">
        <f>IF(AZ227=1,IF(Q227="","",IF(Q227=N144,"Yes","No")),"")</f>
        <v/>
      </c>
      <c r="BB227" t="str">
        <f t="shared" si="70"/>
        <v/>
      </c>
      <c r="BC227" t="str">
        <f>IF(AZ227=1,IF(S227="","",IF(S227=N144,"Yes","No")),"")</f>
        <v/>
      </c>
      <c r="BD227" t="str">
        <f t="shared" si="71"/>
        <v/>
      </c>
      <c r="BE227" t="str">
        <f t="shared" si="72"/>
        <v/>
      </c>
      <c r="BF227" t="str">
        <f t="shared" si="73"/>
        <v>No</v>
      </c>
      <c r="BG227" t="str">
        <f t="shared" si="74"/>
        <v>No</v>
      </c>
      <c r="BH227" t="str">
        <f t="shared" si="75"/>
        <v/>
      </c>
    </row>
    <row r="228" spans="1:60" x14ac:dyDescent="0.3">
      <c r="A228" s="1">
        <v>11</v>
      </c>
      <c r="B228" t="s">
        <v>3507</v>
      </c>
      <c r="C228" t="s">
        <v>1839</v>
      </c>
      <c r="D228" t="s">
        <v>3508</v>
      </c>
      <c r="E228" t="s">
        <v>3509</v>
      </c>
      <c r="F228" t="s">
        <v>3510</v>
      </c>
      <c r="G228" t="s">
        <v>3511</v>
      </c>
      <c r="I228" t="str">
        <f t="shared" ref="I228:I245" si="76">IF(AND(K228&gt; J228, L228&gt; K228, M228&gt; L228, N228&gt; M228), "pos_trend", IF(AND(K228&lt; J228, L228&lt; K228, M228&lt; L228, N228&lt; M228), "neg_trend", "N/A"))</f>
        <v>N/A</v>
      </c>
      <c r="J228">
        <f t="shared" ref="J228:J245" si="77">IFERROR(IF(TRIM(C228)="-", "N/A", IF(RIGHT(C228,1)=")",IF(RIGHT(C228,2)="T)",-1000000000000*VALUE(MID(C228,2,LEN(C228)-3)),IF(RIGHT(C228,2)="M)",-1000000*VALUE(MID(C228,2,LEN(C228)-3)),IF(RIGHT(C228,2)="B)",-1000000000*VALUE(MID(C228,2,LEN(C228)-3)),IF(RIGHT(C228,2)="k)",-1000*VALUE(MID(C228,2,LEN(C228)-3)),VALUE(SUBSTITUTE(C228,",","")))))),IF(RIGHT(C228,1)="T",1000000000000*VALUE(LEFT(C228,LEN(C228)-1)),IF(RIGHT(C228,1)="M",1000000*VALUE(LEFT(C228,LEN(C228)-1)),IF(RIGHT(C228,1)="B",1000000000*VALUE(LEFT(C228,LEN(C228)-1)),IF(RIGHT(C228,1)="%",0.01*VALUE(LEFT(C228,LEN(C228)-1)),IF(RIGHT(C228,1)="k",1000*VALUE(LEFT(C228,LEN(C228)-1)),VALUE(SUBSTITUTE(C228,",",""))))))))),"N/A")</f>
        <v>16000000</v>
      </c>
      <c r="K228">
        <f t="shared" ref="K228:K245" si="78">IFERROR(IF(TRIM(D228)="-", "N/A", IF(RIGHT(D228,1)=")",IF(RIGHT(D228,2)="T)",-1000000000000*VALUE(MID(D228,2,LEN(D228)-3)),IF(RIGHT(D228,2)="M)",-1000000*VALUE(MID(D228,2,LEN(D228)-3)),IF(RIGHT(D228,2)="B)",-1000000000*VALUE(MID(D228,2,LEN(D228)-3)),IF(RIGHT(D228,2)="k)",-1000*VALUE(MID(D228,2,LEN(D228)-3)),VALUE(SUBSTITUTE(D228,",","")))))),IF(RIGHT(D228,1)="T",1000000000000*VALUE(LEFT(D228,LEN(D228)-1)),IF(RIGHT(D228,1)="M",1000000*VALUE(LEFT(D228,LEN(D228)-1)),IF(RIGHT(D228,1)="B",1000000000*VALUE(LEFT(D228,LEN(D228)-1)),IF(RIGHT(D228,1)="%",0.01*VALUE(LEFT(D228,LEN(D228)-1)),IF(RIGHT(D228,1)="k",1000*VALUE(LEFT(D228,LEN(D228)-1)),VALUE(SUBSTITUTE(D228,",",""))))))))),"N/A")</f>
        <v>449000</v>
      </c>
      <c r="L228">
        <f t="shared" ref="L228:L245" si="79">IFERROR(IF(TRIM(E228)="-", "N/A", IF(RIGHT(E228,1)=")",IF(RIGHT(E228,2)="T)",-1000000000000*VALUE(MID(E228,2,LEN(E228)-3)),IF(RIGHT(E228,2)="M)",-1000000*VALUE(MID(E228,2,LEN(E228)-3)),IF(RIGHT(E228,2)="B)",-1000000000*VALUE(MID(E228,2,LEN(E228)-3)),IF(RIGHT(E228,2)="k)",-1000*VALUE(MID(E228,2,LEN(E228)-3)),VALUE(SUBSTITUTE(E228,",","")))))),IF(RIGHT(E228,1)="T",1000000000000*VALUE(LEFT(E228,LEN(E228)-1)),IF(RIGHT(E228,1)="M",1000000*VALUE(LEFT(E228,LEN(E228)-1)),IF(RIGHT(E228,1)="B",1000000000*VALUE(LEFT(E228,LEN(E228)-1)),IF(RIGHT(E228,1)="%",0.01*VALUE(LEFT(E228,LEN(E228)-1)),IF(RIGHT(E228,1)="k",1000*VALUE(LEFT(E228,LEN(E228)-1)),VALUE(SUBSTITUTE(E228,",",""))))))))),"N/A")</f>
        <v>13130000</v>
      </c>
      <c r="M228">
        <f t="shared" ref="M228:M245" si="80">IFERROR(IF(TRIM(F228)="-", "N/A", IF(RIGHT(F228,1)=")",IF(RIGHT(F228,2)="T)",-1000000000000*VALUE(MID(F228,2,LEN(F228)-3)),IF(RIGHT(F228,2)="M)",-1000000*VALUE(MID(F228,2,LEN(F228)-3)),IF(RIGHT(F228,2)="B)",-1000000000*VALUE(MID(F228,2,LEN(F228)-3)),IF(RIGHT(F228,2)="k)",-1000*VALUE(MID(F228,2,LEN(F228)-3)),VALUE(SUBSTITUTE(F228,",","")))))),IF(RIGHT(F228,1)="T",1000000000000*VALUE(LEFT(F228,LEN(F228)-1)),IF(RIGHT(F228,1)="M",1000000*VALUE(LEFT(F228,LEN(F228)-1)),IF(RIGHT(F228,1)="B",1000000000*VALUE(LEFT(F228,LEN(F228)-1)),IF(RIGHT(F228,1)="%",0.01*VALUE(LEFT(F228,LEN(F228)-1)),IF(RIGHT(F228,1)="k",1000*VALUE(LEFT(F228,LEN(F228)-1)),VALUE(SUBSTITUTE(F228,",",""))))))))),"N/A")</f>
        <v>587000</v>
      </c>
      <c r="N228">
        <f t="shared" ref="N228:N245" si="81">IFERROR(IF(TRIM(G228)="-", "N/A", IF(RIGHT(G228,1)=")",IF(RIGHT(G228,2)="T)",-1000000000000*VALUE(MID(G228,2,LEN(G228)-3)),IF(RIGHT(G228,2)="M)",-1000000*VALUE(MID(G228,2,LEN(G228)-3)),IF(RIGHT(G228,2)="B)",-1000000000*VALUE(MID(G228,2,LEN(G228)-3)),IF(RIGHT(G228,2)="k)",-1000*VALUE(MID(G228,2,LEN(G228)-3)),VALUE(SUBSTITUTE(G228,",","")))))),IF(RIGHT(G228,1)="T",1000000000000*VALUE(LEFT(G228,LEN(G228)-1)),IF(RIGHT(G228,1)="M",1000000*VALUE(LEFT(G228,LEN(G228)-1)),IF(RIGHT(G228,1)="B",1000000000*VALUE(LEFT(G228,LEN(G228)-1)),IF(RIGHT(G228,1)="%",0.01*VALUE(LEFT(G228,LEN(G228)-1)),IF(RIGHT(G228,1)="k",1000*VALUE(LEFT(G228,LEN(G228)-1)),VALUE(SUBSTITUTE(G228,",",""))))))))),"N/A")</f>
        <v>778000</v>
      </c>
      <c r="P228">
        <f t="shared" si="58"/>
        <v>16000000</v>
      </c>
      <c r="Q228">
        <f>IFERROR(J144+MATCH(P228,J228:N228,0)-1,"")</f>
        <v>2012</v>
      </c>
      <c r="R228">
        <f t="shared" si="59"/>
        <v>449000</v>
      </c>
      <c r="S228">
        <f>IFERROR(J144+MATCH(R228,J228:N228,0)-1,"")</f>
        <v>2013</v>
      </c>
      <c r="T228">
        <f t="shared" si="60"/>
        <v>6188800</v>
      </c>
      <c r="U228">
        <f t="shared" si="61"/>
        <v>7714306.9487802982</v>
      </c>
      <c r="V228">
        <f t="shared" si="62"/>
        <v>1.2718187213889953</v>
      </c>
      <c r="W228">
        <f t="shared" si="63"/>
        <v>-0.74404610007221894</v>
      </c>
      <c r="X228">
        <f t="shared" si="64"/>
        <v>0.89978270842560482</v>
      </c>
      <c r="Y228">
        <f t="shared" si="65"/>
        <v>-0.7261572604245019</v>
      </c>
      <c r="Z228">
        <f t="shared" si="66"/>
        <v>-0.70139806931787907</v>
      </c>
      <c r="AA228">
        <f t="shared" si="67"/>
        <v>1.2718187213889953</v>
      </c>
      <c r="AB228">
        <f>IFERROR(V144+MATCH(AA228,V228:Z228,0)-1,"")</f>
        <v>2012</v>
      </c>
      <c r="AC228" t="str">
        <f t="shared" si="68"/>
        <v>High</v>
      </c>
      <c r="AE228">
        <f>IF(ISNUMBER(MATCH("N/A",J228:N228,0)),"",IFERROR((5 * SUMPRODUCT(J144:N144,J228:N228) - PRODUCT(SUM(J144:N144),SUM(J228:N228))) / ((5 * SUM((J144^2)+(K144^2)+(L144^2)+(M144^2)+(N144^2))) - SUM(J144:N144)^2),""))</f>
        <v>-3030600</v>
      </c>
      <c r="AF228">
        <f>IFERROR(CORREL(J144:N144,J228:N228),"")</f>
        <v>-0.6211574636929339</v>
      </c>
      <c r="AZ228">
        <f t="shared" si="69"/>
        <v>1</v>
      </c>
      <c r="BA228" t="str">
        <f>IF(AZ228=1,IF(Q228="","",IF(Q228=N144,"Yes","No")),"")</f>
        <v>No</v>
      </c>
      <c r="BB228" t="str">
        <f t="shared" si="70"/>
        <v/>
      </c>
      <c r="BC228" t="str">
        <f>IF(AZ228=1,IF(S228="","",IF(S228=N144,"Yes","No")),"")</f>
        <v>No</v>
      </c>
      <c r="BD228" t="str">
        <f t="shared" si="71"/>
        <v/>
      </c>
      <c r="BE228" t="str">
        <f t="shared" si="72"/>
        <v>Decreasing</v>
      </c>
      <c r="BF228" t="str">
        <f t="shared" si="73"/>
        <v>No</v>
      </c>
      <c r="BG228" t="str">
        <f t="shared" si="74"/>
        <v>No</v>
      </c>
      <c r="BH228" t="str">
        <f t="shared" si="75"/>
        <v>No</v>
      </c>
    </row>
    <row r="229" spans="1:60" x14ac:dyDescent="0.3">
      <c r="A229" s="1">
        <v>12</v>
      </c>
      <c r="B229" t="s">
        <v>3512</v>
      </c>
      <c r="C229" t="s">
        <v>3440</v>
      </c>
      <c r="D229" t="s">
        <v>3513</v>
      </c>
      <c r="E229" t="s">
        <v>3514</v>
      </c>
      <c r="F229" t="s">
        <v>352</v>
      </c>
      <c r="G229" t="s">
        <v>3515</v>
      </c>
      <c r="I229" t="str">
        <f t="shared" si="76"/>
        <v>N/A</v>
      </c>
      <c r="J229">
        <f t="shared" si="77"/>
        <v>1870000</v>
      </c>
      <c r="K229">
        <f t="shared" si="78"/>
        <v>438000</v>
      </c>
      <c r="L229">
        <f t="shared" si="79"/>
        <v>2410000</v>
      </c>
      <c r="M229">
        <f t="shared" si="80"/>
        <v>2700000</v>
      </c>
      <c r="N229">
        <f t="shared" si="81"/>
        <v>2270000</v>
      </c>
      <c r="P229">
        <f t="shared" si="58"/>
        <v>2700000</v>
      </c>
      <c r="Q229">
        <f>IFERROR(J144+MATCH(P229,J229:N229,0)-1,"")</f>
        <v>2015</v>
      </c>
      <c r="R229">
        <f t="shared" si="59"/>
        <v>438000</v>
      </c>
      <c r="S229">
        <f>IFERROR(J144+MATCH(R229,J229:N229,0)-1,"")</f>
        <v>2013</v>
      </c>
      <c r="T229">
        <f t="shared" si="60"/>
        <v>1937600</v>
      </c>
      <c r="U229">
        <f t="shared" si="61"/>
        <v>889982.47173750564</v>
      </c>
      <c r="V229">
        <f t="shared" si="62"/>
        <v>-7.595655211953227E-2</v>
      </c>
      <c r="W229">
        <f t="shared" si="63"/>
        <v>-1.6849770053025235</v>
      </c>
      <c r="X229">
        <f t="shared" si="64"/>
        <v>0.53079697072880239</v>
      </c>
      <c r="Y229">
        <f t="shared" si="65"/>
        <v>0.8566460848510562</v>
      </c>
      <c r="Z229">
        <f t="shared" si="66"/>
        <v>0.37349050184219712</v>
      </c>
      <c r="AA229">
        <f t="shared" si="67"/>
        <v>-1.6849770053025235</v>
      </c>
      <c r="AB229">
        <f>IFERROR(V144+MATCH(AA229,V229:Z229,0)-1,"")</f>
        <v>2013</v>
      </c>
      <c r="AC229" t="str">
        <f t="shared" si="68"/>
        <v>Low</v>
      </c>
      <c r="AE229">
        <f>IF(ISNUMBER(MATCH("N/A",J229:N229,0)),"",IFERROR((5 * SUMPRODUCT(J144:N144,J229:N229) - PRODUCT(SUM(J144:N144),SUM(J229:N229))) / ((5 * SUM((J144^2)+(K144^2)+(L144^2)+(M144^2)+(N144^2))) - SUM(J144:N144)^2),""))</f>
        <v>306200</v>
      </c>
      <c r="AF229">
        <f>IFERROR(CORREL(J144:N144,J229:N229),"")</f>
        <v>0.5439935337452062</v>
      </c>
      <c r="AZ229">
        <f t="shared" si="69"/>
        <v>1</v>
      </c>
      <c r="BA229" t="str">
        <f>IF(AZ229=1,IF(Q229="","",IF(Q229=N144,"Yes","No")),"")</f>
        <v>No</v>
      </c>
      <c r="BB229" t="str">
        <f t="shared" si="70"/>
        <v/>
      </c>
      <c r="BC229" t="str">
        <f>IF(AZ229=1,IF(S229="","",IF(S229=N144,"Yes","No")),"")</f>
        <v>No</v>
      </c>
      <c r="BD229" t="str">
        <f t="shared" si="71"/>
        <v/>
      </c>
      <c r="BE229" t="str">
        <f t="shared" si="72"/>
        <v>Increasing</v>
      </c>
      <c r="BF229" t="str">
        <f t="shared" si="73"/>
        <v>No</v>
      </c>
      <c r="BG229" t="str">
        <f t="shared" si="74"/>
        <v>No</v>
      </c>
      <c r="BH229" t="str">
        <f t="shared" si="75"/>
        <v>No</v>
      </c>
    </row>
    <row r="230" spans="1:60" x14ac:dyDescent="0.3">
      <c r="A230" s="1">
        <v>13</v>
      </c>
      <c r="B230" t="s">
        <v>3516</v>
      </c>
      <c r="C230" t="s">
        <v>264</v>
      </c>
      <c r="D230" t="s">
        <v>3517</v>
      </c>
      <c r="E230" t="s">
        <v>3518</v>
      </c>
      <c r="F230" t="s">
        <v>3519</v>
      </c>
      <c r="G230" t="s">
        <v>3520</v>
      </c>
      <c r="I230" t="str">
        <f t="shared" si="76"/>
        <v>N/A</v>
      </c>
      <c r="J230" t="str">
        <f t="shared" si="77"/>
        <v>N/A</v>
      </c>
      <c r="K230">
        <f t="shared" si="78"/>
        <v>-2.6800000000000001E-2</v>
      </c>
      <c r="L230">
        <f t="shared" si="79"/>
        <v>-1.1899999999999999E-2</v>
      </c>
      <c r="M230">
        <f t="shared" si="80"/>
        <v>-2.3999999999999998E-3</v>
      </c>
      <c r="N230">
        <f t="shared" si="81"/>
        <v>-1E-3</v>
      </c>
      <c r="P230">
        <f t="shared" si="58"/>
        <v>-1E-3</v>
      </c>
      <c r="Q230">
        <f>IFERROR(J144+MATCH(P230,J230:N230,0)-1,"")</f>
        <v>2016</v>
      </c>
      <c r="R230">
        <f t="shared" si="59"/>
        <v>-2.6800000000000001E-2</v>
      </c>
      <c r="S230">
        <f>IFERROR(J144+MATCH(R230,J230:N230,0)-1,"")</f>
        <v>2013</v>
      </c>
      <c r="T230">
        <f t="shared" si="60"/>
        <v>-1.0525E-2</v>
      </c>
      <c r="U230">
        <f t="shared" si="61"/>
        <v>1.1881463153444813E-2</v>
      </c>
      <c r="V230" t="str">
        <f t="shared" si="62"/>
        <v/>
      </c>
      <c r="W230">
        <f t="shared" si="63"/>
        <v>-1.3697807912892752</v>
      </c>
      <c r="X230">
        <f t="shared" si="64"/>
        <v>-0.11572648774333348</v>
      </c>
      <c r="Y230">
        <f t="shared" si="65"/>
        <v>0.6838383366651527</v>
      </c>
      <c r="Z230">
        <f t="shared" si="66"/>
        <v>0.80166894236745578</v>
      </c>
      <c r="AA230">
        <f t="shared" si="67"/>
        <v>-1.3697807912892752</v>
      </c>
      <c r="AB230">
        <f>IFERROR(V144+MATCH(AA230,V230:Z230,0)-1,"")</f>
        <v>2013</v>
      </c>
      <c r="AC230" t="str">
        <f t="shared" si="68"/>
        <v>Low</v>
      </c>
      <c r="AE230" t="str">
        <f>IF(ISNUMBER(MATCH("N/A",J230:N230,0)),"",IFERROR((5 * SUMPRODUCT(J144:N144,J230:N230) - PRODUCT(SUM(J144:N144),SUM(J230:N230))) / ((5 * SUM((J144^2)+(K144^2)+(L144^2)+(M144^2)+(N144^2))) - SUM(J144:N144)^2),""))</f>
        <v/>
      </c>
      <c r="AF230">
        <f>IFERROR(CORREL(J144:N144,J230:N230),"")</f>
        <v>0.94422224052948278</v>
      </c>
      <c r="AZ230">
        <f t="shared" si="69"/>
        <v>1</v>
      </c>
      <c r="BA230" t="str">
        <f>IF(AZ230=1,IF(Q230="","",IF(Q230=N144,"Yes","No")),"")</f>
        <v>Yes</v>
      </c>
      <c r="BB230">
        <f t="shared" si="70"/>
        <v>-1E-3</v>
      </c>
      <c r="BC230" t="str">
        <f>IF(AZ230=1,IF(S230="","",IF(S230=N144,"Yes","No")),"")</f>
        <v>No</v>
      </c>
      <c r="BD230" t="str">
        <f t="shared" si="71"/>
        <v/>
      </c>
      <c r="BE230" t="str">
        <f t="shared" si="72"/>
        <v/>
      </c>
      <c r="BF230" t="str">
        <f t="shared" si="73"/>
        <v>No</v>
      </c>
      <c r="BG230" t="str">
        <f t="shared" si="74"/>
        <v>No</v>
      </c>
      <c r="BH230" t="str">
        <f t="shared" si="75"/>
        <v>Yes</v>
      </c>
    </row>
    <row r="231" spans="1:60" x14ac:dyDescent="0.3">
      <c r="A231" s="1">
        <v>14</v>
      </c>
      <c r="B231" t="s">
        <v>3521</v>
      </c>
      <c r="C231" t="s">
        <v>3522</v>
      </c>
      <c r="D231" t="s">
        <v>3523</v>
      </c>
      <c r="E231" t="s">
        <v>3524</v>
      </c>
      <c r="F231" t="s">
        <v>3525</v>
      </c>
      <c r="G231" t="s">
        <v>760</v>
      </c>
      <c r="I231" t="str">
        <f t="shared" si="76"/>
        <v>pos_trend</v>
      </c>
      <c r="J231">
        <f t="shared" si="77"/>
        <v>795810000</v>
      </c>
      <c r="K231">
        <f t="shared" si="78"/>
        <v>844710000</v>
      </c>
      <c r="L231">
        <f t="shared" si="79"/>
        <v>900590000</v>
      </c>
      <c r="M231">
        <f t="shared" si="80"/>
        <v>987170000</v>
      </c>
      <c r="N231">
        <f t="shared" si="81"/>
        <v>1040000000</v>
      </c>
      <c r="P231">
        <f t="shared" si="58"/>
        <v>1040000000</v>
      </c>
      <c r="Q231">
        <f>IFERROR(J144+MATCH(P231,J231:N231,0)-1,"")</f>
        <v>2016</v>
      </c>
      <c r="R231">
        <f t="shared" si="59"/>
        <v>795810000</v>
      </c>
      <c r="S231">
        <f>IFERROR(J144+MATCH(R231,J231:N231,0)-1,"")</f>
        <v>2012</v>
      </c>
      <c r="T231">
        <f t="shared" si="60"/>
        <v>913656000</v>
      </c>
      <c r="U231">
        <f t="shared" si="61"/>
        <v>100223581.95554577</v>
      </c>
      <c r="V231">
        <f t="shared" si="62"/>
        <v>-1.1758310539356962</v>
      </c>
      <c r="W231">
        <f t="shared" si="63"/>
        <v>-0.68792193069472451</v>
      </c>
      <c r="X231">
        <f t="shared" si="64"/>
        <v>-0.13036851951465306</v>
      </c>
      <c r="Y231">
        <f t="shared" si="65"/>
        <v>0.73350002629727584</v>
      </c>
      <c r="Z231">
        <f t="shared" si="66"/>
        <v>1.260621477847798</v>
      </c>
      <c r="AA231">
        <f t="shared" si="67"/>
        <v>1.260621477847798</v>
      </c>
      <c r="AB231">
        <f>IFERROR(V144+MATCH(AA231,V231:Z231,0)-1,"")</f>
        <v>2016</v>
      </c>
      <c r="AC231" t="str">
        <f t="shared" si="68"/>
        <v>High</v>
      </c>
      <c r="AE231">
        <f>IF(ISNUMBER(MATCH("N/A",J231:N231,0)),"",IFERROR((5 * SUMPRODUCT(J144:N144,J231:N231) - PRODUCT(SUM(J144:N144),SUM(J231:N231))) / ((5 * SUM((J144^2)+(K144^2)+(L144^2)+(M144^2)+(N144^2))) - SUM(J144:N144)^2),""))</f>
        <v>63084000</v>
      </c>
      <c r="AF231">
        <f>IFERROR(CORREL(J144:N144,J231:N231),"")</f>
        <v>0.99522048614539416</v>
      </c>
      <c r="AZ231">
        <f t="shared" si="69"/>
        <v>1</v>
      </c>
      <c r="BA231" t="str">
        <f>IF(AZ231=1,IF(Q231="","",IF(Q231=N144,"Yes","No")),"")</f>
        <v>Yes</v>
      </c>
      <c r="BB231">
        <f t="shared" si="70"/>
        <v>1040000000</v>
      </c>
      <c r="BC231" t="str">
        <f>IF(AZ231=1,IF(S231="","",IF(S231=N144,"Yes","No")),"")</f>
        <v>No</v>
      </c>
      <c r="BD231" t="str">
        <f t="shared" si="71"/>
        <v/>
      </c>
      <c r="BE231" t="str">
        <f t="shared" si="72"/>
        <v>Increasing</v>
      </c>
      <c r="BF231" t="str">
        <f t="shared" si="73"/>
        <v>Yes</v>
      </c>
      <c r="BG231" t="str">
        <f t="shared" si="74"/>
        <v>Yes</v>
      </c>
      <c r="BH231" t="str">
        <f t="shared" si="75"/>
        <v>Yes</v>
      </c>
    </row>
    <row r="232" spans="1:60" x14ac:dyDescent="0.3">
      <c r="A232" s="1">
        <v>15</v>
      </c>
      <c r="B232" t="s">
        <v>3526</v>
      </c>
      <c r="C232" t="s">
        <v>3527</v>
      </c>
      <c r="D232" t="s">
        <v>3528</v>
      </c>
      <c r="E232" t="s">
        <v>3529</v>
      </c>
      <c r="F232" t="s">
        <v>3530</v>
      </c>
      <c r="G232" t="s">
        <v>3531</v>
      </c>
      <c r="I232" t="str">
        <f t="shared" si="76"/>
        <v>pos_trend</v>
      </c>
      <c r="J232">
        <f t="shared" si="77"/>
        <v>815550000</v>
      </c>
      <c r="K232">
        <f t="shared" si="78"/>
        <v>861240000</v>
      </c>
      <c r="L232">
        <f t="shared" si="79"/>
        <v>914860000</v>
      </c>
      <c r="M232">
        <f t="shared" si="80"/>
        <v>1000000000</v>
      </c>
      <c r="N232">
        <f t="shared" si="81"/>
        <v>1060000000</v>
      </c>
      <c r="P232">
        <f t="shared" si="58"/>
        <v>1060000000</v>
      </c>
      <c r="Q232">
        <f>IFERROR(J144+MATCH(P232,J232:N232,0)-1,"")</f>
        <v>2016</v>
      </c>
      <c r="R232">
        <f t="shared" si="59"/>
        <v>815550000</v>
      </c>
      <c r="S232">
        <f>IFERROR(J144+MATCH(R232,J232:N232,0)-1,"")</f>
        <v>2012</v>
      </c>
      <c r="T232">
        <f t="shared" si="60"/>
        <v>930330000</v>
      </c>
      <c r="U232">
        <f t="shared" si="61"/>
        <v>99819105.385692567</v>
      </c>
      <c r="V232">
        <f t="shared" si="62"/>
        <v>-1.14988007111965</v>
      </c>
      <c r="W232">
        <f t="shared" si="63"/>
        <v>-0.69215206580986766</v>
      </c>
      <c r="X232">
        <f t="shared" si="64"/>
        <v>-0.15498035110838984</v>
      </c>
      <c r="Y232">
        <f t="shared" si="65"/>
        <v>0.69796257671115192</v>
      </c>
      <c r="Z232">
        <f t="shared" si="66"/>
        <v>1.2990499113267555</v>
      </c>
      <c r="AA232">
        <f t="shared" si="67"/>
        <v>1.2990499113267555</v>
      </c>
      <c r="AB232">
        <f>IFERROR(V144+MATCH(AA232,V232:Z232,0)-1,"")</f>
        <v>2016</v>
      </c>
      <c r="AC232" t="str">
        <f t="shared" si="68"/>
        <v>High</v>
      </c>
      <c r="AE232">
        <f>IF(ISNUMBER(MATCH("N/A",J232:N232,0)),"",IFERROR((5 * SUMPRODUCT(J144:N144,J232:N232) - PRODUCT(SUM(J144:N144),SUM(J232:N232))) / ((5 * SUM((J144^2)+(K144^2)+(L144^2)+(M144^2)+(N144^2))) - SUM(J144:N144)^2),""))</f>
        <v>62766000</v>
      </c>
      <c r="AF232">
        <f>IFERROR(CORREL(J144:N144,J232:N232),"")</f>
        <v>0.99421608143653939</v>
      </c>
      <c r="AZ232">
        <f t="shared" si="69"/>
        <v>1</v>
      </c>
      <c r="BA232" t="str">
        <f>IF(AZ232=1,IF(Q232="","",IF(Q232=N144,"Yes","No")),"")</f>
        <v>Yes</v>
      </c>
      <c r="BB232">
        <f t="shared" si="70"/>
        <v>1060000000</v>
      </c>
      <c r="BC232" t="str">
        <f>IF(AZ232=1,IF(S232="","",IF(S232=N144,"Yes","No")),"")</f>
        <v>No</v>
      </c>
      <c r="BD232" t="str">
        <f t="shared" si="71"/>
        <v/>
      </c>
      <c r="BE232" t="str">
        <f t="shared" si="72"/>
        <v>Increasing</v>
      </c>
      <c r="BF232" t="str">
        <f t="shared" si="73"/>
        <v>Yes</v>
      </c>
      <c r="BG232" t="str">
        <f t="shared" si="74"/>
        <v>Yes</v>
      </c>
      <c r="BH232" t="str">
        <f t="shared" si="75"/>
        <v>Yes</v>
      </c>
    </row>
    <row r="233" spans="1:60" x14ac:dyDescent="0.3">
      <c r="A233" s="1">
        <v>16</v>
      </c>
      <c r="B233" t="s">
        <v>3532</v>
      </c>
      <c r="C233" t="s">
        <v>3533</v>
      </c>
      <c r="D233" t="s">
        <v>3534</v>
      </c>
      <c r="E233" t="s">
        <v>3535</v>
      </c>
      <c r="F233" t="s">
        <v>3536</v>
      </c>
      <c r="G233" t="s">
        <v>3537</v>
      </c>
      <c r="I233" t="str">
        <f t="shared" si="76"/>
        <v>N/A</v>
      </c>
      <c r="J233">
        <f t="shared" si="77"/>
        <v>100660000</v>
      </c>
      <c r="K233">
        <f t="shared" si="78"/>
        <v>115880000</v>
      </c>
      <c r="L233">
        <f t="shared" si="79"/>
        <v>114190000</v>
      </c>
      <c r="M233">
        <f t="shared" si="80"/>
        <v>124400000</v>
      </c>
      <c r="N233">
        <f t="shared" si="81"/>
        <v>135460000</v>
      </c>
      <c r="P233">
        <f t="shared" si="58"/>
        <v>135460000</v>
      </c>
      <c r="Q233">
        <f>IFERROR(J144+MATCH(P233,J233:N233,0)-1,"")</f>
        <v>2016</v>
      </c>
      <c r="R233">
        <f t="shared" si="59"/>
        <v>100660000</v>
      </c>
      <c r="S233">
        <f>IFERROR(J144+MATCH(R233,J233:N233,0)-1,"")</f>
        <v>2012</v>
      </c>
      <c r="T233">
        <f t="shared" si="60"/>
        <v>118118000</v>
      </c>
      <c r="U233">
        <f t="shared" si="61"/>
        <v>12897946.348159462</v>
      </c>
      <c r="V233">
        <f t="shared" si="62"/>
        <v>-1.3535488153500699</v>
      </c>
      <c r="W233">
        <f t="shared" si="63"/>
        <v>-0.17351599546073185</v>
      </c>
      <c r="X233">
        <f t="shared" si="64"/>
        <v>-0.30454460686762941</v>
      </c>
      <c r="Y233">
        <f t="shared" si="65"/>
        <v>0.48705428216457436</v>
      </c>
      <c r="Z233">
        <f t="shared" si="66"/>
        <v>1.3445551355138567</v>
      </c>
      <c r="AA233">
        <f t="shared" si="67"/>
        <v>-1.3535488153500699</v>
      </c>
      <c r="AB233">
        <f>IFERROR(V144+MATCH(AA233,V233:Z233,0)-1,"")</f>
        <v>2012</v>
      </c>
      <c r="AC233" t="str">
        <f t="shared" si="68"/>
        <v>Low</v>
      </c>
      <c r="AE233">
        <f>IF(ISNUMBER(MATCH("N/A",J233:N233,0)),"",IFERROR((5 * SUMPRODUCT(J144:N144,J233:N233) - PRODUCT(SUM(J144:N144),SUM(J233:N233))) / ((5 * SUM((J144^2)+(K144^2)+(L144^2)+(M144^2)+(N144^2))) - SUM(J144:N144)^2),""))</f>
        <v>7812000</v>
      </c>
      <c r="AF233">
        <f>IFERROR(CORREL(J144:N144,J233:N233),"")</f>
        <v>0.95766071645819029</v>
      </c>
      <c r="AZ233">
        <f t="shared" si="69"/>
        <v>1</v>
      </c>
      <c r="BA233" t="str">
        <f>IF(AZ233=1,IF(Q233="","",IF(Q233=N144,"Yes","No")),"")</f>
        <v>Yes</v>
      </c>
      <c r="BB233">
        <f t="shared" si="70"/>
        <v>135460000</v>
      </c>
      <c r="BC233" t="str">
        <f>IF(AZ233=1,IF(S233="","",IF(S233=N144,"Yes","No")),"")</f>
        <v>No</v>
      </c>
      <c r="BD233" t="str">
        <f t="shared" si="71"/>
        <v/>
      </c>
      <c r="BE233" t="str">
        <f t="shared" si="72"/>
        <v>Increasing</v>
      </c>
      <c r="BF233" t="str">
        <f t="shared" si="73"/>
        <v>Yes</v>
      </c>
      <c r="BG233" t="str">
        <f t="shared" si="74"/>
        <v>No</v>
      </c>
      <c r="BH233" t="str">
        <f t="shared" si="75"/>
        <v>Yes</v>
      </c>
    </row>
    <row r="234" spans="1:60" x14ac:dyDescent="0.3">
      <c r="A234" s="1">
        <v>17</v>
      </c>
      <c r="B234" t="s">
        <v>3538</v>
      </c>
      <c r="C234" t="s">
        <v>3539</v>
      </c>
      <c r="D234" t="s">
        <v>1874</v>
      </c>
      <c r="E234" t="s">
        <v>3540</v>
      </c>
      <c r="F234" t="s">
        <v>3541</v>
      </c>
      <c r="G234" t="s">
        <v>3542</v>
      </c>
      <c r="I234" t="str">
        <f t="shared" si="76"/>
        <v>N/A</v>
      </c>
      <c r="J234">
        <f t="shared" si="77"/>
        <v>9810000</v>
      </c>
      <c r="K234">
        <f t="shared" si="78"/>
        <v>10870000</v>
      </c>
      <c r="L234">
        <f t="shared" si="79"/>
        <v>15030000</v>
      </c>
      <c r="M234">
        <f t="shared" si="80"/>
        <v>18560000</v>
      </c>
      <c r="N234">
        <f t="shared" si="81"/>
        <v>17980000</v>
      </c>
      <c r="P234">
        <f t="shared" si="58"/>
        <v>18560000</v>
      </c>
      <c r="Q234">
        <f>IFERROR(J144+MATCH(P234,J234:N234,0)-1,"")</f>
        <v>2015</v>
      </c>
      <c r="R234">
        <f t="shared" si="59"/>
        <v>9810000</v>
      </c>
      <c r="S234">
        <f>IFERROR(J144+MATCH(R234,J234:N234,0)-1,"")</f>
        <v>2012</v>
      </c>
      <c r="T234">
        <f t="shared" si="60"/>
        <v>14450000</v>
      </c>
      <c r="U234">
        <f t="shared" si="61"/>
        <v>4001106.0970686595</v>
      </c>
      <c r="V234">
        <f t="shared" si="62"/>
        <v>-1.1596793205257454</v>
      </c>
      <c r="W234">
        <f t="shared" si="63"/>
        <v>-0.89475257919874318</v>
      </c>
      <c r="X234">
        <f t="shared" si="64"/>
        <v>0.14495991506571818</v>
      </c>
      <c r="Y234">
        <f t="shared" si="65"/>
        <v>1.0272159498622442</v>
      </c>
      <c r="Z234">
        <f t="shared" si="66"/>
        <v>0.88225603479652615</v>
      </c>
      <c r="AA234">
        <f t="shared" si="67"/>
        <v>-1.1596793205257454</v>
      </c>
      <c r="AB234">
        <f>IFERROR(V144+MATCH(AA234,V234:Z234,0)-1,"")</f>
        <v>2012</v>
      </c>
      <c r="AC234" t="str">
        <f t="shared" si="68"/>
        <v>Low</v>
      </c>
      <c r="AE234">
        <f>IF(ISNUMBER(MATCH("N/A",J234:N234,0)),"",IFERROR((5 * SUMPRODUCT(J144:N144,J234:N234) - PRODUCT(SUM(J144:N144),SUM(J234:N234))) / ((5 * SUM((J144^2)+(K144^2)+(L144^2)+(M144^2)+(N144^2))) - SUM(J144:N144)^2),""))</f>
        <v>2403000</v>
      </c>
      <c r="AF234">
        <f>IFERROR(CORREL(J144:N144,J234:N234),"")</f>
        <v>0.94960656291417211</v>
      </c>
      <c r="AZ234">
        <f t="shared" si="69"/>
        <v>1</v>
      </c>
      <c r="BA234" t="str">
        <f>IF(AZ234=1,IF(Q234="","",IF(Q234=N144,"Yes","No")),"")</f>
        <v>No</v>
      </c>
      <c r="BB234" t="str">
        <f t="shared" si="70"/>
        <v/>
      </c>
      <c r="BC234" t="str">
        <f>IF(AZ234=1,IF(S234="","",IF(S234=N144,"Yes","No")),"")</f>
        <v>No</v>
      </c>
      <c r="BD234" t="str">
        <f t="shared" si="71"/>
        <v/>
      </c>
      <c r="BE234" t="str">
        <f t="shared" si="72"/>
        <v>Increasing</v>
      </c>
      <c r="BF234" t="str">
        <f t="shared" si="73"/>
        <v>No</v>
      </c>
      <c r="BG234" t="str">
        <f t="shared" si="74"/>
        <v>No</v>
      </c>
      <c r="BH234" t="str">
        <f t="shared" si="75"/>
        <v>Yes</v>
      </c>
    </row>
    <row r="235" spans="1:60" x14ac:dyDescent="0.3">
      <c r="A235" s="1">
        <v>18</v>
      </c>
      <c r="B235" t="s">
        <v>3543</v>
      </c>
      <c r="C235" t="s">
        <v>3544</v>
      </c>
      <c r="D235" t="s">
        <v>3545</v>
      </c>
      <c r="E235" t="s">
        <v>3546</v>
      </c>
      <c r="F235" t="s">
        <v>3547</v>
      </c>
      <c r="G235" t="s">
        <v>3548</v>
      </c>
      <c r="I235" t="str">
        <f t="shared" si="76"/>
        <v>pos_trend</v>
      </c>
      <c r="J235">
        <f t="shared" si="77"/>
        <v>705080000</v>
      </c>
      <c r="K235">
        <f t="shared" si="78"/>
        <v>734500000</v>
      </c>
      <c r="L235">
        <f t="shared" si="79"/>
        <v>785640000</v>
      </c>
      <c r="M235">
        <f t="shared" si="80"/>
        <v>858570000</v>
      </c>
      <c r="N235">
        <f t="shared" si="81"/>
        <v>902070000</v>
      </c>
      <c r="P235">
        <f t="shared" si="58"/>
        <v>902070000</v>
      </c>
      <c r="Q235">
        <f>IFERROR(J144+MATCH(P235,J235:N235,0)-1,"")</f>
        <v>2016</v>
      </c>
      <c r="R235">
        <f t="shared" si="59"/>
        <v>705080000</v>
      </c>
      <c r="S235">
        <f>IFERROR(J144+MATCH(R235,J235:N235,0)-1,"")</f>
        <v>2012</v>
      </c>
      <c r="T235">
        <f t="shared" si="60"/>
        <v>797172000</v>
      </c>
      <c r="U235">
        <f t="shared" si="61"/>
        <v>82636263.044743255</v>
      </c>
      <c r="V235">
        <f t="shared" si="62"/>
        <v>-1.1144259990330996</v>
      </c>
      <c r="W235">
        <f t="shared" si="63"/>
        <v>-0.75840796389917053</v>
      </c>
      <c r="X235">
        <f t="shared" si="64"/>
        <v>-0.13955132498859513</v>
      </c>
      <c r="Y235">
        <f t="shared" si="65"/>
        <v>0.74299100343823832</v>
      </c>
      <c r="Z235">
        <f t="shared" si="66"/>
        <v>1.2693942844826269</v>
      </c>
      <c r="AA235">
        <f t="shared" si="67"/>
        <v>1.2693942844826269</v>
      </c>
      <c r="AB235">
        <f>IFERROR(V144+MATCH(AA235,V235:Z235,0)-1,"")</f>
        <v>2016</v>
      </c>
      <c r="AC235" t="str">
        <f t="shared" si="68"/>
        <v>High</v>
      </c>
      <c r="AE235">
        <f>IF(ISNUMBER(MATCH("N/A",J235:N235,0)),"",IFERROR((5 * SUMPRODUCT(J144:N144,J235:N235) - PRODUCT(SUM(J144:N144),SUM(J235:N235))) / ((5 * SUM((J144^2)+(K144^2)+(L144^2)+(M144^2)+(N144^2))) - SUM(J144:N144)^2),""))</f>
        <v>51805000</v>
      </c>
      <c r="AF235">
        <f>IFERROR(CORREL(J144:N144,J235:N235),"")</f>
        <v>0.99122218351235136</v>
      </c>
      <c r="AZ235">
        <f t="shared" si="69"/>
        <v>1</v>
      </c>
      <c r="BA235" t="str">
        <f>IF(AZ235=1,IF(Q235="","",IF(Q235=N144,"Yes","No")),"")</f>
        <v>Yes</v>
      </c>
      <c r="BB235">
        <f t="shared" si="70"/>
        <v>902070000</v>
      </c>
      <c r="BC235" t="str">
        <f>IF(AZ235=1,IF(S235="","",IF(S235=N144,"Yes","No")),"")</f>
        <v>No</v>
      </c>
      <c r="BD235" t="str">
        <f t="shared" si="71"/>
        <v/>
      </c>
      <c r="BE235" t="str">
        <f t="shared" si="72"/>
        <v>Increasing</v>
      </c>
      <c r="BF235" t="str">
        <f t="shared" si="73"/>
        <v>Yes</v>
      </c>
      <c r="BG235" t="str">
        <f t="shared" si="74"/>
        <v>Yes</v>
      </c>
      <c r="BH235" t="str">
        <f t="shared" si="75"/>
        <v>Yes</v>
      </c>
    </row>
    <row r="236" spans="1:60" x14ac:dyDescent="0.3">
      <c r="A236" s="1">
        <v>19</v>
      </c>
      <c r="B236" t="s">
        <v>3549</v>
      </c>
      <c r="C236" t="s">
        <v>264</v>
      </c>
      <c r="D236" t="s">
        <v>264</v>
      </c>
      <c r="E236" t="s">
        <v>264</v>
      </c>
      <c r="F236" t="s">
        <v>264</v>
      </c>
      <c r="G236" t="s">
        <v>264</v>
      </c>
      <c r="I236" t="str">
        <f t="shared" si="76"/>
        <v>N/A</v>
      </c>
      <c r="J236" t="str">
        <f t="shared" si="77"/>
        <v>N/A</v>
      </c>
      <c r="K236" t="str">
        <f t="shared" si="78"/>
        <v>N/A</v>
      </c>
      <c r="L236" t="str">
        <f t="shared" si="79"/>
        <v>N/A</v>
      </c>
      <c r="M236" t="str">
        <f t="shared" si="80"/>
        <v>N/A</v>
      </c>
      <c r="N236" t="str">
        <f t="shared" si="81"/>
        <v>N/A</v>
      </c>
      <c r="P236">
        <f t="shared" si="58"/>
        <v>0</v>
      </c>
      <c r="Q236" t="str">
        <f>IFERROR(J144+MATCH(P236,J236:N236,0)-1,"")</f>
        <v/>
      </c>
      <c r="R236" t="str">
        <f t="shared" si="59"/>
        <v/>
      </c>
      <c r="S236" t="str">
        <f>IFERROR(J144+MATCH(R236,J236:N236,0)-1,"")</f>
        <v/>
      </c>
      <c r="T236" t="str">
        <f t="shared" si="60"/>
        <v/>
      </c>
      <c r="U236" t="str">
        <f t="shared" si="61"/>
        <v/>
      </c>
      <c r="V236" t="str">
        <f t="shared" si="62"/>
        <v/>
      </c>
      <c r="W236" t="str">
        <f t="shared" si="63"/>
        <v/>
      </c>
      <c r="X236" t="str">
        <f t="shared" si="64"/>
        <v/>
      </c>
      <c r="Y236" t="str">
        <f t="shared" si="65"/>
        <v/>
      </c>
      <c r="Z236" t="str">
        <f t="shared" si="66"/>
        <v/>
      </c>
      <c r="AA236">
        <f t="shared" si="67"/>
        <v>0</v>
      </c>
      <c r="AB236" t="str">
        <f>IFERROR(V144+MATCH(AA236,V236:Z236,0)-1,"")</f>
        <v/>
      </c>
      <c r="AC236" t="str">
        <f t="shared" si="68"/>
        <v/>
      </c>
      <c r="AE236" t="str">
        <f>IF(ISNUMBER(MATCH("N/A",J236:N236,0)),"",IFERROR((5 * SUMPRODUCT(J144:N144,J236:N236) - PRODUCT(SUM(J144:N144),SUM(J236:N236))) / ((5 * SUM((J144^2)+(K144^2)+(L144^2)+(M144^2)+(N144^2))) - SUM(J144:N144)^2),""))</f>
        <v/>
      </c>
      <c r="AF236" t="str">
        <f>IFERROR(CORREL(J144:N144,J236:N236),"")</f>
        <v/>
      </c>
      <c r="AZ236">
        <f t="shared" si="69"/>
        <v>0</v>
      </c>
      <c r="BA236" t="str">
        <f>IF(AZ236=1,IF(Q236="","",IF(Q236=N144,"Yes","No")),"")</f>
        <v/>
      </c>
      <c r="BB236" t="str">
        <f t="shared" si="70"/>
        <v/>
      </c>
      <c r="BC236" t="str">
        <f>IF(AZ236=1,IF(S236="","",IF(S236=N144,"Yes","No")),"")</f>
        <v/>
      </c>
      <c r="BD236" t="str">
        <f t="shared" si="71"/>
        <v/>
      </c>
      <c r="BE236" t="str">
        <f t="shared" si="72"/>
        <v/>
      </c>
      <c r="BF236" t="str">
        <f t="shared" si="73"/>
        <v>No</v>
      </c>
      <c r="BG236" t="str">
        <f t="shared" si="74"/>
        <v>No</v>
      </c>
      <c r="BH236" t="str">
        <f t="shared" si="75"/>
        <v/>
      </c>
    </row>
    <row r="237" spans="1:60" x14ac:dyDescent="0.3">
      <c r="A237" s="1">
        <v>20</v>
      </c>
      <c r="B237" t="s">
        <v>3550</v>
      </c>
      <c r="C237" t="s">
        <v>264</v>
      </c>
      <c r="D237" t="s">
        <v>264</v>
      </c>
      <c r="E237" t="s">
        <v>264</v>
      </c>
      <c r="F237" t="s">
        <v>264</v>
      </c>
      <c r="G237" t="s">
        <v>264</v>
      </c>
      <c r="I237" t="str">
        <f t="shared" si="76"/>
        <v>N/A</v>
      </c>
      <c r="J237" t="str">
        <f t="shared" si="77"/>
        <v>N/A</v>
      </c>
      <c r="K237" t="str">
        <f t="shared" si="78"/>
        <v>N/A</v>
      </c>
      <c r="L237" t="str">
        <f t="shared" si="79"/>
        <v>N/A</v>
      </c>
      <c r="M237" t="str">
        <f t="shared" si="80"/>
        <v>N/A</v>
      </c>
      <c r="N237" t="str">
        <f t="shared" si="81"/>
        <v>N/A</v>
      </c>
      <c r="P237">
        <f t="shared" si="58"/>
        <v>0</v>
      </c>
      <c r="Q237" t="str">
        <f>IFERROR(J144+MATCH(P237,J237:N237,0)-1,"")</f>
        <v/>
      </c>
      <c r="R237" t="str">
        <f t="shared" si="59"/>
        <v/>
      </c>
      <c r="S237" t="str">
        <f>IFERROR(J144+MATCH(R237,J237:N237,0)-1,"")</f>
        <v/>
      </c>
      <c r="T237" t="str">
        <f t="shared" si="60"/>
        <v/>
      </c>
      <c r="U237" t="str">
        <f t="shared" si="61"/>
        <v/>
      </c>
      <c r="V237" t="str">
        <f t="shared" si="62"/>
        <v/>
      </c>
      <c r="W237" t="str">
        <f t="shared" si="63"/>
        <v/>
      </c>
      <c r="X237" t="str">
        <f t="shared" si="64"/>
        <v/>
      </c>
      <c r="Y237" t="str">
        <f t="shared" si="65"/>
        <v/>
      </c>
      <c r="Z237" t="str">
        <f t="shared" si="66"/>
        <v/>
      </c>
      <c r="AA237">
        <f t="shared" si="67"/>
        <v>0</v>
      </c>
      <c r="AB237" t="str">
        <f>IFERROR(V144+MATCH(AA237,V237:Z237,0)-1,"")</f>
        <v/>
      </c>
      <c r="AC237" t="str">
        <f t="shared" si="68"/>
        <v/>
      </c>
      <c r="AE237" t="str">
        <f>IF(ISNUMBER(MATCH("N/A",J237:N237,0)),"",IFERROR((5 * SUMPRODUCT(J144:N144,J237:N237) - PRODUCT(SUM(J144:N144),SUM(J237:N237))) / ((5 * SUM((J144^2)+(K144^2)+(L144^2)+(M144^2)+(N144^2))) - SUM(J144:N144)^2),""))</f>
        <v/>
      </c>
      <c r="AF237" t="str">
        <f>IFERROR(CORREL(J144:N144,J237:N237),"")</f>
        <v/>
      </c>
      <c r="AZ237">
        <f t="shared" si="69"/>
        <v>0</v>
      </c>
      <c r="BA237" t="str">
        <f>IF(AZ237=1,IF(Q237="","",IF(Q237=N144,"Yes","No")),"")</f>
        <v/>
      </c>
      <c r="BB237" t="str">
        <f t="shared" si="70"/>
        <v/>
      </c>
      <c r="BC237" t="str">
        <f>IF(AZ237=1,IF(S237="","",IF(S237=N144,"Yes","No")),"")</f>
        <v/>
      </c>
      <c r="BD237" t="str">
        <f t="shared" si="71"/>
        <v/>
      </c>
      <c r="BE237" t="str">
        <f t="shared" si="72"/>
        <v/>
      </c>
      <c r="BF237" t="str">
        <f t="shared" si="73"/>
        <v>No</v>
      </c>
      <c r="BG237" t="str">
        <f t="shared" si="74"/>
        <v>No</v>
      </c>
      <c r="BH237" t="str">
        <f t="shared" si="75"/>
        <v/>
      </c>
    </row>
    <row r="238" spans="1:60" x14ac:dyDescent="0.3">
      <c r="A238" s="1">
        <v>21</v>
      </c>
      <c r="B238" t="s">
        <v>3551</v>
      </c>
      <c r="C238" t="s">
        <v>264</v>
      </c>
      <c r="D238" t="s">
        <v>264</v>
      </c>
      <c r="E238" t="s">
        <v>264</v>
      </c>
      <c r="F238" t="s">
        <v>264</v>
      </c>
      <c r="G238" t="s">
        <v>264</v>
      </c>
      <c r="I238" t="str">
        <f t="shared" si="76"/>
        <v>N/A</v>
      </c>
      <c r="J238" t="str">
        <f t="shared" si="77"/>
        <v>N/A</v>
      </c>
      <c r="K238" t="str">
        <f t="shared" si="78"/>
        <v>N/A</v>
      </c>
      <c r="L238" t="str">
        <f t="shared" si="79"/>
        <v>N/A</v>
      </c>
      <c r="M238" t="str">
        <f t="shared" si="80"/>
        <v>N/A</v>
      </c>
      <c r="N238" t="str">
        <f t="shared" si="81"/>
        <v>N/A</v>
      </c>
      <c r="P238">
        <f t="shared" si="58"/>
        <v>0</v>
      </c>
      <c r="Q238" t="str">
        <f>IFERROR(J144+MATCH(P238,J238:N238,0)-1,"")</f>
        <v/>
      </c>
      <c r="R238" t="str">
        <f t="shared" si="59"/>
        <v/>
      </c>
      <c r="S238" t="str">
        <f>IFERROR(J144+MATCH(R238,J238:N238,0)-1,"")</f>
        <v/>
      </c>
      <c r="T238" t="str">
        <f t="shared" si="60"/>
        <v/>
      </c>
      <c r="U238" t="str">
        <f t="shared" si="61"/>
        <v/>
      </c>
      <c r="V238" t="str">
        <f t="shared" si="62"/>
        <v/>
      </c>
      <c r="W238" t="str">
        <f t="shared" si="63"/>
        <v/>
      </c>
      <c r="X238" t="str">
        <f t="shared" si="64"/>
        <v/>
      </c>
      <c r="Y238" t="str">
        <f t="shared" si="65"/>
        <v/>
      </c>
      <c r="Z238" t="str">
        <f t="shared" si="66"/>
        <v/>
      </c>
      <c r="AA238">
        <f t="shared" si="67"/>
        <v>0</v>
      </c>
      <c r="AB238" t="str">
        <f>IFERROR(V144+MATCH(AA238,V238:Z238,0)-1,"")</f>
        <v/>
      </c>
      <c r="AC238" t="str">
        <f t="shared" si="68"/>
        <v/>
      </c>
      <c r="AE238" t="str">
        <f>IF(ISNUMBER(MATCH("N/A",J238:N238,0)),"",IFERROR((5 * SUMPRODUCT(J144:N144,J238:N238) - PRODUCT(SUM(J144:N144),SUM(J238:N238))) / ((5 * SUM((J144^2)+(K144^2)+(L144^2)+(M144^2)+(N144^2))) - SUM(J144:N144)^2),""))</f>
        <v/>
      </c>
      <c r="AF238" t="str">
        <f>IFERROR(CORREL(J144:N144,J238:N238),"")</f>
        <v/>
      </c>
      <c r="AZ238">
        <f t="shared" si="69"/>
        <v>0</v>
      </c>
      <c r="BA238" t="str">
        <f>IF(AZ238=1,IF(Q238="","",IF(Q238=N144,"Yes","No")),"")</f>
        <v/>
      </c>
      <c r="BB238" t="str">
        <f t="shared" si="70"/>
        <v/>
      </c>
      <c r="BC238" t="str">
        <f>IF(AZ238=1,IF(S238="","",IF(S238=N144,"Yes","No")),"")</f>
        <v/>
      </c>
      <c r="BD238" t="str">
        <f t="shared" si="71"/>
        <v/>
      </c>
      <c r="BE238" t="str">
        <f t="shared" si="72"/>
        <v/>
      </c>
      <c r="BF238" t="str">
        <f t="shared" si="73"/>
        <v>No</v>
      </c>
      <c r="BG238" t="str">
        <f t="shared" si="74"/>
        <v>No</v>
      </c>
      <c r="BH238" t="str">
        <f t="shared" si="75"/>
        <v/>
      </c>
    </row>
    <row r="239" spans="1:60" x14ac:dyDescent="0.3">
      <c r="A239" s="1">
        <v>22</v>
      </c>
      <c r="B239" t="s">
        <v>3552</v>
      </c>
      <c r="C239" t="s">
        <v>264</v>
      </c>
      <c r="D239" t="s">
        <v>264</v>
      </c>
      <c r="E239" t="s">
        <v>264</v>
      </c>
      <c r="F239" t="s">
        <v>264</v>
      </c>
      <c r="G239" t="s">
        <v>264</v>
      </c>
      <c r="I239" t="str">
        <f t="shared" si="76"/>
        <v>N/A</v>
      </c>
      <c r="J239" t="str">
        <f t="shared" si="77"/>
        <v>N/A</v>
      </c>
      <c r="K239" t="str">
        <f t="shared" si="78"/>
        <v>N/A</v>
      </c>
      <c r="L239" t="str">
        <f t="shared" si="79"/>
        <v>N/A</v>
      </c>
      <c r="M239" t="str">
        <f t="shared" si="80"/>
        <v>N/A</v>
      </c>
      <c r="N239" t="str">
        <f t="shared" si="81"/>
        <v>N/A</v>
      </c>
      <c r="P239">
        <f t="shared" si="58"/>
        <v>0</v>
      </c>
      <c r="Q239" t="str">
        <f>IFERROR(J144+MATCH(P239,J239:N239,0)-1,"")</f>
        <v/>
      </c>
      <c r="R239" t="str">
        <f t="shared" si="59"/>
        <v/>
      </c>
      <c r="S239" t="str">
        <f>IFERROR(J144+MATCH(R239,J239:N239,0)-1,"")</f>
        <v/>
      </c>
      <c r="T239" t="str">
        <f t="shared" si="60"/>
        <v/>
      </c>
      <c r="U239" t="str">
        <f t="shared" si="61"/>
        <v/>
      </c>
      <c r="V239" t="str">
        <f t="shared" si="62"/>
        <v/>
      </c>
      <c r="W239" t="str">
        <f t="shared" si="63"/>
        <v/>
      </c>
      <c r="X239" t="str">
        <f t="shared" si="64"/>
        <v/>
      </c>
      <c r="Y239" t="str">
        <f t="shared" si="65"/>
        <v/>
      </c>
      <c r="Z239" t="str">
        <f t="shared" si="66"/>
        <v/>
      </c>
      <c r="AA239">
        <f t="shared" si="67"/>
        <v>0</v>
      </c>
      <c r="AB239" t="str">
        <f>IFERROR(V144+MATCH(AA239,V239:Z239,0)-1,"")</f>
        <v/>
      </c>
      <c r="AC239" t="str">
        <f t="shared" si="68"/>
        <v/>
      </c>
      <c r="AE239" t="str">
        <f>IF(ISNUMBER(MATCH("N/A",J239:N239,0)),"",IFERROR((5 * SUMPRODUCT(J144:N144,J239:N239) - PRODUCT(SUM(J144:N144),SUM(J239:N239))) / ((5 * SUM((J144^2)+(K144^2)+(L144^2)+(M144^2)+(N144^2))) - SUM(J144:N144)^2),""))</f>
        <v/>
      </c>
      <c r="AF239" t="str">
        <f>IFERROR(CORREL(J144:N144,J239:N239),"")</f>
        <v/>
      </c>
      <c r="AZ239">
        <f t="shared" si="69"/>
        <v>0</v>
      </c>
      <c r="BA239" t="str">
        <f>IF(AZ239=1,IF(Q239="","",IF(Q239=N144,"Yes","No")),"")</f>
        <v/>
      </c>
      <c r="BB239" t="str">
        <f t="shared" si="70"/>
        <v/>
      </c>
      <c r="BC239" t="str">
        <f>IF(AZ239=1,IF(S239="","",IF(S239=N144,"Yes","No")),"")</f>
        <v/>
      </c>
      <c r="BD239" t="str">
        <f t="shared" si="71"/>
        <v/>
      </c>
      <c r="BE239" t="str">
        <f t="shared" si="72"/>
        <v/>
      </c>
      <c r="BF239" t="str">
        <f t="shared" si="73"/>
        <v>No</v>
      </c>
      <c r="BG239" t="str">
        <f t="shared" si="74"/>
        <v>No</v>
      </c>
      <c r="BH239" t="str">
        <f t="shared" si="75"/>
        <v/>
      </c>
    </row>
    <row r="240" spans="1:60" x14ac:dyDescent="0.3">
      <c r="A240" s="1">
        <v>23</v>
      </c>
      <c r="B240" t="s">
        <v>3553</v>
      </c>
      <c r="C240" t="s">
        <v>264</v>
      </c>
      <c r="D240" t="s">
        <v>264</v>
      </c>
      <c r="E240" t="s">
        <v>264</v>
      </c>
      <c r="F240" t="s">
        <v>264</v>
      </c>
      <c r="G240" t="s">
        <v>264</v>
      </c>
      <c r="I240" t="str">
        <f t="shared" si="76"/>
        <v>N/A</v>
      </c>
      <c r="J240" t="str">
        <f t="shared" si="77"/>
        <v>N/A</v>
      </c>
      <c r="K240" t="str">
        <f t="shared" si="78"/>
        <v>N/A</v>
      </c>
      <c r="L240" t="str">
        <f t="shared" si="79"/>
        <v>N/A</v>
      </c>
      <c r="M240" t="str">
        <f t="shared" si="80"/>
        <v>N/A</v>
      </c>
      <c r="N240" t="str">
        <f t="shared" si="81"/>
        <v>N/A</v>
      </c>
      <c r="P240">
        <f t="shared" si="58"/>
        <v>0</v>
      </c>
      <c r="Q240" t="str">
        <f>IFERROR(J144+MATCH(P240,J240:N240,0)-1,"")</f>
        <v/>
      </c>
      <c r="R240" t="str">
        <f t="shared" si="59"/>
        <v/>
      </c>
      <c r="S240" t="str">
        <f>IFERROR(J144+MATCH(R240,J240:N240,0)-1,"")</f>
        <v/>
      </c>
      <c r="T240" t="str">
        <f t="shared" si="60"/>
        <v/>
      </c>
      <c r="U240" t="str">
        <f t="shared" si="61"/>
        <v/>
      </c>
      <c r="V240" t="str">
        <f t="shared" si="62"/>
        <v/>
      </c>
      <c r="W240" t="str">
        <f t="shared" si="63"/>
        <v/>
      </c>
      <c r="X240" t="str">
        <f t="shared" si="64"/>
        <v/>
      </c>
      <c r="Y240" t="str">
        <f t="shared" si="65"/>
        <v/>
      </c>
      <c r="Z240" t="str">
        <f t="shared" si="66"/>
        <v/>
      </c>
      <c r="AA240">
        <f t="shared" si="67"/>
        <v>0</v>
      </c>
      <c r="AB240" t="str">
        <f>IFERROR(V144+MATCH(AA240,V240:Z240,0)-1,"")</f>
        <v/>
      </c>
      <c r="AC240" t="str">
        <f t="shared" si="68"/>
        <v/>
      </c>
      <c r="AE240" t="str">
        <f>IF(ISNUMBER(MATCH("N/A",J240:N240,0)),"",IFERROR((5 * SUMPRODUCT(J144:N144,J240:N240) - PRODUCT(SUM(J144:N144),SUM(J240:N240))) / ((5 * SUM((J144^2)+(K144^2)+(L144^2)+(M144^2)+(N144^2))) - SUM(J144:N144)^2),""))</f>
        <v/>
      </c>
      <c r="AF240" t="str">
        <f>IFERROR(CORREL(J144:N144,J240:N240),"")</f>
        <v/>
      </c>
      <c r="AZ240">
        <f t="shared" si="69"/>
        <v>0</v>
      </c>
      <c r="BA240" t="str">
        <f>IF(AZ240=1,IF(Q240="","",IF(Q240=N144,"Yes","No")),"")</f>
        <v/>
      </c>
      <c r="BB240" t="str">
        <f t="shared" si="70"/>
        <v/>
      </c>
      <c r="BC240" t="str">
        <f>IF(AZ240=1,IF(S240="","",IF(S240=N144,"Yes","No")),"")</f>
        <v/>
      </c>
      <c r="BD240" t="str">
        <f t="shared" si="71"/>
        <v/>
      </c>
      <c r="BE240" t="str">
        <f t="shared" si="72"/>
        <v/>
      </c>
      <c r="BF240" t="str">
        <f t="shared" si="73"/>
        <v>No</v>
      </c>
      <c r="BG240" t="str">
        <f t="shared" si="74"/>
        <v>No</v>
      </c>
      <c r="BH240" t="str">
        <f t="shared" si="75"/>
        <v/>
      </c>
    </row>
    <row r="241" spans="1:60" x14ac:dyDescent="0.3">
      <c r="A241" s="1">
        <v>24</v>
      </c>
      <c r="B241" t="s">
        <v>3554</v>
      </c>
      <c r="C241" t="s">
        <v>3555</v>
      </c>
      <c r="D241" t="s">
        <v>3556</v>
      </c>
      <c r="E241" t="s">
        <v>3557</v>
      </c>
      <c r="F241" t="s">
        <v>3558</v>
      </c>
      <c r="G241" t="s">
        <v>3559</v>
      </c>
      <c r="I241" t="str">
        <f t="shared" si="76"/>
        <v>N/A</v>
      </c>
      <c r="J241">
        <f t="shared" si="77"/>
        <v>-19740000</v>
      </c>
      <c r="K241">
        <f t="shared" si="78"/>
        <v>-16530000.000000002</v>
      </c>
      <c r="L241">
        <f t="shared" si="79"/>
        <v>-14270000</v>
      </c>
      <c r="M241">
        <f t="shared" si="80"/>
        <v>-14360000</v>
      </c>
      <c r="N241">
        <f t="shared" si="81"/>
        <v>-13310000</v>
      </c>
      <c r="P241">
        <f t="shared" si="58"/>
        <v>-13310000</v>
      </c>
      <c r="Q241">
        <f>IFERROR(J144+MATCH(P241,J241:N241,0)-1,"")</f>
        <v>2016</v>
      </c>
      <c r="R241">
        <f t="shared" si="59"/>
        <v>-19740000</v>
      </c>
      <c r="S241">
        <f>IFERROR(J144+MATCH(R241,J241:N241,0)-1,"")</f>
        <v>2012</v>
      </c>
      <c r="T241">
        <f t="shared" si="60"/>
        <v>-15642000</v>
      </c>
      <c r="U241">
        <f t="shared" si="61"/>
        <v>2576154.1102969754</v>
      </c>
      <c r="V241">
        <f t="shared" si="62"/>
        <v>-1.5907433424189008</v>
      </c>
      <c r="W241">
        <f t="shared" si="63"/>
        <v>-0.34469987507759559</v>
      </c>
      <c r="X241">
        <f t="shared" si="64"/>
        <v>0.53257683401628397</v>
      </c>
      <c r="Y241">
        <f t="shared" si="65"/>
        <v>0.49764103586652775</v>
      </c>
      <c r="Z241">
        <f t="shared" si="66"/>
        <v>0.90522534761368389</v>
      </c>
      <c r="AA241">
        <f t="shared" si="67"/>
        <v>-1.5907433424189008</v>
      </c>
      <c r="AB241">
        <f>IFERROR(V144+MATCH(AA241,V241:Z241,0)-1,"")</f>
        <v>2012</v>
      </c>
      <c r="AC241" t="str">
        <f t="shared" si="68"/>
        <v>Low</v>
      </c>
      <c r="AE241">
        <f>IF(ISNUMBER(MATCH("N/A",J241:N241,0)),"",IFERROR((5 * SUMPRODUCT(J144:N144,J241:N241) - PRODUCT(SUM(J144:N144),SUM(J241:N241))) / ((5 * SUM((J144^2)+(K144^2)+(L144^2)+(M144^2)+(N144^2))) - SUM(J144:N144)^2),""))</f>
        <v>1503000</v>
      </c>
      <c r="AF241">
        <f>IFERROR(CORREL(J144:N144,J241:N241),"")</f>
        <v>0.92248039514320179</v>
      </c>
      <c r="AZ241">
        <f t="shared" si="69"/>
        <v>1</v>
      </c>
      <c r="BA241" t="str">
        <f>IF(AZ241=1,IF(Q241="","",IF(Q241=N144,"Yes","No")),"")</f>
        <v>Yes</v>
      </c>
      <c r="BB241">
        <f t="shared" si="70"/>
        <v>-13310000</v>
      </c>
      <c r="BC241" t="str">
        <f>IF(AZ241=1,IF(S241="","",IF(S241=N144,"Yes","No")),"")</f>
        <v>No</v>
      </c>
      <c r="BD241" t="str">
        <f t="shared" si="71"/>
        <v/>
      </c>
      <c r="BE241" t="str">
        <f t="shared" si="72"/>
        <v>Increasing</v>
      </c>
      <c r="BF241" t="str">
        <f t="shared" si="73"/>
        <v>Yes</v>
      </c>
      <c r="BG241" t="str">
        <f t="shared" si="74"/>
        <v>No</v>
      </c>
      <c r="BH241" t="str">
        <f t="shared" si="75"/>
        <v>Yes</v>
      </c>
    </row>
    <row r="242" spans="1:60" x14ac:dyDescent="0.3">
      <c r="A242" s="1">
        <v>25</v>
      </c>
      <c r="B242" t="s">
        <v>3560</v>
      </c>
      <c r="C242" t="s">
        <v>264</v>
      </c>
      <c r="D242" t="s">
        <v>264</v>
      </c>
      <c r="E242" t="s">
        <v>264</v>
      </c>
      <c r="F242" t="s">
        <v>264</v>
      </c>
      <c r="G242" t="s">
        <v>264</v>
      </c>
      <c r="I242" t="str">
        <f t="shared" si="76"/>
        <v>N/A</v>
      </c>
      <c r="J242" t="str">
        <f t="shared" si="77"/>
        <v>N/A</v>
      </c>
      <c r="K242" t="str">
        <f t="shared" si="78"/>
        <v>N/A</v>
      </c>
      <c r="L242" t="str">
        <f t="shared" si="79"/>
        <v>N/A</v>
      </c>
      <c r="M242" t="str">
        <f t="shared" si="80"/>
        <v>N/A</v>
      </c>
      <c r="N242" t="str">
        <f t="shared" si="81"/>
        <v>N/A</v>
      </c>
      <c r="P242">
        <f t="shared" si="58"/>
        <v>0</v>
      </c>
      <c r="Q242" t="str">
        <f>IFERROR(J144+MATCH(P242,J242:N242,0)-1,"")</f>
        <v/>
      </c>
      <c r="R242" t="str">
        <f t="shared" si="59"/>
        <v/>
      </c>
      <c r="S242" t="str">
        <f>IFERROR(J144+MATCH(R242,J242:N242,0)-1,"")</f>
        <v/>
      </c>
      <c r="T242" t="str">
        <f t="shared" si="60"/>
        <v/>
      </c>
      <c r="U242" t="str">
        <f t="shared" si="61"/>
        <v/>
      </c>
      <c r="V242" t="str">
        <f t="shared" si="62"/>
        <v/>
      </c>
      <c r="W242" t="str">
        <f t="shared" si="63"/>
        <v/>
      </c>
      <c r="X242" t="str">
        <f t="shared" si="64"/>
        <v/>
      </c>
      <c r="Y242" t="str">
        <f t="shared" si="65"/>
        <v/>
      </c>
      <c r="Z242" t="str">
        <f t="shared" si="66"/>
        <v/>
      </c>
      <c r="AA242">
        <f t="shared" si="67"/>
        <v>0</v>
      </c>
      <c r="AB242" t="str">
        <f>IFERROR(V144+MATCH(AA242,V242:Z242,0)-1,"")</f>
        <v/>
      </c>
      <c r="AC242" t="str">
        <f t="shared" si="68"/>
        <v/>
      </c>
      <c r="AE242" t="str">
        <f>IF(ISNUMBER(MATCH("N/A",J242:N242,0)),"",IFERROR((5 * SUMPRODUCT(J144:N144,J242:N242) - PRODUCT(SUM(J144:N144),SUM(J242:N242))) / ((5 * SUM((J144^2)+(K144^2)+(L144^2)+(M144^2)+(N144^2))) - SUM(J144:N144)^2),""))</f>
        <v/>
      </c>
      <c r="AF242" t="str">
        <f>IFERROR(CORREL(J144:N144,J242:N242),"")</f>
        <v/>
      </c>
      <c r="AZ242">
        <f t="shared" si="69"/>
        <v>0</v>
      </c>
      <c r="BA242" t="str">
        <f>IF(AZ242=1,IF(Q242="","",IF(Q242=N144,"Yes","No")),"")</f>
        <v/>
      </c>
      <c r="BB242" t="str">
        <f t="shared" si="70"/>
        <v/>
      </c>
      <c r="BC242" t="str">
        <f>IF(AZ242=1,IF(S242="","",IF(S242=N144,"Yes","No")),"")</f>
        <v/>
      </c>
      <c r="BD242" t="str">
        <f t="shared" si="71"/>
        <v/>
      </c>
      <c r="BE242" t="str">
        <f t="shared" si="72"/>
        <v/>
      </c>
      <c r="BF242" t="str">
        <f t="shared" si="73"/>
        <v>No</v>
      </c>
      <c r="BG242" t="str">
        <f t="shared" si="74"/>
        <v>No</v>
      </c>
      <c r="BH242" t="str">
        <f t="shared" si="75"/>
        <v/>
      </c>
    </row>
    <row r="243" spans="1:60" x14ac:dyDescent="0.3">
      <c r="A243" s="1">
        <v>26</v>
      </c>
      <c r="B243" t="s">
        <v>3561</v>
      </c>
      <c r="C243" t="s">
        <v>264</v>
      </c>
      <c r="D243" t="s">
        <v>3562</v>
      </c>
      <c r="E243" t="s">
        <v>3563</v>
      </c>
      <c r="F243" t="s">
        <v>1730</v>
      </c>
      <c r="G243" t="s">
        <v>3564</v>
      </c>
      <c r="I243" t="str">
        <f t="shared" si="76"/>
        <v>N/A</v>
      </c>
      <c r="J243" t="str">
        <f t="shared" si="77"/>
        <v>N/A</v>
      </c>
      <c r="K243">
        <f t="shared" si="78"/>
        <v>6.1399999999999996E-2</v>
      </c>
      <c r="L243">
        <f t="shared" si="79"/>
        <v>6.6100000000000006E-2</v>
      </c>
      <c r="M243">
        <f t="shared" si="80"/>
        <v>9.6099999999999991E-2</v>
      </c>
      <c r="N243">
        <f t="shared" si="81"/>
        <v>5.5800000000000002E-2</v>
      </c>
      <c r="P243">
        <f t="shared" si="58"/>
        <v>9.6099999999999991E-2</v>
      </c>
      <c r="Q243">
        <f>IFERROR(J144+MATCH(P243,J243:N243,0)-1,"")</f>
        <v>2015</v>
      </c>
      <c r="R243">
        <f t="shared" si="59"/>
        <v>5.5800000000000002E-2</v>
      </c>
      <c r="S243">
        <f>IFERROR(J144+MATCH(R243,J243:N243,0)-1,"")</f>
        <v>2016</v>
      </c>
      <c r="T243">
        <f t="shared" si="60"/>
        <v>6.9849999999999995E-2</v>
      </c>
      <c r="U243">
        <f t="shared" si="61"/>
        <v>1.7999351840182157E-2</v>
      </c>
      <c r="V243" t="str">
        <f t="shared" si="62"/>
        <v/>
      </c>
      <c r="W243">
        <f t="shared" si="63"/>
        <v>-0.46946134922125526</v>
      </c>
      <c r="X243">
        <f t="shared" si="64"/>
        <v>-0.20834083545321924</v>
      </c>
      <c r="Y243">
        <f t="shared" si="65"/>
        <v>1.4583858481725385</v>
      </c>
      <c r="Z243">
        <f t="shared" si="66"/>
        <v>-0.78058366349806318</v>
      </c>
      <c r="AA243">
        <f t="shared" si="67"/>
        <v>1.4583858481725385</v>
      </c>
      <c r="AB243">
        <f>IFERROR(V144+MATCH(AA243,V243:Z243,0)-1,"")</f>
        <v>2015</v>
      </c>
      <c r="AC243" t="str">
        <f t="shared" si="68"/>
        <v>High</v>
      </c>
      <c r="AE243" t="str">
        <f>IF(ISNUMBER(MATCH("N/A",J243:N243,0)),"",IFERROR((5 * SUMPRODUCT(J144:N144,J243:N243) - PRODUCT(SUM(J144:N144),SUM(J243:N243))) / ((5 * SUM((J144^2)+(K144^2)+(L144^2)+(M144^2)+(N144^2))) - SUM(J144:N144)^2),""))</f>
        <v/>
      </c>
      <c r="AF243">
        <f>IFERROR(CORREL(J144:N144,J243:N243),"")</f>
        <v>9.4676335429310865E-2</v>
      </c>
      <c r="AZ243">
        <f t="shared" si="69"/>
        <v>1</v>
      </c>
      <c r="BA243" t="str">
        <f>IF(AZ243=1,IF(Q243="","",IF(Q243=N144,"Yes","No")),"")</f>
        <v>No</v>
      </c>
      <c r="BB243" t="str">
        <f t="shared" si="70"/>
        <v/>
      </c>
      <c r="BC243" t="str">
        <f>IF(AZ243=1,IF(S243="","",IF(S243=N144,"Yes","No")),"")</f>
        <v>Yes</v>
      </c>
      <c r="BD243">
        <f t="shared" si="71"/>
        <v>5.5800000000000002E-2</v>
      </c>
      <c r="BE243" t="str">
        <f t="shared" si="72"/>
        <v/>
      </c>
      <c r="BF243" t="str">
        <f t="shared" si="73"/>
        <v>No</v>
      </c>
      <c r="BG243" t="str">
        <f t="shared" si="74"/>
        <v>No</v>
      </c>
      <c r="BH243" t="str">
        <f t="shared" si="75"/>
        <v>No</v>
      </c>
    </row>
    <row r="244" spans="1:60" x14ac:dyDescent="0.3">
      <c r="A244" s="1">
        <v>27</v>
      </c>
      <c r="B244" t="s">
        <v>3565</v>
      </c>
      <c r="C244" t="s">
        <v>264</v>
      </c>
      <c r="D244" t="s">
        <v>264</v>
      </c>
      <c r="E244" t="s">
        <v>264</v>
      </c>
      <c r="F244" t="s">
        <v>264</v>
      </c>
      <c r="G244" t="s">
        <v>264</v>
      </c>
      <c r="I244" t="str">
        <f t="shared" si="76"/>
        <v>N/A</v>
      </c>
      <c r="J244" t="str">
        <f t="shared" si="77"/>
        <v>N/A</v>
      </c>
      <c r="K244" t="str">
        <f t="shared" si="78"/>
        <v>N/A</v>
      </c>
      <c r="L244" t="str">
        <f t="shared" si="79"/>
        <v>N/A</v>
      </c>
      <c r="M244" t="str">
        <f t="shared" si="80"/>
        <v>N/A</v>
      </c>
      <c r="N244" t="str">
        <f t="shared" si="81"/>
        <v>N/A</v>
      </c>
      <c r="P244">
        <f t="shared" si="58"/>
        <v>0</v>
      </c>
      <c r="Q244" t="str">
        <f>IFERROR(J144+MATCH(P244,J244:N244,0)-1,"")</f>
        <v/>
      </c>
      <c r="R244" t="str">
        <f t="shared" si="59"/>
        <v/>
      </c>
      <c r="S244" t="str">
        <f>IFERROR(J144+MATCH(R244,J244:N244,0)-1,"")</f>
        <v/>
      </c>
      <c r="T244" t="str">
        <f t="shared" si="60"/>
        <v/>
      </c>
      <c r="U244" t="str">
        <f t="shared" si="61"/>
        <v/>
      </c>
      <c r="V244" t="str">
        <f t="shared" si="62"/>
        <v/>
      </c>
      <c r="W244" t="str">
        <f t="shared" si="63"/>
        <v/>
      </c>
      <c r="X244" t="str">
        <f t="shared" si="64"/>
        <v/>
      </c>
      <c r="Y244" t="str">
        <f t="shared" si="65"/>
        <v/>
      </c>
      <c r="Z244" t="str">
        <f t="shared" si="66"/>
        <v/>
      </c>
      <c r="AA244">
        <f t="shared" si="67"/>
        <v>0</v>
      </c>
      <c r="AB244" t="str">
        <f>IFERROR(V144+MATCH(AA244,V244:Z244,0)-1,"")</f>
        <v/>
      </c>
      <c r="AC244" t="str">
        <f t="shared" si="68"/>
        <v/>
      </c>
      <c r="AE244" t="str">
        <f>IF(ISNUMBER(MATCH("N/A",J244:N244,0)),"",IFERROR((5 * SUMPRODUCT(J144:N144,J244:N244) - PRODUCT(SUM(J144:N144),SUM(J244:N244))) / ((5 * SUM((J144^2)+(K144^2)+(L144^2)+(M144^2)+(N144^2))) - SUM(J144:N144)^2),""))</f>
        <v/>
      </c>
      <c r="AF244" t="str">
        <f>IFERROR(CORREL(J144:N144,J244:N244),"")</f>
        <v/>
      </c>
      <c r="AZ244">
        <f t="shared" si="69"/>
        <v>0</v>
      </c>
      <c r="BA244" t="str">
        <f>IF(AZ244=1,IF(Q244="","",IF(Q244=N144,"Yes","No")),"")</f>
        <v/>
      </c>
      <c r="BB244" t="str">
        <f t="shared" si="70"/>
        <v/>
      </c>
      <c r="BC244" t="str">
        <f>IF(AZ244=1,IF(S244="","",IF(S244=N144,"Yes","No")),"")</f>
        <v/>
      </c>
      <c r="BD244" t="str">
        <f t="shared" si="71"/>
        <v/>
      </c>
      <c r="BE244" t="str">
        <f t="shared" si="72"/>
        <v/>
      </c>
      <c r="BF244" t="str">
        <f t="shared" si="73"/>
        <v>No</v>
      </c>
      <c r="BG244" t="str">
        <f t="shared" si="74"/>
        <v>No</v>
      </c>
      <c r="BH244" t="str">
        <f t="shared" si="75"/>
        <v/>
      </c>
    </row>
    <row r="245" spans="1:60" x14ac:dyDescent="0.3">
      <c r="A245" s="1">
        <v>28</v>
      </c>
      <c r="B245" t="s">
        <v>3566</v>
      </c>
      <c r="C245" t="s">
        <v>264</v>
      </c>
      <c r="D245" t="s">
        <v>264</v>
      </c>
      <c r="E245" t="s">
        <v>264</v>
      </c>
      <c r="F245" t="s">
        <v>264</v>
      </c>
      <c r="G245" t="s">
        <v>264</v>
      </c>
      <c r="I245" t="str">
        <f t="shared" si="76"/>
        <v>N/A</v>
      </c>
      <c r="J245" t="str">
        <f t="shared" si="77"/>
        <v>N/A</v>
      </c>
      <c r="K245" t="str">
        <f t="shared" si="78"/>
        <v>N/A</v>
      </c>
      <c r="L245" t="str">
        <f t="shared" si="79"/>
        <v>N/A</v>
      </c>
      <c r="M245" t="str">
        <f t="shared" si="80"/>
        <v>N/A</v>
      </c>
      <c r="N245" t="str">
        <f t="shared" si="81"/>
        <v>N/A</v>
      </c>
      <c r="P245">
        <f t="shared" si="58"/>
        <v>0</v>
      </c>
      <c r="Q245" t="str">
        <f>IFERROR(J144+MATCH(P245,J245:N245,0)-1,"")</f>
        <v/>
      </c>
      <c r="R245" t="str">
        <f t="shared" si="59"/>
        <v/>
      </c>
      <c r="S245" t="str">
        <f>IFERROR(J144+MATCH(R245,J245:N245,0)-1,"")</f>
        <v/>
      </c>
      <c r="T245" t="str">
        <f t="shared" si="60"/>
        <v/>
      </c>
      <c r="U245" t="str">
        <f t="shared" si="61"/>
        <v/>
      </c>
      <c r="V245" t="str">
        <f t="shared" si="62"/>
        <v/>
      </c>
      <c r="W245" t="str">
        <f t="shared" si="63"/>
        <v/>
      </c>
      <c r="X245" t="str">
        <f t="shared" si="64"/>
        <v/>
      </c>
      <c r="Y245" t="str">
        <f t="shared" si="65"/>
        <v/>
      </c>
      <c r="Z245" t="str">
        <f t="shared" si="66"/>
        <v/>
      </c>
      <c r="AA245">
        <f t="shared" si="67"/>
        <v>0</v>
      </c>
      <c r="AB245" t="str">
        <f>IFERROR(V144+MATCH(AA245,V245:Z245,0)-1,"")</f>
        <v/>
      </c>
      <c r="AC245" t="str">
        <f t="shared" si="68"/>
        <v/>
      </c>
      <c r="AE245" t="str">
        <f>IF(ISNUMBER(MATCH("N/A",J245:N245,0)),"",IFERROR((5 * SUMPRODUCT(J144:N144,J245:N245) - PRODUCT(SUM(J144:N144),SUM(J245:N245))) / ((5 * SUM((J144^2)+(K144^2)+(L144^2)+(M144^2)+(N144^2))) - SUM(J144:N144)^2),""))</f>
        <v/>
      </c>
      <c r="AF245" t="str">
        <f>IFERROR(CORREL(J144:N144,J245:N245),"")</f>
        <v/>
      </c>
      <c r="AZ245">
        <f t="shared" si="69"/>
        <v>0</v>
      </c>
      <c r="BA245" t="str">
        <f>IF(AZ245=1,IF(Q245="","",IF(Q245=N144,"Yes","No")),"")</f>
        <v/>
      </c>
      <c r="BB245" t="str">
        <f t="shared" si="70"/>
        <v/>
      </c>
      <c r="BC245" t="str">
        <f>IF(AZ245=1,IF(S245="","",IF(S245=N144,"Yes","No")),"")</f>
        <v/>
      </c>
      <c r="BD245" t="str">
        <f t="shared" si="71"/>
        <v/>
      </c>
      <c r="BE245" t="str">
        <f t="shared" si="72"/>
        <v/>
      </c>
      <c r="BF245" t="str">
        <f t="shared" si="73"/>
        <v>No</v>
      </c>
      <c r="BG245" t="str">
        <f t="shared" si="74"/>
        <v>No</v>
      </c>
      <c r="BH245" t="str">
        <f t="shared" si="75"/>
        <v/>
      </c>
    </row>
    <row r="246" spans="1:60" x14ac:dyDescent="0.3">
      <c r="A246" s="1">
        <v>29</v>
      </c>
      <c r="B246" t="s">
        <v>546</v>
      </c>
      <c r="C246" t="s">
        <v>3567</v>
      </c>
      <c r="D246" t="s">
        <v>1903</v>
      </c>
      <c r="E246" t="s">
        <v>2838</v>
      </c>
      <c r="F246" t="s">
        <v>3568</v>
      </c>
      <c r="G246" t="s">
        <v>3569</v>
      </c>
      <c r="P246">
        <f t="shared" si="58"/>
        <v>0</v>
      </c>
      <c r="Q246" t="str">
        <f>IFERROR(J144+MATCH(P246,J246:N246,0)-1,"")</f>
        <v/>
      </c>
      <c r="R246" t="str">
        <f t="shared" si="59"/>
        <v/>
      </c>
      <c r="S246" t="str">
        <f>IFERROR(J144+MATCH(R246,J246:N246,0)-1,"")</f>
        <v/>
      </c>
      <c r="T246" t="str">
        <f t="shared" si="60"/>
        <v/>
      </c>
      <c r="U246" t="str">
        <f t="shared" si="61"/>
        <v/>
      </c>
      <c r="V246" t="str">
        <f t="shared" si="62"/>
        <v/>
      </c>
      <c r="W246" t="str">
        <f t="shared" si="63"/>
        <v/>
      </c>
      <c r="X246" t="str">
        <f t="shared" si="64"/>
        <v/>
      </c>
      <c r="Y246" t="str">
        <f t="shared" si="65"/>
        <v/>
      </c>
      <c r="Z246" t="str">
        <f t="shared" si="66"/>
        <v/>
      </c>
      <c r="AA246">
        <f t="shared" si="67"/>
        <v>0</v>
      </c>
      <c r="AB246" t="str">
        <f>IFERROR(V144+MATCH(AA246,V246:Z246,0)-1,"")</f>
        <v/>
      </c>
      <c r="AC246" t="str">
        <f t="shared" si="68"/>
        <v/>
      </c>
      <c r="AE246">
        <f>IF(ISNUMBER(MATCH("N/A",J246:N246,0)),"",IFERROR((5 * SUMPRODUCT(J144:N144,J246:N246) - PRODUCT(SUM(J144:N144),SUM(J246:N246))) / ((5 * SUM((J144^2)+(K144^2)+(L144^2)+(M144^2)+(N144^2))) - SUM(J144:N144)^2),""))</f>
        <v>0</v>
      </c>
      <c r="AF246" t="str">
        <f>IFERROR(CORREL(J144:N144,J246:N246),"")</f>
        <v/>
      </c>
      <c r="AZ246">
        <f t="shared" si="69"/>
        <v>0</v>
      </c>
      <c r="BA246" t="str">
        <f>IF(AZ246=1,IF(Q246="","",IF(Q246=N144,"Yes","No")),"")</f>
        <v/>
      </c>
      <c r="BB246" t="str">
        <f t="shared" si="70"/>
        <v/>
      </c>
      <c r="BC246" t="str">
        <f>IF(AZ246=1,IF(S246="","",IF(S246=N144,"Yes","No")),"")</f>
        <v/>
      </c>
      <c r="BD246" t="str">
        <f t="shared" si="71"/>
        <v/>
      </c>
      <c r="BE246" t="str">
        <f t="shared" si="72"/>
        <v/>
      </c>
      <c r="BF246" t="str">
        <f t="shared" si="73"/>
        <v>No</v>
      </c>
      <c r="BG246" t="str">
        <f t="shared" si="74"/>
        <v>No</v>
      </c>
      <c r="BH246" t="str">
        <f t="shared" si="75"/>
        <v/>
      </c>
    </row>
    <row r="247" spans="1:60" x14ac:dyDescent="0.3">
      <c r="A247" s="1">
        <v>30</v>
      </c>
      <c r="B247" t="s">
        <v>3570</v>
      </c>
      <c r="C247" t="s">
        <v>3571</v>
      </c>
      <c r="D247" t="s">
        <v>3572</v>
      </c>
      <c r="E247" t="s">
        <v>3573</v>
      </c>
      <c r="F247" t="s">
        <v>3574</v>
      </c>
      <c r="G247" t="s">
        <v>3575</v>
      </c>
      <c r="I247" t="str">
        <f t="shared" ref="I247:I270" si="82">IF(AND(K247&gt; J247, L247&gt; K247, M247&gt; L247, N247&gt; M247), "pos_trend", IF(AND(K247&lt; J247, L247&lt; K247, M247&lt; L247, N247&lt; M247), "neg_trend", "N/A"))</f>
        <v>pos_trend</v>
      </c>
      <c r="J247">
        <f t="shared" ref="J247:J270" si="83">IFERROR(IF(TRIM(C247)="-", "N/A", IF(RIGHT(C247,1)=")",IF(RIGHT(C247,2)="T)",-1000000000000*VALUE(MID(C247,2,LEN(C247)-3)),IF(RIGHT(C247,2)="M)",-1000000*VALUE(MID(C247,2,LEN(C247)-3)),IF(RIGHT(C247,2)="B)",-1000000000*VALUE(MID(C247,2,LEN(C247)-3)),IF(RIGHT(C247,2)="k)",-1000*VALUE(MID(C247,2,LEN(C247)-3)),VALUE(SUBSTITUTE(C247,",","")))))),IF(RIGHT(C247,1)="T",1000000000000*VALUE(LEFT(C247,LEN(C247)-1)),IF(RIGHT(C247,1)="M",1000000*VALUE(LEFT(C247,LEN(C247)-1)),IF(RIGHT(C247,1)="B",1000000000*VALUE(LEFT(C247,LEN(C247)-1)),IF(RIGHT(C247,1)="%",0.01*VALUE(LEFT(C247,LEN(C247)-1)),IF(RIGHT(C247,1)="k",1000*VALUE(LEFT(C247,LEN(C247)-1)),VALUE(SUBSTITUTE(C247,",",""))))))))),"N/A")</f>
        <v>48700000</v>
      </c>
      <c r="K247">
        <f t="shared" ref="K247:K270" si="84">IFERROR(IF(TRIM(D247)="-", "N/A", IF(RIGHT(D247,1)=")",IF(RIGHT(D247,2)="T)",-1000000000000*VALUE(MID(D247,2,LEN(D247)-3)),IF(RIGHT(D247,2)="M)",-1000000*VALUE(MID(D247,2,LEN(D247)-3)),IF(RIGHT(D247,2)="B)",-1000000000*VALUE(MID(D247,2,LEN(D247)-3)),IF(RIGHT(D247,2)="k)",-1000*VALUE(MID(D247,2,LEN(D247)-3)),VALUE(SUBSTITUTE(D247,",","")))))),IF(RIGHT(D247,1)="T",1000000000000*VALUE(LEFT(D247,LEN(D247)-1)),IF(RIGHT(D247,1)="M",1000000*VALUE(LEFT(D247,LEN(D247)-1)),IF(RIGHT(D247,1)="B",1000000000*VALUE(LEFT(D247,LEN(D247)-1)),IF(RIGHT(D247,1)="%",0.01*VALUE(LEFT(D247,LEN(D247)-1)),IF(RIGHT(D247,1)="k",1000*VALUE(LEFT(D247,LEN(D247)-1)),VALUE(SUBSTITUTE(D247,",",""))))))))),"N/A")</f>
        <v>48930000</v>
      </c>
      <c r="L247">
        <f t="shared" ref="L247:L270" si="85">IFERROR(IF(TRIM(E247)="-", "N/A", IF(RIGHT(E247,1)=")",IF(RIGHT(E247,2)="T)",-1000000000000*VALUE(MID(E247,2,LEN(E247)-3)),IF(RIGHT(E247,2)="M)",-1000000*VALUE(MID(E247,2,LEN(E247)-3)),IF(RIGHT(E247,2)="B)",-1000000000*VALUE(MID(E247,2,LEN(E247)-3)),IF(RIGHT(E247,2)="k)",-1000*VALUE(MID(E247,2,LEN(E247)-3)),VALUE(SUBSTITUTE(E247,",","")))))),IF(RIGHT(E247,1)="T",1000000000000*VALUE(LEFT(E247,LEN(E247)-1)),IF(RIGHT(E247,1)="M",1000000*VALUE(LEFT(E247,LEN(E247)-1)),IF(RIGHT(E247,1)="B",1000000000*VALUE(LEFT(E247,LEN(E247)-1)),IF(RIGHT(E247,1)="%",0.01*VALUE(LEFT(E247,LEN(E247)-1)),IF(RIGHT(E247,1)="k",1000*VALUE(LEFT(E247,LEN(E247)-1)),VALUE(SUBSTITUTE(E247,",",""))))))))),"N/A")</f>
        <v>49880000</v>
      </c>
      <c r="M247">
        <f t="shared" ref="M247:M270" si="86">IFERROR(IF(TRIM(F247)="-", "N/A", IF(RIGHT(F247,1)=")",IF(RIGHT(F247,2)="T)",-1000000000000*VALUE(MID(F247,2,LEN(F247)-3)),IF(RIGHT(F247,2)="M)",-1000000*VALUE(MID(F247,2,LEN(F247)-3)),IF(RIGHT(F247,2)="B)",-1000000000*VALUE(MID(F247,2,LEN(F247)-3)),IF(RIGHT(F247,2)="k)",-1000*VALUE(MID(F247,2,LEN(F247)-3)),VALUE(SUBSTITUTE(F247,",","")))))),IF(RIGHT(F247,1)="T",1000000000000*VALUE(LEFT(F247,LEN(F247)-1)),IF(RIGHT(F247,1)="M",1000000*VALUE(LEFT(F247,LEN(F247)-1)),IF(RIGHT(F247,1)="B",1000000000*VALUE(LEFT(F247,LEN(F247)-1)),IF(RIGHT(F247,1)="%",0.01*VALUE(LEFT(F247,LEN(F247)-1)),IF(RIGHT(F247,1)="k",1000*VALUE(LEFT(F247,LEN(F247)-1)),VALUE(SUBSTITUTE(F247,",",""))))))))),"N/A")</f>
        <v>57010000</v>
      </c>
      <c r="N247">
        <f t="shared" ref="N247:N270" si="87">IFERROR(IF(TRIM(G247)="-", "N/A", IF(RIGHT(G247,1)=")",IF(RIGHT(G247,2)="T)",-1000000000000*VALUE(MID(G247,2,LEN(G247)-3)),IF(RIGHT(G247,2)="M)",-1000000*VALUE(MID(G247,2,LEN(G247)-3)),IF(RIGHT(G247,2)="B)",-1000000000*VALUE(MID(G247,2,LEN(G247)-3)),IF(RIGHT(G247,2)="k)",-1000*VALUE(MID(G247,2,LEN(G247)-3)),VALUE(SUBSTITUTE(G247,",","")))))),IF(RIGHT(G247,1)="T",1000000000000*VALUE(LEFT(G247,LEN(G247)-1)),IF(RIGHT(G247,1)="M",1000000*VALUE(LEFT(G247,LEN(G247)-1)),IF(RIGHT(G247,1)="B",1000000000*VALUE(LEFT(G247,LEN(G247)-1)),IF(RIGHT(G247,1)="%",0.01*VALUE(LEFT(G247,LEN(G247)-1)),IF(RIGHT(G247,1)="k",1000*VALUE(LEFT(G247,LEN(G247)-1)),VALUE(SUBSTITUTE(G247,",",""))))))))),"N/A")</f>
        <v>61640000</v>
      </c>
      <c r="P247">
        <f t="shared" si="58"/>
        <v>61640000</v>
      </c>
      <c r="Q247">
        <f>IFERROR(J144+MATCH(P247,J247:N247,0)-1,"")</f>
        <v>2016</v>
      </c>
      <c r="R247">
        <f t="shared" si="59"/>
        <v>48700000</v>
      </c>
      <c r="S247">
        <f>IFERROR(J144+MATCH(R247,J247:N247,0)-1,"")</f>
        <v>2012</v>
      </c>
      <c r="T247">
        <f t="shared" si="60"/>
        <v>53232000</v>
      </c>
      <c r="U247">
        <f t="shared" si="61"/>
        <v>5814849.0952044493</v>
      </c>
      <c r="V247">
        <f t="shared" si="62"/>
        <v>-0.77938394028790448</v>
      </c>
      <c r="W247">
        <f t="shared" si="63"/>
        <v>-0.73983003334478492</v>
      </c>
      <c r="X247">
        <f t="shared" si="64"/>
        <v>-0.57645520031885611</v>
      </c>
      <c r="Y247">
        <f t="shared" si="65"/>
        <v>0.64971591491785152</v>
      </c>
      <c r="Z247">
        <f t="shared" si="66"/>
        <v>1.4459532590336939</v>
      </c>
      <c r="AA247">
        <f t="shared" si="67"/>
        <v>1.4459532590336939</v>
      </c>
      <c r="AB247">
        <f>IFERROR(V144+MATCH(AA247,V247:Z247,0)-1,"")</f>
        <v>2016</v>
      </c>
      <c r="AC247" t="str">
        <f t="shared" si="68"/>
        <v>High</v>
      </c>
      <c r="AE247">
        <f>IF(ISNUMBER(MATCH("N/A",J247:N247,0)),"",IFERROR((5 * SUMPRODUCT(J144:N144,J247:N247) - PRODUCT(SUM(J144:N144),SUM(J247:N247))) / ((5 * SUM((J144^2)+(K144^2)+(L144^2)+(M144^2)+(N144^2))) - SUM(J144:N144)^2),""))</f>
        <v>3396000</v>
      </c>
      <c r="AF247">
        <f>IFERROR(CORREL(J144:N144,J247:N247),"")</f>
        <v>0.92341991667405687</v>
      </c>
      <c r="AZ247">
        <f t="shared" si="69"/>
        <v>1</v>
      </c>
      <c r="BA247" t="str">
        <f>IF(AZ247=1,IF(Q247="","",IF(Q247=N144,"Yes","No")),"")</f>
        <v>Yes</v>
      </c>
      <c r="BB247">
        <f t="shared" si="70"/>
        <v>61640000</v>
      </c>
      <c r="BC247" t="str">
        <f>IF(AZ247=1,IF(S247="","",IF(S247=N144,"Yes","No")),"")</f>
        <v>No</v>
      </c>
      <c r="BD247" t="str">
        <f t="shared" si="71"/>
        <v/>
      </c>
      <c r="BE247" t="str">
        <f t="shared" si="72"/>
        <v>Increasing</v>
      </c>
      <c r="BF247" t="str">
        <f t="shared" si="73"/>
        <v>Yes</v>
      </c>
      <c r="BG247" t="str">
        <f t="shared" si="74"/>
        <v>Yes</v>
      </c>
      <c r="BH247" t="str">
        <f t="shared" si="75"/>
        <v>Yes</v>
      </c>
    </row>
    <row r="248" spans="1:60" x14ac:dyDescent="0.3">
      <c r="A248" s="1">
        <v>31</v>
      </c>
      <c r="B248" t="s">
        <v>604</v>
      </c>
      <c r="C248" t="s">
        <v>3404</v>
      </c>
      <c r="D248" t="s">
        <v>3576</v>
      </c>
      <c r="E248" t="s">
        <v>3577</v>
      </c>
      <c r="F248" t="s">
        <v>3578</v>
      </c>
      <c r="G248" t="s">
        <v>3579</v>
      </c>
      <c r="I248" t="str">
        <f t="shared" si="82"/>
        <v>pos_trend</v>
      </c>
      <c r="J248">
        <f t="shared" si="83"/>
        <v>23840000</v>
      </c>
      <c r="K248">
        <f t="shared" si="84"/>
        <v>24920000</v>
      </c>
      <c r="L248">
        <f t="shared" si="85"/>
        <v>26140000</v>
      </c>
      <c r="M248">
        <f t="shared" si="86"/>
        <v>27500000</v>
      </c>
      <c r="N248">
        <f t="shared" si="87"/>
        <v>32759999.999999996</v>
      </c>
      <c r="P248">
        <f t="shared" si="58"/>
        <v>32759999.999999996</v>
      </c>
      <c r="Q248">
        <f>IFERROR(J144+MATCH(P248,J248:N248,0)-1,"")</f>
        <v>2016</v>
      </c>
      <c r="R248">
        <f t="shared" si="59"/>
        <v>23840000</v>
      </c>
      <c r="S248">
        <f>IFERROR(J144+MATCH(R248,J248:N248,0)-1,"")</f>
        <v>2012</v>
      </c>
      <c r="T248">
        <f t="shared" si="60"/>
        <v>27032000</v>
      </c>
      <c r="U248">
        <f t="shared" si="61"/>
        <v>3481166.4711702601</v>
      </c>
      <c r="V248">
        <f t="shared" si="62"/>
        <v>-0.91693402956594283</v>
      </c>
      <c r="W248">
        <f t="shared" si="63"/>
        <v>-0.60669319249475917</v>
      </c>
      <c r="X248">
        <f t="shared" si="64"/>
        <v>-0.25623595061805166</v>
      </c>
      <c r="Y248">
        <f t="shared" si="65"/>
        <v>0.13443769606417957</v>
      </c>
      <c r="Z248">
        <f t="shared" si="66"/>
        <v>1.6454254766145731</v>
      </c>
      <c r="AA248">
        <f t="shared" si="67"/>
        <v>1.6454254766145731</v>
      </c>
      <c r="AB248">
        <f>IFERROR(V144+MATCH(AA248,V248:Z248,0)-1,"")</f>
        <v>2016</v>
      </c>
      <c r="AC248" t="str">
        <f t="shared" si="68"/>
        <v>High</v>
      </c>
      <c r="AE248">
        <f>IF(ISNUMBER(MATCH("N/A",J248:N248,0)),"",IFERROR((5 * SUMPRODUCT(J144:N144,J248:N248) - PRODUCT(SUM(J144:N144),SUM(J248:N248))) / ((5 * SUM((J144^2)+(K144^2)+(L144^2)+(M144^2)+(N144^2))) - SUM(J144:N144)^2),""))</f>
        <v>2042000</v>
      </c>
      <c r="AF248">
        <f>IFERROR(CORREL(J144:N144,J248:N248),"")</f>
        <v>0.92747230497900657</v>
      </c>
      <c r="AZ248">
        <f t="shared" si="69"/>
        <v>1</v>
      </c>
      <c r="BA248" t="str">
        <f>IF(AZ248=1,IF(Q248="","",IF(Q248=N144,"Yes","No")),"")</f>
        <v>Yes</v>
      </c>
      <c r="BB248">
        <f t="shared" si="70"/>
        <v>32759999.999999996</v>
      </c>
      <c r="BC248" t="str">
        <f>IF(AZ248=1,IF(S248="","",IF(S248=N144,"Yes","No")),"")</f>
        <v>No</v>
      </c>
      <c r="BD248" t="str">
        <f t="shared" si="71"/>
        <v/>
      </c>
      <c r="BE248" t="str">
        <f t="shared" si="72"/>
        <v>Increasing</v>
      </c>
      <c r="BF248" t="str">
        <f t="shared" si="73"/>
        <v>Yes</v>
      </c>
      <c r="BG248" t="str">
        <f t="shared" si="74"/>
        <v>Yes</v>
      </c>
      <c r="BH248" t="str">
        <f t="shared" si="75"/>
        <v>Yes</v>
      </c>
    </row>
    <row r="249" spans="1:60" x14ac:dyDescent="0.3">
      <c r="A249" s="1">
        <v>32</v>
      </c>
      <c r="B249" t="s">
        <v>587</v>
      </c>
      <c r="C249" t="s">
        <v>469</v>
      </c>
      <c r="D249" t="s">
        <v>3580</v>
      </c>
      <c r="E249" t="s">
        <v>3581</v>
      </c>
      <c r="F249" t="s">
        <v>3582</v>
      </c>
      <c r="G249" t="s">
        <v>3583</v>
      </c>
      <c r="I249" t="str">
        <f t="shared" si="82"/>
        <v>N/A</v>
      </c>
      <c r="J249">
        <f t="shared" si="83"/>
        <v>24860000</v>
      </c>
      <c r="K249">
        <f t="shared" si="84"/>
        <v>24010000</v>
      </c>
      <c r="L249">
        <f t="shared" si="85"/>
        <v>23750000</v>
      </c>
      <c r="M249">
        <f t="shared" si="86"/>
        <v>29500000</v>
      </c>
      <c r="N249">
        <f t="shared" si="87"/>
        <v>28880000</v>
      </c>
      <c r="P249">
        <f t="shared" si="58"/>
        <v>29500000</v>
      </c>
      <c r="Q249">
        <f>IFERROR(J144+MATCH(P249,J249:N249,0)-1,"")</f>
        <v>2015</v>
      </c>
      <c r="R249">
        <f t="shared" si="59"/>
        <v>23750000</v>
      </c>
      <c r="S249">
        <f>IFERROR(J144+MATCH(R249,J249:N249,0)-1,"")</f>
        <v>2014</v>
      </c>
      <c r="T249">
        <f t="shared" si="60"/>
        <v>26200000</v>
      </c>
      <c r="U249">
        <f t="shared" si="61"/>
        <v>2768871.6113247289</v>
      </c>
      <c r="V249">
        <f t="shared" si="62"/>
        <v>-0.48395165543948615</v>
      </c>
      <c r="W249">
        <f t="shared" si="63"/>
        <v>-0.79093591448692135</v>
      </c>
      <c r="X249">
        <f t="shared" si="64"/>
        <v>-0.88483698196025451</v>
      </c>
      <c r="Y249">
        <f t="shared" si="65"/>
        <v>1.1918212410076898</v>
      </c>
      <c r="Z249">
        <f t="shared" si="66"/>
        <v>0.9679033108789723</v>
      </c>
      <c r="AA249">
        <f t="shared" si="67"/>
        <v>1.1918212410076898</v>
      </c>
      <c r="AB249">
        <f>IFERROR(V144+MATCH(AA249,V249:Z249,0)-1,"")</f>
        <v>2015</v>
      </c>
      <c r="AC249" t="str">
        <f t="shared" si="68"/>
        <v>High</v>
      </c>
      <c r="AE249">
        <f>IF(ISNUMBER(MATCH("N/A",J249:N249,0)),"",IFERROR((5 * SUMPRODUCT(J144:N144,J249:N249) - PRODUCT(SUM(J144:N144),SUM(J249:N249))) / ((5 * SUM((J144^2)+(K144^2)+(L144^2)+(M144^2)+(N144^2))) - SUM(J144:N144)^2),""))</f>
        <v>1353000</v>
      </c>
      <c r="AF249">
        <f>IFERROR(CORREL(J144:N144,J249:N249),"")</f>
        <v>0.77261828549731804</v>
      </c>
      <c r="AZ249">
        <f t="shared" si="69"/>
        <v>1</v>
      </c>
      <c r="BA249" t="str">
        <f>IF(AZ249=1,IF(Q249="","",IF(Q249=N144,"Yes","No")),"")</f>
        <v>No</v>
      </c>
      <c r="BB249" t="str">
        <f t="shared" si="70"/>
        <v/>
      </c>
      <c r="BC249" t="str">
        <f>IF(AZ249=1,IF(S249="","",IF(S249=N144,"Yes","No")),"")</f>
        <v>No</v>
      </c>
      <c r="BD249" t="str">
        <f t="shared" si="71"/>
        <v/>
      </c>
      <c r="BE249" t="str">
        <f t="shared" si="72"/>
        <v>Increasing</v>
      </c>
      <c r="BF249" t="str">
        <f t="shared" si="73"/>
        <v>No</v>
      </c>
      <c r="BG249" t="str">
        <f t="shared" si="74"/>
        <v>No</v>
      </c>
      <c r="BH249" t="str">
        <f t="shared" si="75"/>
        <v>No</v>
      </c>
    </row>
    <row r="250" spans="1:60" x14ac:dyDescent="0.3">
      <c r="A250" s="1">
        <v>33</v>
      </c>
      <c r="B250" t="s">
        <v>3584</v>
      </c>
      <c r="C250" t="s">
        <v>3585</v>
      </c>
      <c r="D250" t="s">
        <v>3586</v>
      </c>
      <c r="E250" t="s">
        <v>3587</v>
      </c>
      <c r="F250" t="s">
        <v>2352</v>
      </c>
      <c r="G250" t="s">
        <v>3587</v>
      </c>
      <c r="I250" t="str">
        <f t="shared" si="82"/>
        <v>N/A</v>
      </c>
      <c r="J250">
        <f t="shared" si="83"/>
        <v>3710000</v>
      </c>
      <c r="K250">
        <f t="shared" si="84"/>
        <v>3880000</v>
      </c>
      <c r="L250">
        <f t="shared" si="85"/>
        <v>3850000</v>
      </c>
      <c r="M250">
        <f t="shared" si="86"/>
        <v>3900000</v>
      </c>
      <c r="N250">
        <f t="shared" si="87"/>
        <v>3850000</v>
      </c>
      <c r="P250">
        <f t="shared" si="58"/>
        <v>3900000</v>
      </c>
      <c r="Q250">
        <f>IFERROR(J144+MATCH(P250,J250:N250,0)-1,"")</f>
        <v>2015</v>
      </c>
      <c r="R250">
        <f t="shared" si="59"/>
        <v>3710000</v>
      </c>
      <c r="S250">
        <f>IFERROR(J144+MATCH(R250,J250:N250,0)-1,"")</f>
        <v>2012</v>
      </c>
      <c r="T250">
        <f t="shared" si="60"/>
        <v>3838000</v>
      </c>
      <c r="U250">
        <f t="shared" si="61"/>
        <v>74632.432628181166</v>
      </c>
      <c r="V250">
        <f t="shared" si="62"/>
        <v>-1.7150720603962635</v>
      </c>
      <c r="W250">
        <f t="shared" si="63"/>
        <v>0.56275801981752394</v>
      </c>
      <c r="X250">
        <f t="shared" si="64"/>
        <v>0.16078800566214971</v>
      </c>
      <c r="Y250">
        <f t="shared" si="65"/>
        <v>0.83073802925444018</v>
      </c>
      <c r="Z250">
        <f t="shared" si="66"/>
        <v>0.16078800566214971</v>
      </c>
      <c r="AA250">
        <f t="shared" si="67"/>
        <v>-1.7150720603962635</v>
      </c>
      <c r="AB250">
        <f>IFERROR(V144+MATCH(AA250,V250:Z250,0)-1,"")</f>
        <v>2012</v>
      </c>
      <c r="AC250" t="str">
        <f t="shared" si="68"/>
        <v>Low</v>
      </c>
      <c r="AE250">
        <f>IF(ISNUMBER(MATCH("N/A",J250:N250,0)),"",IFERROR((5 * SUMPRODUCT(J144:N144,J250:N250) - PRODUCT(SUM(J144:N144),SUM(J250:N250))) / ((5 * SUM((J144^2)+(K144^2)+(L144^2)+(M144^2)+(N144^2))) - SUM(J144:N144)^2),""))</f>
        <v>30000</v>
      </c>
      <c r="AF250">
        <f>IFERROR(CORREL(J144:N144,J250:N250),"")</f>
        <v>0.6355703979105537</v>
      </c>
      <c r="AZ250">
        <f t="shared" si="69"/>
        <v>1</v>
      </c>
      <c r="BA250" t="str">
        <f>IF(AZ250=1,IF(Q250="","",IF(Q250=N144,"Yes","No")),"")</f>
        <v>No</v>
      </c>
      <c r="BB250" t="str">
        <f t="shared" si="70"/>
        <v/>
      </c>
      <c r="BC250" t="str">
        <f>IF(AZ250=1,IF(S250="","",IF(S250=N144,"Yes","No")),"")</f>
        <v>No</v>
      </c>
      <c r="BD250" t="str">
        <f t="shared" si="71"/>
        <v/>
      </c>
      <c r="BE250" t="str">
        <f t="shared" si="72"/>
        <v>Increasing</v>
      </c>
      <c r="BF250" t="str">
        <f t="shared" si="73"/>
        <v>No</v>
      </c>
      <c r="BG250" t="str">
        <f t="shared" si="74"/>
        <v>No</v>
      </c>
      <c r="BH250" t="str">
        <f t="shared" si="75"/>
        <v>No</v>
      </c>
    </row>
    <row r="251" spans="1:60" x14ac:dyDescent="0.3">
      <c r="A251" s="1">
        <v>34</v>
      </c>
      <c r="B251" t="s">
        <v>613</v>
      </c>
      <c r="C251" t="s">
        <v>320</v>
      </c>
      <c r="D251" t="s">
        <v>2187</v>
      </c>
      <c r="E251" t="s">
        <v>544</v>
      </c>
      <c r="F251" t="s">
        <v>306</v>
      </c>
      <c r="G251" t="s">
        <v>545</v>
      </c>
      <c r="I251" t="str">
        <f t="shared" si="82"/>
        <v>pos_trend</v>
      </c>
      <c r="J251">
        <f t="shared" si="83"/>
        <v>1140000000</v>
      </c>
      <c r="K251">
        <f t="shared" si="84"/>
        <v>1170000000</v>
      </c>
      <c r="L251">
        <f t="shared" si="85"/>
        <v>1220000000</v>
      </c>
      <c r="M251">
        <f t="shared" si="86"/>
        <v>1320000000</v>
      </c>
      <c r="N251">
        <f t="shared" si="87"/>
        <v>1380000000</v>
      </c>
      <c r="P251">
        <f t="shared" si="58"/>
        <v>1380000000</v>
      </c>
      <c r="Q251">
        <f>IFERROR(J144+MATCH(P251,J251:N251,0)-1,"")</f>
        <v>2016</v>
      </c>
      <c r="R251">
        <f t="shared" si="59"/>
        <v>1140000000</v>
      </c>
      <c r="S251">
        <f>IFERROR(J144+MATCH(R251,J251:N251,0)-1,"")</f>
        <v>2012</v>
      </c>
      <c r="T251">
        <f t="shared" si="60"/>
        <v>1246000000</v>
      </c>
      <c r="U251">
        <f t="shared" si="61"/>
        <v>101390334.84509261</v>
      </c>
      <c r="V251">
        <f t="shared" si="62"/>
        <v>-1.045464542177025</v>
      </c>
      <c r="W251">
        <f t="shared" si="63"/>
        <v>-0.74957835099484804</v>
      </c>
      <c r="X251">
        <f t="shared" si="64"/>
        <v>-0.25643469902455329</v>
      </c>
      <c r="Y251">
        <f t="shared" si="65"/>
        <v>0.72985260491603621</v>
      </c>
      <c r="Z251">
        <f t="shared" si="66"/>
        <v>1.32162498728039</v>
      </c>
      <c r="AA251">
        <f t="shared" si="67"/>
        <v>1.32162498728039</v>
      </c>
      <c r="AB251">
        <f>IFERROR(V144+MATCH(AA251,V251:Z251,0)-1,"")</f>
        <v>2016</v>
      </c>
      <c r="AC251" t="str">
        <f t="shared" si="68"/>
        <v>High</v>
      </c>
      <c r="AE251">
        <f>IF(ISNUMBER(MATCH("N/A",J251:N251,0)),"",IFERROR((5 * SUMPRODUCT(J144:N144,J251:N251) - PRODUCT(SUM(J144:N144),SUM(J251:N251))) / ((5 * SUM((J144^2)+(K144^2)+(L144^2)+(M144^2)+(N144^2))) - SUM(J144:N144)^2),""))</f>
        <v>63000000</v>
      </c>
      <c r="AF251">
        <f>IFERROR(CORREL(J144:N144,J251:N251),"")</f>
        <v>0.98245800694409335</v>
      </c>
      <c r="AZ251">
        <f t="shared" si="69"/>
        <v>1</v>
      </c>
      <c r="BA251" t="str">
        <f>IF(AZ251=1,IF(Q251="","",IF(Q251=N144,"Yes","No")),"")</f>
        <v>Yes</v>
      </c>
      <c r="BB251">
        <f t="shared" si="70"/>
        <v>1380000000</v>
      </c>
      <c r="BC251" t="str">
        <f>IF(AZ251=1,IF(S251="","",IF(S251=N144,"Yes","No")),"")</f>
        <v>No</v>
      </c>
      <c r="BD251" t="str">
        <f t="shared" si="71"/>
        <v/>
      </c>
      <c r="BE251" t="str">
        <f t="shared" si="72"/>
        <v>Increasing</v>
      </c>
      <c r="BF251" t="str">
        <f t="shared" si="73"/>
        <v>Yes</v>
      </c>
      <c r="BG251" t="str">
        <f t="shared" si="74"/>
        <v>Yes</v>
      </c>
      <c r="BH251" t="str">
        <f t="shared" si="75"/>
        <v>Yes</v>
      </c>
    </row>
    <row r="252" spans="1:60" x14ac:dyDescent="0.3">
      <c r="A252" s="1">
        <v>35</v>
      </c>
      <c r="B252" t="s">
        <v>3588</v>
      </c>
      <c r="C252" t="s">
        <v>264</v>
      </c>
      <c r="D252" t="s">
        <v>3589</v>
      </c>
      <c r="E252" t="s">
        <v>3590</v>
      </c>
      <c r="F252" t="s">
        <v>3591</v>
      </c>
      <c r="G252" t="s">
        <v>3592</v>
      </c>
      <c r="I252" t="str">
        <f t="shared" si="82"/>
        <v>N/A</v>
      </c>
      <c r="J252" t="str">
        <f t="shared" si="83"/>
        <v>N/A</v>
      </c>
      <c r="K252">
        <f t="shared" si="84"/>
        <v>2.4199999999999999E-2</v>
      </c>
      <c r="L252">
        <f t="shared" si="85"/>
        <v>3.9600000000000003E-2</v>
      </c>
      <c r="M252">
        <f t="shared" si="86"/>
        <v>8.3400000000000002E-2</v>
      </c>
      <c r="N252">
        <f t="shared" si="87"/>
        <v>4.6399999999999997E-2</v>
      </c>
      <c r="P252">
        <f t="shared" si="58"/>
        <v>8.3400000000000002E-2</v>
      </c>
      <c r="Q252">
        <f>IFERROR(J144+MATCH(P252,J252:N252,0)-1,"")</f>
        <v>2015</v>
      </c>
      <c r="R252">
        <f t="shared" si="59"/>
        <v>2.4199999999999999E-2</v>
      </c>
      <c r="S252">
        <f>IFERROR(J144+MATCH(R252,J252:N252,0)-1,"")</f>
        <v>2013</v>
      </c>
      <c r="T252">
        <f t="shared" si="60"/>
        <v>4.8399999999999999E-2</v>
      </c>
      <c r="U252">
        <f t="shared" si="61"/>
        <v>2.5113608528710744E-2</v>
      </c>
      <c r="V252" t="str">
        <f t="shared" si="62"/>
        <v/>
      </c>
      <c r="W252">
        <f t="shared" si="63"/>
        <v>-0.96362097754027354</v>
      </c>
      <c r="X252">
        <f t="shared" si="64"/>
        <v>-0.35040762819646293</v>
      </c>
      <c r="Y252">
        <f t="shared" si="65"/>
        <v>1.3936667030541148</v>
      </c>
      <c r="Z252">
        <f t="shared" si="66"/>
        <v>-7.9638097317378059E-2</v>
      </c>
      <c r="AA252">
        <f t="shared" si="67"/>
        <v>1.3936667030541148</v>
      </c>
      <c r="AB252">
        <f>IFERROR(V144+MATCH(AA252,V252:Z252,0)-1,"")</f>
        <v>2015</v>
      </c>
      <c r="AC252" t="str">
        <f t="shared" si="68"/>
        <v>High</v>
      </c>
      <c r="AE252" t="str">
        <f>IF(ISNUMBER(MATCH("N/A",J252:N252,0)),"",IFERROR((5 * SUMPRODUCT(J144:N144,J252:N252) - PRODUCT(SUM(J144:N144),SUM(J252:N252))) / ((5 * SUM((J144^2)+(K144^2)+(L144^2)+(M144^2)+(N144^2))) - SUM(J144:N144)^2),""))</f>
        <v/>
      </c>
      <c r="AF252">
        <f>IFERROR(CORREL(J144:N144,J252:N252),"")</f>
        <v>0.56752412532628471</v>
      </c>
      <c r="AZ252">
        <f t="shared" si="69"/>
        <v>1</v>
      </c>
      <c r="BA252" t="str">
        <f>IF(AZ252=1,IF(Q252="","",IF(Q252=N144,"Yes","No")),"")</f>
        <v>No</v>
      </c>
      <c r="BB252" t="str">
        <f t="shared" si="70"/>
        <v/>
      </c>
      <c r="BC252" t="str">
        <f>IF(AZ252=1,IF(S252="","",IF(S252=N144,"Yes","No")),"")</f>
        <v>No</v>
      </c>
      <c r="BD252" t="str">
        <f t="shared" si="71"/>
        <v/>
      </c>
      <c r="BE252" t="str">
        <f t="shared" si="72"/>
        <v/>
      </c>
      <c r="BF252" t="str">
        <f t="shared" si="73"/>
        <v>No</v>
      </c>
      <c r="BG252" t="str">
        <f t="shared" si="74"/>
        <v>No</v>
      </c>
      <c r="BH252" t="str">
        <f t="shared" si="75"/>
        <v>No</v>
      </c>
    </row>
    <row r="253" spans="1:60" x14ac:dyDescent="0.3">
      <c r="A253" s="1">
        <v>36</v>
      </c>
      <c r="B253" t="s">
        <v>3593</v>
      </c>
      <c r="C253" t="s">
        <v>264</v>
      </c>
      <c r="D253" t="s">
        <v>264</v>
      </c>
      <c r="E253" t="s">
        <v>264</v>
      </c>
      <c r="F253" t="s">
        <v>264</v>
      </c>
      <c r="G253" t="s">
        <v>3594</v>
      </c>
      <c r="I253" t="str">
        <f t="shared" si="82"/>
        <v>N/A</v>
      </c>
      <c r="J253" t="str">
        <f t="shared" si="83"/>
        <v>N/A</v>
      </c>
      <c r="K253" t="str">
        <f t="shared" si="84"/>
        <v>N/A</v>
      </c>
      <c r="L253" t="str">
        <f t="shared" si="85"/>
        <v>N/A</v>
      </c>
      <c r="M253" t="str">
        <f t="shared" si="86"/>
        <v>N/A</v>
      </c>
      <c r="N253">
        <f t="shared" si="87"/>
        <v>1.2700000000000001E-2</v>
      </c>
      <c r="P253">
        <f t="shared" si="58"/>
        <v>1.2700000000000001E-2</v>
      </c>
      <c r="Q253">
        <f>IFERROR(J144+MATCH(P253,J253:N253,0)-1,"")</f>
        <v>2016</v>
      </c>
      <c r="R253">
        <f t="shared" si="59"/>
        <v>1.2700000000000001E-2</v>
      </c>
      <c r="S253">
        <f>IFERROR(J144+MATCH(R253,J253:N253,0)-1,"")</f>
        <v>2016</v>
      </c>
      <c r="T253">
        <f t="shared" si="60"/>
        <v>1.2700000000000001E-2</v>
      </c>
      <c r="U253" t="str">
        <f t="shared" si="61"/>
        <v/>
      </c>
      <c r="V253" t="str">
        <f t="shared" si="62"/>
        <v/>
      </c>
      <c r="W253" t="str">
        <f t="shared" si="63"/>
        <v/>
      </c>
      <c r="X253" t="str">
        <f t="shared" si="64"/>
        <v/>
      </c>
      <c r="Y253" t="str">
        <f t="shared" si="65"/>
        <v/>
      </c>
      <c r="Z253" t="str">
        <f t="shared" si="66"/>
        <v/>
      </c>
      <c r="AA253">
        <f t="shared" si="67"/>
        <v>0</v>
      </c>
      <c r="AB253" t="str">
        <f>IFERROR(V144+MATCH(AA253,V253:Z253,0)-1,"")</f>
        <v/>
      </c>
      <c r="AC253" t="str">
        <f t="shared" si="68"/>
        <v/>
      </c>
      <c r="AE253" t="str">
        <f>IF(ISNUMBER(MATCH("N/A",J253:N253,0)),"",IFERROR((5 * SUMPRODUCT(J144:N144,J253:N253) - PRODUCT(SUM(J144:N144),SUM(J253:N253))) / ((5 * SUM((J144^2)+(K144^2)+(L144^2)+(M144^2)+(N144^2))) - SUM(J144:N144)^2),""))</f>
        <v/>
      </c>
      <c r="AF253" t="str">
        <f>IFERROR(CORREL(J144:N144,J253:N253),"")</f>
        <v/>
      </c>
      <c r="AZ253">
        <f t="shared" si="69"/>
        <v>0</v>
      </c>
      <c r="BA253" t="str">
        <f>IF(AZ253=1,IF(Q253="","",IF(Q253=N144,"Yes","No")),"")</f>
        <v/>
      </c>
      <c r="BB253" t="str">
        <f t="shared" si="70"/>
        <v/>
      </c>
      <c r="BC253" t="str">
        <f>IF(AZ253=1,IF(S253="","",IF(S253=N144,"Yes","No")),"")</f>
        <v/>
      </c>
      <c r="BD253" t="str">
        <f t="shared" si="71"/>
        <v/>
      </c>
      <c r="BE253" t="str">
        <f t="shared" si="72"/>
        <v/>
      </c>
      <c r="BF253" t="str">
        <f t="shared" si="73"/>
        <v>No</v>
      </c>
      <c r="BG253" t="str">
        <f t="shared" si="74"/>
        <v>No</v>
      </c>
      <c r="BH253" t="str">
        <f t="shared" si="75"/>
        <v/>
      </c>
    </row>
    <row r="254" spans="1:60" x14ac:dyDescent="0.3">
      <c r="I254" t="str">
        <f t="shared" si="82"/>
        <v>N/A</v>
      </c>
      <c r="J254" t="str">
        <f t="shared" si="83"/>
        <v>N/A</v>
      </c>
      <c r="K254" t="str">
        <f t="shared" si="84"/>
        <v>N/A</v>
      </c>
      <c r="L254" t="str">
        <f t="shared" si="85"/>
        <v>N/A</v>
      </c>
      <c r="M254" t="str">
        <f t="shared" si="86"/>
        <v>N/A</v>
      </c>
      <c r="N254" t="str">
        <f t="shared" si="87"/>
        <v>N/A</v>
      </c>
      <c r="P254">
        <f t="shared" si="58"/>
        <v>0</v>
      </c>
      <c r="Q254" t="str">
        <f>IFERROR(J144+MATCH(P254,J254:N254,0)-1,"")</f>
        <v/>
      </c>
      <c r="R254" t="str">
        <f t="shared" si="59"/>
        <v/>
      </c>
      <c r="S254" t="str">
        <f>IFERROR(J144+MATCH(R254,J254:N254,0)-1,"")</f>
        <v/>
      </c>
      <c r="T254" t="str">
        <f t="shared" si="60"/>
        <v/>
      </c>
      <c r="U254" t="str">
        <f t="shared" si="61"/>
        <v/>
      </c>
      <c r="V254" t="str">
        <f t="shared" si="62"/>
        <v/>
      </c>
      <c r="W254" t="str">
        <f t="shared" si="63"/>
        <v/>
      </c>
      <c r="X254" t="str">
        <f t="shared" si="64"/>
        <v/>
      </c>
      <c r="Y254" t="str">
        <f t="shared" si="65"/>
        <v/>
      </c>
      <c r="Z254" t="str">
        <f t="shared" si="66"/>
        <v/>
      </c>
      <c r="AA254">
        <f t="shared" si="67"/>
        <v>0</v>
      </c>
      <c r="AB254" t="str">
        <f>IFERROR(V144+MATCH(AA254,V254:Z254,0)-1,"")</f>
        <v/>
      </c>
      <c r="AC254" t="str">
        <f t="shared" si="68"/>
        <v/>
      </c>
      <c r="AE254" t="str">
        <f>IF(ISNUMBER(MATCH("N/A",J254:N254,0)),"",IFERROR((5 * SUMPRODUCT(J144:N144,J254:N254) - PRODUCT(SUM(J144:N144),SUM(J254:N254))) / ((5 * SUM((J144^2)+(K144^2)+(L144^2)+(M144^2)+(N144^2))) - SUM(J144:N144)^2),""))</f>
        <v/>
      </c>
      <c r="AF254" t="str">
        <f>IFERROR(CORREL(J144:N144,J254:N254),"")</f>
        <v/>
      </c>
      <c r="AZ254">
        <f t="shared" si="69"/>
        <v>0</v>
      </c>
      <c r="BA254" t="str">
        <f>IF(AZ254=1,IF(Q254="","",IF(Q254=N144,"Yes","No")),"")</f>
        <v/>
      </c>
      <c r="BB254" t="str">
        <f t="shared" si="70"/>
        <v/>
      </c>
      <c r="BC254" t="str">
        <f>IF(AZ254=1,IF(S254="","",IF(S254=N144,"Yes","No")),"")</f>
        <v/>
      </c>
      <c r="BD254" t="str">
        <f t="shared" si="71"/>
        <v/>
      </c>
      <c r="BE254" t="str">
        <f t="shared" si="72"/>
        <v/>
      </c>
      <c r="BF254" t="str">
        <f t="shared" si="73"/>
        <v>No</v>
      </c>
      <c r="BG254" t="str">
        <f t="shared" si="74"/>
        <v>No</v>
      </c>
      <c r="BH254" t="str">
        <f t="shared" si="75"/>
        <v/>
      </c>
    </row>
    <row r="255" spans="1:60" x14ac:dyDescent="0.3">
      <c r="B255" s="1" t="s">
        <v>316</v>
      </c>
      <c r="C255" s="1" t="s">
        <v>252</v>
      </c>
      <c r="D255" s="1" t="s">
        <v>253</v>
      </c>
      <c r="E255" s="1" t="s">
        <v>254</v>
      </c>
      <c r="F255" s="1" t="s">
        <v>255</v>
      </c>
      <c r="G255" s="1" t="s">
        <v>256</v>
      </c>
      <c r="H255" s="1" t="s">
        <v>257</v>
      </c>
      <c r="I255" t="str">
        <f t="shared" si="82"/>
        <v>pos_trend</v>
      </c>
      <c r="J255">
        <f t="shared" si="83"/>
        <v>2012</v>
      </c>
      <c r="K255">
        <f t="shared" si="84"/>
        <v>2013</v>
      </c>
      <c r="L255">
        <f t="shared" si="85"/>
        <v>2014</v>
      </c>
      <c r="M255">
        <f t="shared" si="86"/>
        <v>2015</v>
      </c>
      <c r="N255">
        <f t="shared" si="87"/>
        <v>2016</v>
      </c>
      <c r="P255">
        <f t="shared" si="58"/>
        <v>2016</v>
      </c>
      <c r="Q255">
        <f>IFERROR(J144+MATCH(P255,J255:N255,0)-1,"")</f>
        <v>2016</v>
      </c>
      <c r="R255">
        <f t="shared" si="59"/>
        <v>2012</v>
      </c>
      <c r="S255">
        <f>IFERROR(J144+MATCH(R255,J255:N255,0)-1,"")</f>
        <v>2012</v>
      </c>
      <c r="T255">
        <f t="shared" si="60"/>
        <v>2014</v>
      </c>
      <c r="U255">
        <f t="shared" si="61"/>
        <v>1.5811388300841898</v>
      </c>
      <c r="V255">
        <f t="shared" si="62"/>
        <v>-1.2649110640673518</v>
      </c>
      <c r="W255">
        <f t="shared" si="63"/>
        <v>-0.63245553203367588</v>
      </c>
      <c r="X255">
        <f t="shared" si="64"/>
        <v>0</v>
      </c>
      <c r="Y255">
        <f t="shared" si="65"/>
        <v>0.63245553203367588</v>
      </c>
      <c r="Z255">
        <f t="shared" si="66"/>
        <v>1.2649110640673518</v>
      </c>
      <c r="AA255">
        <f t="shared" si="67"/>
        <v>-1.2649110640673518</v>
      </c>
      <c r="AB255">
        <f>IFERROR(V144+MATCH(AA255,V255:Z255,0)-1,"")</f>
        <v>2012</v>
      </c>
      <c r="AC255" t="str">
        <f t="shared" si="68"/>
        <v>Low</v>
      </c>
      <c r="AE255">
        <f>IF(ISNUMBER(MATCH("N/A",J255:N255,0)),"",IFERROR((5 * SUMPRODUCT(J144:N144,J255:N255) - PRODUCT(SUM(J144:N144),SUM(J255:N255))) / ((5 * SUM((J144^2)+(K144^2)+(L144^2)+(M144^2)+(N144^2))) - SUM(J144:N144)^2),""))</f>
        <v>1</v>
      </c>
      <c r="AF255">
        <f>IFERROR(CORREL(J144:N144,J255:N255),"")</f>
        <v>0.99999999999999978</v>
      </c>
      <c r="AZ255">
        <f t="shared" si="69"/>
        <v>1</v>
      </c>
      <c r="BA255" t="str">
        <f>IF(AZ255=1,IF(Q255="","",IF(Q255=N144,"Yes","No")),"")</f>
        <v>Yes</v>
      </c>
      <c r="BB255">
        <f t="shared" si="70"/>
        <v>2016</v>
      </c>
      <c r="BC255" t="str">
        <f>IF(AZ255=1,IF(S255="","",IF(S255=N144,"Yes","No")),"")</f>
        <v>No</v>
      </c>
      <c r="BD255" t="str">
        <f t="shared" si="71"/>
        <v/>
      </c>
      <c r="BE255" t="str">
        <f t="shared" si="72"/>
        <v>Increasing</v>
      </c>
      <c r="BF255" t="str">
        <f t="shared" si="73"/>
        <v>Yes</v>
      </c>
      <c r="BG255" t="str">
        <f t="shared" si="74"/>
        <v>Yes</v>
      </c>
      <c r="BH255" t="str">
        <f t="shared" si="75"/>
        <v>Yes</v>
      </c>
    </row>
    <row r="256" spans="1:60" x14ac:dyDescent="0.3">
      <c r="A256" s="1">
        <v>0</v>
      </c>
      <c r="B256" t="s">
        <v>3595</v>
      </c>
      <c r="C256" t="s">
        <v>3596</v>
      </c>
      <c r="D256" t="s">
        <v>3597</v>
      </c>
      <c r="E256" t="s">
        <v>3598</v>
      </c>
      <c r="F256" t="s">
        <v>271</v>
      </c>
      <c r="G256" t="s">
        <v>2071</v>
      </c>
      <c r="I256" t="str">
        <f t="shared" si="82"/>
        <v>pos_trend</v>
      </c>
      <c r="J256">
        <f t="shared" si="83"/>
        <v>926390000</v>
      </c>
      <c r="K256">
        <f t="shared" si="84"/>
        <v>942480000</v>
      </c>
      <c r="L256">
        <f t="shared" si="85"/>
        <v>968920000</v>
      </c>
      <c r="M256">
        <f t="shared" si="86"/>
        <v>1050000000</v>
      </c>
      <c r="N256">
        <f t="shared" si="87"/>
        <v>1120000000</v>
      </c>
      <c r="P256">
        <f t="shared" si="58"/>
        <v>1120000000</v>
      </c>
      <c r="Q256">
        <f>IFERROR(J144+MATCH(P256,J256:N256,0)-1,"")</f>
        <v>2016</v>
      </c>
      <c r="R256">
        <f t="shared" si="59"/>
        <v>926390000</v>
      </c>
      <c r="S256">
        <f>IFERROR(J144+MATCH(R256,J256:N256,0)-1,"")</f>
        <v>2012</v>
      </c>
      <c r="T256">
        <f t="shared" si="60"/>
        <v>1001558000</v>
      </c>
      <c r="U256">
        <f t="shared" si="61"/>
        <v>81518114.673979059</v>
      </c>
      <c r="V256">
        <f t="shared" si="62"/>
        <v>-0.92210179664513214</v>
      </c>
      <c r="W256">
        <f t="shared" si="63"/>
        <v>-0.72472235448862699</v>
      </c>
      <c r="X256">
        <f t="shared" si="64"/>
        <v>-0.4003772674396528</v>
      </c>
      <c r="Y256">
        <f t="shared" si="65"/>
        <v>0.59424828694502307</v>
      </c>
      <c r="Z256">
        <f t="shared" si="66"/>
        <v>1.452953131628389</v>
      </c>
      <c r="AA256">
        <f t="shared" si="67"/>
        <v>1.452953131628389</v>
      </c>
      <c r="AB256">
        <f>IFERROR(V144+MATCH(AA256,V256:Z256,0)-1,"")</f>
        <v>2016</v>
      </c>
      <c r="AC256" t="str">
        <f t="shared" si="68"/>
        <v>High</v>
      </c>
      <c r="AE256">
        <f>IF(ISNUMBER(MATCH("N/A",J256:N256,0)),"",IFERROR((5 * SUMPRODUCT(J144:N144,J256:N256) - PRODUCT(SUM(J144:N144),SUM(J256:N256))) / ((5 * SUM((J144^2)+(K144^2)+(L144^2)+(M144^2)+(N144^2))) - SUM(J144:N144)^2),""))</f>
        <v>49474000</v>
      </c>
      <c r="AF256">
        <f>IFERROR(CORREL(J144:N144,J256:N256),"")</f>
        <v>0.95960588382639633</v>
      </c>
      <c r="AZ256">
        <f t="shared" si="69"/>
        <v>1</v>
      </c>
      <c r="BA256" t="str">
        <f>IF(AZ256=1,IF(Q256="","",IF(Q256=N144,"Yes","No")),"")</f>
        <v>Yes</v>
      </c>
      <c r="BB256">
        <f t="shared" si="70"/>
        <v>1120000000</v>
      </c>
      <c r="BC256" t="str">
        <f>IF(AZ256=1,IF(S256="","",IF(S256=N144,"Yes","No")),"")</f>
        <v>No</v>
      </c>
      <c r="BD256" t="str">
        <f t="shared" si="71"/>
        <v/>
      </c>
      <c r="BE256" t="str">
        <f t="shared" si="72"/>
        <v>Increasing</v>
      </c>
      <c r="BF256" t="str">
        <f t="shared" si="73"/>
        <v>Yes</v>
      </c>
      <c r="BG256" t="str">
        <f t="shared" si="74"/>
        <v>Yes</v>
      </c>
      <c r="BH256" t="str">
        <f t="shared" si="75"/>
        <v>Yes</v>
      </c>
    </row>
    <row r="257" spans="1:60" x14ac:dyDescent="0.3">
      <c r="A257" s="1">
        <v>1</v>
      </c>
      <c r="B257" t="s">
        <v>3599</v>
      </c>
      <c r="C257" t="s">
        <v>3600</v>
      </c>
      <c r="D257" t="s">
        <v>3601</v>
      </c>
      <c r="E257" t="s">
        <v>3602</v>
      </c>
      <c r="F257" t="s">
        <v>3603</v>
      </c>
      <c r="G257" t="s">
        <v>3604</v>
      </c>
      <c r="I257" t="str">
        <f t="shared" si="82"/>
        <v>pos_trend</v>
      </c>
      <c r="J257">
        <f t="shared" si="83"/>
        <v>372610000</v>
      </c>
      <c r="K257">
        <f t="shared" si="84"/>
        <v>403090000</v>
      </c>
      <c r="L257">
        <f t="shared" si="85"/>
        <v>430090000</v>
      </c>
      <c r="M257">
        <f t="shared" si="86"/>
        <v>476920000</v>
      </c>
      <c r="N257">
        <f t="shared" si="87"/>
        <v>529350000</v>
      </c>
      <c r="P257">
        <f t="shared" si="58"/>
        <v>529350000</v>
      </c>
      <c r="Q257">
        <f>IFERROR(J144+MATCH(P257,J257:N257,0)-1,"")</f>
        <v>2016</v>
      </c>
      <c r="R257">
        <f t="shared" si="59"/>
        <v>372610000</v>
      </c>
      <c r="S257">
        <f>IFERROR(J144+MATCH(R257,J257:N257,0)-1,"")</f>
        <v>2012</v>
      </c>
      <c r="T257">
        <f t="shared" si="60"/>
        <v>442412000</v>
      </c>
      <c r="U257">
        <f t="shared" si="61"/>
        <v>61885758.620218918</v>
      </c>
      <c r="V257">
        <f t="shared" si="62"/>
        <v>-1.127917012835886</v>
      </c>
      <c r="W257">
        <f t="shared" si="63"/>
        <v>-0.63539659005089688</v>
      </c>
      <c r="X257">
        <f t="shared" si="64"/>
        <v>-0.19910881396183186</v>
      </c>
      <c r="Y257">
        <f t="shared" si="65"/>
        <v>0.55760809545486878</v>
      </c>
      <c r="Z257">
        <f t="shared" si="66"/>
        <v>1.4048143213937458</v>
      </c>
      <c r="AA257">
        <f t="shared" si="67"/>
        <v>1.4048143213937458</v>
      </c>
      <c r="AB257">
        <f>IFERROR(V144+MATCH(AA257,V257:Z257,0)-1,"")</f>
        <v>2016</v>
      </c>
      <c r="AC257" t="str">
        <f t="shared" si="68"/>
        <v>High</v>
      </c>
      <c r="AE257">
        <f>IF(ISNUMBER(MATCH("N/A",J257:N257,0)),"",IFERROR((5 * SUMPRODUCT(J144:N144,J257:N257) - PRODUCT(SUM(J144:N144),SUM(J257:N257))) / ((5 * SUM((J144^2)+(K144^2)+(L144^2)+(M144^2)+(N144^2))) - SUM(J144:N144)^2),""))</f>
        <v>38731000</v>
      </c>
      <c r="AF257">
        <f>IFERROR(CORREL(J144:N144,J257:N257),"")</f>
        <v>0.98955057501683596</v>
      </c>
      <c r="AZ257">
        <f t="shared" si="69"/>
        <v>1</v>
      </c>
      <c r="BA257" t="str">
        <f>IF(AZ257=1,IF(Q257="","",IF(Q257=N144,"Yes","No")),"")</f>
        <v>Yes</v>
      </c>
      <c r="BB257">
        <f t="shared" si="70"/>
        <v>529350000</v>
      </c>
      <c r="BC257" t="str">
        <f>IF(AZ257=1,IF(S257="","",IF(S257=N144,"Yes","No")),"")</f>
        <v>No</v>
      </c>
      <c r="BD257" t="str">
        <f t="shared" si="71"/>
        <v/>
      </c>
      <c r="BE257" t="str">
        <f t="shared" si="72"/>
        <v>Increasing</v>
      </c>
      <c r="BF257" t="str">
        <f t="shared" si="73"/>
        <v>Yes</v>
      </c>
      <c r="BG257" t="str">
        <f t="shared" si="74"/>
        <v>Yes</v>
      </c>
      <c r="BH257" t="str">
        <f t="shared" si="75"/>
        <v>Yes</v>
      </c>
    </row>
    <row r="258" spans="1:60" x14ac:dyDescent="0.3">
      <c r="A258" s="1">
        <v>2</v>
      </c>
      <c r="B258" t="s">
        <v>3605</v>
      </c>
      <c r="C258" t="s">
        <v>3606</v>
      </c>
      <c r="D258" t="s">
        <v>3607</v>
      </c>
      <c r="E258" t="s">
        <v>3608</v>
      </c>
      <c r="F258" t="s">
        <v>3609</v>
      </c>
      <c r="G258" t="s">
        <v>3610</v>
      </c>
      <c r="I258" t="str">
        <f t="shared" si="82"/>
        <v>N/A</v>
      </c>
      <c r="J258">
        <f t="shared" si="83"/>
        <v>553780000</v>
      </c>
      <c r="K258">
        <f t="shared" si="84"/>
        <v>539390000</v>
      </c>
      <c r="L258">
        <f t="shared" si="85"/>
        <v>538830000</v>
      </c>
      <c r="M258">
        <f t="shared" si="86"/>
        <v>575120000</v>
      </c>
      <c r="N258">
        <f t="shared" si="87"/>
        <v>591760000</v>
      </c>
      <c r="P258">
        <f t="shared" si="58"/>
        <v>591760000</v>
      </c>
      <c r="Q258">
        <f>IFERROR(J144+MATCH(P258,J258:N258,0)-1,"")</f>
        <v>2016</v>
      </c>
      <c r="R258">
        <f t="shared" si="59"/>
        <v>538830000</v>
      </c>
      <c r="S258">
        <f>IFERROR(J144+MATCH(R258,J258:N258,0)-1,"")</f>
        <v>2014</v>
      </c>
      <c r="T258">
        <f t="shared" si="60"/>
        <v>559776000</v>
      </c>
      <c r="U258">
        <f t="shared" si="61"/>
        <v>23176984.920390315</v>
      </c>
      <c r="V258">
        <f t="shared" si="62"/>
        <v>-0.25870491871981699</v>
      </c>
      <c r="W258">
        <f t="shared" si="63"/>
        <v>-0.87957946514712948</v>
      </c>
      <c r="X258">
        <f t="shared" si="64"/>
        <v>-0.90374136549454409</v>
      </c>
      <c r="Y258">
        <f t="shared" si="65"/>
        <v>0.66203606951915805</v>
      </c>
      <c r="Z258">
        <f t="shared" si="66"/>
        <v>1.3799896798423326</v>
      </c>
      <c r="AA258">
        <f t="shared" si="67"/>
        <v>1.3799896798423326</v>
      </c>
      <c r="AB258">
        <f>IFERROR(V144+MATCH(AA258,V258:Z258,0)-1,"")</f>
        <v>2016</v>
      </c>
      <c r="AC258" t="str">
        <f t="shared" si="68"/>
        <v>High</v>
      </c>
      <c r="AE258">
        <f>IF(ISNUMBER(MATCH("N/A",J258:N258,0)),"",IFERROR((5 * SUMPRODUCT(J144:N144,J258:N258) - PRODUCT(SUM(J144:N144),SUM(J258:N258))) / ((5 * SUM((J144^2)+(K144^2)+(L144^2)+(M144^2)+(N144^2))) - SUM(J144:N144)^2),""))</f>
        <v>11169000</v>
      </c>
      <c r="AF258">
        <f>IFERROR(CORREL(J144:N144,J258:N258),"")</f>
        <v>0.76195155037935425</v>
      </c>
      <c r="AZ258">
        <f t="shared" si="69"/>
        <v>1</v>
      </c>
      <c r="BA258" t="str">
        <f>IF(AZ258=1,IF(Q258="","",IF(Q258=N144,"Yes","No")),"")</f>
        <v>Yes</v>
      </c>
      <c r="BB258">
        <f t="shared" si="70"/>
        <v>591760000</v>
      </c>
      <c r="BC258" t="str">
        <f>IF(AZ258=1,IF(S258="","",IF(S258=N144,"Yes","No")),"")</f>
        <v>No</v>
      </c>
      <c r="BD258" t="str">
        <f t="shared" si="71"/>
        <v/>
      </c>
      <c r="BE258" t="str">
        <f t="shared" si="72"/>
        <v>Increasing</v>
      </c>
      <c r="BF258" t="str">
        <f t="shared" si="73"/>
        <v>Yes</v>
      </c>
      <c r="BG258" t="str">
        <f t="shared" si="74"/>
        <v>No</v>
      </c>
      <c r="BH258" t="str">
        <f t="shared" si="75"/>
        <v>No</v>
      </c>
    </row>
    <row r="259" spans="1:60" x14ac:dyDescent="0.3">
      <c r="A259" s="1">
        <v>3</v>
      </c>
      <c r="B259" t="s">
        <v>3611</v>
      </c>
      <c r="C259" t="s">
        <v>264</v>
      </c>
      <c r="D259" t="s">
        <v>264</v>
      </c>
      <c r="E259" t="s">
        <v>264</v>
      </c>
      <c r="F259" t="s">
        <v>264</v>
      </c>
      <c r="G259" t="s">
        <v>264</v>
      </c>
      <c r="I259" t="str">
        <f t="shared" si="82"/>
        <v>N/A</v>
      </c>
      <c r="J259" t="str">
        <f t="shared" si="83"/>
        <v>N/A</v>
      </c>
      <c r="K259" t="str">
        <f t="shared" si="84"/>
        <v>N/A</v>
      </c>
      <c r="L259" t="str">
        <f t="shared" si="85"/>
        <v>N/A</v>
      </c>
      <c r="M259" t="str">
        <f t="shared" si="86"/>
        <v>N/A</v>
      </c>
      <c r="N259" t="str">
        <f t="shared" si="87"/>
        <v>N/A</v>
      </c>
      <c r="P259">
        <f t="shared" si="58"/>
        <v>0</v>
      </c>
      <c r="Q259" t="str">
        <f>IFERROR(J144+MATCH(P259,J259:N259,0)-1,"")</f>
        <v/>
      </c>
      <c r="R259" t="str">
        <f t="shared" si="59"/>
        <v/>
      </c>
      <c r="S259" t="str">
        <f>IFERROR(J144+MATCH(R259,J259:N259,0)-1,"")</f>
        <v/>
      </c>
      <c r="T259" t="str">
        <f t="shared" si="60"/>
        <v/>
      </c>
      <c r="U259" t="str">
        <f t="shared" si="61"/>
        <v/>
      </c>
      <c r="V259" t="str">
        <f t="shared" si="62"/>
        <v/>
      </c>
      <c r="W259" t="str">
        <f t="shared" si="63"/>
        <v/>
      </c>
      <c r="X259" t="str">
        <f t="shared" si="64"/>
        <v/>
      </c>
      <c r="Y259" t="str">
        <f t="shared" si="65"/>
        <v/>
      </c>
      <c r="Z259" t="str">
        <f t="shared" si="66"/>
        <v/>
      </c>
      <c r="AA259">
        <f t="shared" si="67"/>
        <v>0</v>
      </c>
      <c r="AB259" t="str">
        <f>IFERROR(V144+MATCH(AA259,V259:Z259,0)-1,"")</f>
        <v/>
      </c>
      <c r="AC259" t="str">
        <f t="shared" si="68"/>
        <v/>
      </c>
      <c r="AE259" t="str">
        <f>IF(ISNUMBER(MATCH("N/A",J259:N259,0)),"",IFERROR((5 * SUMPRODUCT(J144:N144,J259:N259) - PRODUCT(SUM(J144:N144),SUM(J259:N259))) / ((5 * SUM((J144^2)+(K144^2)+(L144^2)+(M144^2)+(N144^2))) - SUM(J144:N144)^2),""))</f>
        <v/>
      </c>
      <c r="AF259" t="str">
        <f>IFERROR(CORREL(J144:N144,J259:N259),"")</f>
        <v/>
      </c>
      <c r="AZ259">
        <f t="shared" si="69"/>
        <v>0</v>
      </c>
      <c r="BA259" t="str">
        <f>IF(AZ259=1,IF(Q259="","",IF(Q259=N144,"Yes","No")),"")</f>
        <v/>
      </c>
      <c r="BB259" t="str">
        <f t="shared" si="70"/>
        <v/>
      </c>
      <c r="BC259" t="str">
        <f>IF(AZ259=1,IF(S259="","",IF(S259=N144,"Yes","No")),"")</f>
        <v/>
      </c>
      <c r="BD259" t="str">
        <f t="shared" si="71"/>
        <v/>
      </c>
      <c r="BE259" t="str">
        <f t="shared" si="72"/>
        <v/>
      </c>
      <c r="BF259" t="str">
        <f t="shared" si="73"/>
        <v>No</v>
      </c>
      <c r="BG259" t="str">
        <f t="shared" si="74"/>
        <v>No</v>
      </c>
      <c r="BH259" t="str">
        <f t="shared" si="75"/>
        <v/>
      </c>
    </row>
    <row r="260" spans="1:60" x14ac:dyDescent="0.3">
      <c r="A260" s="1">
        <v>4</v>
      </c>
      <c r="B260" t="s">
        <v>3612</v>
      </c>
      <c r="C260" t="s">
        <v>264</v>
      </c>
      <c r="D260" t="s">
        <v>3613</v>
      </c>
      <c r="E260" t="s">
        <v>3614</v>
      </c>
      <c r="F260" t="s">
        <v>3615</v>
      </c>
      <c r="G260" t="s">
        <v>3616</v>
      </c>
      <c r="I260" t="str">
        <f t="shared" si="82"/>
        <v>N/A</v>
      </c>
      <c r="J260" t="str">
        <f t="shared" si="83"/>
        <v>N/A</v>
      </c>
      <c r="K260">
        <f t="shared" si="84"/>
        <v>1.7399999999999999E-2</v>
      </c>
      <c r="L260">
        <f t="shared" si="85"/>
        <v>2.81E-2</v>
      </c>
      <c r="M260">
        <f t="shared" si="86"/>
        <v>8.5800000000000001E-2</v>
      </c>
      <c r="N260">
        <f t="shared" si="87"/>
        <v>6.5700000000000008E-2</v>
      </c>
      <c r="P260">
        <f t="shared" si="58"/>
        <v>8.5800000000000001E-2</v>
      </c>
      <c r="Q260">
        <f>IFERROR(J144+MATCH(P260,J260:N260,0)-1,"")</f>
        <v>2015</v>
      </c>
      <c r="R260">
        <f t="shared" si="59"/>
        <v>1.7399999999999999E-2</v>
      </c>
      <c r="S260">
        <f>IFERROR(J144+MATCH(R260,J260:N260,0)-1,"")</f>
        <v>2013</v>
      </c>
      <c r="T260">
        <f t="shared" si="60"/>
        <v>4.9250000000000002E-2</v>
      </c>
      <c r="U260">
        <f t="shared" si="61"/>
        <v>3.1980462785894767E-2</v>
      </c>
      <c r="V260" t="str">
        <f t="shared" si="62"/>
        <v/>
      </c>
      <c r="W260">
        <f t="shared" si="63"/>
        <v>-0.99592054728012547</v>
      </c>
      <c r="X260">
        <f t="shared" si="64"/>
        <v>-0.66134127393954956</v>
      </c>
      <c r="Y260">
        <f t="shared" si="65"/>
        <v>1.1428852748222476</v>
      </c>
      <c r="Z260">
        <f t="shared" si="66"/>
        <v>0.51437654639742758</v>
      </c>
      <c r="AA260">
        <f t="shared" si="67"/>
        <v>1.1428852748222476</v>
      </c>
      <c r="AB260">
        <f>IFERROR(V144+MATCH(AA260,V260:Z260,0)-1,"")</f>
        <v>2015</v>
      </c>
      <c r="AC260" t="str">
        <f t="shared" si="68"/>
        <v>High</v>
      </c>
      <c r="AE260" t="str">
        <f>IF(ISNUMBER(MATCH("N/A",J260:N260,0)),"",IFERROR((5 * SUMPRODUCT(J144:N144,J260:N260) - PRODUCT(SUM(J144:N144),SUM(J260:N260))) / ((5 * SUM((J144^2)+(K144^2)+(L144^2)+(M144^2)+(N144^2))) - SUM(J144:N144)^2),""))</f>
        <v/>
      </c>
      <c r="AF260">
        <f>IFERROR(CORREL(J144:N144,J260:N260),"")</f>
        <v>0.81786019503518659</v>
      </c>
      <c r="AZ260">
        <f t="shared" si="69"/>
        <v>1</v>
      </c>
      <c r="BA260" t="str">
        <f>IF(AZ260=1,IF(Q260="","",IF(Q260=N144,"Yes","No")),"")</f>
        <v>No</v>
      </c>
      <c r="BB260" t="str">
        <f t="shared" si="70"/>
        <v/>
      </c>
      <c r="BC260" t="str">
        <f>IF(AZ260=1,IF(S260="","",IF(S260=N144,"Yes","No")),"")</f>
        <v>No</v>
      </c>
      <c r="BD260" t="str">
        <f t="shared" si="71"/>
        <v/>
      </c>
      <c r="BE260" t="str">
        <f t="shared" si="72"/>
        <v/>
      </c>
      <c r="BF260" t="str">
        <f t="shared" si="73"/>
        <v>No</v>
      </c>
      <c r="BG260" t="str">
        <f t="shared" si="74"/>
        <v>No</v>
      </c>
      <c r="BH260" t="str">
        <f t="shared" si="75"/>
        <v>Yes</v>
      </c>
    </row>
    <row r="261" spans="1:60" x14ac:dyDescent="0.3">
      <c r="A261" s="1">
        <v>5</v>
      </c>
      <c r="B261" t="s">
        <v>3617</v>
      </c>
      <c r="C261" t="s">
        <v>3618</v>
      </c>
      <c r="D261" t="s">
        <v>3619</v>
      </c>
      <c r="E261" t="s">
        <v>3620</v>
      </c>
      <c r="F261" t="s">
        <v>3621</v>
      </c>
      <c r="G261" t="s">
        <v>3622</v>
      </c>
      <c r="I261" t="str">
        <f t="shared" si="82"/>
        <v>N/A</v>
      </c>
      <c r="J261">
        <f t="shared" si="83"/>
        <v>92910000</v>
      </c>
      <c r="K261">
        <f t="shared" si="84"/>
        <v>87210000</v>
      </c>
      <c r="L261">
        <f t="shared" si="85"/>
        <v>116240000</v>
      </c>
      <c r="M261">
        <f t="shared" si="86"/>
        <v>125670000</v>
      </c>
      <c r="N261">
        <f t="shared" si="87"/>
        <v>106850000</v>
      </c>
      <c r="P261">
        <f t="shared" si="58"/>
        <v>125670000</v>
      </c>
      <c r="Q261">
        <f>IFERROR(J144+MATCH(P261,J261:N261,0)-1,"")</f>
        <v>2015</v>
      </c>
      <c r="R261">
        <f t="shared" si="59"/>
        <v>87210000</v>
      </c>
      <c r="S261">
        <f>IFERROR(J144+MATCH(R261,J261:N261,0)-1,"")</f>
        <v>2013</v>
      </c>
      <c r="T261">
        <f t="shared" si="60"/>
        <v>105776000</v>
      </c>
      <c r="U261">
        <f t="shared" si="61"/>
        <v>15942477.222815782</v>
      </c>
      <c r="V261">
        <f t="shared" si="62"/>
        <v>-0.80702639998676373</v>
      </c>
      <c r="W261">
        <f t="shared" si="63"/>
        <v>-1.1645618018151918</v>
      </c>
      <c r="X261">
        <f t="shared" si="64"/>
        <v>0.65635972714608237</v>
      </c>
      <c r="Y261">
        <f t="shared" si="65"/>
        <v>1.2478612778903062</v>
      </c>
      <c r="Z261">
        <f t="shared" si="66"/>
        <v>6.7367196765566947E-2</v>
      </c>
      <c r="AA261">
        <f t="shared" si="67"/>
        <v>1.2478612778903062</v>
      </c>
      <c r="AB261">
        <f>IFERROR(V144+MATCH(AA261,V261:Z261,0)-1,"")</f>
        <v>2015</v>
      </c>
      <c r="AC261" t="str">
        <f t="shared" si="68"/>
        <v>High</v>
      </c>
      <c r="AE261">
        <f>IF(ISNUMBER(MATCH("N/A",J261:N261,0)),"",IFERROR((5 * SUMPRODUCT(J144:N144,J261:N261) - PRODUCT(SUM(J144:N144),SUM(J261:N261))) / ((5 * SUM((J144^2)+(K144^2)+(L144^2)+(M144^2)+(N144^2))) - SUM(J144:N144)^2),""))</f>
        <v>6634000</v>
      </c>
      <c r="AF261">
        <f>IFERROR(CORREL(J144:N144,J261:N261),"")</f>
        <v>0.65794511431178215</v>
      </c>
      <c r="AZ261">
        <f t="shared" si="69"/>
        <v>1</v>
      </c>
      <c r="BA261" t="str">
        <f>IF(AZ261=1,IF(Q261="","",IF(Q261=N144,"Yes","No")),"")</f>
        <v>No</v>
      </c>
      <c r="BB261" t="str">
        <f t="shared" si="70"/>
        <v/>
      </c>
      <c r="BC261" t="str">
        <f>IF(AZ261=1,IF(S261="","",IF(S261=N144,"Yes","No")),"")</f>
        <v>No</v>
      </c>
      <c r="BD261" t="str">
        <f t="shared" si="71"/>
        <v/>
      </c>
      <c r="BE261" t="str">
        <f t="shared" si="72"/>
        <v>Increasing</v>
      </c>
      <c r="BF261" t="str">
        <f t="shared" si="73"/>
        <v>No</v>
      </c>
      <c r="BG261" t="str">
        <f t="shared" si="74"/>
        <v>No</v>
      </c>
      <c r="BH261" t="str">
        <f t="shared" si="75"/>
        <v>No</v>
      </c>
    </row>
    <row r="262" spans="1:60" x14ac:dyDescent="0.3">
      <c r="A262" s="1">
        <v>6</v>
      </c>
      <c r="B262" t="s">
        <v>623</v>
      </c>
      <c r="C262" t="s">
        <v>3623</v>
      </c>
      <c r="D262" t="s">
        <v>3624</v>
      </c>
      <c r="E262" t="s">
        <v>3625</v>
      </c>
      <c r="F262" t="s">
        <v>3626</v>
      </c>
      <c r="G262" t="s">
        <v>696</v>
      </c>
      <c r="I262" t="str">
        <f t="shared" si="82"/>
        <v>N/A</v>
      </c>
      <c r="J262">
        <f t="shared" si="83"/>
        <v>23220000</v>
      </c>
      <c r="K262">
        <f t="shared" si="84"/>
        <v>50280000</v>
      </c>
      <c r="L262">
        <f t="shared" si="85"/>
        <v>69310000</v>
      </c>
      <c r="M262">
        <f t="shared" si="86"/>
        <v>78740000</v>
      </c>
      <c r="N262">
        <f t="shared" si="87"/>
        <v>62430000</v>
      </c>
      <c r="P262">
        <f t="shared" si="58"/>
        <v>78740000</v>
      </c>
      <c r="Q262">
        <f>IFERROR(J144+MATCH(P262,J262:N262,0)-1,"")</f>
        <v>2015</v>
      </c>
      <c r="R262">
        <f t="shared" si="59"/>
        <v>23220000</v>
      </c>
      <c r="S262">
        <f>IFERROR(J144+MATCH(R262,J262:N262,0)-1,"")</f>
        <v>2012</v>
      </c>
      <c r="T262">
        <f t="shared" si="60"/>
        <v>56796000</v>
      </c>
      <c r="U262">
        <f t="shared" si="61"/>
        <v>21445788.164579075</v>
      </c>
      <c r="V262">
        <f t="shared" si="62"/>
        <v>-1.5656221045517824</v>
      </c>
      <c r="W262">
        <f t="shared" si="63"/>
        <v>-0.30383588376398069</v>
      </c>
      <c r="X262">
        <f t="shared" si="64"/>
        <v>0.58351784061118084</v>
      </c>
      <c r="Y262">
        <f t="shared" si="65"/>
        <v>1.0232312205826875</v>
      </c>
      <c r="Z262">
        <f t="shared" si="66"/>
        <v>0.26270892712189486</v>
      </c>
      <c r="AA262">
        <f t="shared" si="67"/>
        <v>-1.5656221045517824</v>
      </c>
      <c r="AB262">
        <f>IFERROR(V144+MATCH(AA262,V262:Z262,0)-1,"")</f>
        <v>2012</v>
      </c>
      <c r="AC262" t="str">
        <f t="shared" si="68"/>
        <v>Low</v>
      </c>
      <c r="AE262">
        <f>IF(ISNUMBER(MATCH("N/A",J262:N262,0)),"",IFERROR((5 * SUMPRODUCT(J144:N144,J262:N262) - PRODUCT(SUM(J144:N144),SUM(J262:N262))) / ((5 * SUM((J144^2)+(K144^2)+(L144^2)+(M144^2)+(N144^2))) - SUM(J144:N144)^2),""))</f>
        <v>10688000</v>
      </c>
      <c r="AF262">
        <f>IFERROR(CORREL(J144:N144,J262:N262),"")</f>
        <v>0.78799677056641781</v>
      </c>
      <c r="AZ262">
        <f t="shared" si="69"/>
        <v>1</v>
      </c>
      <c r="BA262" t="str">
        <f>IF(AZ262=1,IF(Q262="","",IF(Q262=N144,"Yes","No")),"")</f>
        <v>No</v>
      </c>
      <c r="BB262" t="str">
        <f t="shared" si="70"/>
        <v/>
      </c>
      <c r="BC262" t="str">
        <f>IF(AZ262=1,IF(S262="","",IF(S262=N144,"Yes","No")),"")</f>
        <v>No</v>
      </c>
      <c r="BD262" t="str">
        <f t="shared" si="71"/>
        <v/>
      </c>
      <c r="BE262" t="str">
        <f t="shared" si="72"/>
        <v>Increasing</v>
      </c>
      <c r="BF262" t="str">
        <f t="shared" si="73"/>
        <v>No</v>
      </c>
      <c r="BG262" t="str">
        <f t="shared" si="74"/>
        <v>No</v>
      </c>
      <c r="BH262" t="str">
        <f t="shared" si="75"/>
        <v>No</v>
      </c>
    </row>
    <row r="263" spans="1:60" x14ac:dyDescent="0.3">
      <c r="A263" s="1">
        <v>7</v>
      </c>
      <c r="B263" t="s">
        <v>629</v>
      </c>
      <c r="C263" t="s">
        <v>264</v>
      </c>
      <c r="D263" t="s">
        <v>3627</v>
      </c>
      <c r="E263" t="s">
        <v>3628</v>
      </c>
      <c r="F263" t="s">
        <v>290</v>
      </c>
      <c r="G263" t="s">
        <v>3629</v>
      </c>
      <c r="I263" t="str">
        <f t="shared" si="82"/>
        <v>N/A</v>
      </c>
      <c r="J263" t="str">
        <f t="shared" si="83"/>
        <v>N/A</v>
      </c>
      <c r="K263">
        <f t="shared" si="84"/>
        <v>30230000</v>
      </c>
      <c r="L263">
        <f t="shared" si="85"/>
        <v>47700000</v>
      </c>
      <c r="M263">
        <f t="shared" si="86"/>
        <v>53700000</v>
      </c>
      <c r="N263">
        <f t="shared" si="87"/>
        <v>2500000</v>
      </c>
      <c r="P263">
        <f t="shared" si="58"/>
        <v>53700000</v>
      </c>
      <c r="Q263">
        <f>IFERROR(J144+MATCH(P263,J263:N263,0)-1,"")</f>
        <v>2015</v>
      </c>
      <c r="R263">
        <f t="shared" si="59"/>
        <v>2500000</v>
      </c>
      <c r="S263">
        <f>IFERROR(J144+MATCH(R263,J263:N263,0)-1,"")</f>
        <v>2016</v>
      </c>
      <c r="T263">
        <f t="shared" si="60"/>
        <v>33532500</v>
      </c>
      <c r="U263">
        <f t="shared" si="61"/>
        <v>22959157.033015534</v>
      </c>
      <c r="V263" t="str">
        <f t="shared" si="62"/>
        <v/>
      </c>
      <c r="W263">
        <f t="shared" si="63"/>
        <v>-0.14384238912826663</v>
      </c>
      <c r="X263">
        <f t="shared" si="64"/>
        <v>0.61707404934889254</v>
      </c>
      <c r="Y263">
        <f t="shared" si="65"/>
        <v>0.87840768591803697</v>
      </c>
      <c r="Z263">
        <f t="shared" si="66"/>
        <v>-1.3516393461386629</v>
      </c>
      <c r="AA263">
        <f t="shared" si="67"/>
        <v>-1.3516393461386629</v>
      </c>
      <c r="AB263">
        <f>IFERROR(V144+MATCH(AA263,V263:Z263,0)-1,"")</f>
        <v>2016</v>
      </c>
      <c r="AC263" t="str">
        <f t="shared" si="68"/>
        <v>Low</v>
      </c>
      <c r="AE263" t="str">
        <f>IF(ISNUMBER(MATCH("N/A",J263:N263,0)),"",IFERROR((5 * SUMPRODUCT(J144:N144,J263:N263) - PRODUCT(SUM(J144:N144),SUM(J263:N263))) / ((5 * SUM((J144^2)+(K144^2)+(L144^2)+(M144^2)+(N144^2))) - SUM(J144:N144)^2),""))</f>
        <v/>
      </c>
      <c r="AF263">
        <f>IFERROR(CORREL(J144:N144,J263:N263),"")</f>
        <v>-0.43403972260225537</v>
      </c>
      <c r="AZ263">
        <f t="shared" si="69"/>
        <v>1</v>
      </c>
      <c r="BA263" t="str">
        <f>IF(AZ263=1,IF(Q263="","",IF(Q263=N144,"Yes","No")),"")</f>
        <v>No</v>
      </c>
      <c r="BB263" t="str">
        <f t="shared" si="70"/>
        <v/>
      </c>
      <c r="BC263" t="str">
        <f>IF(AZ263=1,IF(S263="","",IF(S263=N144,"Yes","No")),"")</f>
        <v>Yes</v>
      </c>
      <c r="BD263">
        <f t="shared" si="71"/>
        <v>2500000</v>
      </c>
      <c r="BE263" t="str">
        <f t="shared" si="72"/>
        <v/>
      </c>
      <c r="BF263" t="str">
        <f t="shared" si="73"/>
        <v>No</v>
      </c>
      <c r="BG263" t="str">
        <f t="shared" si="74"/>
        <v>No</v>
      </c>
      <c r="BH263" t="str">
        <f t="shared" si="75"/>
        <v>No</v>
      </c>
    </row>
    <row r="264" spans="1:60" x14ac:dyDescent="0.3">
      <c r="A264" s="1">
        <v>8</v>
      </c>
      <c r="B264" t="s">
        <v>628</v>
      </c>
      <c r="C264" t="s">
        <v>3623</v>
      </c>
      <c r="D264" t="s">
        <v>3630</v>
      </c>
      <c r="E264" t="s">
        <v>3631</v>
      </c>
      <c r="F264" t="s">
        <v>3632</v>
      </c>
      <c r="G264" t="s">
        <v>3633</v>
      </c>
      <c r="I264" t="str">
        <f t="shared" si="82"/>
        <v>N/A</v>
      </c>
      <c r="J264">
        <f t="shared" si="83"/>
        <v>23220000</v>
      </c>
      <c r="K264">
        <f t="shared" si="84"/>
        <v>20050000</v>
      </c>
      <c r="L264">
        <f t="shared" si="85"/>
        <v>21610000</v>
      </c>
      <c r="M264">
        <f t="shared" si="86"/>
        <v>25040000</v>
      </c>
      <c r="N264">
        <f t="shared" si="87"/>
        <v>59930000</v>
      </c>
      <c r="P264">
        <f t="shared" si="58"/>
        <v>59930000</v>
      </c>
      <c r="Q264">
        <f>IFERROR(J144+MATCH(P264,J264:N264,0)-1,"")</f>
        <v>2016</v>
      </c>
      <c r="R264">
        <f t="shared" si="59"/>
        <v>20050000</v>
      </c>
      <c r="S264">
        <f>IFERROR(J144+MATCH(R264,J264:N264,0)-1,"")</f>
        <v>2013</v>
      </c>
      <c r="T264">
        <f t="shared" si="60"/>
        <v>29970000</v>
      </c>
      <c r="U264">
        <f t="shared" si="61"/>
        <v>16850556.370636549</v>
      </c>
      <c r="V264">
        <f t="shared" si="62"/>
        <v>-0.4005802450394112</v>
      </c>
      <c r="W264">
        <f t="shared" si="63"/>
        <v>-0.58870459715421619</v>
      </c>
      <c r="X264">
        <f t="shared" si="64"/>
        <v>-0.49612605163399665</v>
      </c>
      <c r="Y264">
        <f t="shared" si="65"/>
        <v>-0.29257194193248848</v>
      </c>
      <c r="Z264">
        <f t="shared" si="66"/>
        <v>1.7779828357601124</v>
      </c>
      <c r="AA264">
        <f t="shared" si="67"/>
        <v>1.7779828357601124</v>
      </c>
      <c r="AB264">
        <f>IFERROR(V144+MATCH(AA264,V264:Z264,0)-1,"")</f>
        <v>2016</v>
      </c>
      <c r="AC264" t="str">
        <f t="shared" si="68"/>
        <v>High</v>
      </c>
      <c r="AE264">
        <f>IF(ISNUMBER(MATCH("N/A",J264:N264,0)),"",IFERROR((5 * SUMPRODUCT(J144:N144,J264:N264) - PRODUCT(SUM(J144:N144),SUM(J264:N264))) / ((5 * SUM((J144^2)+(K144^2)+(L144^2)+(M144^2)+(N144^2))) - SUM(J144:N144)^2),""))</f>
        <v>7841000</v>
      </c>
      <c r="AF264">
        <f>IFERROR(CORREL(J144:N144,J264:N264),"")</f>
        <v>0.73574482017069409</v>
      </c>
      <c r="AZ264">
        <f t="shared" si="69"/>
        <v>1</v>
      </c>
      <c r="BA264" t="str">
        <f>IF(AZ264=1,IF(Q264="","",IF(Q264=N144,"Yes","No")),"")</f>
        <v>Yes</v>
      </c>
      <c r="BB264">
        <f t="shared" si="70"/>
        <v>59930000</v>
      </c>
      <c r="BC264" t="str">
        <f>IF(AZ264=1,IF(S264="","",IF(S264=N144,"Yes","No")),"")</f>
        <v>No</v>
      </c>
      <c r="BD264" t="str">
        <f t="shared" si="71"/>
        <v/>
      </c>
      <c r="BE264" t="str">
        <f t="shared" si="72"/>
        <v>Increasing</v>
      </c>
      <c r="BF264" t="str">
        <f t="shared" si="73"/>
        <v>Yes</v>
      </c>
      <c r="BG264" t="str">
        <f t="shared" si="74"/>
        <v>No</v>
      </c>
      <c r="BH264" t="str">
        <f t="shared" si="75"/>
        <v>No</v>
      </c>
    </row>
    <row r="265" spans="1:60" x14ac:dyDescent="0.3">
      <c r="A265" s="1">
        <v>9</v>
      </c>
      <c r="B265" t="s">
        <v>663</v>
      </c>
      <c r="C265" t="s">
        <v>3634</v>
      </c>
      <c r="D265" t="s">
        <v>3635</v>
      </c>
      <c r="E265" t="s">
        <v>3636</v>
      </c>
      <c r="F265" t="s">
        <v>3636</v>
      </c>
      <c r="G265" t="s">
        <v>1313</v>
      </c>
      <c r="I265" t="str">
        <f t="shared" si="82"/>
        <v>N/A</v>
      </c>
      <c r="J265">
        <f t="shared" si="83"/>
        <v>69690000</v>
      </c>
      <c r="K265">
        <f t="shared" si="84"/>
        <v>36930000</v>
      </c>
      <c r="L265">
        <f t="shared" si="85"/>
        <v>46930000</v>
      </c>
      <c r="M265">
        <f t="shared" si="86"/>
        <v>46930000</v>
      </c>
      <c r="N265">
        <f t="shared" si="87"/>
        <v>44430000</v>
      </c>
      <c r="P265">
        <f t="shared" si="58"/>
        <v>69690000</v>
      </c>
      <c r="Q265">
        <f>IFERROR(J144+MATCH(P265,J265:N265,0)-1,"")</f>
        <v>2012</v>
      </c>
      <c r="R265">
        <f t="shared" si="59"/>
        <v>36930000</v>
      </c>
      <c r="S265">
        <f>IFERROR(J144+MATCH(R265,J265:N265,0)-1,"")</f>
        <v>2013</v>
      </c>
      <c r="T265">
        <f t="shared" si="60"/>
        <v>48982000</v>
      </c>
      <c r="U265">
        <f t="shared" si="61"/>
        <v>12280208.467285886</v>
      </c>
      <c r="V265">
        <f t="shared" si="62"/>
        <v>1.6862905914965127</v>
      </c>
      <c r="W265">
        <f t="shared" si="63"/>
        <v>-0.98141656406779842</v>
      </c>
      <c r="X265">
        <f t="shared" si="64"/>
        <v>-0.16709814051336894</v>
      </c>
      <c r="Y265">
        <f t="shared" si="65"/>
        <v>-0.16709814051336894</v>
      </c>
      <c r="Z265">
        <f t="shared" si="66"/>
        <v>-0.37067774640197632</v>
      </c>
      <c r="AA265">
        <f t="shared" si="67"/>
        <v>1.6862905914965127</v>
      </c>
      <c r="AB265">
        <f>IFERROR(V144+MATCH(AA265,V265:Z265,0)-1,"")</f>
        <v>2012</v>
      </c>
      <c r="AC265" t="str">
        <f t="shared" si="68"/>
        <v>High</v>
      </c>
      <c r="AE265">
        <f>IF(ISNUMBER(MATCH("N/A",J265:N265,0)),"",IFERROR((5 * SUMPRODUCT(J144:N144,J265:N265) - PRODUCT(SUM(J144:N144),SUM(J265:N265))) / ((5 * SUM((J144^2)+(K144^2)+(L144^2)+(M144^2)+(N144^2))) - SUM(J144:N144)^2),""))</f>
        <v>-4052000</v>
      </c>
      <c r="AF265">
        <f>IFERROR(CORREL(J144:N144,J265:N265),"")</f>
        <v>-0.52171545430752209</v>
      </c>
      <c r="AZ265">
        <f t="shared" si="69"/>
        <v>1</v>
      </c>
      <c r="BA265" t="str">
        <f>IF(AZ265=1,IF(Q265="","",IF(Q265=N144,"Yes","No")),"")</f>
        <v>No</v>
      </c>
      <c r="BB265" t="str">
        <f t="shared" si="70"/>
        <v/>
      </c>
      <c r="BC265" t="str">
        <f>IF(AZ265=1,IF(S265="","",IF(S265=N144,"Yes","No")),"")</f>
        <v>No</v>
      </c>
      <c r="BD265" t="str">
        <f t="shared" si="71"/>
        <v/>
      </c>
      <c r="BE265" t="str">
        <f t="shared" si="72"/>
        <v>Decreasing</v>
      </c>
      <c r="BF265" t="str">
        <f t="shared" si="73"/>
        <v>No</v>
      </c>
      <c r="BG265" t="str">
        <f t="shared" si="74"/>
        <v>No</v>
      </c>
      <c r="BH265" t="str">
        <f t="shared" si="75"/>
        <v>No</v>
      </c>
    </row>
    <row r="266" spans="1:60" x14ac:dyDescent="0.3">
      <c r="A266" s="1">
        <v>10</v>
      </c>
      <c r="B266" t="s">
        <v>3637</v>
      </c>
      <c r="C266" t="s">
        <v>3634</v>
      </c>
      <c r="D266" t="s">
        <v>3635</v>
      </c>
      <c r="E266" t="s">
        <v>3636</v>
      </c>
      <c r="F266" t="s">
        <v>3636</v>
      </c>
      <c r="G266" t="s">
        <v>1313</v>
      </c>
      <c r="I266" t="str">
        <f t="shared" si="82"/>
        <v>N/A</v>
      </c>
      <c r="J266">
        <f t="shared" si="83"/>
        <v>69690000</v>
      </c>
      <c r="K266">
        <f t="shared" si="84"/>
        <v>36930000</v>
      </c>
      <c r="L266">
        <f t="shared" si="85"/>
        <v>46930000</v>
      </c>
      <c r="M266">
        <f t="shared" si="86"/>
        <v>46930000</v>
      </c>
      <c r="N266">
        <f t="shared" si="87"/>
        <v>44430000</v>
      </c>
      <c r="P266">
        <f t="shared" si="58"/>
        <v>69690000</v>
      </c>
      <c r="Q266">
        <f>IFERROR(J144+MATCH(P266,J266:N266,0)-1,"")</f>
        <v>2012</v>
      </c>
      <c r="R266">
        <f t="shared" si="59"/>
        <v>36930000</v>
      </c>
      <c r="S266">
        <f>IFERROR(J144+MATCH(R266,J266:N266,0)-1,"")</f>
        <v>2013</v>
      </c>
      <c r="T266">
        <f t="shared" si="60"/>
        <v>48982000</v>
      </c>
      <c r="U266">
        <f t="shared" si="61"/>
        <v>12280208.467285886</v>
      </c>
      <c r="V266">
        <f t="shared" si="62"/>
        <v>1.6862905914965127</v>
      </c>
      <c r="W266">
        <f t="shared" si="63"/>
        <v>-0.98141656406779842</v>
      </c>
      <c r="X266">
        <f t="shared" si="64"/>
        <v>-0.16709814051336894</v>
      </c>
      <c r="Y266">
        <f t="shared" si="65"/>
        <v>-0.16709814051336894</v>
      </c>
      <c r="Z266">
        <f t="shared" si="66"/>
        <v>-0.37067774640197632</v>
      </c>
      <c r="AA266">
        <f t="shared" si="67"/>
        <v>1.6862905914965127</v>
      </c>
      <c r="AB266">
        <f>IFERROR(V144+MATCH(AA266,V266:Z266,0)-1,"")</f>
        <v>2012</v>
      </c>
      <c r="AC266" t="str">
        <f t="shared" si="68"/>
        <v>High</v>
      </c>
      <c r="AE266">
        <f>IF(ISNUMBER(MATCH("N/A",J266:N266,0)),"",IFERROR((5 * SUMPRODUCT(J144:N144,J266:N266) - PRODUCT(SUM(J144:N144),SUM(J266:N266))) / ((5 * SUM((J144^2)+(K144^2)+(L144^2)+(M144^2)+(N144^2))) - SUM(J144:N144)^2),""))</f>
        <v>-4052000</v>
      </c>
      <c r="AF266">
        <f>IFERROR(CORREL(J144:N144,J266:N266),"")</f>
        <v>-0.52171545430752209</v>
      </c>
      <c r="AZ266">
        <f t="shared" si="69"/>
        <v>1</v>
      </c>
      <c r="BA266" t="str">
        <f>IF(AZ266=1,IF(Q266="","",IF(Q266=N144,"Yes","No")),"")</f>
        <v>No</v>
      </c>
      <c r="BB266" t="str">
        <f t="shared" si="70"/>
        <v/>
      </c>
      <c r="BC266" t="str">
        <f>IF(AZ266=1,IF(S266="","",IF(S266=N144,"Yes","No")),"")</f>
        <v>No</v>
      </c>
      <c r="BD266" t="str">
        <f t="shared" si="71"/>
        <v/>
      </c>
      <c r="BE266" t="str">
        <f t="shared" si="72"/>
        <v>Decreasing</v>
      </c>
      <c r="BF266" t="str">
        <f t="shared" si="73"/>
        <v>No</v>
      </c>
      <c r="BG266" t="str">
        <f t="shared" si="74"/>
        <v>No</v>
      </c>
      <c r="BH266" t="str">
        <f t="shared" si="75"/>
        <v>No</v>
      </c>
    </row>
    <row r="267" spans="1:60" x14ac:dyDescent="0.3">
      <c r="A267" s="1">
        <v>11</v>
      </c>
      <c r="B267" t="s">
        <v>675</v>
      </c>
      <c r="C267" t="s">
        <v>264</v>
      </c>
      <c r="D267" t="s">
        <v>264</v>
      </c>
      <c r="E267" t="s">
        <v>264</v>
      </c>
      <c r="F267" t="s">
        <v>264</v>
      </c>
      <c r="G267" t="s">
        <v>264</v>
      </c>
      <c r="I267" t="str">
        <f t="shared" si="82"/>
        <v>N/A</v>
      </c>
      <c r="J267" t="str">
        <f t="shared" si="83"/>
        <v>N/A</v>
      </c>
      <c r="K267" t="str">
        <f t="shared" si="84"/>
        <v>N/A</v>
      </c>
      <c r="L267" t="str">
        <f t="shared" si="85"/>
        <v>N/A</v>
      </c>
      <c r="M267" t="str">
        <f t="shared" si="86"/>
        <v>N/A</v>
      </c>
      <c r="N267" t="str">
        <f t="shared" si="87"/>
        <v>N/A</v>
      </c>
      <c r="P267">
        <f t="shared" si="58"/>
        <v>0</v>
      </c>
      <c r="Q267" t="str">
        <f>IFERROR(J144+MATCH(P267,J267:N267,0)-1,"")</f>
        <v/>
      </c>
      <c r="R267" t="str">
        <f t="shared" si="59"/>
        <v/>
      </c>
      <c r="S267" t="str">
        <f>IFERROR(J144+MATCH(R267,J267:N267,0)-1,"")</f>
        <v/>
      </c>
      <c r="T267" t="str">
        <f t="shared" si="60"/>
        <v/>
      </c>
      <c r="U267" t="str">
        <f t="shared" si="61"/>
        <v/>
      </c>
      <c r="V267" t="str">
        <f t="shared" si="62"/>
        <v/>
      </c>
      <c r="W267" t="str">
        <f t="shared" si="63"/>
        <v/>
      </c>
      <c r="X267" t="str">
        <f t="shared" si="64"/>
        <v/>
      </c>
      <c r="Y267" t="str">
        <f t="shared" si="65"/>
        <v/>
      </c>
      <c r="Z267" t="str">
        <f t="shared" si="66"/>
        <v/>
      </c>
      <c r="AA267">
        <f t="shared" si="67"/>
        <v>0</v>
      </c>
      <c r="AB267" t="str">
        <f>IFERROR(V144+MATCH(AA267,V267:Z267,0)-1,"")</f>
        <v/>
      </c>
      <c r="AC267" t="str">
        <f t="shared" si="68"/>
        <v/>
      </c>
      <c r="AE267" t="str">
        <f>IF(ISNUMBER(MATCH("N/A",J267:N267,0)),"",IFERROR((5 * SUMPRODUCT(J144:N144,J267:N267) - PRODUCT(SUM(J144:N144),SUM(J267:N267))) / ((5 * SUM((J144^2)+(K144^2)+(L144^2)+(M144^2)+(N144^2))) - SUM(J144:N144)^2),""))</f>
        <v/>
      </c>
      <c r="AF267" t="str">
        <f>IFERROR(CORREL(J144:N144,J267:N267),"")</f>
        <v/>
      </c>
      <c r="AZ267">
        <f t="shared" si="69"/>
        <v>0</v>
      </c>
      <c r="BA267" t="str">
        <f>IF(AZ267=1,IF(Q267="","",IF(Q267=N144,"Yes","No")),"")</f>
        <v/>
      </c>
      <c r="BB267" t="str">
        <f t="shared" si="70"/>
        <v/>
      </c>
      <c r="BC267" t="str">
        <f>IF(AZ267=1,IF(S267="","",IF(S267=N144,"Yes","No")),"")</f>
        <v/>
      </c>
      <c r="BD267" t="str">
        <f t="shared" si="71"/>
        <v/>
      </c>
      <c r="BE267" t="str">
        <f t="shared" si="72"/>
        <v/>
      </c>
      <c r="BF267" t="str">
        <f t="shared" si="73"/>
        <v>No</v>
      </c>
      <c r="BG267" t="str">
        <f t="shared" si="74"/>
        <v>No</v>
      </c>
      <c r="BH267" t="str">
        <f t="shared" si="75"/>
        <v/>
      </c>
    </row>
    <row r="268" spans="1:60" x14ac:dyDescent="0.3">
      <c r="A268" s="1">
        <v>12</v>
      </c>
      <c r="B268" t="s">
        <v>3638</v>
      </c>
      <c r="C268" t="s">
        <v>264</v>
      </c>
      <c r="D268" t="s">
        <v>3639</v>
      </c>
      <c r="E268" t="s">
        <v>3640</v>
      </c>
      <c r="F268" t="s">
        <v>3641</v>
      </c>
      <c r="G268" t="s">
        <v>3642</v>
      </c>
      <c r="I268" t="str">
        <f t="shared" si="82"/>
        <v>N/A</v>
      </c>
      <c r="J268" t="str">
        <f t="shared" si="83"/>
        <v>N/A</v>
      </c>
      <c r="K268">
        <f t="shared" si="84"/>
        <v>-0.47009999999999996</v>
      </c>
      <c r="L268">
        <f t="shared" si="85"/>
        <v>0.27079999999999999</v>
      </c>
      <c r="M268">
        <f t="shared" si="86"/>
        <v>0</v>
      </c>
      <c r="N268">
        <f t="shared" si="87"/>
        <v>-5.33E-2</v>
      </c>
      <c r="P268">
        <f t="shared" si="58"/>
        <v>0.27079999999999999</v>
      </c>
      <c r="Q268">
        <f>IFERROR(J144+MATCH(P268,J268:N268,0)-1,"")</f>
        <v>2014</v>
      </c>
      <c r="R268">
        <f t="shared" si="59"/>
        <v>-0.47009999999999996</v>
      </c>
      <c r="S268">
        <f>IFERROR(J144+MATCH(R268,J268:N268,0)-1,"")</f>
        <v>2013</v>
      </c>
      <c r="T268">
        <f t="shared" si="60"/>
        <v>-6.3149999999999998E-2</v>
      </c>
      <c r="U268">
        <f t="shared" si="61"/>
        <v>0.30616762837809397</v>
      </c>
      <c r="V268" t="str">
        <f t="shared" si="62"/>
        <v/>
      </c>
      <c r="W268">
        <f t="shared" si="63"/>
        <v>-1.3291738325040927</v>
      </c>
      <c r="X268">
        <f t="shared" si="64"/>
        <v>1.0907423549938364</v>
      </c>
      <c r="Y268">
        <f t="shared" si="65"/>
        <v>0.20625955896948878</v>
      </c>
      <c r="Z268">
        <f t="shared" si="66"/>
        <v>3.2171918540767445E-2</v>
      </c>
      <c r="AA268">
        <f t="shared" si="67"/>
        <v>-1.3291738325040927</v>
      </c>
      <c r="AB268">
        <f>IFERROR(V144+MATCH(AA268,V268:Z268,0)-1,"")</f>
        <v>2013</v>
      </c>
      <c r="AC268" t="str">
        <f t="shared" si="68"/>
        <v>Low</v>
      </c>
      <c r="AE268" t="str">
        <f>IF(ISNUMBER(MATCH("N/A",J268:N268,0)),"",IFERROR((5 * SUMPRODUCT(J144:N144,J268:N268) - PRODUCT(SUM(J144:N144),SUM(J268:N268))) / ((5 * SUM((J144^2)+(K144^2)+(L144^2)+(M144^2)+(N144^2))) - SUM(J144:N144)^2),""))</f>
        <v/>
      </c>
      <c r="AF268">
        <f>IFERROR(CORREL(J144:N144,J268:N268),"")</f>
        <v>0.4130607042557215</v>
      </c>
      <c r="AZ268">
        <f t="shared" si="69"/>
        <v>1</v>
      </c>
      <c r="BA268" t="str">
        <f>IF(AZ268=1,IF(Q268="","",IF(Q268=N144,"Yes","No")),"")</f>
        <v>No</v>
      </c>
      <c r="BB268" t="str">
        <f t="shared" si="70"/>
        <v/>
      </c>
      <c r="BC268" t="str">
        <f>IF(AZ268=1,IF(S268="","",IF(S268=N144,"Yes","No")),"")</f>
        <v>No</v>
      </c>
      <c r="BD268" t="str">
        <f t="shared" si="71"/>
        <v/>
      </c>
      <c r="BE268" t="str">
        <f t="shared" si="72"/>
        <v/>
      </c>
      <c r="BF268" t="str">
        <f t="shared" si="73"/>
        <v>No</v>
      </c>
      <c r="BG268" t="str">
        <f t="shared" si="74"/>
        <v>No</v>
      </c>
      <c r="BH268" t="str">
        <f t="shared" si="75"/>
        <v>No</v>
      </c>
    </row>
    <row r="269" spans="1:60" x14ac:dyDescent="0.3">
      <c r="A269" s="1">
        <v>13</v>
      </c>
      <c r="B269" t="s">
        <v>3643</v>
      </c>
      <c r="C269" t="s">
        <v>3644</v>
      </c>
      <c r="D269" t="s">
        <v>3645</v>
      </c>
      <c r="E269" t="s">
        <v>3646</v>
      </c>
      <c r="F269" t="s">
        <v>3647</v>
      </c>
      <c r="G269" t="s">
        <v>3648</v>
      </c>
      <c r="I269" t="str">
        <f t="shared" si="82"/>
        <v>N/A</v>
      </c>
      <c r="J269">
        <f t="shared" si="83"/>
        <v>8.1199999999999994E-2</v>
      </c>
      <c r="K269">
        <f t="shared" si="84"/>
        <v>7.4400000000000008E-2</v>
      </c>
      <c r="L269">
        <f t="shared" si="85"/>
        <v>9.5399999999999999E-2</v>
      </c>
      <c r="M269">
        <f t="shared" si="86"/>
        <v>9.5199999999999993E-2</v>
      </c>
      <c r="N269">
        <f t="shared" si="87"/>
        <v>7.7300000000000008E-2</v>
      </c>
      <c r="P269">
        <f t="shared" si="58"/>
        <v>9.5399999999999999E-2</v>
      </c>
      <c r="Q269">
        <f>IFERROR(J144+MATCH(P269,J269:N269,0)-1,"")</f>
        <v>2014</v>
      </c>
      <c r="R269">
        <f t="shared" si="59"/>
        <v>7.4400000000000008E-2</v>
      </c>
      <c r="S269">
        <f>IFERROR(J144+MATCH(R269,J269:N269,0)-1,"")</f>
        <v>2013</v>
      </c>
      <c r="T269">
        <f t="shared" si="60"/>
        <v>8.4699999999999998E-2</v>
      </c>
      <c r="U269">
        <f t="shared" si="61"/>
        <v>9.9729634512515444E-3</v>
      </c>
      <c r="V269">
        <f t="shared" si="62"/>
        <v>-0.35094884455440123</v>
      </c>
      <c r="W269">
        <f t="shared" si="63"/>
        <v>-1.0327923139743789</v>
      </c>
      <c r="X269">
        <f t="shared" si="64"/>
        <v>1.0729007533520258</v>
      </c>
      <c r="Y269">
        <f t="shared" si="65"/>
        <v>1.0528465336632022</v>
      </c>
      <c r="Z269">
        <f t="shared" si="66"/>
        <v>-0.74200612848644665</v>
      </c>
      <c r="AA269">
        <f t="shared" si="67"/>
        <v>1.0729007533520258</v>
      </c>
      <c r="AB269">
        <f>IFERROR(V144+MATCH(AA269,V269:Z269,0)-1,"")</f>
        <v>2014</v>
      </c>
      <c r="AC269" t="str">
        <f t="shared" si="68"/>
        <v>High</v>
      </c>
      <c r="AE269">
        <f>IF(ISNUMBER(MATCH("N/A",J269:N269,0)),"",IFERROR((5 * SUMPRODUCT(J144:N144,J269:N269) - PRODUCT(SUM(J144:N144),SUM(J269:N269))) / ((5 * SUM((J144^2)+(K144^2)+(L144^2)+(M144^2)+(N144^2))) - SUM(J144:N144)^2),""))</f>
        <v>1.3000000000101862E-3</v>
      </c>
      <c r="AF269">
        <f>IFERROR(CORREL(J144:N144,J269:N269),"")</f>
        <v>0.20610528547073845</v>
      </c>
      <c r="AZ269">
        <f t="shared" si="69"/>
        <v>1</v>
      </c>
      <c r="BA269" t="str">
        <f>IF(AZ269=1,IF(Q269="","",IF(Q269=N144,"Yes","No")),"")</f>
        <v>No</v>
      </c>
      <c r="BB269" t="str">
        <f t="shared" si="70"/>
        <v/>
      </c>
      <c r="BC269" t="str">
        <f>IF(AZ269=1,IF(S269="","",IF(S269=N144,"Yes","No")),"")</f>
        <v>No</v>
      </c>
      <c r="BD269" t="str">
        <f t="shared" si="71"/>
        <v/>
      </c>
      <c r="BE269" t="str">
        <f t="shared" si="72"/>
        <v>Increasing</v>
      </c>
      <c r="BF269" t="str">
        <f t="shared" si="73"/>
        <v>No</v>
      </c>
      <c r="BG269" t="str">
        <f t="shared" si="74"/>
        <v>No</v>
      </c>
      <c r="BH269" t="str">
        <f t="shared" si="75"/>
        <v>No</v>
      </c>
    </row>
    <row r="270" spans="1:60" x14ac:dyDescent="0.3">
      <c r="A270" s="1">
        <v>14</v>
      </c>
      <c r="B270" t="s">
        <v>694</v>
      </c>
      <c r="C270" t="s">
        <v>3649</v>
      </c>
      <c r="D270" t="s">
        <v>3650</v>
      </c>
      <c r="E270" t="s">
        <v>3651</v>
      </c>
      <c r="F270" t="s">
        <v>3652</v>
      </c>
      <c r="G270" t="s">
        <v>3653</v>
      </c>
      <c r="I270" t="str">
        <f t="shared" si="82"/>
        <v>N/A</v>
      </c>
      <c r="J270">
        <f t="shared" si="83"/>
        <v>13700000</v>
      </c>
      <c r="K270">
        <f t="shared" si="84"/>
        <v>9490000</v>
      </c>
      <c r="L270">
        <f t="shared" si="85"/>
        <v>12120000</v>
      </c>
      <c r="M270">
        <f t="shared" si="86"/>
        <v>12170000</v>
      </c>
      <c r="N270">
        <f t="shared" si="87"/>
        <v>11690000</v>
      </c>
      <c r="P270">
        <f t="shared" si="58"/>
        <v>13700000</v>
      </c>
      <c r="Q270">
        <f>IFERROR(J144+MATCH(P270,J270:N270,0)-1,"")</f>
        <v>2012</v>
      </c>
      <c r="R270">
        <f t="shared" si="59"/>
        <v>9490000</v>
      </c>
      <c r="S270">
        <f>IFERROR(J144+MATCH(R270,J270:N270,0)-1,"")</f>
        <v>2013</v>
      </c>
      <c r="T270">
        <f t="shared" si="60"/>
        <v>11834000</v>
      </c>
      <c r="U270">
        <f t="shared" si="61"/>
        <v>1515892.4763979798</v>
      </c>
      <c r="V270">
        <f t="shared" si="62"/>
        <v>1.2309580191557752</v>
      </c>
      <c r="W270">
        <f t="shared" si="63"/>
        <v>-1.5462838139877477</v>
      </c>
      <c r="X270">
        <f t="shared" si="64"/>
        <v>0.18866773498314668</v>
      </c>
      <c r="Y270">
        <f t="shared" si="65"/>
        <v>0.22165160473544507</v>
      </c>
      <c r="Z270">
        <f t="shared" si="66"/>
        <v>-9.4993544886619319E-2</v>
      </c>
      <c r="AA270">
        <f t="shared" si="67"/>
        <v>-1.5462838139877477</v>
      </c>
      <c r="AB270">
        <f>IFERROR(V144+MATCH(AA270,V270:Z270,0)-1,"")</f>
        <v>2013</v>
      </c>
      <c r="AC270" t="str">
        <f t="shared" si="68"/>
        <v>Low</v>
      </c>
      <c r="AE270">
        <f>IF(ISNUMBER(MATCH("N/A",J270:N270,0)),"",IFERROR((5 * SUMPRODUCT(J144:N144,J270:N270) - PRODUCT(SUM(J144:N144),SUM(J270:N270))) / ((5 * SUM((J144^2)+(K144^2)+(L144^2)+(M144^2)+(N144^2))) - SUM(J144:N144)^2),""))</f>
        <v>-134000</v>
      </c>
      <c r="AF270">
        <f>IFERROR(CORREL(J144:N144,J270:N270),"")</f>
        <v>-0.13976756698121953</v>
      </c>
      <c r="AZ270">
        <f t="shared" si="69"/>
        <v>1</v>
      </c>
      <c r="BA270" t="str">
        <f>IF(AZ270=1,IF(Q270="","",IF(Q270=N144,"Yes","No")),"")</f>
        <v>No</v>
      </c>
      <c r="BB270" t="str">
        <f t="shared" si="70"/>
        <v/>
      </c>
      <c r="BC270" t="str">
        <f>IF(AZ270=1,IF(S270="","",IF(S270=N144,"Yes","No")),"")</f>
        <v>No</v>
      </c>
      <c r="BD270" t="str">
        <f t="shared" si="71"/>
        <v/>
      </c>
      <c r="BE270" t="str">
        <f t="shared" si="72"/>
        <v>Decreasing</v>
      </c>
      <c r="BF270" t="str">
        <f t="shared" si="73"/>
        <v>No</v>
      </c>
      <c r="BG270" t="str">
        <f t="shared" si="74"/>
        <v>No</v>
      </c>
      <c r="BH270" t="str">
        <f t="shared" si="75"/>
        <v>No</v>
      </c>
    </row>
    <row r="271" spans="1:60" x14ac:dyDescent="0.3">
      <c r="A271" s="1">
        <v>15</v>
      </c>
      <c r="B271" t="s">
        <v>697</v>
      </c>
      <c r="C271" t="s">
        <v>3649</v>
      </c>
      <c r="D271" t="s">
        <v>3650</v>
      </c>
      <c r="E271" t="s">
        <v>3651</v>
      </c>
      <c r="F271" t="s">
        <v>3652</v>
      </c>
      <c r="G271" t="s">
        <v>3653</v>
      </c>
      <c r="P271">
        <f t="shared" si="58"/>
        <v>0</v>
      </c>
      <c r="Q271" t="str">
        <f>IFERROR(J144+MATCH(P271,J271:N271,0)-1,"")</f>
        <v/>
      </c>
      <c r="R271" t="str">
        <f t="shared" si="59"/>
        <v/>
      </c>
      <c r="S271" t="str">
        <f>IFERROR(J144+MATCH(R271,J271:N271,0)-1,"")</f>
        <v/>
      </c>
      <c r="T271" t="str">
        <f t="shared" si="60"/>
        <v/>
      </c>
      <c r="U271" t="str">
        <f t="shared" si="61"/>
        <v/>
      </c>
      <c r="V271" t="str">
        <f t="shared" si="62"/>
        <v/>
      </c>
      <c r="W271" t="str">
        <f t="shared" si="63"/>
        <v/>
      </c>
      <c r="X271" t="str">
        <f t="shared" si="64"/>
        <v/>
      </c>
      <c r="Y271" t="str">
        <f t="shared" si="65"/>
        <v/>
      </c>
      <c r="Z271" t="str">
        <f t="shared" si="66"/>
        <v/>
      </c>
      <c r="AA271">
        <f t="shared" si="67"/>
        <v>0</v>
      </c>
      <c r="AB271" t="str">
        <f>IFERROR(V144+MATCH(AA271,V271:Z271,0)-1,"")</f>
        <v/>
      </c>
      <c r="AC271" t="str">
        <f t="shared" si="68"/>
        <v/>
      </c>
      <c r="AE271">
        <f>IF(ISNUMBER(MATCH("N/A",J271:N271,0)),"",IFERROR((5 * SUMPRODUCT(J144:N144,J271:N271) - PRODUCT(SUM(J144:N144),SUM(J271:N271))) / ((5 * SUM((J144^2)+(K144^2)+(L144^2)+(M144^2)+(N144^2))) - SUM(J144:N144)^2),""))</f>
        <v>0</v>
      </c>
      <c r="AF271" t="str">
        <f>IFERROR(CORREL(J144:N144,J271:N271),"")</f>
        <v/>
      </c>
      <c r="AZ271">
        <f t="shared" si="69"/>
        <v>0</v>
      </c>
      <c r="BA271" t="str">
        <f>IF(AZ271=1,IF(Q271="","",IF(Q271=N144,"Yes","No")),"")</f>
        <v/>
      </c>
      <c r="BB271" t="str">
        <f t="shared" si="70"/>
        <v/>
      </c>
      <c r="BC271" t="str">
        <f>IF(AZ271=1,IF(S271="","",IF(S271=N144,"Yes","No")),"")</f>
        <v/>
      </c>
      <c r="BD271" t="str">
        <f t="shared" si="71"/>
        <v/>
      </c>
      <c r="BE271" t="str">
        <f t="shared" si="72"/>
        <v/>
      </c>
      <c r="BF271" t="str">
        <f t="shared" si="73"/>
        <v>No</v>
      </c>
      <c r="BG271" t="str">
        <f t="shared" si="74"/>
        <v>No</v>
      </c>
      <c r="BH271" t="str">
        <f t="shared" si="75"/>
        <v/>
      </c>
    </row>
    <row r="272" spans="1:60" x14ac:dyDescent="0.3">
      <c r="A272" s="1">
        <v>16</v>
      </c>
      <c r="B272" t="s">
        <v>700</v>
      </c>
      <c r="C272" t="s">
        <v>760</v>
      </c>
      <c r="D272" t="s">
        <v>760</v>
      </c>
      <c r="E272" t="s">
        <v>2458</v>
      </c>
      <c r="F272" t="s">
        <v>721</v>
      </c>
      <c r="G272" t="s">
        <v>3654</v>
      </c>
      <c r="I272" t="str">
        <f t="shared" ref="I272:I310" si="88">IF(AND(K272&gt; J272, L272&gt; K272, M272&gt; L272, N272&gt; M272), "pos_trend", IF(AND(K272&lt; J272, L272&lt; K272, M272&lt; L272, N272&lt; M272), "neg_trend", "N/A"))</f>
        <v>N/A</v>
      </c>
      <c r="J272">
        <f t="shared" ref="J272:J310" si="89">IFERROR(IF(TRIM(C272)="-", "N/A", IF(RIGHT(C272,1)=")",IF(RIGHT(C272,2)="T)",-1000000000000*VALUE(MID(C272,2,LEN(C272)-3)),IF(RIGHT(C272,2)="M)",-1000000*VALUE(MID(C272,2,LEN(C272)-3)),IF(RIGHT(C272,2)="B)",-1000000000*VALUE(MID(C272,2,LEN(C272)-3)),IF(RIGHT(C272,2)="k)",-1000*VALUE(MID(C272,2,LEN(C272)-3)),VALUE(SUBSTITUTE(C272,",","")))))),IF(RIGHT(C272,1)="T",1000000000000*VALUE(LEFT(C272,LEN(C272)-1)),IF(RIGHT(C272,1)="M",1000000*VALUE(LEFT(C272,LEN(C272)-1)),IF(RIGHT(C272,1)="B",1000000000*VALUE(LEFT(C272,LEN(C272)-1)),IF(RIGHT(C272,1)="%",0.01*VALUE(LEFT(C272,LEN(C272)-1)),IF(RIGHT(C272,1)="k",1000*VALUE(LEFT(C272,LEN(C272)-1)),VALUE(SUBSTITUTE(C272,",",""))))))))),"N/A")</f>
        <v>1040000000</v>
      </c>
      <c r="K272">
        <f t="shared" ref="K272:K310" si="90">IFERROR(IF(TRIM(D272)="-", "N/A", IF(RIGHT(D272,1)=")",IF(RIGHT(D272,2)="T)",-1000000000000*VALUE(MID(D272,2,LEN(D272)-3)),IF(RIGHT(D272,2)="M)",-1000000*VALUE(MID(D272,2,LEN(D272)-3)),IF(RIGHT(D272,2)="B)",-1000000000*VALUE(MID(D272,2,LEN(D272)-3)),IF(RIGHT(D272,2)="k)",-1000*VALUE(MID(D272,2,LEN(D272)-3)),VALUE(SUBSTITUTE(D272,",","")))))),IF(RIGHT(D272,1)="T",1000000000000*VALUE(LEFT(D272,LEN(D272)-1)),IF(RIGHT(D272,1)="M",1000000*VALUE(LEFT(D272,LEN(D272)-1)),IF(RIGHT(D272,1)="B",1000000000*VALUE(LEFT(D272,LEN(D272)-1)),IF(RIGHT(D272,1)="%",0.01*VALUE(LEFT(D272,LEN(D272)-1)),IF(RIGHT(D272,1)="k",1000*VALUE(LEFT(D272,LEN(D272)-1)),VALUE(SUBSTITUTE(D272,",",""))))))))),"N/A")</f>
        <v>1040000000</v>
      </c>
      <c r="L272">
        <f t="shared" ref="L272:L310" si="91">IFERROR(IF(TRIM(E272)="-", "N/A", IF(RIGHT(E272,1)=")",IF(RIGHT(E272,2)="T)",-1000000000000*VALUE(MID(E272,2,LEN(E272)-3)),IF(RIGHT(E272,2)="M)",-1000000*VALUE(MID(E272,2,LEN(E272)-3)),IF(RIGHT(E272,2)="B)",-1000000000*VALUE(MID(E272,2,LEN(E272)-3)),IF(RIGHT(E272,2)="k)",-1000*VALUE(MID(E272,2,LEN(E272)-3)),VALUE(SUBSTITUTE(E272,",","")))))),IF(RIGHT(E272,1)="T",1000000000000*VALUE(LEFT(E272,LEN(E272)-1)),IF(RIGHT(E272,1)="M",1000000*VALUE(LEFT(E272,LEN(E272)-1)),IF(RIGHT(E272,1)="B",1000000000*VALUE(LEFT(E272,LEN(E272)-1)),IF(RIGHT(E272,1)="%",0.01*VALUE(LEFT(E272,LEN(E272)-1)),IF(RIGHT(E272,1)="k",1000*VALUE(LEFT(E272,LEN(E272)-1)),VALUE(SUBSTITUTE(E272,",",""))))))))),"N/A")</f>
        <v>1100000000</v>
      </c>
      <c r="M272">
        <f t="shared" ref="M272:M310" si="92">IFERROR(IF(TRIM(F272)="-", "N/A", IF(RIGHT(F272,1)=")",IF(RIGHT(F272,2)="T)",-1000000000000*VALUE(MID(F272,2,LEN(F272)-3)),IF(RIGHT(F272,2)="M)",-1000000*VALUE(MID(F272,2,LEN(F272)-3)),IF(RIGHT(F272,2)="B)",-1000000000*VALUE(MID(F272,2,LEN(F272)-3)),IF(RIGHT(F272,2)="k)",-1000*VALUE(MID(F272,2,LEN(F272)-3)),VALUE(SUBSTITUTE(F272,",","")))))),IF(RIGHT(F272,1)="T",1000000000000*VALUE(LEFT(F272,LEN(F272)-1)),IF(RIGHT(F272,1)="M",1000000*VALUE(LEFT(F272,LEN(F272)-1)),IF(RIGHT(F272,1)="B",1000000000*VALUE(LEFT(F272,LEN(F272)-1)),IF(RIGHT(F272,1)="%",0.01*VALUE(LEFT(F272,LEN(F272)-1)),IF(RIGHT(F272,1)="k",1000*VALUE(LEFT(F272,LEN(F272)-1)),VALUE(SUBSTITUTE(F272,",",""))))))))),"N/A")</f>
        <v>1200000000</v>
      </c>
      <c r="N272">
        <f t="shared" ref="N272:N310" si="93">IFERROR(IF(TRIM(G272)="-", "N/A", IF(RIGHT(G272,1)=")",IF(RIGHT(G272,2)="T)",-1000000000000*VALUE(MID(G272,2,LEN(G272)-3)),IF(RIGHT(G272,2)="M)",-1000000*VALUE(MID(G272,2,LEN(G272)-3)),IF(RIGHT(G272,2)="B)",-1000000000*VALUE(MID(G272,2,LEN(G272)-3)),IF(RIGHT(G272,2)="k)",-1000*VALUE(MID(G272,2,LEN(G272)-3)),VALUE(SUBSTITUTE(G272,",","")))))),IF(RIGHT(G272,1)="T",1000000000000*VALUE(LEFT(G272,LEN(G272)-1)),IF(RIGHT(G272,1)="M",1000000*VALUE(LEFT(G272,LEN(G272)-1)),IF(RIGHT(G272,1)="B",1000000000*VALUE(LEFT(G272,LEN(G272)-1)),IF(RIGHT(G272,1)="%",0.01*VALUE(LEFT(G272,LEN(G272)-1)),IF(RIGHT(G272,1)="k",1000*VALUE(LEFT(G272,LEN(G272)-1)),VALUE(SUBSTITUTE(G272,",",""))))))))),"N/A")</f>
        <v>1240000000</v>
      </c>
      <c r="P272">
        <f t="shared" si="58"/>
        <v>1240000000</v>
      </c>
      <c r="Q272">
        <f>IFERROR(J144+MATCH(P272,J272:N272,0)-1,"")</f>
        <v>2016</v>
      </c>
      <c r="R272">
        <f t="shared" si="59"/>
        <v>1040000000</v>
      </c>
      <c r="S272">
        <f>IFERROR(J144+MATCH(R272,J272:N272,0)-1,"")</f>
        <v>2012</v>
      </c>
      <c r="T272">
        <f t="shared" si="60"/>
        <v>1124000000</v>
      </c>
      <c r="U272">
        <f t="shared" si="61"/>
        <v>92086915.465770707</v>
      </c>
      <c r="V272">
        <f t="shared" si="62"/>
        <v>-0.91218170980244562</v>
      </c>
      <c r="W272">
        <f t="shared" si="63"/>
        <v>-0.91218170980244562</v>
      </c>
      <c r="X272">
        <f t="shared" si="64"/>
        <v>-0.26062334565784162</v>
      </c>
      <c r="Y272">
        <f t="shared" si="65"/>
        <v>0.82530726124983178</v>
      </c>
      <c r="Z272">
        <f t="shared" si="66"/>
        <v>1.2596795040129012</v>
      </c>
      <c r="AA272">
        <f t="shared" si="67"/>
        <v>1.2596795040129012</v>
      </c>
      <c r="AB272">
        <f>IFERROR(V144+MATCH(AA272,V272:Z272,0)-1,"")</f>
        <v>2016</v>
      </c>
      <c r="AC272" t="str">
        <f t="shared" si="68"/>
        <v>High</v>
      </c>
      <c r="AE272">
        <f>IF(ISNUMBER(MATCH("N/A",J272:N272,0)),"",IFERROR((5 * SUMPRODUCT(J144:N144,J272:N272) - PRODUCT(SUM(J144:N144),SUM(J272:N272))) / ((5 * SUM((J144^2)+(K144^2)+(L144^2)+(M144^2)+(N144^2))) - SUM(J144:N144)^2),""))</f>
        <v>56000000</v>
      </c>
      <c r="AF272">
        <f>IFERROR(CORREL(J144:N144,J272:N272),"")</f>
        <v>0.96152394764082316</v>
      </c>
      <c r="AZ272">
        <f t="shared" si="69"/>
        <v>1</v>
      </c>
      <c r="BA272" t="str">
        <f>IF(AZ272=1,IF(Q272="","",IF(Q272=N144,"Yes","No")),"")</f>
        <v>Yes</v>
      </c>
      <c r="BB272">
        <f t="shared" si="70"/>
        <v>1240000000</v>
      </c>
      <c r="BC272" t="str">
        <f>IF(AZ272=1,IF(S272="","",IF(S272=N144,"Yes","No")),"")</f>
        <v>No</v>
      </c>
      <c r="BD272" t="str">
        <f t="shared" si="71"/>
        <v/>
      </c>
      <c r="BE272" t="str">
        <f t="shared" si="72"/>
        <v>Increasing</v>
      </c>
      <c r="BF272" t="str">
        <f t="shared" si="73"/>
        <v>Yes</v>
      </c>
      <c r="BG272" t="str">
        <f t="shared" si="74"/>
        <v>No</v>
      </c>
      <c r="BH272" t="str">
        <f t="shared" si="75"/>
        <v>Yes</v>
      </c>
    </row>
    <row r="273" spans="1:60" x14ac:dyDescent="0.3">
      <c r="A273" s="1">
        <v>17</v>
      </c>
      <c r="B273" t="s">
        <v>713</v>
      </c>
      <c r="C273" t="s">
        <v>3655</v>
      </c>
      <c r="D273" t="s">
        <v>3656</v>
      </c>
      <c r="E273" t="s">
        <v>3657</v>
      </c>
      <c r="F273" t="s">
        <v>3658</v>
      </c>
      <c r="G273" t="s">
        <v>3659</v>
      </c>
      <c r="I273" t="str">
        <f t="shared" si="88"/>
        <v>N/A</v>
      </c>
      <c r="J273">
        <f t="shared" si="89"/>
        <v>23180000</v>
      </c>
      <c r="K273">
        <f t="shared" si="90"/>
        <v>46320000</v>
      </c>
      <c r="L273">
        <f t="shared" si="91"/>
        <v>23130000</v>
      </c>
      <c r="M273">
        <f t="shared" si="92"/>
        <v>22270000</v>
      </c>
      <c r="N273">
        <f t="shared" si="93"/>
        <v>18950000</v>
      </c>
      <c r="P273">
        <f t="shared" ref="P273:P336" si="94">MAX(J273:N273)</f>
        <v>46320000</v>
      </c>
      <c r="Q273">
        <f>IFERROR(J144+MATCH(P273,J273:N273,0)-1,"")</f>
        <v>2013</v>
      </c>
      <c r="R273">
        <f t="shared" ref="R273:R336" si="95">IF(Q273="","",MIN(J273:N273))</f>
        <v>18950000</v>
      </c>
      <c r="S273">
        <f>IFERROR(J144+MATCH(R273,J273:N273,0)-1,"")</f>
        <v>2016</v>
      </c>
      <c r="T273">
        <f t="shared" ref="T273:T336" si="96">IFERROR(AVERAGE(J273:N273),"")</f>
        <v>26770000</v>
      </c>
      <c r="U273">
        <f t="shared" ref="U273:U336" si="97">IFERROR(STDEV(J273:N273),"")</f>
        <v>11065064.392040383</v>
      </c>
      <c r="V273">
        <f t="shared" ref="V273:V336" si="98">IFERROR(IF(C273="-","",IF(ISBLANK(B273),"",IF(OR(ISNUMBER(FIND("Growth",B273)),ISNUMBER(FIND("Margin",B273))),"",(J273-T273)/U273))),"")</f>
        <v>-0.32444456469520905</v>
      </c>
      <c r="W273">
        <f t="shared" ref="W273:W336" si="99">IFERROR(IF(OR(D273="-",ISBLANK(D273)),"",(K273-T273)/U273),"")</f>
        <v>1.7668220723652748</v>
      </c>
      <c r="X273">
        <f t="shared" ref="X273:X336" si="100">IFERROR(IF(OR(E273="-",ISBLANK(E273)),"",(L273-T273)/U273),"")</f>
        <v>-0.32896329122299744</v>
      </c>
      <c r="Y273">
        <f t="shared" ref="Y273:Y336" si="101">IFERROR(IF(OR(F273="-",ISBLANK(F273)),"",(M273-T273)/U273),"")</f>
        <v>-0.4066853875009584</v>
      </c>
      <c r="Z273">
        <f t="shared" ref="Z273:Z336" si="102">IFERROR(IF(OR(G273="-",ISBLANK(G273)),"",(N273-T273)/U273),"")</f>
        <v>-0.70672882894611</v>
      </c>
      <c r="AA273">
        <f t="shared" ref="AA273:AA336" si="103">IF(MAX(MAX(V273:Z273),ABS(MIN(V273:Z273)))=ABS(MIN(V273:Z273)),MIN(V273:Z273),MAX(V273:Z273))</f>
        <v>1.7668220723652748</v>
      </c>
      <c r="AB273">
        <f>IFERROR(V144+MATCH(AA273,V273:Z273,0)-1,"")</f>
        <v>2013</v>
      </c>
      <c r="AC273" t="str">
        <f t="shared" ref="AC273:AC336" si="104">IF(AB273&lt;&gt;"",IF(S273=AB273,"Low",IF(AB273=Q273,"High","")),"")</f>
        <v>High</v>
      </c>
      <c r="AE273">
        <f>IF(ISNUMBER(MATCH("N/A",J273:N273,0)),"",IFERROR((5 * SUMPRODUCT(J144:N144,J273:N273) - PRODUCT(SUM(J144:N144),SUM(J273:N273))) / ((5 * SUM((J144^2)+(K144^2)+(L144^2)+(M144^2)+(N144^2))) - SUM(J144:N144)^2),""))</f>
        <v>-3251000</v>
      </c>
      <c r="AF273">
        <f>IFERROR(CORREL(J144:N144,J273:N273),"")</f>
        <v>-0.46455060309466839</v>
      </c>
      <c r="AZ273">
        <f t="shared" ref="AZ273:AZ336" si="105">IF(Q273=S273,0,1)</f>
        <v>1</v>
      </c>
      <c r="BA273" t="str">
        <f>IF(AZ273=1,IF(Q273="","",IF(Q273=N144,"Yes","No")),"")</f>
        <v>No</v>
      </c>
      <c r="BB273" t="str">
        <f t="shared" ref="BB273:BB336" si="106">IF(BA273="Yes",P273,"")</f>
        <v/>
      </c>
      <c r="BC273" t="str">
        <f>IF(AZ273=1,IF(S273="","",IF(S273=N144,"Yes","No")),"")</f>
        <v>Yes</v>
      </c>
      <c r="BD273">
        <f t="shared" ref="BD273:BD336" si="107">IF(BC273="Yes",R273,"")</f>
        <v>18950000</v>
      </c>
      <c r="BE273" t="str">
        <f t="shared" ref="BE273:BE336" si="108">IFERROR(IF(SIGN(AE273)=1,"Increasing",IF(SIGN(AE273)=-1,"Decreasing","")),"")</f>
        <v>Decreasing</v>
      </c>
      <c r="BF273" t="str">
        <f t="shared" ref="BF273:BF336" si="109">IF(OR(AND(BE273="Increasing",BA273="Yes"),AND(BE273="Decreasing",BC273="Yes")),"Yes","No")</f>
        <v>Yes</v>
      </c>
      <c r="BG273" t="str">
        <f t="shared" ref="BG273:BG336" si="110">IF(I273="pos_trend","Yes","No")</f>
        <v>No</v>
      </c>
      <c r="BH273" t="str">
        <f t="shared" ref="BH273:BH336" si="111">IF(AF273&lt;&gt;"",IF(ABS(AF273)&gt;0.8,"Yes","No"),"")</f>
        <v>No</v>
      </c>
    </row>
    <row r="274" spans="1:60" x14ac:dyDescent="0.3">
      <c r="A274" s="1">
        <v>18</v>
      </c>
      <c r="B274" t="s">
        <v>714</v>
      </c>
      <c r="C274" t="s">
        <v>264</v>
      </c>
      <c r="D274" t="s">
        <v>3656</v>
      </c>
      <c r="E274" t="s">
        <v>264</v>
      </c>
      <c r="F274" t="s">
        <v>264</v>
      </c>
      <c r="G274" t="s">
        <v>264</v>
      </c>
      <c r="I274" t="str">
        <f t="shared" si="88"/>
        <v>N/A</v>
      </c>
      <c r="J274" t="str">
        <f t="shared" si="89"/>
        <v>N/A</v>
      </c>
      <c r="K274">
        <f t="shared" si="90"/>
        <v>46320000</v>
      </c>
      <c r="L274" t="str">
        <f t="shared" si="91"/>
        <v>N/A</v>
      </c>
      <c r="M274" t="str">
        <f t="shared" si="92"/>
        <v>N/A</v>
      </c>
      <c r="N274" t="str">
        <f t="shared" si="93"/>
        <v>N/A</v>
      </c>
      <c r="P274">
        <f t="shared" si="94"/>
        <v>46320000</v>
      </c>
      <c r="Q274">
        <f>IFERROR(J144+MATCH(P274,J274:N274,0)-1,"")</f>
        <v>2013</v>
      </c>
      <c r="R274">
        <f t="shared" si="95"/>
        <v>46320000</v>
      </c>
      <c r="S274">
        <f>IFERROR(J144+MATCH(R274,J274:N274,0)-1,"")</f>
        <v>2013</v>
      </c>
      <c r="T274">
        <f t="shared" si="96"/>
        <v>46320000</v>
      </c>
      <c r="U274" t="str">
        <f t="shared" si="97"/>
        <v/>
      </c>
      <c r="V274" t="str">
        <f t="shared" si="98"/>
        <v/>
      </c>
      <c r="W274" t="str">
        <f t="shared" si="99"/>
        <v/>
      </c>
      <c r="X274" t="str">
        <f t="shared" si="100"/>
        <v/>
      </c>
      <c r="Y274" t="str">
        <f t="shared" si="101"/>
        <v/>
      </c>
      <c r="Z274" t="str">
        <f t="shared" si="102"/>
        <v/>
      </c>
      <c r="AA274">
        <f t="shared" si="103"/>
        <v>0</v>
      </c>
      <c r="AB274" t="str">
        <f>IFERROR(V144+MATCH(AA274,V274:Z274,0)-1,"")</f>
        <v/>
      </c>
      <c r="AC274" t="str">
        <f t="shared" si="104"/>
        <v/>
      </c>
      <c r="AE274" t="str">
        <f>IF(ISNUMBER(MATCH("N/A",J274:N274,0)),"",IFERROR((5 * SUMPRODUCT(J144:N144,J274:N274) - PRODUCT(SUM(J144:N144),SUM(J274:N274))) / ((5 * SUM((J144^2)+(K144^2)+(L144^2)+(M144^2)+(N144^2))) - SUM(J144:N144)^2),""))</f>
        <v/>
      </c>
      <c r="AF274" t="str">
        <f>IFERROR(CORREL(J144:N144,J274:N274),"")</f>
        <v/>
      </c>
      <c r="AZ274">
        <f t="shared" si="105"/>
        <v>0</v>
      </c>
      <c r="BA274" t="str">
        <f>IF(AZ274=1,IF(Q274="","",IF(Q274=N144,"Yes","No")),"")</f>
        <v/>
      </c>
      <c r="BB274" t="str">
        <f t="shared" si="106"/>
        <v/>
      </c>
      <c r="BC274" t="str">
        <f>IF(AZ274=1,IF(S274="","",IF(S274=N144,"Yes","No")),"")</f>
        <v/>
      </c>
      <c r="BD274" t="str">
        <f t="shared" si="107"/>
        <v/>
      </c>
      <c r="BE274" t="str">
        <f t="shared" si="108"/>
        <v/>
      </c>
      <c r="BF274" t="str">
        <f t="shared" si="109"/>
        <v>No</v>
      </c>
      <c r="BG274" t="str">
        <f t="shared" si="110"/>
        <v>No</v>
      </c>
      <c r="BH274" t="str">
        <f t="shared" si="111"/>
        <v/>
      </c>
    </row>
    <row r="275" spans="1:60" x14ac:dyDescent="0.3">
      <c r="A275" s="1">
        <v>19</v>
      </c>
      <c r="B275" t="s">
        <v>715</v>
      </c>
      <c r="C275" t="s">
        <v>3655</v>
      </c>
      <c r="D275" t="s">
        <v>264</v>
      </c>
      <c r="E275" t="s">
        <v>3657</v>
      </c>
      <c r="F275" t="s">
        <v>3658</v>
      </c>
      <c r="G275" t="s">
        <v>3659</v>
      </c>
      <c r="I275" t="str">
        <f t="shared" si="88"/>
        <v>N/A</v>
      </c>
      <c r="J275">
        <f t="shared" si="89"/>
        <v>23180000</v>
      </c>
      <c r="K275" t="str">
        <f t="shared" si="90"/>
        <v>N/A</v>
      </c>
      <c r="L275">
        <f t="shared" si="91"/>
        <v>23130000</v>
      </c>
      <c r="M275">
        <f t="shared" si="92"/>
        <v>22270000</v>
      </c>
      <c r="N275">
        <f t="shared" si="93"/>
        <v>18950000</v>
      </c>
      <c r="P275">
        <f t="shared" si="94"/>
        <v>23180000</v>
      </c>
      <c r="Q275">
        <f>IFERROR(J144+MATCH(P275,J275:N275,0)-1,"")</f>
        <v>2012</v>
      </c>
      <c r="R275">
        <f t="shared" si="95"/>
        <v>18950000</v>
      </c>
      <c r="S275">
        <f>IFERROR(J144+MATCH(R275,J275:N275,0)-1,"")</f>
        <v>2016</v>
      </c>
      <c r="T275">
        <f t="shared" si="96"/>
        <v>21882500</v>
      </c>
      <c r="U275">
        <f t="shared" si="97"/>
        <v>1999122.7242634872</v>
      </c>
      <c r="V275">
        <f t="shared" si="98"/>
        <v>0.64903469119336954</v>
      </c>
      <c r="W275" t="str">
        <f t="shared" si="99"/>
        <v/>
      </c>
      <c r="X275">
        <f t="shared" si="100"/>
        <v>0.62402372043447285</v>
      </c>
      <c r="Y275">
        <f t="shared" si="101"/>
        <v>0.19383502338144948</v>
      </c>
      <c r="Z275">
        <f t="shared" si="102"/>
        <v>-1.4668934350092919</v>
      </c>
      <c r="AA275">
        <f t="shared" si="103"/>
        <v>-1.4668934350092919</v>
      </c>
      <c r="AB275">
        <f>IFERROR(V144+MATCH(AA275,V275:Z275,0)-1,"")</f>
        <v>2016</v>
      </c>
      <c r="AC275" t="str">
        <f t="shared" si="104"/>
        <v>Low</v>
      </c>
      <c r="AE275" t="str">
        <f>IF(ISNUMBER(MATCH("N/A",J275:N275,0)),"",IFERROR((5 * SUMPRODUCT(J144:N144,J275:N275) - PRODUCT(SUM(J144:N144),SUM(J275:N275))) / ((5 * SUM((J144^2)+(K144^2)+(L144^2)+(M144^2)+(N144^2))) - SUM(J144:N144)^2),""))</f>
        <v/>
      </c>
      <c r="AF275">
        <f>IFERROR(CORREL(J144:N144,J275:N275),"")</f>
        <v>-0.78814104239442462</v>
      </c>
      <c r="AZ275">
        <f t="shared" si="105"/>
        <v>1</v>
      </c>
      <c r="BA275" t="str">
        <f>IF(AZ275=1,IF(Q275="","",IF(Q275=N144,"Yes","No")),"")</f>
        <v>No</v>
      </c>
      <c r="BB275" t="str">
        <f t="shared" si="106"/>
        <v/>
      </c>
      <c r="BC275" t="str">
        <f>IF(AZ275=1,IF(S275="","",IF(S275=N144,"Yes","No")),"")</f>
        <v>Yes</v>
      </c>
      <c r="BD275">
        <f t="shared" si="107"/>
        <v>18950000</v>
      </c>
      <c r="BE275" t="str">
        <f t="shared" si="108"/>
        <v/>
      </c>
      <c r="BF275" t="str">
        <f t="shared" si="109"/>
        <v>No</v>
      </c>
      <c r="BG275" t="str">
        <f t="shared" si="110"/>
        <v>No</v>
      </c>
      <c r="BH275" t="str">
        <f t="shared" si="111"/>
        <v>No</v>
      </c>
    </row>
    <row r="276" spans="1:60" x14ac:dyDescent="0.3">
      <c r="A276" s="1">
        <v>20</v>
      </c>
      <c r="B276" t="s">
        <v>716</v>
      </c>
      <c r="C276" t="s">
        <v>3660</v>
      </c>
      <c r="D276" t="s">
        <v>3661</v>
      </c>
      <c r="E276" t="s">
        <v>3662</v>
      </c>
      <c r="F276" t="s">
        <v>3663</v>
      </c>
      <c r="G276" t="s">
        <v>3664</v>
      </c>
      <c r="I276" t="str">
        <f t="shared" si="88"/>
        <v>pos_trend</v>
      </c>
      <c r="J276">
        <f t="shared" si="89"/>
        <v>80800000</v>
      </c>
      <c r="K276">
        <f t="shared" si="90"/>
        <v>82060000</v>
      </c>
      <c r="L276">
        <f t="shared" si="91"/>
        <v>92780000</v>
      </c>
      <c r="M276">
        <f t="shared" si="92"/>
        <v>102900000</v>
      </c>
      <c r="N276">
        <f t="shared" si="93"/>
        <v>118670000</v>
      </c>
      <c r="P276">
        <f t="shared" si="94"/>
        <v>118670000</v>
      </c>
      <c r="Q276">
        <f>IFERROR(J144+MATCH(P276,J276:N276,0)-1,"")</f>
        <v>2016</v>
      </c>
      <c r="R276">
        <f t="shared" si="95"/>
        <v>80800000</v>
      </c>
      <c r="S276">
        <f>IFERROR(J144+MATCH(R276,J276:N276,0)-1,"")</f>
        <v>2012</v>
      </c>
      <c r="T276">
        <f t="shared" si="96"/>
        <v>95442000</v>
      </c>
      <c r="U276">
        <f t="shared" si="97"/>
        <v>15777468.74501737</v>
      </c>
      <c r="V276">
        <f t="shared" si="98"/>
        <v>-0.92803226148833551</v>
      </c>
      <c r="W276">
        <f t="shared" si="99"/>
        <v>-0.84817154236012193</v>
      </c>
      <c r="X276">
        <f t="shared" si="100"/>
        <v>-0.16872161453913051</v>
      </c>
      <c r="Y276">
        <f t="shared" si="101"/>
        <v>0.47269939941128303</v>
      </c>
      <c r="Z276">
        <f t="shared" si="102"/>
        <v>1.4722260189763048</v>
      </c>
      <c r="AA276">
        <f t="shared" si="103"/>
        <v>1.4722260189763048</v>
      </c>
      <c r="AB276">
        <f>IFERROR(V144+MATCH(AA276,V276:Z276,0)-1,"")</f>
        <v>2016</v>
      </c>
      <c r="AC276" t="str">
        <f t="shared" si="104"/>
        <v>High</v>
      </c>
      <c r="AE276">
        <f>IF(ISNUMBER(MATCH("N/A",J276:N276,0)),"",IFERROR((5 * SUMPRODUCT(J144:N144,J276:N276) - PRODUCT(SUM(J144:N144),SUM(J276:N276))) / ((5 * SUM((J144^2)+(K144^2)+(L144^2)+(M144^2)+(N144^2))) - SUM(J144:N144)^2),""))</f>
        <v>9658000</v>
      </c>
      <c r="AF276">
        <f>IFERROR(CORREL(J144:N144,J276:N276),"")</f>
        <v>0.96787634745121398</v>
      </c>
      <c r="AZ276">
        <f t="shared" si="105"/>
        <v>1</v>
      </c>
      <c r="BA276" t="str">
        <f>IF(AZ276=1,IF(Q276="","",IF(Q276=N144,"Yes","No")),"")</f>
        <v>Yes</v>
      </c>
      <c r="BB276">
        <f t="shared" si="106"/>
        <v>118670000</v>
      </c>
      <c r="BC276" t="str">
        <f>IF(AZ276=1,IF(S276="","",IF(S276=N144,"Yes","No")),"")</f>
        <v>No</v>
      </c>
      <c r="BD276" t="str">
        <f t="shared" si="107"/>
        <v/>
      </c>
      <c r="BE276" t="str">
        <f t="shared" si="108"/>
        <v>Increasing</v>
      </c>
      <c r="BF276" t="str">
        <f t="shared" si="109"/>
        <v>Yes</v>
      </c>
      <c r="BG276" t="str">
        <f t="shared" si="110"/>
        <v>Yes</v>
      </c>
      <c r="BH276" t="str">
        <f t="shared" si="111"/>
        <v>Yes</v>
      </c>
    </row>
    <row r="277" spans="1:60" x14ac:dyDescent="0.3">
      <c r="A277" s="1">
        <v>21</v>
      </c>
      <c r="B277" t="s">
        <v>718</v>
      </c>
      <c r="C277" t="s">
        <v>3665</v>
      </c>
      <c r="D277" t="s">
        <v>3665</v>
      </c>
      <c r="E277" t="s">
        <v>3665</v>
      </c>
      <c r="F277" t="s">
        <v>3666</v>
      </c>
      <c r="G277" t="s">
        <v>3667</v>
      </c>
      <c r="I277" t="str">
        <f t="shared" si="88"/>
        <v>N/A</v>
      </c>
      <c r="J277">
        <f t="shared" si="89"/>
        <v>114370000</v>
      </c>
      <c r="K277">
        <f t="shared" si="90"/>
        <v>114370000</v>
      </c>
      <c r="L277">
        <f t="shared" si="91"/>
        <v>114370000</v>
      </c>
      <c r="M277">
        <f t="shared" si="92"/>
        <v>115330000</v>
      </c>
      <c r="N277">
        <f t="shared" si="93"/>
        <v>118980000</v>
      </c>
      <c r="P277">
        <f t="shared" si="94"/>
        <v>118980000</v>
      </c>
      <c r="Q277">
        <f>IFERROR(J144+MATCH(P277,J277:N277,0)-1,"")</f>
        <v>2016</v>
      </c>
      <c r="R277">
        <f t="shared" si="95"/>
        <v>114370000</v>
      </c>
      <c r="S277">
        <f>IFERROR(J144+MATCH(R277,J277:N277,0)-1,"")</f>
        <v>2012</v>
      </c>
      <c r="T277">
        <f t="shared" si="96"/>
        <v>115484000</v>
      </c>
      <c r="U277">
        <f t="shared" si="97"/>
        <v>1998044.0435585999</v>
      </c>
      <c r="V277">
        <f t="shared" si="98"/>
        <v>-0.55754526712830588</v>
      </c>
      <c r="W277">
        <f t="shared" si="99"/>
        <v>-0.55754526712830588</v>
      </c>
      <c r="X277">
        <f t="shared" si="100"/>
        <v>-0.55754526712830588</v>
      </c>
      <c r="Y277">
        <f t="shared" si="101"/>
        <v>-7.7075378041076392E-2</v>
      </c>
      <c r="Z277">
        <f t="shared" si="102"/>
        <v>1.7497111794259941</v>
      </c>
      <c r="AA277">
        <f t="shared" si="103"/>
        <v>1.7497111794259941</v>
      </c>
      <c r="AB277">
        <f>IFERROR(V144+MATCH(AA277,V277:Z277,0)-1,"")</f>
        <v>2016</v>
      </c>
      <c r="AC277" t="str">
        <f t="shared" si="104"/>
        <v>High</v>
      </c>
      <c r="AE277">
        <f>IF(ISNUMBER(MATCH("N/A",J277:N277,0)),"",IFERROR((5 * SUMPRODUCT(J144:N144,J277:N277) - PRODUCT(SUM(J144:N144),SUM(J277:N277))) / ((5 * SUM((J144^2)+(K144^2)+(L144^2)+(M144^2)+(N144^2))) - SUM(J144:N144)^2),""))</f>
        <v>1018000</v>
      </c>
      <c r="AF277">
        <f>IFERROR(CORREL(J144:N144,J277:N277),"")</f>
        <v>0.80558751155402031</v>
      </c>
      <c r="AZ277">
        <f t="shared" si="105"/>
        <v>1</v>
      </c>
      <c r="BA277" t="str">
        <f>IF(AZ277=1,IF(Q277="","",IF(Q277=N144,"Yes","No")),"")</f>
        <v>Yes</v>
      </c>
      <c r="BB277">
        <f t="shared" si="106"/>
        <v>118980000</v>
      </c>
      <c r="BC277" t="str">
        <f>IF(AZ277=1,IF(S277="","",IF(S277=N144,"Yes","No")),"")</f>
        <v>No</v>
      </c>
      <c r="BD277" t="str">
        <f t="shared" si="107"/>
        <v/>
      </c>
      <c r="BE277" t="str">
        <f t="shared" si="108"/>
        <v>Increasing</v>
      </c>
      <c r="BF277" t="str">
        <f t="shared" si="109"/>
        <v>Yes</v>
      </c>
      <c r="BG277" t="str">
        <f t="shared" si="110"/>
        <v>No</v>
      </c>
      <c r="BH277" t="str">
        <f t="shared" si="111"/>
        <v>Yes</v>
      </c>
    </row>
    <row r="278" spans="1:60" x14ac:dyDescent="0.3">
      <c r="A278" s="1">
        <v>22</v>
      </c>
      <c r="B278" t="s">
        <v>3668</v>
      </c>
      <c r="C278" t="s">
        <v>264</v>
      </c>
      <c r="D278" t="s">
        <v>264</v>
      </c>
      <c r="E278" t="s">
        <v>264</v>
      </c>
      <c r="F278" t="s">
        <v>264</v>
      </c>
      <c r="G278" t="s">
        <v>264</v>
      </c>
      <c r="I278" t="str">
        <f t="shared" si="88"/>
        <v>N/A</v>
      </c>
      <c r="J278" t="str">
        <f t="shared" si="89"/>
        <v>N/A</v>
      </c>
      <c r="K278" t="str">
        <f t="shared" si="90"/>
        <v>N/A</v>
      </c>
      <c r="L278" t="str">
        <f t="shared" si="91"/>
        <v>N/A</v>
      </c>
      <c r="M278" t="str">
        <f t="shared" si="92"/>
        <v>N/A</v>
      </c>
      <c r="N278" t="str">
        <f t="shared" si="93"/>
        <v>N/A</v>
      </c>
      <c r="P278">
        <f t="shared" si="94"/>
        <v>0</v>
      </c>
      <c r="Q278" t="str">
        <f>IFERROR(J144+MATCH(P278,J278:N278,0)-1,"")</f>
        <v/>
      </c>
      <c r="R278" t="str">
        <f t="shared" si="95"/>
        <v/>
      </c>
      <c r="S278" t="str">
        <f>IFERROR(J144+MATCH(R278,J278:N278,0)-1,"")</f>
        <v/>
      </c>
      <c r="T278" t="str">
        <f t="shared" si="96"/>
        <v/>
      </c>
      <c r="U278" t="str">
        <f t="shared" si="97"/>
        <v/>
      </c>
      <c r="V278" t="str">
        <f t="shared" si="98"/>
        <v/>
      </c>
      <c r="W278" t="str">
        <f t="shared" si="99"/>
        <v/>
      </c>
      <c r="X278" t="str">
        <f t="shared" si="100"/>
        <v/>
      </c>
      <c r="Y278" t="str">
        <f t="shared" si="101"/>
        <v/>
      </c>
      <c r="Z278" t="str">
        <f t="shared" si="102"/>
        <v/>
      </c>
      <c r="AA278">
        <f t="shared" si="103"/>
        <v>0</v>
      </c>
      <c r="AB278" t="str">
        <f>IFERROR(V144+MATCH(AA278,V278:Z278,0)-1,"")</f>
        <v/>
      </c>
      <c r="AC278" t="str">
        <f t="shared" si="104"/>
        <v/>
      </c>
      <c r="AE278" t="str">
        <f>IF(ISNUMBER(MATCH("N/A",J278:N278,0)),"",IFERROR((5 * SUMPRODUCT(J144:N144,J278:N278) - PRODUCT(SUM(J144:N144),SUM(J278:N278))) / ((5 * SUM((J144^2)+(K144^2)+(L144^2)+(M144^2)+(N144^2))) - SUM(J144:N144)^2),""))</f>
        <v/>
      </c>
      <c r="AF278" t="str">
        <f>IFERROR(CORREL(J144:N144,J278:N278),"")</f>
        <v/>
      </c>
      <c r="AZ278">
        <f t="shared" si="105"/>
        <v>0</v>
      </c>
      <c r="BA278" t="str">
        <f>IF(AZ278=1,IF(Q278="","",IF(Q278=N144,"Yes","No")),"")</f>
        <v/>
      </c>
      <c r="BB278" t="str">
        <f t="shared" si="106"/>
        <v/>
      </c>
      <c r="BC278" t="str">
        <f>IF(AZ278=1,IF(S278="","",IF(S278=N144,"Yes","No")),"")</f>
        <v/>
      </c>
      <c r="BD278" t="str">
        <f t="shared" si="107"/>
        <v/>
      </c>
      <c r="BE278" t="str">
        <f t="shared" si="108"/>
        <v/>
      </c>
      <c r="BF278" t="str">
        <f t="shared" si="109"/>
        <v>No</v>
      </c>
      <c r="BG278" t="str">
        <f t="shared" si="110"/>
        <v>No</v>
      </c>
      <c r="BH278" t="str">
        <f t="shared" si="111"/>
        <v/>
      </c>
    </row>
    <row r="279" spans="1:60" x14ac:dyDescent="0.3">
      <c r="A279" s="1">
        <v>23</v>
      </c>
      <c r="B279" t="s">
        <v>720</v>
      </c>
      <c r="C279" t="s">
        <v>2996</v>
      </c>
      <c r="D279" t="s">
        <v>3669</v>
      </c>
      <c r="E279" t="s">
        <v>3670</v>
      </c>
      <c r="F279" t="s">
        <v>3671</v>
      </c>
      <c r="G279" t="s">
        <v>3672</v>
      </c>
      <c r="I279" t="str">
        <f t="shared" si="88"/>
        <v>pos_trend</v>
      </c>
      <c r="J279">
        <f t="shared" si="89"/>
        <v>-14690000</v>
      </c>
      <c r="K279">
        <f t="shared" si="90"/>
        <v>-10820000</v>
      </c>
      <c r="L279">
        <f t="shared" si="91"/>
        <v>-4310000</v>
      </c>
      <c r="M279">
        <f t="shared" si="92"/>
        <v>5300000</v>
      </c>
      <c r="N279">
        <f t="shared" si="93"/>
        <v>19260000</v>
      </c>
      <c r="P279">
        <f t="shared" si="94"/>
        <v>19260000</v>
      </c>
      <c r="Q279">
        <f>IFERROR(J144+MATCH(P279,J279:N279,0)-1,"")</f>
        <v>2016</v>
      </c>
      <c r="R279">
        <f t="shared" si="95"/>
        <v>-14690000</v>
      </c>
      <c r="S279">
        <f>IFERROR(J144+MATCH(R279,J279:N279,0)-1,"")</f>
        <v>2012</v>
      </c>
      <c r="T279">
        <f t="shared" si="96"/>
        <v>-1052000</v>
      </c>
      <c r="U279">
        <f t="shared" si="97"/>
        <v>13646874.001030419</v>
      </c>
      <c r="V279">
        <f t="shared" si="98"/>
        <v>-0.999349741118021</v>
      </c>
      <c r="W279">
        <f t="shared" si="99"/>
        <v>-0.7157683143599376</v>
      </c>
      <c r="X279">
        <f t="shared" si="100"/>
        <v>-0.2387359918288981</v>
      </c>
      <c r="Y279">
        <f t="shared" si="101"/>
        <v>0.46545457952644587</v>
      </c>
      <c r="Z279">
        <f t="shared" si="102"/>
        <v>1.4883994677804107</v>
      </c>
      <c r="AA279">
        <f t="shared" si="103"/>
        <v>1.4883994677804107</v>
      </c>
      <c r="AB279">
        <f>IFERROR(V144+MATCH(AA279,V279:Z279,0)-1,"")</f>
        <v>2016</v>
      </c>
      <c r="AC279" t="str">
        <f t="shared" si="104"/>
        <v>High</v>
      </c>
      <c r="AE279">
        <f>IF(ISNUMBER(MATCH("N/A",J279:N279,0)),"",IFERROR((5 * SUMPRODUCT(J144:N144,J279:N279) - PRODUCT(SUM(J144:N144),SUM(J279:N279))) / ((5 * SUM((J144^2)+(K144^2)+(L144^2)+(M144^2)+(N144^2))) - SUM(J144:N144)^2),""))</f>
        <v>8402000</v>
      </c>
      <c r="AF279">
        <f>IFERROR(CORREL(J144:N144,J279:N279),"")</f>
        <v>0.97346311319092449</v>
      </c>
      <c r="AZ279">
        <f t="shared" si="105"/>
        <v>1</v>
      </c>
      <c r="BA279" t="str">
        <f>IF(AZ279=1,IF(Q279="","",IF(Q279=N144,"Yes","No")),"")</f>
        <v>Yes</v>
      </c>
      <c r="BB279">
        <f t="shared" si="106"/>
        <v>19260000</v>
      </c>
      <c r="BC279" t="str">
        <f>IF(AZ279=1,IF(S279="","",IF(S279=N144,"Yes","No")),"")</f>
        <v>No</v>
      </c>
      <c r="BD279" t="str">
        <f t="shared" si="107"/>
        <v/>
      </c>
      <c r="BE279" t="str">
        <f t="shared" si="108"/>
        <v>Increasing</v>
      </c>
      <c r="BF279" t="str">
        <f t="shared" si="109"/>
        <v>Yes</v>
      </c>
      <c r="BG279" t="str">
        <f t="shared" si="110"/>
        <v>Yes</v>
      </c>
      <c r="BH279" t="str">
        <f t="shared" si="111"/>
        <v>Yes</v>
      </c>
    </row>
    <row r="280" spans="1:60" x14ac:dyDescent="0.3">
      <c r="A280" s="1">
        <v>24</v>
      </c>
      <c r="B280" t="s">
        <v>724</v>
      </c>
      <c r="C280" t="s">
        <v>264</v>
      </c>
      <c r="D280" t="s">
        <v>264</v>
      </c>
      <c r="E280" t="s">
        <v>264</v>
      </c>
      <c r="F280" t="s">
        <v>264</v>
      </c>
      <c r="G280" t="s">
        <v>264</v>
      </c>
      <c r="I280" t="str">
        <f t="shared" si="88"/>
        <v>N/A</v>
      </c>
      <c r="J280" t="str">
        <f t="shared" si="89"/>
        <v>N/A</v>
      </c>
      <c r="K280" t="str">
        <f t="shared" si="90"/>
        <v>N/A</v>
      </c>
      <c r="L280" t="str">
        <f t="shared" si="91"/>
        <v>N/A</v>
      </c>
      <c r="M280" t="str">
        <f t="shared" si="92"/>
        <v>N/A</v>
      </c>
      <c r="N280" t="str">
        <f t="shared" si="93"/>
        <v>N/A</v>
      </c>
      <c r="P280">
        <f t="shared" si="94"/>
        <v>0</v>
      </c>
      <c r="Q280" t="str">
        <f>IFERROR(J144+MATCH(P280,J280:N280,0)-1,"")</f>
        <v/>
      </c>
      <c r="R280" t="str">
        <f t="shared" si="95"/>
        <v/>
      </c>
      <c r="S280" t="str">
        <f>IFERROR(J144+MATCH(R280,J280:N280,0)-1,"")</f>
        <v/>
      </c>
      <c r="T280" t="str">
        <f t="shared" si="96"/>
        <v/>
      </c>
      <c r="U280" t="str">
        <f t="shared" si="97"/>
        <v/>
      </c>
      <c r="V280" t="str">
        <f t="shared" si="98"/>
        <v/>
      </c>
      <c r="W280" t="str">
        <f t="shared" si="99"/>
        <v/>
      </c>
      <c r="X280" t="str">
        <f t="shared" si="100"/>
        <v/>
      </c>
      <c r="Y280" t="str">
        <f t="shared" si="101"/>
        <v/>
      </c>
      <c r="Z280" t="str">
        <f t="shared" si="102"/>
        <v/>
      </c>
      <c r="AA280">
        <f t="shared" si="103"/>
        <v>0</v>
      </c>
      <c r="AB280" t="str">
        <f>IFERROR(V144+MATCH(AA280,V280:Z280,0)-1,"")</f>
        <v/>
      </c>
      <c r="AC280" t="str">
        <f t="shared" si="104"/>
        <v/>
      </c>
      <c r="AE280" t="str">
        <f>IF(ISNUMBER(MATCH("N/A",J280:N280,0)),"",IFERROR((5 * SUMPRODUCT(J144:N144,J280:N280) - PRODUCT(SUM(J144:N144),SUM(J280:N280))) / ((5 * SUM((J144^2)+(K144^2)+(L144^2)+(M144^2)+(N144^2))) - SUM(J144:N144)^2),""))</f>
        <v/>
      </c>
      <c r="AF280" t="str">
        <f>IFERROR(CORREL(J144:N144,J280:N280),"")</f>
        <v/>
      </c>
      <c r="AZ280">
        <f t="shared" si="105"/>
        <v>0</v>
      </c>
      <c r="BA280" t="str">
        <f>IF(AZ280=1,IF(Q280="","",IF(Q280=N144,"Yes","No")),"")</f>
        <v/>
      </c>
      <c r="BB280" t="str">
        <f t="shared" si="106"/>
        <v/>
      </c>
      <c r="BC280" t="str">
        <f>IF(AZ280=1,IF(S280="","",IF(S280=N144,"Yes","No")),"")</f>
        <v/>
      </c>
      <c r="BD280" t="str">
        <f t="shared" si="107"/>
        <v/>
      </c>
      <c r="BE280" t="str">
        <f t="shared" si="108"/>
        <v/>
      </c>
      <c r="BF280" t="str">
        <f t="shared" si="109"/>
        <v>No</v>
      </c>
      <c r="BG280" t="str">
        <f t="shared" si="110"/>
        <v>No</v>
      </c>
      <c r="BH280" t="str">
        <f t="shared" si="111"/>
        <v/>
      </c>
    </row>
    <row r="281" spans="1:60" x14ac:dyDescent="0.3">
      <c r="A281" s="1">
        <v>25</v>
      </c>
      <c r="B281" t="s">
        <v>725</v>
      </c>
      <c r="C281" t="s">
        <v>264</v>
      </c>
      <c r="D281" t="s">
        <v>264</v>
      </c>
      <c r="E281" t="s">
        <v>264</v>
      </c>
      <c r="F281" t="s">
        <v>264</v>
      </c>
      <c r="G281" t="s">
        <v>264</v>
      </c>
      <c r="I281" t="str">
        <f t="shared" si="88"/>
        <v>N/A</v>
      </c>
      <c r="J281" t="str">
        <f t="shared" si="89"/>
        <v>N/A</v>
      </c>
      <c r="K281" t="str">
        <f t="shared" si="90"/>
        <v>N/A</v>
      </c>
      <c r="L281" t="str">
        <f t="shared" si="91"/>
        <v>N/A</v>
      </c>
      <c r="M281" t="str">
        <f t="shared" si="92"/>
        <v>N/A</v>
      </c>
      <c r="N281" t="str">
        <f t="shared" si="93"/>
        <v>N/A</v>
      </c>
      <c r="P281">
        <f t="shared" si="94"/>
        <v>0</v>
      </c>
      <c r="Q281" t="str">
        <f>IFERROR(J144+MATCH(P281,J281:N281,0)-1,"")</f>
        <v/>
      </c>
      <c r="R281" t="str">
        <f t="shared" si="95"/>
        <v/>
      </c>
      <c r="S281" t="str">
        <f>IFERROR(J144+MATCH(R281,J281:N281,0)-1,"")</f>
        <v/>
      </c>
      <c r="T281" t="str">
        <f t="shared" si="96"/>
        <v/>
      </c>
      <c r="U281" t="str">
        <f t="shared" si="97"/>
        <v/>
      </c>
      <c r="V281" t="str">
        <f t="shared" si="98"/>
        <v/>
      </c>
      <c r="W281" t="str">
        <f t="shared" si="99"/>
        <v/>
      </c>
      <c r="X281" t="str">
        <f t="shared" si="100"/>
        <v/>
      </c>
      <c r="Y281" t="str">
        <f t="shared" si="101"/>
        <v/>
      </c>
      <c r="Z281" t="str">
        <f t="shared" si="102"/>
        <v/>
      </c>
      <c r="AA281">
        <f t="shared" si="103"/>
        <v>0</v>
      </c>
      <c r="AB281" t="str">
        <f>IFERROR(V144+MATCH(AA281,V281:Z281,0)-1,"")</f>
        <v/>
      </c>
      <c r="AC281" t="str">
        <f t="shared" si="104"/>
        <v/>
      </c>
      <c r="AE281" t="str">
        <f>IF(ISNUMBER(MATCH("N/A",J281:N281,0)),"",IFERROR((5 * SUMPRODUCT(J144:N144,J281:N281) - PRODUCT(SUM(J144:N144),SUM(J281:N281))) / ((5 * SUM((J144^2)+(K144^2)+(L144^2)+(M144^2)+(N144^2))) - SUM(J144:N144)^2),""))</f>
        <v/>
      </c>
      <c r="AF281" t="str">
        <f>IFERROR(CORREL(J144:N144,J281:N281),"")</f>
        <v/>
      </c>
      <c r="AZ281">
        <f t="shared" si="105"/>
        <v>0</v>
      </c>
      <c r="BA281" t="str">
        <f>IF(AZ281=1,IF(Q281="","",IF(Q281=N144,"Yes","No")),"")</f>
        <v/>
      </c>
      <c r="BB281" t="str">
        <f t="shared" si="106"/>
        <v/>
      </c>
      <c r="BC281" t="str">
        <f>IF(AZ281=1,IF(S281="","",IF(S281=N144,"Yes","No")),"")</f>
        <v/>
      </c>
      <c r="BD281" t="str">
        <f t="shared" si="107"/>
        <v/>
      </c>
      <c r="BE281" t="str">
        <f t="shared" si="108"/>
        <v/>
      </c>
      <c r="BF281" t="str">
        <f t="shared" si="109"/>
        <v>No</v>
      </c>
      <c r="BG281" t="str">
        <f t="shared" si="110"/>
        <v>No</v>
      </c>
      <c r="BH281" t="str">
        <f t="shared" si="111"/>
        <v/>
      </c>
    </row>
    <row r="282" spans="1:60" x14ac:dyDescent="0.3">
      <c r="A282" s="1">
        <v>26</v>
      </c>
      <c r="B282" t="s">
        <v>731</v>
      </c>
      <c r="C282" t="s">
        <v>264</v>
      </c>
      <c r="D282" t="s">
        <v>3673</v>
      </c>
      <c r="E282" t="s">
        <v>3674</v>
      </c>
      <c r="F282" t="s">
        <v>475</v>
      </c>
      <c r="G282" t="s">
        <v>3675</v>
      </c>
      <c r="I282" t="str">
        <f t="shared" si="88"/>
        <v>N/A</v>
      </c>
      <c r="J282" t="str">
        <f t="shared" si="89"/>
        <v>N/A</v>
      </c>
      <c r="K282">
        <f t="shared" si="90"/>
        <v>341000</v>
      </c>
      <c r="L282">
        <f t="shared" si="91"/>
        <v>3730000</v>
      </c>
      <c r="M282">
        <f t="shared" si="92"/>
        <v>3550000</v>
      </c>
      <c r="N282">
        <f t="shared" si="93"/>
        <v>2009999.9999999998</v>
      </c>
      <c r="P282">
        <f t="shared" si="94"/>
        <v>3730000</v>
      </c>
      <c r="Q282">
        <f>IFERROR(J144+MATCH(P282,J282:N282,0)-1,"")</f>
        <v>2014</v>
      </c>
      <c r="R282">
        <f t="shared" si="95"/>
        <v>341000</v>
      </c>
      <c r="S282">
        <f>IFERROR(J144+MATCH(R282,J282:N282,0)-1,"")</f>
        <v>2013</v>
      </c>
      <c r="T282">
        <f t="shared" si="96"/>
        <v>2407750</v>
      </c>
      <c r="U282">
        <f t="shared" si="97"/>
        <v>1579318.4975383105</v>
      </c>
      <c r="V282" t="str">
        <f t="shared" si="98"/>
        <v/>
      </c>
      <c r="W282">
        <f t="shared" si="99"/>
        <v>-1.3086340742677622</v>
      </c>
      <c r="X282">
        <f t="shared" si="100"/>
        <v>0.83722821081434551</v>
      </c>
      <c r="Y282">
        <f t="shared" si="101"/>
        <v>0.72325500003984589</v>
      </c>
      <c r="Z282">
        <f t="shared" si="102"/>
        <v>-0.25184913658642927</v>
      </c>
      <c r="AA282">
        <f t="shared" si="103"/>
        <v>-1.3086340742677622</v>
      </c>
      <c r="AB282">
        <f>IFERROR(V144+MATCH(AA282,V282:Z282,0)-1,"")</f>
        <v>2013</v>
      </c>
      <c r="AC282" t="str">
        <f t="shared" si="104"/>
        <v>Low</v>
      </c>
      <c r="AE282" t="str">
        <f>IF(ISNUMBER(MATCH("N/A",J282:N282,0)),"",IFERROR((5 * SUMPRODUCT(J144:N144,J282:N282) - PRODUCT(SUM(J144:N144),SUM(J282:N282))) / ((5 * SUM((J144^2)+(K144^2)+(L144^2)+(M144^2)+(N144^2))) - SUM(J144:N144)^2),""))</f>
        <v/>
      </c>
      <c r="AF282">
        <f>IFERROR(CORREL(J144:N144,J282:N282),"")</f>
        <v>0.39457716817481697</v>
      </c>
      <c r="AZ282">
        <f t="shared" si="105"/>
        <v>1</v>
      </c>
      <c r="BA282" t="str">
        <f>IF(AZ282=1,IF(Q282="","",IF(Q282=N144,"Yes","No")),"")</f>
        <v>No</v>
      </c>
      <c r="BB282" t="str">
        <f t="shared" si="106"/>
        <v/>
      </c>
      <c r="BC282" t="str">
        <f>IF(AZ282=1,IF(S282="","",IF(S282=N144,"Yes","No")),"")</f>
        <v>No</v>
      </c>
      <c r="BD282" t="str">
        <f t="shared" si="107"/>
        <v/>
      </c>
      <c r="BE282" t="str">
        <f t="shared" si="108"/>
        <v/>
      </c>
      <c r="BF282" t="str">
        <f t="shared" si="109"/>
        <v>No</v>
      </c>
      <c r="BG282" t="str">
        <f t="shared" si="110"/>
        <v>No</v>
      </c>
      <c r="BH282" t="str">
        <f t="shared" si="111"/>
        <v>No</v>
      </c>
    </row>
    <row r="283" spans="1:60" x14ac:dyDescent="0.3">
      <c r="A283" s="1">
        <v>27</v>
      </c>
      <c r="B283" t="s">
        <v>732</v>
      </c>
      <c r="C283" t="s">
        <v>264</v>
      </c>
      <c r="D283" t="s">
        <v>264</v>
      </c>
      <c r="E283" t="s">
        <v>264</v>
      </c>
      <c r="F283" t="s">
        <v>264</v>
      </c>
      <c r="G283" t="s">
        <v>264</v>
      </c>
      <c r="I283" t="str">
        <f t="shared" si="88"/>
        <v>N/A</v>
      </c>
      <c r="J283" t="str">
        <f t="shared" si="89"/>
        <v>N/A</v>
      </c>
      <c r="K283" t="str">
        <f t="shared" si="90"/>
        <v>N/A</v>
      </c>
      <c r="L283" t="str">
        <f t="shared" si="91"/>
        <v>N/A</v>
      </c>
      <c r="M283" t="str">
        <f t="shared" si="92"/>
        <v>N/A</v>
      </c>
      <c r="N283" t="str">
        <f t="shared" si="93"/>
        <v>N/A</v>
      </c>
      <c r="P283">
        <f t="shared" si="94"/>
        <v>0</v>
      </c>
      <c r="Q283" t="str">
        <f>IFERROR(J144+MATCH(P283,J283:N283,0)-1,"")</f>
        <v/>
      </c>
      <c r="R283" t="str">
        <f t="shared" si="95"/>
        <v/>
      </c>
      <c r="S283" t="str">
        <f>IFERROR(J144+MATCH(R283,J283:N283,0)-1,"")</f>
        <v/>
      </c>
      <c r="T283" t="str">
        <f t="shared" si="96"/>
        <v/>
      </c>
      <c r="U283" t="str">
        <f t="shared" si="97"/>
        <v/>
      </c>
      <c r="V283" t="str">
        <f t="shared" si="98"/>
        <v/>
      </c>
      <c r="W283" t="str">
        <f t="shared" si="99"/>
        <v/>
      </c>
      <c r="X283" t="str">
        <f t="shared" si="100"/>
        <v/>
      </c>
      <c r="Y283" t="str">
        <f t="shared" si="101"/>
        <v/>
      </c>
      <c r="Z283" t="str">
        <f t="shared" si="102"/>
        <v/>
      </c>
      <c r="AA283">
        <f t="shared" si="103"/>
        <v>0</v>
      </c>
      <c r="AB283" t="str">
        <f>IFERROR(V144+MATCH(AA283,V283:Z283,0)-1,"")</f>
        <v/>
      </c>
      <c r="AC283" t="str">
        <f t="shared" si="104"/>
        <v/>
      </c>
      <c r="AE283" t="str">
        <f>IF(ISNUMBER(MATCH("N/A",J283:N283,0)),"",IFERROR((5 * SUMPRODUCT(J144:N144,J283:N283) - PRODUCT(SUM(J144:N144),SUM(J283:N283))) / ((5 * SUM((J144^2)+(K144^2)+(L144^2)+(M144^2)+(N144^2))) - SUM(J144:N144)^2),""))</f>
        <v/>
      </c>
      <c r="AF283" t="str">
        <f>IFERROR(CORREL(J144:N144,J283:N283),"")</f>
        <v/>
      </c>
      <c r="AZ283">
        <f t="shared" si="105"/>
        <v>0</v>
      </c>
      <c r="BA283" t="str">
        <f>IF(AZ283=1,IF(Q283="","",IF(Q283=N144,"Yes","No")),"")</f>
        <v/>
      </c>
      <c r="BB283" t="str">
        <f t="shared" si="106"/>
        <v/>
      </c>
      <c r="BC283" t="str">
        <f>IF(AZ283=1,IF(S283="","",IF(S283=N144,"Yes","No")),"")</f>
        <v/>
      </c>
      <c r="BD283" t="str">
        <f t="shared" si="107"/>
        <v/>
      </c>
      <c r="BE283" t="str">
        <f t="shared" si="108"/>
        <v/>
      </c>
      <c r="BF283" t="str">
        <f t="shared" si="109"/>
        <v>No</v>
      </c>
      <c r="BG283" t="str">
        <f t="shared" si="110"/>
        <v>No</v>
      </c>
      <c r="BH283" t="str">
        <f t="shared" si="111"/>
        <v/>
      </c>
    </row>
    <row r="284" spans="1:60" x14ac:dyDescent="0.3">
      <c r="A284" s="1">
        <v>28</v>
      </c>
      <c r="B284" t="s">
        <v>3676</v>
      </c>
      <c r="C284" t="s">
        <v>3677</v>
      </c>
      <c r="D284" t="s">
        <v>3678</v>
      </c>
      <c r="E284" t="s">
        <v>2290</v>
      </c>
      <c r="F284" t="s">
        <v>3679</v>
      </c>
      <c r="G284" t="s">
        <v>3680</v>
      </c>
      <c r="I284" t="str">
        <f t="shared" si="88"/>
        <v>N/A</v>
      </c>
      <c r="J284">
        <f t="shared" si="89"/>
        <v>-1650000</v>
      </c>
      <c r="K284">
        <f t="shared" si="90"/>
        <v>-4590000</v>
      </c>
      <c r="L284">
        <f t="shared" si="91"/>
        <v>-3780000</v>
      </c>
      <c r="M284">
        <f t="shared" si="92"/>
        <v>-4050000</v>
      </c>
      <c r="N284">
        <f t="shared" si="93"/>
        <v>-4350000</v>
      </c>
      <c r="P284">
        <f t="shared" si="94"/>
        <v>-1650000</v>
      </c>
      <c r="Q284">
        <f>IFERROR(J144+MATCH(P284,J284:N284,0)-1,"")</f>
        <v>2012</v>
      </c>
      <c r="R284">
        <f t="shared" si="95"/>
        <v>-4590000</v>
      </c>
      <c r="S284">
        <f>IFERROR(J144+MATCH(R284,J284:N284,0)-1,"")</f>
        <v>2013</v>
      </c>
      <c r="T284">
        <f t="shared" si="96"/>
        <v>-3684000</v>
      </c>
      <c r="U284">
        <f t="shared" si="97"/>
        <v>1177361.4568177438</v>
      </c>
      <c r="V284">
        <f t="shared" si="98"/>
        <v>1.7275918013297629</v>
      </c>
      <c r="W284">
        <f t="shared" si="99"/>
        <v>-0.769517292037741</v>
      </c>
      <c r="X284">
        <f t="shared" si="100"/>
        <v>-8.1538256109959309E-2</v>
      </c>
      <c r="Y284">
        <f t="shared" si="101"/>
        <v>-0.3108646014192199</v>
      </c>
      <c r="Z284">
        <f t="shared" si="102"/>
        <v>-0.56567165176284273</v>
      </c>
      <c r="AA284">
        <f t="shared" si="103"/>
        <v>1.7275918013297629</v>
      </c>
      <c r="AB284">
        <f>IFERROR(V144+MATCH(AA284,V284:Z284,0)-1,"")</f>
        <v>2012</v>
      </c>
      <c r="AC284" t="str">
        <f t="shared" si="104"/>
        <v>High</v>
      </c>
      <c r="AE284">
        <f>IF(ISNUMBER(MATCH("N/A",J284:N284,0)),"",IFERROR((5 * SUMPRODUCT(J144:N144,J284:N284) - PRODUCT(SUM(J144:N144),SUM(J284:N284))) / ((5 * SUM((J144^2)+(K144^2)+(L144^2)+(M144^2)+(N144^2))) - SUM(J144:N144)^2),""))</f>
        <v>-486000</v>
      </c>
      <c r="AF284">
        <f>IFERROR(CORREL(J144:N144,J284:N284),"")</f>
        <v>-0.65267422079358084</v>
      </c>
      <c r="AZ284">
        <f t="shared" si="105"/>
        <v>1</v>
      </c>
      <c r="BA284" t="str">
        <f>IF(AZ284=1,IF(Q284="","",IF(Q284=N144,"Yes","No")),"")</f>
        <v>No</v>
      </c>
      <c r="BB284" t="str">
        <f t="shared" si="106"/>
        <v/>
      </c>
      <c r="BC284" t="str">
        <f>IF(AZ284=1,IF(S284="","",IF(S284=N144,"Yes","No")),"")</f>
        <v>No</v>
      </c>
      <c r="BD284" t="str">
        <f t="shared" si="107"/>
        <v/>
      </c>
      <c r="BE284" t="str">
        <f t="shared" si="108"/>
        <v>Decreasing</v>
      </c>
      <c r="BF284" t="str">
        <f t="shared" si="109"/>
        <v>No</v>
      </c>
      <c r="BG284" t="str">
        <f t="shared" si="110"/>
        <v>No</v>
      </c>
      <c r="BH284" t="str">
        <f t="shared" si="111"/>
        <v>No</v>
      </c>
    </row>
    <row r="285" spans="1:60" x14ac:dyDescent="0.3">
      <c r="A285" s="1">
        <v>29</v>
      </c>
      <c r="B285" t="s">
        <v>733</v>
      </c>
      <c r="C285" t="s">
        <v>3681</v>
      </c>
      <c r="D285" t="s">
        <v>3681</v>
      </c>
      <c r="E285" t="s">
        <v>3681</v>
      </c>
      <c r="F285" t="s">
        <v>3681</v>
      </c>
      <c r="G285" t="s">
        <v>3681</v>
      </c>
      <c r="I285" t="str">
        <f t="shared" si="88"/>
        <v>N/A</v>
      </c>
      <c r="J285">
        <f t="shared" si="89"/>
        <v>-17240000</v>
      </c>
      <c r="K285">
        <f t="shared" si="90"/>
        <v>-17240000</v>
      </c>
      <c r="L285">
        <f t="shared" si="91"/>
        <v>-17240000</v>
      </c>
      <c r="M285">
        <f t="shared" si="92"/>
        <v>-17240000</v>
      </c>
      <c r="N285">
        <f t="shared" si="93"/>
        <v>-17240000</v>
      </c>
      <c r="P285">
        <f t="shared" si="94"/>
        <v>-17240000</v>
      </c>
      <c r="Q285">
        <f>IFERROR(J144+MATCH(P285,J285:N285,0)-1,"")</f>
        <v>2012</v>
      </c>
      <c r="R285">
        <f t="shared" si="95"/>
        <v>-17240000</v>
      </c>
      <c r="S285">
        <f>IFERROR(J144+MATCH(R285,J285:N285,0)-1,"")</f>
        <v>2012</v>
      </c>
      <c r="T285">
        <f t="shared" si="96"/>
        <v>-17240000</v>
      </c>
      <c r="U285">
        <f t="shared" si="97"/>
        <v>0</v>
      </c>
      <c r="V285" t="str">
        <f t="shared" si="98"/>
        <v/>
      </c>
      <c r="W285" t="str">
        <f t="shared" si="99"/>
        <v/>
      </c>
      <c r="X285" t="str">
        <f t="shared" si="100"/>
        <v/>
      </c>
      <c r="Y285" t="str">
        <f t="shared" si="101"/>
        <v/>
      </c>
      <c r="Z285" t="str">
        <f t="shared" si="102"/>
        <v/>
      </c>
      <c r="AA285">
        <f t="shared" si="103"/>
        <v>0</v>
      </c>
      <c r="AB285" t="str">
        <f>IFERROR(V144+MATCH(AA285,V285:Z285,0)-1,"")</f>
        <v/>
      </c>
      <c r="AC285" t="str">
        <f t="shared" si="104"/>
        <v/>
      </c>
      <c r="AE285">
        <f>IF(ISNUMBER(MATCH("N/A",J285:N285,0)),"",IFERROR((5 * SUMPRODUCT(J144:N144,J285:N285) - PRODUCT(SUM(J144:N144),SUM(J285:N285))) / ((5 * SUM((J144^2)+(K144^2)+(L144^2)+(M144^2)+(N144^2))) - SUM(J144:N144)^2),""))</f>
        <v>0</v>
      </c>
      <c r="AF285" t="str">
        <f>IFERROR(CORREL(J144:N144,J285:N285),"")</f>
        <v/>
      </c>
      <c r="AZ285">
        <f t="shared" si="105"/>
        <v>0</v>
      </c>
      <c r="BA285" t="str">
        <f>IF(AZ285=1,IF(Q285="","",IF(Q285=N144,"Yes","No")),"")</f>
        <v/>
      </c>
      <c r="BB285" t="str">
        <f t="shared" si="106"/>
        <v/>
      </c>
      <c r="BC285" t="str">
        <f>IF(AZ285=1,IF(S285="","",IF(S285=N144,"Yes","No")),"")</f>
        <v/>
      </c>
      <c r="BD285" t="str">
        <f t="shared" si="107"/>
        <v/>
      </c>
      <c r="BE285" t="str">
        <f t="shared" si="108"/>
        <v/>
      </c>
      <c r="BF285" t="str">
        <f t="shared" si="109"/>
        <v>No</v>
      </c>
      <c r="BG285" t="str">
        <f t="shared" si="110"/>
        <v>No</v>
      </c>
      <c r="BH285" t="str">
        <f t="shared" si="111"/>
        <v/>
      </c>
    </row>
    <row r="286" spans="1:60" x14ac:dyDescent="0.3">
      <c r="A286" s="1">
        <v>30</v>
      </c>
      <c r="B286" t="s">
        <v>739</v>
      </c>
      <c r="C286" t="s">
        <v>3682</v>
      </c>
      <c r="D286" t="s">
        <v>2529</v>
      </c>
      <c r="E286" t="s">
        <v>3683</v>
      </c>
      <c r="F286" t="s">
        <v>3684</v>
      </c>
      <c r="G286" t="s">
        <v>3685</v>
      </c>
      <c r="I286" t="str">
        <f t="shared" si="88"/>
        <v>N/A</v>
      </c>
      <c r="J286">
        <f t="shared" si="89"/>
        <v>7.0599999999999996E-2</v>
      </c>
      <c r="K286">
        <f t="shared" si="90"/>
        <v>7.0000000000000007E-2</v>
      </c>
      <c r="L286">
        <f t="shared" si="91"/>
        <v>7.6100000000000001E-2</v>
      </c>
      <c r="M286">
        <f t="shared" si="92"/>
        <v>7.7899999999999997E-2</v>
      </c>
      <c r="N286">
        <f t="shared" si="93"/>
        <v>8.5900000000000004E-2</v>
      </c>
      <c r="P286">
        <f t="shared" si="94"/>
        <v>8.5900000000000004E-2</v>
      </c>
      <c r="Q286">
        <f>IFERROR(J144+MATCH(P286,J286:N286,0)-1,"")</f>
        <v>2016</v>
      </c>
      <c r="R286">
        <f t="shared" si="95"/>
        <v>7.0000000000000007E-2</v>
      </c>
      <c r="S286">
        <f>IFERROR(J144+MATCH(R286,J286:N286,0)-1,"")</f>
        <v>2013</v>
      </c>
      <c r="T286">
        <f t="shared" si="96"/>
        <v>7.6099999999999987E-2</v>
      </c>
      <c r="U286">
        <f t="shared" si="97"/>
        <v>6.4563921813966668E-3</v>
      </c>
      <c r="V286">
        <f t="shared" si="98"/>
        <v>-0.85186894560829074</v>
      </c>
      <c r="W286">
        <f t="shared" si="99"/>
        <v>-0.94480010331101194</v>
      </c>
      <c r="X286">
        <f t="shared" si="100"/>
        <v>2.1494648122215478E-15</v>
      </c>
      <c r="Y286">
        <f t="shared" si="101"/>
        <v>0.27879347310816988</v>
      </c>
      <c r="Z286">
        <f t="shared" si="102"/>
        <v>1.5178755758111415</v>
      </c>
      <c r="AA286">
        <f t="shared" si="103"/>
        <v>1.5178755758111415</v>
      </c>
      <c r="AB286">
        <f>IFERROR(V144+MATCH(AA286,V286:Z286,0)-1,"")</f>
        <v>2016</v>
      </c>
      <c r="AC286" t="str">
        <f t="shared" si="104"/>
        <v>High</v>
      </c>
      <c r="AE286">
        <f>IF(ISNUMBER(MATCH("N/A",J286:N286,0)),"",IFERROR((5 * SUMPRODUCT(J144:N144,J286:N286) - PRODUCT(SUM(J144:N144),SUM(J286:N286))) / ((5 * SUM((J144^2)+(K144^2)+(L144^2)+(M144^2)+(N144^2))) - SUM(J144:N144)^2),""))</f>
        <v>3.8500000000112776E-3</v>
      </c>
      <c r="AF286">
        <f>IFERROR(CORREL(J144:N144,J286:N286),"")</f>
        <v>0.94284614763090302</v>
      </c>
      <c r="AZ286">
        <f t="shared" si="105"/>
        <v>1</v>
      </c>
      <c r="BA286" t="str">
        <f>IF(AZ286=1,IF(Q286="","",IF(Q286=N144,"Yes","No")),"")</f>
        <v>Yes</v>
      </c>
      <c r="BB286">
        <f t="shared" si="106"/>
        <v>8.5900000000000004E-2</v>
      </c>
      <c r="BC286" t="str">
        <f>IF(AZ286=1,IF(S286="","",IF(S286=N144,"Yes","No")),"")</f>
        <v>No</v>
      </c>
      <c r="BD286" t="str">
        <f t="shared" si="107"/>
        <v/>
      </c>
      <c r="BE286" t="str">
        <f t="shared" si="108"/>
        <v>Increasing</v>
      </c>
      <c r="BF286" t="str">
        <f t="shared" si="109"/>
        <v>Yes</v>
      </c>
      <c r="BG286" t="str">
        <f t="shared" si="110"/>
        <v>No</v>
      </c>
      <c r="BH286" t="str">
        <f t="shared" si="111"/>
        <v>Yes</v>
      </c>
    </row>
    <row r="287" spans="1:60" x14ac:dyDescent="0.3">
      <c r="A287" s="1">
        <v>31</v>
      </c>
      <c r="B287" t="s">
        <v>745</v>
      </c>
      <c r="C287" t="s">
        <v>3686</v>
      </c>
      <c r="D287" t="s">
        <v>3687</v>
      </c>
      <c r="E287" t="s">
        <v>3688</v>
      </c>
      <c r="F287" t="s">
        <v>3689</v>
      </c>
      <c r="G287" t="s">
        <v>3690</v>
      </c>
      <c r="I287" t="str">
        <f t="shared" si="88"/>
        <v>N/A</v>
      </c>
      <c r="J287">
        <f t="shared" si="89"/>
        <v>103980000</v>
      </c>
      <c r="K287">
        <f t="shared" si="90"/>
        <v>128380000</v>
      </c>
      <c r="L287">
        <f t="shared" si="91"/>
        <v>115910000</v>
      </c>
      <c r="M287">
        <f t="shared" si="92"/>
        <v>125170000</v>
      </c>
      <c r="N287">
        <f t="shared" si="93"/>
        <v>137620000</v>
      </c>
      <c r="P287">
        <f t="shared" si="94"/>
        <v>137620000</v>
      </c>
      <c r="Q287">
        <f>IFERROR(J144+MATCH(P287,J287:N287,0)-1,"")</f>
        <v>2016</v>
      </c>
      <c r="R287">
        <f t="shared" si="95"/>
        <v>103980000</v>
      </c>
      <c r="S287">
        <f>IFERROR(J144+MATCH(R287,J287:N287,0)-1,"")</f>
        <v>2012</v>
      </c>
      <c r="T287">
        <f t="shared" si="96"/>
        <v>122212000</v>
      </c>
      <c r="U287">
        <f t="shared" si="97"/>
        <v>12809386.01182742</v>
      </c>
      <c r="V287">
        <f t="shared" si="98"/>
        <v>-1.4233312965325318</v>
      </c>
      <c r="W287">
        <f t="shared" si="99"/>
        <v>0.48152190856804827</v>
      </c>
      <c r="X287">
        <f t="shared" si="100"/>
        <v>-0.49198298764524001</v>
      </c>
      <c r="Y287">
        <f t="shared" si="101"/>
        <v>0.23092441724129165</v>
      </c>
      <c r="Z287">
        <f t="shared" si="102"/>
        <v>1.2028679583684319</v>
      </c>
      <c r="AA287">
        <f t="shared" si="103"/>
        <v>-1.4233312965325318</v>
      </c>
      <c r="AB287">
        <f>IFERROR(V144+MATCH(AA287,V287:Z287,0)-1,"")</f>
        <v>2012</v>
      </c>
      <c r="AC287" t="str">
        <f t="shared" si="104"/>
        <v>Low</v>
      </c>
      <c r="AE287">
        <f>IF(ISNUMBER(MATCH("N/A",J287:N287,0)),"",IFERROR((5 * SUMPRODUCT(J144:N144,J287:N287) - PRODUCT(SUM(J144:N144),SUM(J287:N287))) / ((5 * SUM((J144^2)+(K144^2)+(L144^2)+(M144^2)+(N144^2))) - SUM(J144:N144)^2),""))</f>
        <v>6407000</v>
      </c>
      <c r="AF287">
        <f>IFERROR(CORREL(J144:N144,J287:N287),"")</f>
        <v>0.7908541810665739</v>
      </c>
      <c r="AZ287">
        <f t="shared" si="105"/>
        <v>1</v>
      </c>
      <c r="BA287" t="str">
        <f>IF(AZ287=1,IF(Q287="","",IF(Q287=N144,"Yes","No")),"")</f>
        <v>Yes</v>
      </c>
      <c r="BB287">
        <f t="shared" si="106"/>
        <v>137620000</v>
      </c>
      <c r="BC287" t="str">
        <f>IF(AZ287=1,IF(S287="","",IF(S287=N144,"Yes","No")),"")</f>
        <v>No</v>
      </c>
      <c r="BD287" t="str">
        <f t="shared" si="107"/>
        <v/>
      </c>
      <c r="BE287" t="str">
        <f t="shared" si="108"/>
        <v>Increasing</v>
      </c>
      <c r="BF287" t="str">
        <f t="shared" si="109"/>
        <v>Yes</v>
      </c>
      <c r="BG287" t="str">
        <f t="shared" si="110"/>
        <v>No</v>
      </c>
      <c r="BH287" t="str">
        <f t="shared" si="111"/>
        <v>No</v>
      </c>
    </row>
    <row r="288" spans="1:60" x14ac:dyDescent="0.3">
      <c r="A288" s="1">
        <v>32</v>
      </c>
      <c r="B288" t="s">
        <v>746</v>
      </c>
      <c r="C288" t="s">
        <v>3691</v>
      </c>
      <c r="D288" t="s">
        <v>3692</v>
      </c>
      <c r="E288" t="s">
        <v>3693</v>
      </c>
      <c r="F288" t="s">
        <v>3694</v>
      </c>
      <c r="G288" t="s">
        <v>3695</v>
      </c>
      <c r="I288" t="str">
        <f t="shared" si="88"/>
        <v>N/A</v>
      </c>
      <c r="J288">
        <f t="shared" si="89"/>
        <v>9.0899999999999995E-2</v>
      </c>
      <c r="K288">
        <f t="shared" si="90"/>
        <v>0.1095</v>
      </c>
      <c r="L288">
        <f t="shared" si="91"/>
        <v>9.5100000000000004E-2</v>
      </c>
      <c r="M288">
        <f t="shared" si="92"/>
        <v>9.4800000000000009E-2</v>
      </c>
      <c r="N288">
        <f t="shared" si="93"/>
        <v>9.9600000000000008E-2</v>
      </c>
      <c r="P288">
        <f t="shared" si="94"/>
        <v>0.1095</v>
      </c>
      <c r="Q288">
        <f>IFERROR(J144+MATCH(P288,J288:N288,0)-1,"")</f>
        <v>2013</v>
      </c>
      <c r="R288">
        <f t="shared" si="95"/>
        <v>9.0899999999999995E-2</v>
      </c>
      <c r="S288">
        <f>IFERROR(J144+MATCH(R288,J288:N288,0)-1,"")</f>
        <v>2012</v>
      </c>
      <c r="T288">
        <f t="shared" si="96"/>
        <v>9.7979999999999998E-2</v>
      </c>
      <c r="U288">
        <f t="shared" si="97"/>
        <v>7.1391175925320073E-3</v>
      </c>
      <c r="V288">
        <f t="shared" si="98"/>
        <v>-0.99171920174086425</v>
      </c>
      <c r="W288">
        <f t="shared" si="99"/>
        <v>1.6136448028325923</v>
      </c>
      <c r="X288">
        <f t="shared" si="100"/>
        <v>-0.40341120070814712</v>
      </c>
      <c r="Y288">
        <f t="shared" si="101"/>
        <v>-0.44543320078191179</v>
      </c>
      <c r="Z288">
        <f t="shared" si="102"/>
        <v>0.2269188003983347</v>
      </c>
      <c r="AA288">
        <f t="shared" si="103"/>
        <v>1.6136448028325923</v>
      </c>
      <c r="AB288">
        <f>IFERROR(V144+MATCH(AA288,V288:Z288,0)-1,"")</f>
        <v>2013</v>
      </c>
      <c r="AC288" t="str">
        <f t="shared" si="104"/>
        <v>High</v>
      </c>
      <c r="AE288">
        <f>IF(ISNUMBER(MATCH("N/A",J288:N288,0)),"",IFERROR((5 * SUMPRODUCT(J144:N144,J288:N288) - PRODUCT(SUM(J144:N144),SUM(J288:N288))) / ((5 * SUM((J144^2)+(K144^2)+(L144^2)+(M144^2)+(N144^2))) - SUM(J144:N144)^2),""))</f>
        <v>2.7000000001862643E-4</v>
      </c>
      <c r="AF288">
        <f>IFERROR(CORREL(J144:N144,J288:N288),"")</f>
        <v>5.9798354430988854E-2</v>
      </c>
      <c r="AZ288">
        <f t="shared" si="105"/>
        <v>1</v>
      </c>
      <c r="BA288" t="str">
        <f>IF(AZ288=1,IF(Q288="","",IF(Q288=N144,"Yes","No")),"")</f>
        <v>No</v>
      </c>
      <c r="BB288" t="str">
        <f t="shared" si="106"/>
        <v/>
      </c>
      <c r="BC288" t="str">
        <f>IF(AZ288=1,IF(S288="","",IF(S288=N144,"Yes","No")),"")</f>
        <v>No</v>
      </c>
      <c r="BD288" t="str">
        <f t="shared" si="107"/>
        <v/>
      </c>
      <c r="BE288" t="str">
        <f t="shared" si="108"/>
        <v>Increasing</v>
      </c>
      <c r="BF288" t="str">
        <f t="shared" si="109"/>
        <v>No</v>
      </c>
      <c r="BG288" t="str">
        <f t="shared" si="110"/>
        <v>No</v>
      </c>
      <c r="BH288" t="str">
        <f t="shared" si="111"/>
        <v>No</v>
      </c>
    </row>
    <row r="289" spans="1:60" x14ac:dyDescent="0.3">
      <c r="A289" s="1">
        <v>33</v>
      </c>
      <c r="B289" t="s">
        <v>3696</v>
      </c>
      <c r="C289" t="s">
        <v>264</v>
      </c>
      <c r="D289" t="s">
        <v>264</v>
      </c>
      <c r="E289" t="s">
        <v>264</v>
      </c>
      <c r="F289" t="s">
        <v>264</v>
      </c>
      <c r="G289" t="s">
        <v>3697</v>
      </c>
      <c r="I289" t="str">
        <f t="shared" si="88"/>
        <v>N/A</v>
      </c>
      <c r="J289" t="str">
        <f t="shared" si="89"/>
        <v>N/A</v>
      </c>
      <c r="K289" t="str">
        <f t="shared" si="90"/>
        <v>N/A</v>
      </c>
      <c r="L289" t="str">
        <f t="shared" si="91"/>
        <v>N/A</v>
      </c>
      <c r="M289" t="str">
        <f t="shared" si="92"/>
        <v>N/A</v>
      </c>
      <c r="N289">
        <f t="shared" si="93"/>
        <v>0.13100000000000001</v>
      </c>
      <c r="P289">
        <f t="shared" si="94"/>
        <v>0.13100000000000001</v>
      </c>
      <c r="Q289">
        <f>IFERROR(J144+MATCH(P289,J289:N289,0)-1,"")</f>
        <v>2016</v>
      </c>
      <c r="R289">
        <f t="shared" si="95"/>
        <v>0.13100000000000001</v>
      </c>
      <c r="S289">
        <f>IFERROR(J144+MATCH(R289,J289:N289,0)-1,"")</f>
        <v>2016</v>
      </c>
      <c r="T289">
        <f t="shared" si="96"/>
        <v>0.13100000000000001</v>
      </c>
      <c r="U289" t="str">
        <f t="shared" si="97"/>
        <v/>
      </c>
      <c r="V289" t="str">
        <f t="shared" si="98"/>
        <v/>
      </c>
      <c r="W289" t="str">
        <f t="shared" si="99"/>
        <v/>
      </c>
      <c r="X289" t="str">
        <f t="shared" si="100"/>
        <v/>
      </c>
      <c r="Y289" t="str">
        <f t="shared" si="101"/>
        <v/>
      </c>
      <c r="Z289" t="str">
        <f t="shared" si="102"/>
        <v/>
      </c>
      <c r="AA289">
        <f t="shared" si="103"/>
        <v>0</v>
      </c>
      <c r="AB289" t="str">
        <f>IFERROR(V144+MATCH(AA289,V289:Z289,0)-1,"")</f>
        <v/>
      </c>
      <c r="AC289" t="str">
        <f t="shared" si="104"/>
        <v/>
      </c>
      <c r="AE289" t="str">
        <f>IF(ISNUMBER(MATCH("N/A",J289:N289,0)),"",IFERROR((5 * SUMPRODUCT(J144:N144,J289:N289) - PRODUCT(SUM(J144:N144),SUM(J289:N289))) / ((5 * SUM((J144^2)+(K144^2)+(L144^2)+(M144^2)+(N144^2))) - SUM(J144:N144)^2),""))</f>
        <v/>
      </c>
      <c r="AF289" t="str">
        <f>IFERROR(CORREL(J144:N144,J289:N289),"")</f>
        <v/>
      </c>
      <c r="AZ289">
        <f t="shared" si="105"/>
        <v>0</v>
      </c>
      <c r="BA289" t="str">
        <f>IF(AZ289=1,IF(Q289="","",IF(Q289=N144,"Yes","No")),"")</f>
        <v/>
      </c>
      <c r="BB289" t="str">
        <f t="shared" si="106"/>
        <v/>
      </c>
      <c r="BC289" t="str">
        <f>IF(AZ289=1,IF(S289="","",IF(S289=N144,"Yes","No")),"")</f>
        <v/>
      </c>
      <c r="BD289" t="str">
        <f t="shared" si="107"/>
        <v/>
      </c>
      <c r="BE289" t="str">
        <f t="shared" si="108"/>
        <v/>
      </c>
      <c r="BF289" t="str">
        <f t="shared" si="109"/>
        <v>No</v>
      </c>
      <c r="BG289" t="str">
        <f t="shared" si="110"/>
        <v>No</v>
      </c>
      <c r="BH289" t="str">
        <f t="shared" si="111"/>
        <v/>
      </c>
    </row>
    <row r="290" spans="1:60" x14ac:dyDescent="0.3">
      <c r="A290" s="1">
        <v>34</v>
      </c>
      <c r="B290" t="s">
        <v>747</v>
      </c>
      <c r="C290" t="s">
        <v>264</v>
      </c>
      <c r="D290" t="s">
        <v>264</v>
      </c>
      <c r="E290" t="s">
        <v>264</v>
      </c>
      <c r="F290" t="s">
        <v>264</v>
      </c>
      <c r="G290" t="s">
        <v>264</v>
      </c>
      <c r="I290" t="str">
        <f t="shared" si="88"/>
        <v>N/A</v>
      </c>
      <c r="J290" t="str">
        <f t="shared" si="89"/>
        <v>N/A</v>
      </c>
      <c r="K290" t="str">
        <f t="shared" si="90"/>
        <v>N/A</v>
      </c>
      <c r="L290" t="str">
        <f t="shared" si="91"/>
        <v>N/A</v>
      </c>
      <c r="M290" t="str">
        <f t="shared" si="92"/>
        <v>N/A</v>
      </c>
      <c r="N290" t="str">
        <f t="shared" si="93"/>
        <v>N/A</v>
      </c>
      <c r="P290">
        <f t="shared" si="94"/>
        <v>0</v>
      </c>
      <c r="Q290" t="str">
        <f>IFERROR(J144+MATCH(P290,J290:N290,0)-1,"")</f>
        <v/>
      </c>
      <c r="R290" t="str">
        <f t="shared" si="95"/>
        <v/>
      </c>
      <c r="S290" t="str">
        <f>IFERROR(J144+MATCH(R290,J290:N290,0)-1,"")</f>
        <v/>
      </c>
      <c r="T290" t="str">
        <f t="shared" si="96"/>
        <v/>
      </c>
      <c r="U290" t="str">
        <f t="shared" si="97"/>
        <v/>
      </c>
      <c r="V290" t="str">
        <f t="shared" si="98"/>
        <v/>
      </c>
      <c r="W290" t="str">
        <f t="shared" si="99"/>
        <v/>
      </c>
      <c r="X290" t="str">
        <f t="shared" si="100"/>
        <v/>
      </c>
      <c r="Y290" t="str">
        <f t="shared" si="101"/>
        <v/>
      </c>
      <c r="Z290" t="str">
        <f t="shared" si="102"/>
        <v/>
      </c>
      <c r="AA290">
        <f t="shared" si="103"/>
        <v>0</v>
      </c>
      <c r="AB290" t="str">
        <f>IFERROR(V144+MATCH(AA290,V290:Z290,0)-1,"")</f>
        <v/>
      </c>
      <c r="AC290" t="str">
        <f t="shared" si="104"/>
        <v/>
      </c>
      <c r="AE290" t="str">
        <f>IF(ISNUMBER(MATCH("N/A",J290:N290,0)),"",IFERROR((5 * SUMPRODUCT(J144:N144,J290:N290) - PRODUCT(SUM(J144:N144),SUM(J290:N290))) / ((5 * SUM((J144^2)+(K144^2)+(L144^2)+(M144^2)+(N144^2))) - SUM(J144:N144)^2),""))</f>
        <v/>
      </c>
      <c r="AF290" t="str">
        <f>IFERROR(CORREL(J144:N144,J290:N290),"")</f>
        <v/>
      </c>
      <c r="AZ290">
        <f t="shared" si="105"/>
        <v>0</v>
      </c>
      <c r="BA290" t="str">
        <f>IF(AZ290=1,IF(Q290="","",IF(Q290=N144,"Yes","No")),"")</f>
        <v/>
      </c>
      <c r="BB290" t="str">
        <f t="shared" si="106"/>
        <v/>
      </c>
      <c r="BC290" t="str">
        <f>IF(AZ290=1,IF(S290="","",IF(S290=N144,"Yes","No")),"")</f>
        <v/>
      </c>
      <c r="BD290" t="str">
        <f t="shared" si="107"/>
        <v/>
      </c>
      <c r="BE290" t="str">
        <f t="shared" si="108"/>
        <v/>
      </c>
      <c r="BF290" t="str">
        <f t="shared" si="109"/>
        <v>No</v>
      </c>
      <c r="BG290" t="str">
        <f t="shared" si="110"/>
        <v>No</v>
      </c>
      <c r="BH290" t="str">
        <f t="shared" si="111"/>
        <v/>
      </c>
    </row>
    <row r="291" spans="1:60" x14ac:dyDescent="0.3">
      <c r="A291" s="1">
        <v>35</v>
      </c>
      <c r="B291" t="s">
        <v>748</v>
      </c>
      <c r="C291" t="s">
        <v>3686</v>
      </c>
      <c r="D291" t="s">
        <v>3687</v>
      </c>
      <c r="E291" t="s">
        <v>3688</v>
      </c>
      <c r="F291" t="s">
        <v>3689</v>
      </c>
      <c r="G291" t="s">
        <v>3690</v>
      </c>
      <c r="I291" t="str">
        <f t="shared" si="88"/>
        <v>N/A</v>
      </c>
      <c r="J291">
        <f t="shared" si="89"/>
        <v>103980000</v>
      </c>
      <c r="K291">
        <f t="shared" si="90"/>
        <v>128380000</v>
      </c>
      <c r="L291">
        <f t="shared" si="91"/>
        <v>115910000</v>
      </c>
      <c r="M291">
        <f t="shared" si="92"/>
        <v>125170000</v>
      </c>
      <c r="N291">
        <f t="shared" si="93"/>
        <v>137620000</v>
      </c>
      <c r="P291">
        <f t="shared" si="94"/>
        <v>137620000</v>
      </c>
      <c r="Q291">
        <f>IFERROR(J144+MATCH(P291,J291:N291,0)-1,"")</f>
        <v>2016</v>
      </c>
      <c r="R291">
        <f t="shared" si="95"/>
        <v>103980000</v>
      </c>
      <c r="S291">
        <f>IFERROR(J144+MATCH(R291,J291:N291,0)-1,"")</f>
        <v>2012</v>
      </c>
      <c r="T291">
        <f t="shared" si="96"/>
        <v>122212000</v>
      </c>
      <c r="U291">
        <f t="shared" si="97"/>
        <v>12809386.01182742</v>
      </c>
      <c r="V291">
        <f t="shared" si="98"/>
        <v>-1.4233312965325318</v>
      </c>
      <c r="W291">
        <f t="shared" si="99"/>
        <v>0.48152190856804827</v>
      </c>
      <c r="X291">
        <f t="shared" si="100"/>
        <v>-0.49198298764524001</v>
      </c>
      <c r="Y291">
        <f t="shared" si="101"/>
        <v>0.23092441724129165</v>
      </c>
      <c r="Z291">
        <f t="shared" si="102"/>
        <v>1.2028679583684319</v>
      </c>
      <c r="AA291">
        <f t="shared" si="103"/>
        <v>-1.4233312965325318</v>
      </c>
      <c r="AB291">
        <f>IFERROR(V144+MATCH(AA291,V291:Z291,0)-1,"")</f>
        <v>2012</v>
      </c>
      <c r="AC291" t="str">
        <f t="shared" si="104"/>
        <v>Low</v>
      </c>
      <c r="AE291">
        <f>IF(ISNUMBER(MATCH("N/A",J291:N291,0)),"",IFERROR((5 * SUMPRODUCT(J144:N144,J291:N291) - PRODUCT(SUM(J144:N144),SUM(J291:N291))) / ((5 * SUM((J144^2)+(K144^2)+(L144^2)+(M144^2)+(N144^2))) - SUM(J144:N144)^2),""))</f>
        <v>6407000</v>
      </c>
      <c r="AF291">
        <f>IFERROR(CORREL(J144:N144,J291:N291),"")</f>
        <v>0.7908541810665739</v>
      </c>
      <c r="AZ291">
        <f t="shared" si="105"/>
        <v>1</v>
      </c>
      <c r="BA291" t="str">
        <f>IF(AZ291=1,IF(Q291="","",IF(Q291=N144,"Yes","No")),"")</f>
        <v>Yes</v>
      </c>
      <c r="BB291">
        <f t="shared" si="106"/>
        <v>137620000</v>
      </c>
      <c r="BC291" t="str">
        <f>IF(AZ291=1,IF(S291="","",IF(S291=N144,"Yes","No")),"")</f>
        <v>No</v>
      </c>
      <c r="BD291" t="str">
        <f t="shared" si="107"/>
        <v/>
      </c>
      <c r="BE291" t="str">
        <f t="shared" si="108"/>
        <v>Increasing</v>
      </c>
      <c r="BF291" t="str">
        <f t="shared" si="109"/>
        <v>Yes</v>
      </c>
      <c r="BG291" t="str">
        <f t="shared" si="110"/>
        <v>No</v>
      </c>
      <c r="BH291" t="str">
        <f t="shared" si="111"/>
        <v>No</v>
      </c>
    </row>
    <row r="292" spans="1:60" x14ac:dyDescent="0.3">
      <c r="A292" s="1">
        <v>36</v>
      </c>
      <c r="B292" t="s">
        <v>749</v>
      </c>
      <c r="C292" t="s">
        <v>320</v>
      </c>
      <c r="D292" t="s">
        <v>2187</v>
      </c>
      <c r="E292" t="s">
        <v>544</v>
      </c>
      <c r="F292" t="s">
        <v>306</v>
      </c>
      <c r="G292" t="s">
        <v>545</v>
      </c>
      <c r="I292" t="str">
        <f t="shared" si="88"/>
        <v>pos_trend</v>
      </c>
      <c r="J292">
        <f t="shared" si="89"/>
        <v>1140000000</v>
      </c>
      <c r="K292">
        <f t="shared" si="90"/>
        <v>1170000000</v>
      </c>
      <c r="L292">
        <f t="shared" si="91"/>
        <v>1220000000</v>
      </c>
      <c r="M292">
        <f t="shared" si="92"/>
        <v>1320000000</v>
      </c>
      <c r="N292">
        <f t="shared" si="93"/>
        <v>1380000000</v>
      </c>
      <c r="P292">
        <f t="shared" si="94"/>
        <v>1380000000</v>
      </c>
      <c r="Q292">
        <f>IFERROR(J144+MATCH(P292,J292:N292,0)-1,"")</f>
        <v>2016</v>
      </c>
      <c r="R292">
        <f t="shared" si="95"/>
        <v>1140000000</v>
      </c>
      <c r="S292">
        <f>IFERROR(J144+MATCH(R292,J292:N292,0)-1,"")</f>
        <v>2012</v>
      </c>
      <c r="T292">
        <f t="shared" si="96"/>
        <v>1246000000</v>
      </c>
      <c r="U292">
        <f t="shared" si="97"/>
        <v>101390334.84509261</v>
      </c>
      <c r="V292">
        <f t="shared" si="98"/>
        <v>-1.045464542177025</v>
      </c>
      <c r="W292">
        <f t="shared" si="99"/>
        <v>-0.74957835099484804</v>
      </c>
      <c r="X292">
        <f t="shared" si="100"/>
        <v>-0.25643469902455329</v>
      </c>
      <c r="Y292">
        <f t="shared" si="101"/>
        <v>0.72985260491603621</v>
      </c>
      <c r="Z292">
        <f t="shared" si="102"/>
        <v>1.32162498728039</v>
      </c>
      <c r="AA292">
        <f t="shared" si="103"/>
        <v>1.32162498728039</v>
      </c>
      <c r="AB292">
        <f>IFERROR(V144+MATCH(AA292,V292:Z292,0)-1,"")</f>
        <v>2016</v>
      </c>
      <c r="AC292" t="str">
        <f t="shared" si="104"/>
        <v>High</v>
      </c>
      <c r="AE292">
        <f>IF(ISNUMBER(MATCH("N/A",J292:N292,0)),"",IFERROR((5 * SUMPRODUCT(J144:N144,J292:N292) - PRODUCT(SUM(J144:N144),SUM(J292:N292))) / ((5 * SUM((J144^2)+(K144^2)+(L144^2)+(M144^2)+(N144^2))) - SUM(J144:N144)^2),""))</f>
        <v>63000000</v>
      </c>
      <c r="AF292">
        <f>IFERROR(CORREL(J144:N144,J292:N292),"")</f>
        <v>0.98245800694409335</v>
      </c>
      <c r="AZ292">
        <f t="shared" si="105"/>
        <v>1</v>
      </c>
      <c r="BA292" t="str">
        <f>IF(AZ292=1,IF(Q292="","",IF(Q292=N144,"Yes","No")),"")</f>
        <v>Yes</v>
      </c>
      <c r="BB292">
        <f t="shared" si="106"/>
        <v>1380000000</v>
      </c>
      <c r="BC292" t="str">
        <f>IF(AZ292=1,IF(S292="","",IF(S292=N144,"Yes","No")),"")</f>
        <v>No</v>
      </c>
      <c r="BD292" t="str">
        <f t="shared" si="107"/>
        <v/>
      </c>
      <c r="BE292" t="str">
        <f t="shared" si="108"/>
        <v>Increasing</v>
      </c>
      <c r="BF292" t="str">
        <f t="shared" si="109"/>
        <v>Yes</v>
      </c>
      <c r="BG292" t="str">
        <f t="shared" si="110"/>
        <v>Yes</v>
      </c>
      <c r="BH292" t="str">
        <f t="shared" si="111"/>
        <v>Yes</v>
      </c>
    </row>
    <row r="293" spans="1:60" x14ac:dyDescent="0.3">
      <c r="I293" t="str">
        <f t="shared" si="88"/>
        <v>N/A</v>
      </c>
      <c r="J293" t="str">
        <f t="shared" si="89"/>
        <v>N/A</v>
      </c>
      <c r="K293" t="str">
        <f t="shared" si="90"/>
        <v>N/A</v>
      </c>
      <c r="L293" t="str">
        <f t="shared" si="91"/>
        <v>N/A</v>
      </c>
      <c r="M293" t="str">
        <f t="shared" si="92"/>
        <v>N/A</v>
      </c>
      <c r="N293" t="str">
        <f t="shared" si="93"/>
        <v>N/A</v>
      </c>
      <c r="P293">
        <f t="shared" si="94"/>
        <v>0</v>
      </c>
      <c r="Q293" t="str">
        <f>IFERROR(J144+MATCH(P293,J293:N293,0)-1,"")</f>
        <v/>
      </c>
      <c r="R293" t="str">
        <f t="shared" si="95"/>
        <v/>
      </c>
      <c r="S293" t="str">
        <f>IFERROR(J144+MATCH(R293,J293:N293,0)-1,"")</f>
        <v/>
      </c>
      <c r="T293" t="str">
        <f t="shared" si="96"/>
        <v/>
      </c>
      <c r="U293" t="str">
        <f t="shared" si="97"/>
        <v/>
      </c>
      <c r="V293" t="str">
        <f t="shared" si="98"/>
        <v/>
      </c>
      <c r="W293" t="str">
        <f t="shared" si="99"/>
        <v/>
      </c>
      <c r="X293" t="str">
        <f t="shared" si="100"/>
        <v/>
      </c>
      <c r="Y293" t="str">
        <f t="shared" si="101"/>
        <v/>
      </c>
      <c r="Z293" t="str">
        <f t="shared" si="102"/>
        <v/>
      </c>
      <c r="AA293">
        <f t="shared" si="103"/>
        <v>0</v>
      </c>
      <c r="AB293" t="str">
        <f>IFERROR(V144+MATCH(AA293,V293:Z293,0)-1,"")</f>
        <v/>
      </c>
      <c r="AC293" t="str">
        <f t="shared" si="104"/>
        <v/>
      </c>
      <c r="AE293" t="str">
        <f>IF(ISNUMBER(MATCH("N/A",J293:N293,0)),"",IFERROR((5 * SUMPRODUCT(J144:N144,J293:N293) - PRODUCT(SUM(J144:N144),SUM(J293:N293))) / ((5 * SUM((J144^2)+(K144^2)+(L144^2)+(M144^2)+(N144^2))) - SUM(J144:N144)^2),""))</f>
        <v/>
      </c>
      <c r="AF293" t="str">
        <f>IFERROR(CORREL(J144:N144,J293:N293),"")</f>
        <v/>
      </c>
      <c r="AZ293">
        <f t="shared" si="105"/>
        <v>0</v>
      </c>
      <c r="BA293" t="str">
        <f>IF(AZ293=1,IF(Q293="","",IF(Q293=N144,"Yes","No")),"")</f>
        <v/>
      </c>
      <c r="BB293" t="str">
        <f t="shared" si="106"/>
        <v/>
      </c>
      <c r="BC293" t="str">
        <f>IF(AZ293=1,IF(S293="","",IF(S293=N144,"Yes","No")),"")</f>
        <v/>
      </c>
      <c r="BD293" t="str">
        <f t="shared" si="107"/>
        <v/>
      </c>
      <c r="BE293" t="str">
        <f t="shared" si="108"/>
        <v/>
      </c>
      <c r="BF293" t="str">
        <f t="shared" si="109"/>
        <v>No</v>
      </c>
      <c r="BG293" t="str">
        <f t="shared" si="110"/>
        <v>No</v>
      </c>
      <c r="BH293" t="str">
        <f t="shared" si="111"/>
        <v/>
      </c>
    </row>
    <row r="294" spans="1:60" x14ac:dyDescent="0.3">
      <c r="B294" s="1" t="s">
        <v>316</v>
      </c>
      <c r="C294" s="1" t="s">
        <v>252</v>
      </c>
      <c r="D294" s="1" t="s">
        <v>253</v>
      </c>
      <c r="E294" s="1" t="s">
        <v>254</v>
      </c>
      <c r="F294" s="1" t="s">
        <v>255</v>
      </c>
      <c r="G294" s="1" t="s">
        <v>256</v>
      </c>
      <c r="H294" s="1" t="s">
        <v>257</v>
      </c>
      <c r="I294" t="str">
        <f t="shared" si="88"/>
        <v>pos_trend</v>
      </c>
      <c r="J294">
        <f t="shared" si="89"/>
        <v>2012</v>
      </c>
      <c r="K294">
        <f t="shared" si="90"/>
        <v>2013</v>
      </c>
      <c r="L294">
        <f t="shared" si="91"/>
        <v>2014</v>
      </c>
      <c r="M294">
        <f t="shared" si="92"/>
        <v>2015</v>
      </c>
      <c r="N294">
        <f t="shared" si="93"/>
        <v>2016</v>
      </c>
      <c r="P294">
        <f t="shared" si="94"/>
        <v>2016</v>
      </c>
      <c r="Q294">
        <f>IFERROR(J144+MATCH(P294,J294:N294,0)-1,"")</f>
        <v>2016</v>
      </c>
      <c r="R294">
        <f t="shared" si="95"/>
        <v>2012</v>
      </c>
      <c r="S294">
        <f>IFERROR(J144+MATCH(R294,J294:N294,0)-1,"")</f>
        <v>2012</v>
      </c>
      <c r="T294">
        <f t="shared" si="96"/>
        <v>2014</v>
      </c>
      <c r="U294">
        <f t="shared" si="97"/>
        <v>1.5811388300841898</v>
      </c>
      <c r="V294">
        <f t="shared" si="98"/>
        <v>-1.2649110640673518</v>
      </c>
      <c r="W294">
        <f t="shared" si="99"/>
        <v>-0.63245553203367588</v>
      </c>
      <c r="X294">
        <f t="shared" si="100"/>
        <v>0</v>
      </c>
      <c r="Y294">
        <f t="shared" si="101"/>
        <v>0.63245553203367588</v>
      </c>
      <c r="Z294">
        <f t="shared" si="102"/>
        <v>1.2649110640673518</v>
      </c>
      <c r="AA294">
        <f t="shared" si="103"/>
        <v>-1.2649110640673518</v>
      </c>
      <c r="AB294">
        <f>IFERROR(V144+MATCH(AA294,V294:Z294,0)-1,"")</f>
        <v>2012</v>
      </c>
      <c r="AC294" t="str">
        <f t="shared" si="104"/>
        <v>Low</v>
      </c>
      <c r="AE294">
        <f>IF(ISNUMBER(MATCH("N/A",J294:N294,0)),"",IFERROR((5 * SUMPRODUCT(J144:N144,J294:N294) - PRODUCT(SUM(J144:N144),SUM(J294:N294))) / ((5 * SUM((J144^2)+(K144^2)+(L144^2)+(M144^2)+(N144^2))) - SUM(J144:N144)^2),""))</f>
        <v>1</v>
      </c>
      <c r="AF294">
        <f>IFERROR(CORREL(J144:N144,J294:N294),"")</f>
        <v>0.99999999999999978</v>
      </c>
      <c r="AZ294">
        <f t="shared" si="105"/>
        <v>1</v>
      </c>
      <c r="BA294" t="str">
        <f>IF(AZ294=1,IF(Q294="","",IF(Q294=N144,"Yes","No")),"")</f>
        <v>Yes</v>
      </c>
      <c r="BB294">
        <f t="shared" si="106"/>
        <v>2016</v>
      </c>
      <c r="BC294" t="str">
        <f>IF(AZ294=1,IF(S294="","",IF(S294=N144,"Yes","No")),"")</f>
        <v>No</v>
      </c>
      <c r="BD294" t="str">
        <f t="shared" si="107"/>
        <v/>
      </c>
      <c r="BE294" t="str">
        <f t="shared" si="108"/>
        <v>Increasing</v>
      </c>
      <c r="BF294" t="str">
        <f t="shared" si="109"/>
        <v>Yes</v>
      </c>
      <c r="BG294" t="str">
        <f t="shared" si="110"/>
        <v>Yes</v>
      </c>
      <c r="BH294" t="str">
        <f t="shared" si="111"/>
        <v>Yes</v>
      </c>
    </row>
    <row r="295" spans="1:60" x14ac:dyDescent="0.3">
      <c r="A295" s="1">
        <v>0</v>
      </c>
      <c r="B295" t="s">
        <v>805</v>
      </c>
      <c r="C295" t="s">
        <v>3698</v>
      </c>
      <c r="D295" t="s">
        <v>3699</v>
      </c>
      <c r="E295" t="s">
        <v>3700</v>
      </c>
      <c r="F295" t="s">
        <v>3701</v>
      </c>
      <c r="G295" t="s">
        <v>3702</v>
      </c>
      <c r="I295" t="str">
        <f t="shared" si="88"/>
        <v>N/A</v>
      </c>
      <c r="J295">
        <f t="shared" si="89"/>
        <v>-905000</v>
      </c>
      <c r="K295">
        <f t="shared" si="90"/>
        <v>-1280000</v>
      </c>
      <c r="L295">
        <f t="shared" si="91"/>
        <v>-485000</v>
      </c>
      <c r="M295">
        <f t="shared" si="92"/>
        <v>-2000000</v>
      </c>
      <c r="N295">
        <f t="shared" si="93"/>
        <v>-2440000</v>
      </c>
      <c r="P295">
        <f t="shared" si="94"/>
        <v>-485000</v>
      </c>
      <c r="Q295">
        <f>IFERROR(J144+MATCH(P295,J295:N295,0)-1,"")</f>
        <v>2014</v>
      </c>
      <c r="R295">
        <f t="shared" si="95"/>
        <v>-2440000</v>
      </c>
      <c r="S295">
        <f>IFERROR(J144+MATCH(R295,J295:N295,0)-1,"")</f>
        <v>2016</v>
      </c>
      <c r="T295">
        <f t="shared" si="96"/>
        <v>-1422000</v>
      </c>
      <c r="U295">
        <f t="shared" si="97"/>
        <v>796214.48115441855</v>
      </c>
      <c r="V295">
        <f t="shared" si="98"/>
        <v>0.64932252833484017</v>
      </c>
      <c r="W295">
        <f t="shared" si="99"/>
        <v>0.17834390526798319</v>
      </c>
      <c r="X295">
        <f t="shared" si="100"/>
        <v>1.17681858616972</v>
      </c>
      <c r="Y295">
        <f t="shared" si="101"/>
        <v>-0.72593505102038225</v>
      </c>
      <c r="Z295">
        <f t="shared" si="102"/>
        <v>-1.2785499687521611</v>
      </c>
      <c r="AA295">
        <f t="shared" si="103"/>
        <v>-1.2785499687521611</v>
      </c>
      <c r="AB295">
        <f>IFERROR(V144+MATCH(AA295,V295:Z295,0)-1,"")</f>
        <v>2016</v>
      </c>
      <c r="AC295" t="str">
        <f t="shared" si="104"/>
        <v>Low</v>
      </c>
      <c r="AE295">
        <f>IF(ISNUMBER(MATCH("N/A",J295:N295,0)),"",IFERROR((5 * SUMPRODUCT(J144:N144,J295:N295) - PRODUCT(SUM(J144:N144),SUM(J295:N295))) / ((5 * SUM((J144^2)+(K144^2)+(L144^2)+(M144^2)+(N144^2))) - SUM(J144:N144)^2),""))</f>
        <v>-379000</v>
      </c>
      <c r="AF295">
        <f>IFERROR(CORREL(J144:N144,J295:N295),"")</f>
        <v>-0.75262587002067904</v>
      </c>
      <c r="AZ295">
        <f t="shared" si="105"/>
        <v>1</v>
      </c>
      <c r="BA295" t="str">
        <f>IF(AZ295=1,IF(Q295="","",IF(Q295=N144,"Yes","No")),"")</f>
        <v>No</v>
      </c>
      <c r="BB295" t="str">
        <f t="shared" si="106"/>
        <v/>
      </c>
      <c r="BC295" t="str">
        <f>IF(AZ295=1,IF(S295="","",IF(S295=N144,"Yes","No")),"")</f>
        <v>Yes</v>
      </c>
      <c r="BD295">
        <f t="shared" si="107"/>
        <v>-2440000</v>
      </c>
      <c r="BE295" t="str">
        <f t="shared" si="108"/>
        <v>Decreasing</v>
      </c>
      <c r="BF295" t="str">
        <f t="shared" si="109"/>
        <v>Yes</v>
      </c>
      <c r="BG295" t="str">
        <f t="shared" si="110"/>
        <v>No</v>
      </c>
      <c r="BH295" t="str">
        <f t="shared" si="111"/>
        <v>No</v>
      </c>
    </row>
    <row r="296" spans="1:60" x14ac:dyDescent="0.3">
      <c r="A296" s="1">
        <v>1</v>
      </c>
      <c r="B296" t="s">
        <v>811</v>
      </c>
      <c r="C296" t="s">
        <v>3698</v>
      </c>
      <c r="D296" t="s">
        <v>3699</v>
      </c>
      <c r="E296" t="s">
        <v>3700</v>
      </c>
      <c r="F296" t="s">
        <v>3701</v>
      </c>
      <c r="G296" t="s">
        <v>3702</v>
      </c>
      <c r="I296" t="str">
        <f t="shared" si="88"/>
        <v>N/A</v>
      </c>
      <c r="J296">
        <f t="shared" si="89"/>
        <v>-905000</v>
      </c>
      <c r="K296">
        <f t="shared" si="90"/>
        <v>-1280000</v>
      </c>
      <c r="L296">
        <f t="shared" si="91"/>
        <v>-485000</v>
      </c>
      <c r="M296">
        <f t="shared" si="92"/>
        <v>-2000000</v>
      </c>
      <c r="N296">
        <f t="shared" si="93"/>
        <v>-2440000</v>
      </c>
      <c r="P296">
        <f t="shared" si="94"/>
        <v>-485000</v>
      </c>
      <c r="Q296">
        <f>IFERROR(J144+MATCH(P296,J296:N296,0)-1,"")</f>
        <v>2014</v>
      </c>
      <c r="R296">
        <f t="shared" si="95"/>
        <v>-2440000</v>
      </c>
      <c r="S296">
        <f>IFERROR(J144+MATCH(R296,J296:N296,0)-1,"")</f>
        <v>2016</v>
      </c>
      <c r="T296">
        <f t="shared" si="96"/>
        <v>-1422000</v>
      </c>
      <c r="U296">
        <f t="shared" si="97"/>
        <v>796214.48115441855</v>
      </c>
      <c r="V296">
        <f t="shared" si="98"/>
        <v>0.64932252833484017</v>
      </c>
      <c r="W296">
        <f t="shared" si="99"/>
        <v>0.17834390526798319</v>
      </c>
      <c r="X296">
        <f t="shared" si="100"/>
        <v>1.17681858616972</v>
      </c>
      <c r="Y296">
        <f t="shared" si="101"/>
        <v>-0.72593505102038225</v>
      </c>
      <c r="Z296">
        <f t="shared" si="102"/>
        <v>-1.2785499687521611</v>
      </c>
      <c r="AA296">
        <f t="shared" si="103"/>
        <v>-1.2785499687521611</v>
      </c>
      <c r="AB296">
        <f>IFERROR(V144+MATCH(AA296,V296:Z296,0)-1,"")</f>
        <v>2016</v>
      </c>
      <c r="AC296" t="str">
        <f t="shared" si="104"/>
        <v>Low</v>
      </c>
      <c r="AE296">
        <f>IF(ISNUMBER(MATCH("N/A",J296:N296,0)),"",IFERROR((5 * SUMPRODUCT(J144:N144,J296:N296) - PRODUCT(SUM(J144:N144),SUM(J296:N296))) / ((5 * SUM((J144^2)+(K144^2)+(L144^2)+(M144^2)+(N144^2))) - SUM(J144:N144)^2),""))</f>
        <v>-379000</v>
      </c>
      <c r="AF296">
        <f>IFERROR(CORREL(J144:N144,J296:N296),"")</f>
        <v>-0.75262587002067904</v>
      </c>
      <c r="AZ296">
        <f t="shared" si="105"/>
        <v>1</v>
      </c>
      <c r="BA296" t="str">
        <f>IF(AZ296=1,IF(Q296="","",IF(Q296=N144,"Yes","No")),"")</f>
        <v>No</v>
      </c>
      <c r="BB296" t="str">
        <f t="shared" si="106"/>
        <v/>
      </c>
      <c r="BC296" t="str">
        <f>IF(AZ296=1,IF(S296="","",IF(S296=N144,"Yes","No")),"")</f>
        <v>Yes</v>
      </c>
      <c r="BD296">
        <f t="shared" si="107"/>
        <v>-2440000</v>
      </c>
      <c r="BE296" t="str">
        <f t="shared" si="108"/>
        <v>Decreasing</v>
      </c>
      <c r="BF296" t="str">
        <f t="shared" si="109"/>
        <v>Yes</v>
      </c>
      <c r="BG296" t="str">
        <f t="shared" si="110"/>
        <v>No</v>
      </c>
      <c r="BH296" t="str">
        <f t="shared" si="111"/>
        <v>No</v>
      </c>
    </row>
    <row r="297" spans="1:60" x14ac:dyDescent="0.3">
      <c r="A297" s="1">
        <v>2</v>
      </c>
      <c r="B297" t="s">
        <v>812</v>
      </c>
      <c r="C297" t="s">
        <v>264</v>
      </c>
      <c r="D297" t="s">
        <v>264</v>
      </c>
      <c r="E297" t="s">
        <v>264</v>
      </c>
      <c r="F297" t="s">
        <v>264</v>
      </c>
      <c r="G297" t="s">
        <v>264</v>
      </c>
      <c r="I297" t="str">
        <f t="shared" si="88"/>
        <v>N/A</v>
      </c>
      <c r="J297" t="str">
        <f t="shared" si="89"/>
        <v>N/A</v>
      </c>
      <c r="K297" t="str">
        <f t="shared" si="90"/>
        <v>N/A</v>
      </c>
      <c r="L297" t="str">
        <f t="shared" si="91"/>
        <v>N/A</v>
      </c>
      <c r="M297" t="str">
        <f t="shared" si="92"/>
        <v>N/A</v>
      </c>
      <c r="N297" t="str">
        <f t="shared" si="93"/>
        <v>N/A</v>
      </c>
      <c r="P297">
        <f t="shared" si="94"/>
        <v>0</v>
      </c>
      <c r="Q297" t="str">
        <f>IFERROR(J144+MATCH(P297,J297:N297,0)-1,"")</f>
        <v/>
      </c>
      <c r="R297" t="str">
        <f t="shared" si="95"/>
        <v/>
      </c>
      <c r="S297" t="str">
        <f>IFERROR(J144+MATCH(R297,J297:N297,0)-1,"")</f>
        <v/>
      </c>
      <c r="T297" t="str">
        <f t="shared" si="96"/>
        <v/>
      </c>
      <c r="U297" t="str">
        <f t="shared" si="97"/>
        <v/>
      </c>
      <c r="V297" t="str">
        <f t="shared" si="98"/>
        <v/>
      </c>
      <c r="W297" t="str">
        <f t="shared" si="99"/>
        <v/>
      </c>
      <c r="X297" t="str">
        <f t="shared" si="100"/>
        <v/>
      </c>
      <c r="Y297" t="str">
        <f t="shared" si="101"/>
        <v/>
      </c>
      <c r="Z297" t="str">
        <f t="shared" si="102"/>
        <v/>
      </c>
      <c r="AA297">
        <f t="shared" si="103"/>
        <v>0</v>
      </c>
      <c r="AB297" t="str">
        <f>IFERROR(V144+MATCH(AA297,V297:Z297,0)-1,"")</f>
        <v/>
      </c>
      <c r="AC297" t="str">
        <f t="shared" si="104"/>
        <v/>
      </c>
      <c r="AE297" t="str">
        <f>IF(ISNUMBER(MATCH("N/A",J297:N297,0)),"",IFERROR((5 * SUMPRODUCT(J144:N144,J297:N297) - PRODUCT(SUM(J144:N144),SUM(J297:N297))) / ((5 * SUM((J144^2)+(K144^2)+(L144^2)+(M144^2)+(N144^2))) - SUM(J144:N144)^2),""))</f>
        <v/>
      </c>
      <c r="AF297" t="str">
        <f>IFERROR(CORREL(J144:N144,J297:N297),"")</f>
        <v/>
      </c>
      <c r="AZ297">
        <f t="shared" si="105"/>
        <v>0</v>
      </c>
      <c r="BA297" t="str">
        <f>IF(AZ297=1,IF(Q297="","",IF(Q297=N144,"Yes","No")),"")</f>
        <v/>
      </c>
      <c r="BB297" t="str">
        <f t="shared" si="106"/>
        <v/>
      </c>
      <c r="BC297" t="str">
        <f>IF(AZ297=1,IF(S297="","",IF(S297=N144,"Yes","No")),"")</f>
        <v/>
      </c>
      <c r="BD297" t="str">
        <f t="shared" si="107"/>
        <v/>
      </c>
      <c r="BE297" t="str">
        <f t="shared" si="108"/>
        <v/>
      </c>
      <c r="BF297" t="str">
        <f t="shared" si="109"/>
        <v>No</v>
      </c>
      <c r="BG297" t="str">
        <f t="shared" si="110"/>
        <v>No</v>
      </c>
      <c r="BH297" t="str">
        <f t="shared" si="111"/>
        <v/>
      </c>
    </row>
    <row r="298" spans="1:60" x14ac:dyDescent="0.3">
      <c r="A298" s="1">
        <v>3</v>
      </c>
      <c r="B298" t="s">
        <v>824</v>
      </c>
      <c r="C298" t="s">
        <v>264</v>
      </c>
      <c r="D298" t="s">
        <v>264</v>
      </c>
      <c r="E298" t="s">
        <v>264</v>
      </c>
      <c r="F298" t="s">
        <v>264</v>
      </c>
      <c r="G298" t="s">
        <v>264</v>
      </c>
      <c r="I298" t="str">
        <f t="shared" si="88"/>
        <v>N/A</v>
      </c>
      <c r="J298" t="str">
        <f t="shared" si="89"/>
        <v>N/A</v>
      </c>
      <c r="K298" t="str">
        <f t="shared" si="90"/>
        <v>N/A</v>
      </c>
      <c r="L298" t="str">
        <f t="shared" si="91"/>
        <v>N/A</v>
      </c>
      <c r="M298" t="str">
        <f t="shared" si="92"/>
        <v>N/A</v>
      </c>
      <c r="N298" t="str">
        <f t="shared" si="93"/>
        <v>N/A</v>
      </c>
      <c r="P298">
        <f t="shared" si="94"/>
        <v>0</v>
      </c>
      <c r="Q298" t="str">
        <f>IFERROR(J144+MATCH(P298,J298:N298,0)-1,"")</f>
        <v/>
      </c>
      <c r="R298" t="str">
        <f t="shared" si="95"/>
        <v/>
      </c>
      <c r="S298" t="str">
        <f>IFERROR(J144+MATCH(R298,J298:N298,0)-1,"")</f>
        <v/>
      </c>
      <c r="T298" t="str">
        <f t="shared" si="96"/>
        <v/>
      </c>
      <c r="U298" t="str">
        <f t="shared" si="97"/>
        <v/>
      </c>
      <c r="V298" t="str">
        <f t="shared" si="98"/>
        <v/>
      </c>
      <c r="W298" t="str">
        <f t="shared" si="99"/>
        <v/>
      </c>
      <c r="X298" t="str">
        <f t="shared" si="100"/>
        <v/>
      </c>
      <c r="Y298" t="str">
        <f t="shared" si="101"/>
        <v/>
      </c>
      <c r="Z298" t="str">
        <f t="shared" si="102"/>
        <v/>
      </c>
      <c r="AA298">
        <f t="shared" si="103"/>
        <v>0</v>
      </c>
      <c r="AB298" t="str">
        <f>IFERROR(V144+MATCH(AA298,V298:Z298,0)-1,"")</f>
        <v/>
      </c>
      <c r="AC298" t="str">
        <f t="shared" si="104"/>
        <v/>
      </c>
      <c r="AE298" t="str">
        <f>IF(ISNUMBER(MATCH("N/A",J298:N298,0)),"",IFERROR((5 * SUMPRODUCT(J144:N144,J298:N298) - PRODUCT(SUM(J144:N144),SUM(J298:N298))) / ((5 * SUM((J144^2)+(K144^2)+(L144^2)+(M144^2)+(N144^2))) - SUM(J144:N144)^2),""))</f>
        <v/>
      </c>
      <c r="AF298" t="str">
        <f>IFERROR(CORREL(J144:N144,J298:N298),"")</f>
        <v/>
      </c>
      <c r="AZ298">
        <f t="shared" si="105"/>
        <v>0</v>
      </c>
      <c r="BA298" t="str">
        <f>IF(AZ298=1,IF(Q298="","",IF(Q298=N144,"Yes","No")),"")</f>
        <v/>
      </c>
      <c r="BB298" t="str">
        <f t="shared" si="106"/>
        <v/>
      </c>
      <c r="BC298" t="str">
        <f>IF(AZ298=1,IF(S298="","",IF(S298=N144,"Yes","No")),"")</f>
        <v/>
      </c>
      <c r="BD298" t="str">
        <f t="shared" si="107"/>
        <v/>
      </c>
      <c r="BE298" t="str">
        <f t="shared" si="108"/>
        <v/>
      </c>
      <c r="BF298" t="str">
        <f t="shared" si="109"/>
        <v>No</v>
      </c>
      <c r="BG298" t="str">
        <f t="shared" si="110"/>
        <v>No</v>
      </c>
      <c r="BH298" t="str">
        <f t="shared" si="111"/>
        <v/>
      </c>
    </row>
    <row r="299" spans="1:60" x14ac:dyDescent="0.3">
      <c r="A299" s="1">
        <v>4</v>
      </c>
      <c r="B299" t="s">
        <v>830</v>
      </c>
      <c r="C299" t="s">
        <v>3703</v>
      </c>
      <c r="D299" t="s">
        <v>3704</v>
      </c>
      <c r="E299" t="s">
        <v>1157</v>
      </c>
      <c r="F299" t="s">
        <v>3705</v>
      </c>
      <c r="G299" t="s">
        <v>3706</v>
      </c>
      <c r="I299" t="str">
        <f t="shared" si="88"/>
        <v>N/A</v>
      </c>
      <c r="J299">
        <f t="shared" si="89"/>
        <v>20000</v>
      </c>
      <c r="K299">
        <f t="shared" si="90"/>
        <v>118000</v>
      </c>
      <c r="L299">
        <f t="shared" si="91"/>
        <v>1280000</v>
      </c>
      <c r="M299">
        <f t="shared" si="92"/>
        <v>926000</v>
      </c>
      <c r="N299">
        <f t="shared" si="93"/>
        <v>3000</v>
      </c>
      <c r="P299">
        <f t="shared" si="94"/>
        <v>1280000</v>
      </c>
      <c r="Q299">
        <f>IFERROR(J144+MATCH(P299,J299:N299,0)-1,"")</f>
        <v>2014</v>
      </c>
      <c r="R299">
        <f t="shared" si="95"/>
        <v>3000</v>
      </c>
      <c r="S299">
        <f>IFERROR(J144+MATCH(R299,J299:N299,0)-1,"")</f>
        <v>2016</v>
      </c>
      <c r="T299">
        <f t="shared" si="96"/>
        <v>469400</v>
      </c>
      <c r="U299">
        <f t="shared" si="97"/>
        <v>593406.94299949007</v>
      </c>
      <c r="V299">
        <f t="shared" si="98"/>
        <v>-0.75732177606217554</v>
      </c>
      <c r="W299">
        <f t="shared" si="99"/>
        <v>-0.59217372520749556</v>
      </c>
      <c r="X299">
        <f t="shared" si="100"/>
        <v>1.3660103063551392</v>
      </c>
      <c r="Y299">
        <f t="shared" si="101"/>
        <v>0.76945510224741731</v>
      </c>
      <c r="Z299">
        <f t="shared" si="102"/>
        <v>-0.78596990733288541</v>
      </c>
      <c r="AA299">
        <f t="shared" si="103"/>
        <v>1.3660103063551392</v>
      </c>
      <c r="AB299">
        <f>IFERROR(V144+MATCH(AA299,V299:Z299,0)-1,"")</f>
        <v>2014</v>
      </c>
      <c r="AC299" t="str">
        <f t="shared" si="104"/>
        <v>High</v>
      </c>
      <c r="AE299">
        <f>IF(ISNUMBER(MATCH("N/A",J299:N299,0)),"",IFERROR((5 * SUMPRODUCT(J144:N144,J299:N299) - PRODUCT(SUM(J144:N144),SUM(J299:N299))) / ((5 * SUM((J144^2)+(K144^2)+(L144^2)+(M144^2)+(N144^2))) - SUM(J144:N144)^2),""))</f>
        <v>77400</v>
      </c>
      <c r="AF299">
        <f>IFERROR(CORREL(J144:N144,J299:N299),"")</f>
        <v>0.20623308657280312</v>
      </c>
      <c r="AZ299">
        <f t="shared" si="105"/>
        <v>1</v>
      </c>
      <c r="BA299" t="str">
        <f>IF(AZ299=1,IF(Q299="","",IF(Q299=N144,"Yes","No")),"")</f>
        <v>No</v>
      </c>
      <c r="BB299" t="str">
        <f t="shared" si="106"/>
        <v/>
      </c>
      <c r="BC299" t="str">
        <f>IF(AZ299=1,IF(S299="","",IF(S299=N144,"Yes","No")),"")</f>
        <v>Yes</v>
      </c>
      <c r="BD299">
        <f t="shared" si="107"/>
        <v>3000</v>
      </c>
      <c r="BE299" t="str">
        <f t="shared" si="108"/>
        <v>Increasing</v>
      </c>
      <c r="BF299" t="str">
        <f t="shared" si="109"/>
        <v>No</v>
      </c>
      <c r="BG299" t="str">
        <f t="shared" si="110"/>
        <v>No</v>
      </c>
      <c r="BH299" t="str">
        <f t="shared" si="111"/>
        <v>No</v>
      </c>
    </row>
    <row r="300" spans="1:60" x14ac:dyDescent="0.3">
      <c r="A300" s="1">
        <v>5</v>
      </c>
      <c r="B300" t="s">
        <v>836</v>
      </c>
      <c r="C300" t="s">
        <v>2926</v>
      </c>
      <c r="D300" t="s">
        <v>3707</v>
      </c>
      <c r="E300" t="s">
        <v>3708</v>
      </c>
      <c r="F300" t="s">
        <v>3709</v>
      </c>
      <c r="G300" t="s">
        <v>3710</v>
      </c>
      <c r="I300" t="str">
        <f t="shared" si="88"/>
        <v>N/A</v>
      </c>
      <c r="J300">
        <f t="shared" si="89"/>
        <v>483000</v>
      </c>
      <c r="K300">
        <f t="shared" si="90"/>
        <v>-4580000</v>
      </c>
      <c r="L300">
        <f t="shared" si="91"/>
        <v>8650000</v>
      </c>
      <c r="M300">
        <f t="shared" si="92"/>
        <v>676000</v>
      </c>
      <c r="N300">
        <f t="shared" si="93"/>
        <v>-3590000</v>
      </c>
      <c r="P300">
        <f t="shared" si="94"/>
        <v>8650000</v>
      </c>
      <c r="Q300">
        <f>IFERROR(J144+MATCH(P300,J300:N300,0)-1,"")</f>
        <v>2014</v>
      </c>
      <c r="R300">
        <f t="shared" si="95"/>
        <v>-4580000</v>
      </c>
      <c r="S300">
        <f>IFERROR(J144+MATCH(R300,J300:N300,0)-1,"")</f>
        <v>2013</v>
      </c>
      <c r="T300">
        <f t="shared" si="96"/>
        <v>327800</v>
      </c>
      <c r="U300">
        <f t="shared" si="97"/>
        <v>5216320.561468591</v>
      </c>
      <c r="V300">
        <f t="shared" si="98"/>
        <v>2.9752772700822157E-2</v>
      </c>
      <c r="W300">
        <f t="shared" si="99"/>
        <v>-0.94085475425963261</v>
      </c>
      <c r="X300">
        <f t="shared" si="100"/>
        <v>1.59541575367772</v>
      </c>
      <c r="Y300">
        <f t="shared" si="101"/>
        <v>6.6752032567179612E-2</v>
      </c>
      <c r="Z300">
        <f t="shared" si="102"/>
        <v>-0.75106580468608919</v>
      </c>
      <c r="AA300">
        <f t="shared" si="103"/>
        <v>1.59541575367772</v>
      </c>
      <c r="AB300">
        <f>IFERROR(V144+MATCH(AA300,V300:Z300,0)-1,"")</f>
        <v>2014</v>
      </c>
      <c r="AC300" t="str">
        <f t="shared" si="104"/>
        <v>High</v>
      </c>
      <c r="AE300">
        <f>IF(ISNUMBER(MATCH("N/A",J300:N300,0)),"",IFERROR((5 * SUMPRODUCT(J144:N144,J300:N300) - PRODUCT(SUM(J144:N144),SUM(J300:N300))) / ((5 * SUM((J144^2)+(K144^2)+(L144^2)+(M144^2)+(N144^2))) - SUM(J144:N144)^2),""))</f>
        <v>-289000</v>
      </c>
      <c r="AF300">
        <f>IFERROR(CORREL(J144:N144,J300:N300),"")</f>
        <v>-8.7599892780684918E-2</v>
      </c>
      <c r="AZ300">
        <f t="shared" si="105"/>
        <v>1</v>
      </c>
      <c r="BA300" t="str">
        <f>IF(AZ300=1,IF(Q300="","",IF(Q300=N144,"Yes","No")),"")</f>
        <v>No</v>
      </c>
      <c r="BB300" t="str">
        <f t="shared" si="106"/>
        <v/>
      </c>
      <c r="BC300" t="str">
        <f>IF(AZ300=1,IF(S300="","",IF(S300=N144,"Yes","No")),"")</f>
        <v>No</v>
      </c>
      <c r="BD300" t="str">
        <f t="shared" si="107"/>
        <v/>
      </c>
      <c r="BE300" t="str">
        <f t="shared" si="108"/>
        <v>Decreasing</v>
      </c>
      <c r="BF300" t="str">
        <f t="shared" si="109"/>
        <v>No</v>
      </c>
      <c r="BG300" t="str">
        <f t="shared" si="110"/>
        <v>No</v>
      </c>
      <c r="BH300" t="str">
        <f t="shared" si="111"/>
        <v>No</v>
      </c>
    </row>
    <row r="301" spans="1:60" x14ac:dyDescent="0.3">
      <c r="A301" s="1">
        <v>6</v>
      </c>
      <c r="B301" t="s">
        <v>840</v>
      </c>
      <c r="C301" t="s">
        <v>3711</v>
      </c>
      <c r="D301" t="s">
        <v>3712</v>
      </c>
      <c r="E301" t="s">
        <v>3713</v>
      </c>
      <c r="F301" t="s">
        <v>3714</v>
      </c>
      <c r="G301" t="s">
        <v>3715</v>
      </c>
      <c r="I301" t="str">
        <f t="shared" si="88"/>
        <v>N/A</v>
      </c>
      <c r="J301">
        <f t="shared" si="89"/>
        <v>-77280000</v>
      </c>
      <c r="K301">
        <f t="shared" si="90"/>
        <v>-64300000</v>
      </c>
      <c r="L301">
        <f t="shared" si="91"/>
        <v>-58540000</v>
      </c>
      <c r="M301">
        <f t="shared" si="92"/>
        <v>-30060000</v>
      </c>
      <c r="N301">
        <f t="shared" si="93"/>
        <v>-42360000</v>
      </c>
      <c r="P301">
        <f t="shared" si="94"/>
        <v>-30060000</v>
      </c>
      <c r="Q301">
        <f>IFERROR(J144+MATCH(P301,J301:N301,0)-1,"")</f>
        <v>2015</v>
      </c>
      <c r="R301">
        <f t="shared" si="95"/>
        <v>-77280000</v>
      </c>
      <c r="S301">
        <f>IFERROR(J144+MATCH(R301,J301:N301,0)-1,"")</f>
        <v>2012</v>
      </c>
      <c r="T301">
        <f t="shared" si="96"/>
        <v>-54508000</v>
      </c>
      <c r="U301">
        <f t="shared" si="97"/>
        <v>18547121.609565187</v>
      </c>
      <c r="V301">
        <f t="shared" si="98"/>
        <v>-1.2277915937239525</v>
      </c>
      <c r="W301">
        <f t="shared" si="99"/>
        <v>-0.52795254197018016</v>
      </c>
      <c r="X301">
        <f t="shared" si="100"/>
        <v>-0.21739222316419182</v>
      </c>
      <c r="Y301">
        <f t="shared" si="101"/>
        <v>1.3181560198209727</v>
      </c>
      <c r="Z301">
        <f t="shared" si="102"/>
        <v>0.65498033903735176</v>
      </c>
      <c r="AA301">
        <f t="shared" si="103"/>
        <v>1.3181560198209727</v>
      </c>
      <c r="AB301">
        <f>IFERROR(V144+MATCH(AA301,V301:Z301,0)-1,"")</f>
        <v>2015</v>
      </c>
      <c r="AC301" t="str">
        <f t="shared" si="104"/>
        <v>High</v>
      </c>
      <c r="AE301">
        <f>IF(ISNUMBER(MATCH("N/A",J301:N301,0)),"",IFERROR((5 * SUMPRODUCT(J144:N144,J301:N301) - PRODUCT(SUM(J144:N144),SUM(J301:N301))) / ((5 * SUM((J144^2)+(K144^2)+(L144^2)+(M144^2)+(N144^2))) - SUM(J144:N144)^2),""))</f>
        <v>10408000</v>
      </c>
      <c r="AF301">
        <f>IFERROR(CORREL(J144:N144,J301:N301),"")</f>
        <v>0.88728015537619831</v>
      </c>
      <c r="AZ301">
        <f t="shared" si="105"/>
        <v>1</v>
      </c>
      <c r="BA301" t="str">
        <f>IF(AZ301=1,IF(Q301="","",IF(Q301=N144,"Yes","No")),"")</f>
        <v>No</v>
      </c>
      <c r="BB301" t="str">
        <f t="shared" si="106"/>
        <v/>
      </c>
      <c r="BC301" t="str">
        <f>IF(AZ301=1,IF(S301="","",IF(S301=N144,"Yes","No")),"")</f>
        <v>No</v>
      </c>
      <c r="BD301" t="str">
        <f t="shared" si="107"/>
        <v/>
      </c>
      <c r="BE301" t="str">
        <f t="shared" si="108"/>
        <v>Increasing</v>
      </c>
      <c r="BF301" t="str">
        <f t="shared" si="109"/>
        <v>No</v>
      </c>
      <c r="BG301" t="str">
        <f t="shared" si="110"/>
        <v>No</v>
      </c>
      <c r="BH301" t="str">
        <f t="shared" si="111"/>
        <v>Yes</v>
      </c>
    </row>
    <row r="302" spans="1:60" x14ac:dyDescent="0.3">
      <c r="A302" s="1">
        <v>7</v>
      </c>
      <c r="B302" t="s">
        <v>843</v>
      </c>
      <c r="C302" t="s">
        <v>3716</v>
      </c>
      <c r="D302" t="s">
        <v>3717</v>
      </c>
      <c r="E302" t="s">
        <v>3718</v>
      </c>
      <c r="F302" t="s">
        <v>3719</v>
      </c>
      <c r="G302" t="s">
        <v>3720</v>
      </c>
      <c r="I302" t="str">
        <f t="shared" si="88"/>
        <v>N/A</v>
      </c>
      <c r="J302">
        <f t="shared" si="89"/>
        <v>77760000</v>
      </c>
      <c r="K302">
        <f t="shared" si="90"/>
        <v>59710000</v>
      </c>
      <c r="L302">
        <f t="shared" si="91"/>
        <v>67190000</v>
      </c>
      <c r="M302">
        <f t="shared" si="92"/>
        <v>30740000</v>
      </c>
      <c r="N302">
        <f t="shared" si="93"/>
        <v>38770000</v>
      </c>
      <c r="P302">
        <f t="shared" si="94"/>
        <v>77760000</v>
      </c>
      <c r="Q302">
        <f>IFERROR(J144+MATCH(P302,J302:N302,0)-1,"")</f>
        <v>2012</v>
      </c>
      <c r="R302">
        <f t="shared" si="95"/>
        <v>30740000</v>
      </c>
      <c r="S302">
        <f>IFERROR(J144+MATCH(R302,J302:N302,0)-1,"")</f>
        <v>2015</v>
      </c>
      <c r="T302">
        <f t="shared" si="96"/>
        <v>54834000</v>
      </c>
      <c r="U302">
        <f t="shared" si="97"/>
        <v>19625369.550660696</v>
      </c>
      <c r="V302">
        <f t="shared" si="98"/>
        <v>1.1681818240833171</v>
      </c>
      <c r="W302">
        <f t="shared" si="99"/>
        <v>0.24845392018800724</v>
      </c>
      <c r="X302">
        <f t="shared" si="100"/>
        <v>0.6295932399185844</v>
      </c>
      <c r="Y302">
        <f t="shared" si="101"/>
        <v>-1.2276966269503375</v>
      </c>
      <c r="Z302">
        <f t="shared" si="102"/>
        <v>-0.81853235723957096</v>
      </c>
      <c r="AA302">
        <f t="shared" si="103"/>
        <v>-1.2276966269503375</v>
      </c>
      <c r="AB302">
        <f>IFERROR(V144+MATCH(AA302,V302:Z302,0)-1,"")</f>
        <v>2015</v>
      </c>
      <c r="AC302" t="str">
        <f t="shared" si="104"/>
        <v>Low</v>
      </c>
      <c r="AE302">
        <f>IF(ISNUMBER(MATCH("N/A",J302:N302,0)),"",IFERROR((5 * SUMPRODUCT(J144:N144,J302:N302) - PRODUCT(SUM(J144:N144),SUM(J302:N302))) / ((5 * SUM((J144^2)+(K144^2)+(L144^2)+(M144^2)+(N144^2))) - SUM(J144:N144)^2),""))</f>
        <v>-10695000</v>
      </c>
      <c r="AF302">
        <f>IFERROR(CORREL(J144:N144,J302:N302),"")</f>
        <v>-0.86165408218675388</v>
      </c>
      <c r="AZ302">
        <f t="shared" si="105"/>
        <v>1</v>
      </c>
      <c r="BA302" t="str">
        <f>IF(AZ302=1,IF(Q302="","",IF(Q302=N144,"Yes","No")),"")</f>
        <v>No</v>
      </c>
      <c r="BB302" t="str">
        <f t="shared" si="106"/>
        <v/>
      </c>
      <c r="BC302" t="str">
        <f>IF(AZ302=1,IF(S302="","",IF(S302=N144,"Yes","No")),"")</f>
        <v>No</v>
      </c>
      <c r="BD302" t="str">
        <f t="shared" si="107"/>
        <v/>
      </c>
      <c r="BE302" t="str">
        <f t="shared" si="108"/>
        <v>Decreasing</v>
      </c>
      <c r="BF302" t="str">
        <f t="shared" si="109"/>
        <v>No</v>
      </c>
      <c r="BG302" t="str">
        <f t="shared" si="110"/>
        <v>No</v>
      </c>
      <c r="BH302" t="str">
        <f t="shared" si="111"/>
        <v>Yes</v>
      </c>
    </row>
    <row r="303" spans="1:60" x14ac:dyDescent="0.3">
      <c r="A303" s="1">
        <v>8</v>
      </c>
      <c r="B303" t="s">
        <v>3721</v>
      </c>
      <c r="C303" t="s">
        <v>3722</v>
      </c>
      <c r="D303" t="s">
        <v>3723</v>
      </c>
      <c r="E303" t="s">
        <v>3724</v>
      </c>
      <c r="F303" t="s">
        <v>3725</v>
      </c>
      <c r="G303" t="s">
        <v>3726</v>
      </c>
      <c r="I303" t="str">
        <f t="shared" si="88"/>
        <v>neg_trend</v>
      </c>
      <c r="J303">
        <f t="shared" si="89"/>
        <v>-39140000</v>
      </c>
      <c r="K303">
        <f t="shared" si="90"/>
        <v>-50170000</v>
      </c>
      <c r="L303">
        <f t="shared" si="91"/>
        <v>-57940000</v>
      </c>
      <c r="M303">
        <f t="shared" si="92"/>
        <v>-63740000</v>
      </c>
      <c r="N303">
        <f t="shared" si="93"/>
        <v>-120960000</v>
      </c>
      <c r="P303">
        <f t="shared" si="94"/>
        <v>-39140000</v>
      </c>
      <c r="Q303">
        <f>IFERROR(J144+MATCH(P303,J303:N303,0)-1,"")</f>
        <v>2012</v>
      </c>
      <c r="R303">
        <f t="shared" si="95"/>
        <v>-120960000</v>
      </c>
      <c r="S303">
        <f>IFERROR(J144+MATCH(R303,J303:N303,0)-1,"")</f>
        <v>2016</v>
      </c>
      <c r="T303">
        <f t="shared" si="96"/>
        <v>-66390000</v>
      </c>
      <c r="U303">
        <f t="shared" si="97"/>
        <v>31866756.973372739</v>
      </c>
      <c r="V303">
        <f t="shared" si="98"/>
        <v>0.85512309968565636</v>
      </c>
      <c r="W303">
        <f t="shared" si="99"/>
        <v>0.50899437346426957</v>
      </c>
      <c r="X303">
        <f t="shared" si="100"/>
        <v>0.26516661256307505</v>
      </c>
      <c r="Y303">
        <f t="shared" si="101"/>
        <v>8.3158760152917038E-2</v>
      </c>
      <c r="Z303">
        <f t="shared" si="102"/>
        <v>-1.712442845865918</v>
      </c>
      <c r="AA303">
        <f t="shared" si="103"/>
        <v>-1.712442845865918</v>
      </c>
      <c r="AB303">
        <f>IFERROR(V144+MATCH(AA303,V303:Z303,0)-1,"")</f>
        <v>2016</v>
      </c>
      <c r="AC303" t="str">
        <f t="shared" si="104"/>
        <v>Low</v>
      </c>
      <c r="AE303">
        <f>IF(ISNUMBER(MATCH("N/A",J303:N303,0)),"",IFERROR((5 * SUMPRODUCT(J144:N144,J303:N303) - PRODUCT(SUM(J144:N144),SUM(J303:N303))) / ((5 * SUM((J144^2)+(K144^2)+(L144^2)+(M144^2)+(N144^2))) - SUM(J144:N144)^2),""))</f>
        <v>-17721000</v>
      </c>
      <c r="AF303">
        <f>IFERROR(CORREL(J144:N144,J303:N303),"")</f>
        <v>-0.87926616540661395</v>
      </c>
      <c r="AZ303">
        <f t="shared" si="105"/>
        <v>1</v>
      </c>
      <c r="BA303" t="str">
        <f>IF(AZ303=1,IF(Q303="","",IF(Q303=N144,"Yes","No")),"")</f>
        <v>No</v>
      </c>
      <c r="BB303" t="str">
        <f t="shared" si="106"/>
        <v/>
      </c>
      <c r="BC303" t="str">
        <f>IF(AZ303=1,IF(S303="","",IF(S303=N144,"Yes","No")),"")</f>
        <v>Yes</v>
      </c>
      <c r="BD303">
        <f t="shared" si="107"/>
        <v>-120960000</v>
      </c>
      <c r="BE303" t="str">
        <f t="shared" si="108"/>
        <v>Decreasing</v>
      </c>
      <c r="BF303" t="str">
        <f t="shared" si="109"/>
        <v>Yes</v>
      </c>
      <c r="BG303" t="str">
        <f t="shared" si="110"/>
        <v>No</v>
      </c>
      <c r="BH303" t="str">
        <f t="shared" si="111"/>
        <v>Yes</v>
      </c>
    </row>
    <row r="304" spans="1:60" x14ac:dyDescent="0.3">
      <c r="A304" s="1">
        <v>9</v>
      </c>
      <c r="B304" t="s">
        <v>3727</v>
      </c>
      <c r="C304" t="s">
        <v>264</v>
      </c>
      <c r="D304" t="s">
        <v>264</v>
      </c>
      <c r="E304" t="s">
        <v>264</v>
      </c>
      <c r="F304" t="s">
        <v>3728</v>
      </c>
      <c r="G304" t="s">
        <v>3729</v>
      </c>
      <c r="I304" t="str">
        <f t="shared" si="88"/>
        <v>N/A</v>
      </c>
      <c r="J304" t="str">
        <f t="shared" si="89"/>
        <v>N/A</v>
      </c>
      <c r="K304" t="str">
        <f t="shared" si="90"/>
        <v>N/A</v>
      </c>
      <c r="L304" t="str">
        <f t="shared" si="91"/>
        <v>N/A</v>
      </c>
      <c r="M304">
        <f t="shared" si="92"/>
        <v>53130000</v>
      </c>
      <c r="N304">
        <f t="shared" si="93"/>
        <v>69480000</v>
      </c>
      <c r="P304">
        <f t="shared" si="94"/>
        <v>69480000</v>
      </c>
      <c r="Q304">
        <f>IFERROR(J144+MATCH(P304,J304:N304,0)-1,"")</f>
        <v>2016</v>
      </c>
      <c r="R304">
        <f t="shared" si="95"/>
        <v>53130000</v>
      </c>
      <c r="S304">
        <f>IFERROR(J144+MATCH(R304,J304:N304,0)-1,"")</f>
        <v>2015</v>
      </c>
      <c r="T304">
        <f t="shared" si="96"/>
        <v>61305000</v>
      </c>
      <c r="U304">
        <f t="shared" si="97"/>
        <v>11561195.872400053</v>
      </c>
      <c r="V304" t="str">
        <f t="shared" si="98"/>
        <v/>
      </c>
      <c r="W304" t="str">
        <f t="shared" si="99"/>
        <v/>
      </c>
      <c r="X304" t="str">
        <f t="shared" si="100"/>
        <v/>
      </c>
      <c r="Y304">
        <f t="shared" si="101"/>
        <v>-0.70710678118654746</v>
      </c>
      <c r="Z304">
        <f t="shared" si="102"/>
        <v>0.70710678118654746</v>
      </c>
      <c r="AA304">
        <f t="shared" si="103"/>
        <v>-0.70710678118654746</v>
      </c>
      <c r="AB304">
        <f>IFERROR(V144+MATCH(AA304,V304:Z304,0)-1,"")</f>
        <v>2015</v>
      </c>
      <c r="AC304" t="str">
        <f t="shared" si="104"/>
        <v>Low</v>
      </c>
      <c r="AE304" t="str">
        <f>IF(ISNUMBER(MATCH("N/A",J304:N304,0)),"",IFERROR((5 * SUMPRODUCT(J144:N144,J304:N304) - PRODUCT(SUM(J144:N144),SUM(J304:N304))) / ((5 * SUM((J144^2)+(K144^2)+(L144^2)+(M144^2)+(N144^2))) - SUM(J144:N144)^2),""))</f>
        <v/>
      </c>
      <c r="AF304">
        <f>IFERROR(CORREL(J144:N144,J304:N304),"")</f>
        <v>1</v>
      </c>
      <c r="AZ304">
        <f t="shared" si="105"/>
        <v>1</v>
      </c>
      <c r="BA304" t="str">
        <f>IF(AZ304=1,IF(Q304="","",IF(Q304=N144,"Yes","No")),"")</f>
        <v>Yes</v>
      </c>
      <c r="BB304">
        <f t="shared" si="106"/>
        <v>69480000</v>
      </c>
      <c r="BC304" t="str">
        <f>IF(AZ304=1,IF(S304="","",IF(S304=N144,"Yes","No")),"")</f>
        <v>No</v>
      </c>
      <c r="BD304" t="str">
        <f t="shared" si="107"/>
        <v/>
      </c>
      <c r="BE304" t="str">
        <f t="shared" si="108"/>
        <v/>
      </c>
      <c r="BF304" t="str">
        <f t="shared" si="109"/>
        <v>No</v>
      </c>
      <c r="BG304" t="str">
        <f t="shared" si="110"/>
        <v>No</v>
      </c>
      <c r="BH304" t="str">
        <f t="shared" si="111"/>
        <v>Yes</v>
      </c>
    </row>
    <row r="305" spans="1:60" x14ac:dyDescent="0.3">
      <c r="A305" s="1">
        <v>10</v>
      </c>
      <c r="B305" t="s">
        <v>846</v>
      </c>
      <c r="C305" t="s">
        <v>264</v>
      </c>
      <c r="D305" t="s">
        <v>264</v>
      </c>
      <c r="E305" t="s">
        <v>264</v>
      </c>
      <c r="F305" t="s">
        <v>264</v>
      </c>
      <c r="G305" t="s">
        <v>3730</v>
      </c>
      <c r="I305" t="str">
        <f t="shared" si="88"/>
        <v>N/A</v>
      </c>
      <c r="J305" t="str">
        <f t="shared" si="89"/>
        <v>N/A</v>
      </c>
      <c r="K305" t="str">
        <f t="shared" si="90"/>
        <v>N/A</v>
      </c>
      <c r="L305" t="str">
        <f t="shared" si="91"/>
        <v>N/A</v>
      </c>
      <c r="M305" t="str">
        <f t="shared" si="92"/>
        <v>N/A</v>
      </c>
      <c r="N305">
        <f t="shared" si="93"/>
        <v>-3890000</v>
      </c>
      <c r="P305">
        <f t="shared" si="94"/>
        <v>-3890000</v>
      </c>
      <c r="Q305">
        <f>IFERROR(J144+MATCH(P305,J305:N305,0)-1,"")</f>
        <v>2016</v>
      </c>
      <c r="R305">
        <f t="shared" si="95"/>
        <v>-3890000</v>
      </c>
      <c r="S305">
        <f>IFERROR(J144+MATCH(R305,J305:N305,0)-1,"")</f>
        <v>2016</v>
      </c>
      <c r="T305">
        <f t="shared" si="96"/>
        <v>-3890000</v>
      </c>
      <c r="U305" t="str">
        <f t="shared" si="97"/>
        <v/>
      </c>
      <c r="V305" t="str">
        <f t="shared" si="98"/>
        <v/>
      </c>
      <c r="W305" t="str">
        <f t="shared" si="99"/>
        <v/>
      </c>
      <c r="X305" t="str">
        <f t="shared" si="100"/>
        <v/>
      </c>
      <c r="Y305" t="str">
        <f t="shared" si="101"/>
        <v/>
      </c>
      <c r="Z305" t="str">
        <f t="shared" si="102"/>
        <v/>
      </c>
      <c r="AA305">
        <f t="shared" si="103"/>
        <v>0</v>
      </c>
      <c r="AB305" t="str">
        <f>IFERROR(V144+MATCH(AA305,V305:Z305,0)-1,"")</f>
        <v/>
      </c>
      <c r="AC305" t="str">
        <f t="shared" si="104"/>
        <v/>
      </c>
      <c r="AE305" t="str">
        <f>IF(ISNUMBER(MATCH("N/A",J305:N305,0)),"",IFERROR((5 * SUMPRODUCT(J144:N144,J305:N305) - PRODUCT(SUM(J144:N144),SUM(J305:N305))) / ((5 * SUM((J144^2)+(K144^2)+(L144^2)+(M144^2)+(N144^2))) - SUM(J144:N144)^2),""))</f>
        <v/>
      </c>
      <c r="AF305" t="str">
        <f>IFERROR(CORREL(J144:N144,J305:N305),"")</f>
        <v/>
      </c>
      <c r="AZ305">
        <f t="shared" si="105"/>
        <v>0</v>
      </c>
      <c r="BA305" t="str">
        <f>IF(AZ305=1,IF(Q305="","",IF(Q305=N144,"Yes","No")),"")</f>
        <v/>
      </c>
      <c r="BB305" t="str">
        <f t="shared" si="106"/>
        <v/>
      </c>
      <c r="BC305" t="str">
        <f>IF(AZ305=1,IF(S305="","",IF(S305=N144,"Yes","No")),"")</f>
        <v/>
      </c>
      <c r="BD305" t="str">
        <f t="shared" si="107"/>
        <v/>
      </c>
      <c r="BE305" t="str">
        <f t="shared" si="108"/>
        <v/>
      </c>
      <c r="BF305" t="str">
        <f t="shared" si="109"/>
        <v>No</v>
      </c>
      <c r="BG305" t="str">
        <f t="shared" si="110"/>
        <v>No</v>
      </c>
      <c r="BH305" t="str">
        <f t="shared" si="111"/>
        <v/>
      </c>
    </row>
    <row r="306" spans="1:60" x14ac:dyDescent="0.3">
      <c r="A306" s="1">
        <v>11</v>
      </c>
      <c r="B306" t="s">
        <v>849</v>
      </c>
      <c r="C306" t="s">
        <v>264</v>
      </c>
      <c r="D306" t="s">
        <v>264</v>
      </c>
      <c r="E306" t="s">
        <v>264</v>
      </c>
      <c r="F306" t="s">
        <v>264</v>
      </c>
      <c r="G306" t="s">
        <v>264</v>
      </c>
      <c r="I306" t="str">
        <f t="shared" si="88"/>
        <v>N/A</v>
      </c>
      <c r="J306" t="str">
        <f t="shared" si="89"/>
        <v>N/A</v>
      </c>
      <c r="K306" t="str">
        <f t="shared" si="90"/>
        <v>N/A</v>
      </c>
      <c r="L306" t="str">
        <f t="shared" si="91"/>
        <v>N/A</v>
      </c>
      <c r="M306" t="str">
        <f t="shared" si="92"/>
        <v>N/A</v>
      </c>
      <c r="N306" t="str">
        <f t="shared" si="93"/>
        <v>N/A</v>
      </c>
      <c r="P306">
        <f t="shared" si="94"/>
        <v>0</v>
      </c>
      <c r="Q306" t="str">
        <f>IFERROR(J144+MATCH(P306,J306:N306,0)-1,"")</f>
        <v/>
      </c>
      <c r="R306" t="str">
        <f t="shared" si="95"/>
        <v/>
      </c>
      <c r="S306" t="str">
        <f>IFERROR(J144+MATCH(R306,J306:N306,0)-1,"")</f>
        <v/>
      </c>
      <c r="T306" t="str">
        <f t="shared" si="96"/>
        <v/>
      </c>
      <c r="U306" t="str">
        <f t="shared" si="97"/>
        <v/>
      </c>
      <c r="V306" t="str">
        <f t="shared" si="98"/>
        <v/>
      </c>
      <c r="W306" t="str">
        <f t="shared" si="99"/>
        <v/>
      </c>
      <c r="X306" t="str">
        <f t="shared" si="100"/>
        <v/>
      </c>
      <c r="Y306" t="str">
        <f t="shared" si="101"/>
        <v/>
      </c>
      <c r="Z306" t="str">
        <f t="shared" si="102"/>
        <v/>
      </c>
      <c r="AA306">
        <f t="shared" si="103"/>
        <v>0</v>
      </c>
      <c r="AB306" t="str">
        <f>IFERROR(V144+MATCH(AA306,V306:Z306,0)-1,"")</f>
        <v/>
      </c>
      <c r="AC306" t="str">
        <f t="shared" si="104"/>
        <v/>
      </c>
      <c r="AE306" t="str">
        <f>IF(ISNUMBER(MATCH("N/A",J306:N306,0)),"",IFERROR((5 * SUMPRODUCT(J144:N144,J306:N306) - PRODUCT(SUM(J144:N144),SUM(J306:N306))) / ((5 * SUM((J144^2)+(K144^2)+(L144^2)+(M144^2)+(N144^2))) - SUM(J144:N144)^2),""))</f>
        <v/>
      </c>
      <c r="AF306" t="str">
        <f>IFERROR(CORREL(J144:N144,J306:N306),"")</f>
        <v/>
      </c>
      <c r="AZ306">
        <f t="shared" si="105"/>
        <v>0</v>
      </c>
      <c r="BA306" t="str">
        <f>IF(AZ306=1,IF(Q306="","",IF(Q306=N144,"Yes","No")),"")</f>
        <v/>
      </c>
      <c r="BB306" t="str">
        <f t="shared" si="106"/>
        <v/>
      </c>
      <c r="BC306" t="str">
        <f>IF(AZ306=1,IF(S306="","",IF(S306=N144,"Yes","No")),"")</f>
        <v/>
      </c>
      <c r="BD306" t="str">
        <f t="shared" si="107"/>
        <v/>
      </c>
      <c r="BE306" t="str">
        <f t="shared" si="108"/>
        <v/>
      </c>
      <c r="BF306" t="str">
        <f t="shared" si="109"/>
        <v>No</v>
      </c>
      <c r="BG306" t="str">
        <f t="shared" si="110"/>
        <v>No</v>
      </c>
      <c r="BH306" t="str">
        <f t="shared" si="111"/>
        <v/>
      </c>
    </row>
    <row r="307" spans="1:60" x14ac:dyDescent="0.3">
      <c r="A307" s="1">
        <v>12</v>
      </c>
      <c r="B307" t="s">
        <v>852</v>
      </c>
      <c r="C307" t="s">
        <v>3731</v>
      </c>
      <c r="D307" t="s">
        <v>3732</v>
      </c>
      <c r="E307" t="s">
        <v>3733</v>
      </c>
      <c r="F307" t="s">
        <v>3734</v>
      </c>
      <c r="G307" t="s">
        <v>3735</v>
      </c>
      <c r="I307" t="str">
        <f t="shared" si="88"/>
        <v>N/A</v>
      </c>
      <c r="J307">
        <f t="shared" si="89"/>
        <v>-39540000</v>
      </c>
      <c r="K307">
        <f t="shared" si="90"/>
        <v>-55920000</v>
      </c>
      <c r="L307">
        <f t="shared" si="91"/>
        <v>-48500000</v>
      </c>
      <c r="M307">
        <f t="shared" si="92"/>
        <v>-11010000</v>
      </c>
      <c r="N307">
        <f t="shared" si="93"/>
        <v>-61400000</v>
      </c>
      <c r="P307">
        <f t="shared" si="94"/>
        <v>-11010000</v>
      </c>
      <c r="Q307">
        <f>IFERROR(J144+MATCH(P307,J307:N307,0)-1,"")</f>
        <v>2015</v>
      </c>
      <c r="R307">
        <f t="shared" si="95"/>
        <v>-61400000</v>
      </c>
      <c r="S307">
        <f>IFERROR(J144+MATCH(R307,J307:N307,0)-1,"")</f>
        <v>2016</v>
      </c>
      <c r="T307">
        <f t="shared" si="96"/>
        <v>-43274000</v>
      </c>
      <c r="U307">
        <f t="shared" si="97"/>
        <v>19815982.943068963</v>
      </c>
      <c r="V307">
        <f t="shared" si="98"/>
        <v>0.18843375121626463</v>
      </c>
      <c r="W307">
        <f t="shared" si="99"/>
        <v>-0.63817172412449985</v>
      </c>
      <c r="X307">
        <f t="shared" si="100"/>
        <v>-0.26372650879919629</v>
      </c>
      <c r="Y307">
        <f t="shared" si="101"/>
        <v>1.6281806505735301</v>
      </c>
      <c r="Z307">
        <f t="shared" si="102"/>
        <v>-0.91471616886609863</v>
      </c>
      <c r="AA307">
        <f t="shared" si="103"/>
        <v>1.6281806505735301</v>
      </c>
      <c r="AB307">
        <f>IFERROR(V144+MATCH(AA307,V307:Z307,0)-1,"")</f>
        <v>2015</v>
      </c>
      <c r="AC307" t="str">
        <f t="shared" si="104"/>
        <v>High</v>
      </c>
      <c r="AE307">
        <f>IF(ISNUMBER(MATCH("N/A",J307:N307,0)),"",IFERROR((5 * SUMPRODUCT(J144:N144,J307:N307) - PRODUCT(SUM(J144:N144),SUM(J307:N307))) / ((5 * SUM((J144^2)+(K144^2)+(L144^2)+(M144^2)+(N144^2))) - SUM(J144:N144)^2),""))</f>
        <v>119000</v>
      </c>
      <c r="AF307">
        <f>IFERROR(CORREL(J144:N144,J307:N307),"")</f>
        <v>9.4951394195577736E-3</v>
      </c>
      <c r="AZ307">
        <f t="shared" si="105"/>
        <v>1</v>
      </c>
      <c r="BA307" t="str">
        <f>IF(AZ307=1,IF(Q307="","",IF(Q307=N144,"Yes","No")),"")</f>
        <v>No</v>
      </c>
      <c r="BB307" t="str">
        <f t="shared" si="106"/>
        <v/>
      </c>
      <c r="BC307" t="str">
        <f>IF(AZ307=1,IF(S307="","",IF(S307=N144,"Yes","No")),"")</f>
        <v>Yes</v>
      </c>
      <c r="BD307">
        <f t="shared" si="107"/>
        <v>-61400000</v>
      </c>
      <c r="BE307" t="str">
        <f t="shared" si="108"/>
        <v>Increasing</v>
      </c>
      <c r="BF307" t="str">
        <f t="shared" si="109"/>
        <v>No</v>
      </c>
      <c r="BG307" t="str">
        <f t="shared" si="110"/>
        <v>No</v>
      </c>
      <c r="BH307" t="str">
        <f t="shared" si="111"/>
        <v>No</v>
      </c>
    </row>
    <row r="308" spans="1:60" x14ac:dyDescent="0.3">
      <c r="A308" s="1">
        <v>13</v>
      </c>
      <c r="B308" t="s">
        <v>858</v>
      </c>
      <c r="C308" t="s">
        <v>264</v>
      </c>
      <c r="D308" t="s">
        <v>3736</v>
      </c>
      <c r="E308" t="s">
        <v>3737</v>
      </c>
      <c r="F308" t="s">
        <v>3738</v>
      </c>
      <c r="G308" t="s">
        <v>3739</v>
      </c>
      <c r="I308" t="str">
        <f t="shared" si="88"/>
        <v>N/A</v>
      </c>
      <c r="J308" t="str">
        <f t="shared" si="89"/>
        <v>N/A</v>
      </c>
      <c r="K308">
        <f t="shared" si="90"/>
        <v>-0.41420000000000001</v>
      </c>
      <c r="L308">
        <f t="shared" si="91"/>
        <v>0.13269999999999998</v>
      </c>
      <c r="M308">
        <f t="shared" si="92"/>
        <v>0.77290000000000003</v>
      </c>
      <c r="N308">
        <f t="shared" si="93"/>
        <v>-4.5752999999999995</v>
      </c>
      <c r="P308">
        <f t="shared" si="94"/>
        <v>0.77290000000000003</v>
      </c>
      <c r="Q308">
        <f>IFERROR(J144+MATCH(P308,J308:N308,0)-1,"")</f>
        <v>2015</v>
      </c>
      <c r="R308">
        <f t="shared" si="95"/>
        <v>-4.5752999999999995</v>
      </c>
      <c r="S308">
        <f>IFERROR(J144+MATCH(R308,J308:N308,0)-1,"")</f>
        <v>2016</v>
      </c>
      <c r="T308">
        <f t="shared" si="96"/>
        <v>-1.020975</v>
      </c>
      <c r="U308">
        <f t="shared" si="97"/>
        <v>2.4187018300112975</v>
      </c>
      <c r="V308" t="str">
        <f t="shared" si="98"/>
        <v/>
      </c>
      <c r="W308">
        <f t="shared" si="99"/>
        <v>0.2508680451931381</v>
      </c>
      <c r="X308">
        <f t="shared" si="100"/>
        <v>0.47698107542036766</v>
      </c>
      <c r="Y308">
        <f t="shared" si="101"/>
        <v>0.74166851727714656</v>
      </c>
      <c r="Z308">
        <f t="shared" si="102"/>
        <v>-1.469517637890652</v>
      </c>
      <c r="AA308">
        <f t="shared" si="103"/>
        <v>-1.469517637890652</v>
      </c>
      <c r="AB308">
        <f>IFERROR(V144+MATCH(AA308,V308:Z308,0)-1,"")</f>
        <v>2016</v>
      </c>
      <c r="AC308" t="str">
        <f t="shared" si="104"/>
        <v>Low</v>
      </c>
      <c r="AE308" t="str">
        <f>IF(ISNUMBER(MATCH("N/A",J308:N308,0)),"",IFERROR((5 * SUMPRODUCT(J144:N144,J308:N308) - PRODUCT(SUM(J144:N144),SUM(J308:N308))) / ((5 * SUM((J144^2)+(K144^2)+(L144^2)+(M144^2)+(N144^2))) - SUM(J144:N144)^2),""))</f>
        <v/>
      </c>
      <c r="AF308">
        <f>IFERROR(CORREL(J144:N144,J308:N308),"")</f>
        <v>-0.63213150815500085</v>
      </c>
      <c r="AZ308">
        <f t="shared" si="105"/>
        <v>1</v>
      </c>
      <c r="BA308" t="str">
        <f>IF(AZ308=1,IF(Q308="","",IF(Q308=N144,"Yes","No")),"")</f>
        <v>No</v>
      </c>
      <c r="BB308" t="str">
        <f t="shared" si="106"/>
        <v/>
      </c>
      <c r="BC308" t="str">
        <f>IF(AZ308=1,IF(S308="","",IF(S308=N144,"Yes","No")),"")</f>
        <v>Yes</v>
      </c>
      <c r="BD308">
        <f t="shared" si="107"/>
        <v>-4.5752999999999995</v>
      </c>
      <c r="BE308" t="str">
        <f t="shared" si="108"/>
        <v/>
      </c>
      <c r="BF308" t="str">
        <f t="shared" si="109"/>
        <v>No</v>
      </c>
      <c r="BG308" t="str">
        <f t="shared" si="110"/>
        <v>No</v>
      </c>
      <c r="BH308" t="str">
        <f t="shared" si="111"/>
        <v>No</v>
      </c>
    </row>
    <row r="309" spans="1:60" x14ac:dyDescent="0.3">
      <c r="A309" s="1">
        <v>14</v>
      </c>
      <c r="B309" t="s">
        <v>3740</v>
      </c>
      <c r="C309" t="s">
        <v>3741</v>
      </c>
      <c r="D309" t="s">
        <v>3742</v>
      </c>
      <c r="E309" t="s">
        <v>3743</v>
      </c>
      <c r="F309" t="s">
        <v>3744</v>
      </c>
      <c r="G309" t="s">
        <v>3745</v>
      </c>
      <c r="I309" t="str">
        <f t="shared" si="88"/>
        <v>N/A</v>
      </c>
      <c r="J309">
        <f t="shared" si="89"/>
        <v>-0.84560000000000002</v>
      </c>
      <c r="K309">
        <f t="shared" si="90"/>
        <v>-1.2459</v>
      </c>
      <c r="L309">
        <f t="shared" si="91"/>
        <v>-1.0525</v>
      </c>
      <c r="M309">
        <f t="shared" si="92"/>
        <v>-0.2172</v>
      </c>
      <c r="N309">
        <f t="shared" si="93"/>
        <v>-1.1461000000000001</v>
      </c>
      <c r="P309">
        <f t="shared" si="94"/>
        <v>-0.2172</v>
      </c>
      <c r="Q309">
        <f>IFERROR(J144+MATCH(P309,J309:N309,0)-1,"")</f>
        <v>2015</v>
      </c>
      <c r="R309">
        <f t="shared" si="95"/>
        <v>-1.2459</v>
      </c>
      <c r="S309">
        <f>IFERROR(J144+MATCH(R309,J309:N309,0)-1,"")</f>
        <v>2013</v>
      </c>
      <c r="T309">
        <f t="shared" si="96"/>
        <v>-0.90146000000000015</v>
      </c>
      <c r="U309">
        <f t="shared" si="97"/>
        <v>0.41007097312538437</v>
      </c>
      <c r="V309">
        <f t="shared" si="98"/>
        <v>0.1362203219951397</v>
      </c>
      <c r="W309">
        <f t="shared" si="99"/>
        <v>-0.83995216090235914</v>
      </c>
      <c r="X309">
        <f t="shared" si="100"/>
        <v>-0.36832648467858625</v>
      </c>
      <c r="Y309">
        <f t="shared" si="101"/>
        <v>1.6686379793840687</v>
      </c>
      <c r="Z309">
        <f t="shared" si="102"/>
        <v>-0.59657965579826155</v>
      </c>
      <c r="AA309">
        <f t="shared" si="103"/>
        <v>1.6686379793840687</v>
      </c>
      <c r="AB309">
        <f>IFERROR(V144+MATCH(AA309,V309:Z309,0)-1,"")</f>
        <v>2015</v>
      </c>
      <c r="AC309" t="str">
        <f t="shared" si="104"/>
        <v>High</v>
      </c>
      <c r="AE309">
        <f>IF(ISNUMBER(MATCH("N/A",J309:N309,0)),"",IFERROR((5 * SUMPRODUCT(J144:N144,J309:N309) - PRODUCT(SUM(J144:N144),SUM(J309:N309))) / ((5 * SUM((J144^2)+(K144^2)+(L144^2)+(M144^2)+(N144^2))) - SUM(J144:N144)^2),""))</f>
        <v>4.2770000000018626E-2</v>
      </c>
      <c r="AF309">
        <f>IFERROR(CORREL(J144:N144,J309:N309),"")</f>
        <v>0.16491122804252567</v>
      </c>
      <c r="AZ309">
        <f t="shared" si="105"/>
        <v>1</v>
      </c>
      <c r="BA309" t="str">
        <f>IF(AZ309=1,IF(Q309="","",IF(Q309=N144,"Yes","No")),"")</f>
        <v>No</v>
      </c>
      <c r="BB309" t="str">
        <f t="shared" si="106"/>
        <v/>
      </c>
      <c r="BC309" t="str">
        <f>IF(AZ309=1,IF(S309="","",IF(S309=N144,"Yes","No")),"")</f>
        <v>No</v>
      </c>
      <c r="BD309" t="str">
        <f t="shared" si="107"/>
        <v/>
      </c>
      <c r="BE309" t="str">
        <f t="shared" si="108"/>
        <v>Increasing</v>
      </c>
      <c r="BF309" t="str">
        <f t="shared" si="109"/>
        <v>No</v>
      </c>
      <c r="BG309" t="str">
        <f t="shared" si="110"/>
        <v>No</v>
      </c>
      <c r="BH309" t="str">
        <f t="shared" si="111"/>
        <v>No</v>
      </c>
    </row>
    <row r="310" spans="1:60" x14ac:dyDescent="0.3">
      <c r="I310" t="str">
        <f t="shared" si="88"/>
        <v>N/A</v>
      </c>
      <c r="J310" t="str">
        <f t="shared" si="89"/>
        <v>N/A</v>
      </c>
      <c r="K310" t="str">
        <f t="shared" si="90"/>
        <v>N/A</v>
      </c>
      <c r="L310" t="str">
        <f t="shared" si="91"/>
        <v>N/A</v>
      </c>
      <c r="M310" t="str">
        <f t="shared" si="92"/>
        <v>N/A</v>
      </c>
      <c r="N310" t="str">
        <f t="shared" si="93"/>
        <v>N/A</v>
      </c>
      <c r="P310">
        <f t="shared" si="94"/>
        <v>0</v>
      </c>
      <c r="Q310" t="str">
        <f>IFERROR(J144+MATCH(P310,J310:N310,0)-1,"")</f>
        <v/>
      </c>
      <c r="R310" t="str">
        <f t="shared" si="95"/>
        <v/>
      </c>
      <c r="S310" t="str">
        <f>IFERROR(J144+MATCH(R310,J310:N310,0)-1,"")</f>
        <v/>
      </c>
      <c r="T310" t="str">
        <f t="shared" si="96"/>
        <v/>
      </c>
      <c r="U310" t="str">
        <f t="shared" si="97"/>
        <v/>
      </c>
      <c r="V310" t="str">
        <f t="shared" si="98"/>
        <v/>
      </c>
      <c r="W310" t="str">
        <f t="shared" si="99"/>
        <v/>
      </c>
      <c r="X310" t="str">
        <f t="shared" si="100"/>
        <v/>
      </c>
      <c r="Y310" t="str">
        <f t="shared" si="101"/>
        <v/>
      </c>
      <c r="Z310" t="str">
        <f t="shared" si="102"/>
        <v/>
      </c>
      <c r="AA310">
        <f t="shared" si="103"/>
        <v>0</v>
      </c>
      <c r="AB310" t="str">
        <f>IFERROR(V144+MATCH(AA310,V310:Z310,0)-1,"")</f>
        <v/>
      </c>
      <c r="AC310" t="str">
        <f t="shared" si="104"/>
        <v/>
      </c>
      <c r="AE310" t="str">
        <f>IF(ISNUMBER(MATCH("N/A",J310:N310,0)),"",IFERROR((5 * SUMPRODUCT(J144:N144,J310:N310) - PRODUCT(SUM(J144:N144),SUM(J310:N310))) / ((5 * SUM((J144^2)+(K144^2)+(L144^2)+(M144^2)+(N144^2))) - SUM(J144:N144)^2),""))</f>
        <v/>
      </c>
      <c r="AF310" t="str">
        <f>IFERROR(CORREL(J144:N144,J310:N310),"")</f>
        <v/>
      </c>
      <c r="AZ310">
        <f t="shared" si="105"/>
        <v>0</v>
      </c>
      <c r="BA310" t="str">
        <f>IF(AZ310=1,IF(Q310="","",IF(Q310=N144,"Yes","No")),"")</f>
        <v/>
      </c>
      <c r="BB310" t="str">
        <f t="shared" si="106"/>
        <v/>
      </c>
      <c r="BC310" t="str">
        <f>IF(AZ310=1,IF(S310="","",IF(S310=N144,"Yes","No")),"")</f>
        <v/>
      </c>
      <c r="BD310" t="str">
        <f t="shared" si="107"/>
        <v/>
      </c>
      <c r="BE310" t="str">
        <f t="shared" si="108"/>
        <v/>
      </c>
      <c r="BF310" t="str">
        <f t="shared" si="109"/>
        <v>No</v>
      </c>
      <c r="BG310" t="str">
        <f t="shared" si="110"/>
        <v>No</v>
      </c>
      <c r="BH310" t="str">
        <f t="shared" si="111"/>
        <v/>
      </c>
    </row>
    <row r="311" spans="1:60" x14ac:dyDescent="0.3">
      <c r="B311" s="1" t="s">
        <v>316</v>
      </c>
      <c r="C311" s="1" t="s">
        <v>252</v>
      </c>
      <c r="D311" s="1" t="s">
        <v>253</v>
      </c>
      <c r="E311" s="1" t="s">
        <v>254</v>
      </c>
      <c r="F311" s="1" t="s">
        <v>255</v>
      </c>
      <c r="G311" s="1" t="s">
        <v>256</v>
      </c>
      <c r="H311" s="1" t="s">
        <v>257</v>
      </c>
      <c r="P311">
        <f t="shared" si="94"/>
        <v>0</v>
      </c>
      <c r="Q311" t="str">
        <f>IFERROR(J144+MATCH(P311,J311:N311,0)-1,"")</f>
        <v/>
      </c>
      <c r="R311" t="str">
        <f t="shared" si="95"/>
        <v/>
      </c>
      <c r="S311" t="str">
        <f>IFERROR(J144+MATCH(R311,J311:N311,0)-1,"")</f>
        <v/>
      </c>
      <c r="T311" t="str">
        <f t="shared" si="96"/>
        <v/>
      </c>
      <c r="U311" t="str">
        <f t="shared" si="97"/>
        <v/>
      </c>
      <c r="V311" t="str">
        <f t="shared" si="98"/>
        <v/>
      </c>
      <c r="W311" t="str">
        <f t="shared" si="99"/>
        <v/>
      </c>
      <c r="X311" t="str">
        <f t="shared" si="100"/>
        <v/>
      </c>
      <c r="Y311" t="str">
        <f t="shared" si="101"/>
        <v/>
      </c>
      <c r="Z311" t="str">
        <f t="shared" si="102"/>
        <v/>
      </c>
      <c r="AA311">
        <f t="shared" si="103"/>
        <v>0</v>
      </c>
      <c r="AB311" t="str">
        <f>IFERROR(V144+MATCH(AA311,V311:Z311,0)-1,"")</f>
        <v/>
      </c>
      <c r="AC311" t="str">
        <f t="shared" si="104"/>
        <v/>
      </c>
      <c r="AE311">
        <f>IF(ISNUMBER(MATCH("N/A",J311:N311,0)),"",IFERROR((5 * SUMPRODUCT(J144:N144,J311:N311) - PRODUCT(SUM(J144:N144),SUM(J311:N311))) / ((5 * SUM((J144^2)+(K144^2)+(L144^2)+(M144^2)+(N144^2))) - SUM(J144:N144)^2),""))</f>
        <v>0</v>
      </c>
      <c r="AF311" t="str">
        <f>IFERROR(CORREL(J144:N144,J311:N311),"")</f>
        <v/>
      </c>
      <c r="AZ311">
        <f t="shared" si="105"/>
        <v>0</v>
      </c>
      <c r="BA311" t="str">
        <f>IF(AZ311=1,IF(Q311="","",IF(Q311=N144,"Yes","No")),"")</f>
        <v/>
      </c>
      <c r="BB311" t="str">
        <f t="shared" si="106"/>
        <v/>
      </c>
      <c r="BC311" t="str">
        <f>IF(AZ311=1,IF(S311="","",IF(S311=N144,"Yes","No")),"")</f>
        <v/>
      </c>
      <c r="BD311" t="str">
        <f t="shared" si="107"/>
        <v/>
      </c>
      <c r="BE311" t="str">
        <f t="shared" si="108"/>
        <v/>
      </c>
      <c r="BF311" t="str">
        <f t="shared" si="109"/>
        <v>No</v>
      </c>
      <c r="BG311" t="str">
        <f t="shared" si="110"/>
        <v>No</v>
      </c>
      <c r="BH311" t="str">
        <f t="shared" si="111"/>
        <v/>
      </c>
    </row>
    <row r="312" spans="1:60" x14ac:dyDescent="0.3">
      <c r="A312" s="1">
        <v>0</v>
      </c>
      <c r="B312" t="s">
        <v>868</v>
      </c>
      <c r="C312" t="s">
        <v>3746</v>
      </c>
      <c r="D312" t="s">
        <v>3747</v>
      </c>
      <c r="E312" t="s">
        <v>3748</v>
      </c>
      <c r="F312" t="s">
        <v>3749</v>
      </c>
      <c r="G312" t="s">
        <v>3750</v>
      </c>
      <c r="I312" t="str">
        <f t="shared" ref="I312:I327" si="112">IF(AND(K312&gt; J312, L312&gt; K312, M312&gt; L312, N312&gt; M312), "pos_trend", IF(AND(K312&lt; J312, L312&lt; K312, M312&lt; L312, N312&lt; M312), "neg_trend", "N/A"))</f>
        <v>N/A</v>
      </c>
      <c r="J312">
        <f t="shared" ref="J312:J327" si="113">IFERROR(IF(TRIM(C312)="-", "N/A", IF(RIGHT(C312,1)=")",IF(RIGHT(C312,2)="T)",-1000000000000*VALUE(MID(C312,2,LEN(C312)-3)),IF(RIGHT(C312,2)="M)",-1000000*VALUE(MID(C312,2,LEN(C312)-3)),IF(RIGHT(C312,2)="B)",-1000000000*VALUE(MID(C312,2,LEN(C312)-3)),IF(RIGHT(C312,2)="k)",-1000*VALUE(MID(C312,2,LEN(C312)-3)),VALUE(SUBSTITUTE(C312,",","")))))),IF(RIGHT(C312,1)="T",1000000000000*VALUE(LEFT(C312,LEN(C312)-1)),IF(RIGHT(C312,1)="M",1000000*VALUE(LEFT(C312,LEN(C312)-1)),IF(RIGHT(C312,1)="B",1000000000*VALUE(LEFT(C312,LEN(C312)-1)),IF(RIGHT(C312,1)="%",0.01*VALUE(LEFT(C312,LEN(C312)-1)),IF(RIGHT(C312,1)="k",1000*VALUE(LEFT(C312,LEN(C312)-1)),VALUE(SUBSTITUTE(C312,",",""))))))))),"N/A")</f>
        <v>-2080000</v>
      </c>
      <c r="K312">
        <f t="shared" ref="K312:K327" si="114">IFERROR(IF(TRIM(D312)="-", "N/A", IF(RIGHT(D312,1)=")",IF(RIGHT(D312,2)="T)",-1000000000000*VALUE(MID(D312,2,LEN(D312)-3)),IF(RIGHT(D312,2)="M)",-1000000*VALUE(MID(D312,2,LEN(D312)-3)),IF(RIGHT(D312,2)="B)",-1000000000*VALUE(MID(D312,2,LEN(D312)-3)),IF(RIGHT(D312,2)="k)",-1000*VALUE(MID(D312,2,LEN(D312)-3)),VALUE(SUBSTITUTE(D312,",","")))))),IF(RIGHT(D312,1)="T",1000000000000*VALUE(LEFT(D312,LEN(D312)-1)),IF(RIGHT(D312,1)="M",1000000*VALUE(LEFT(D312,LEN(D312)-1)),IF(RIGHT(D312,1)="B",1000000000*VALUE(LEFT(D312,LEN(D312)-1)),IF(RIGHT(D312,1)="%",0.01*VALUE(LEFT(D312,LEN(D312)-1)),IF(RIGHT(D312,1)="k",1000*VALUE(LEFT(D312,LEN(D312)-1)),VALUE(SUBSTITUTE(D312,",",""))))))))),"N/A")</f>
        <v>-2320000</v>
      </c>
      <c r="L312">
        <f t="shared" ref="L312:L327" si="115">IFERROR(IF(TRIM(E312)="-", "N/A", IF(RIGHT(E312,1)=")",IF(RIGHT(E312,2)="T)",-1000000000000*VALUE(MID(E312,2,LEN(E312)-3)),IF(RIGHT(E312,2)="M)",-1000000*VALUE(MID(E312,2,LEN(E312)-3)),IF(RIGHT(E312,2)="B)",-1000000000*VALUE(MID(E312,2,LEN(E312)-3)),IF(RIGHT(E312,2)="k)",-1000*VALUE(MID(E312,2,LEN(E312)-3)),VALUE(SUBSTITUTE(E312,",","")))))),IF(RIGHT(E312,1)="T",1000000000000*VALUE(LEFT(E312,LEN(E312)-1)),IF(RIGHT(E312,1)="M",1000000*VALUE(LEFT(E312,LEN(E312)-1)),IF(RIGHT(E312,1)="B",1000000000*VALUE(LEFT(E312,LEN(E312)-1)),IF(RIGHT(E312,1)="%",0.01*VALUE(LEFT(E312,LEN(E312)-1)),IF(RIGHT(E312,1)="k",1000*VALUE(LEFT(E312,LEN(E312)-1)),VALUE(SUBSTITUTE(E312,",",""))))))))),"N/A")</f>
        <v>-3340000</v>
      </c>
      <c r="M312">
        <f t="shared" ref="M312:M327" si="116">IFERROR(IF(TRIM(F312)="-", "N/A", IF(RIGHT(F312,1)=")",IF(RIGHT(F312,2)="T)",-1000000000000*VALUE(MID(F312,2,LEN(F312)-3)),IF(RIGHT(F312,2)="M)",-1000000*VALUE(MID(F312,2,LEN(F312)-3)),IF(RIGHT(F312,2)="B)",-1000000000*VALUE(MID(F312,2,LEN(F312)-3)),IF(RIGHT(F312,2)="k)",-1000*VALUE(MID(F312,2,LEN(F312)-3)),VALUE(SUBSTITUTE(F312,",","")))))),IF(RIGHT(F312,1)="T",1000000000000*VALUE(LEFT(F312,LEN(F312)-1)),IF(RIGHT(F312,1)="M",1000000*VALUE(LEFT(F312,LEN(F312)-1)),IF(RIGHT(F312,1)="B",1000000000*VALUE(LEFT(F312,LEN(F312)-1)),IF(RIGHT(F312,1)="%",0.01*VALUE(LEFT(F312,LEN(F312)-1)),IF(RIGHT(F312,1)="k",1000*VALUE(LEFT(F312,LEN(F312)-1)),VALUE(SUBSTITUTE(F312,",",""))))))))),"N/A")</f>
        <v>-3140000</v>
      </c>
      <c r="N312">
        <f t="shared" ref="N312:N327" si="117">IFERROR(IF(TRIM(G312)="-", "N/A", IF(RIGHT(G312,1)=")",IF(RIGHT(G312,2)="T)",-1000000000000*VALUE(MID(G312,2,LEN(G312)-3)),IF(RIGHT(G312,2)="M)",-1000000*VALUE(MID(G312,2,LEN(G312)-3)),IF(RIGHT(G312,2)="B)",-1000000000*VALUE(MID(G312,2,LEN(G312)-3)),IF(RIGHT(G312,2)="k)",-1000*VALUE(MID(G312,2,LEN(G312)-3)),VALUE(SUBSTITUTE(G312,",","")))))),IF(RIGHT(G312,1)="T",1000000000000*VALUE(LEFT(G312,LEN(G312)-1)),IF(RIGHT(G312,1)="M",1000000*VALUE(LEFT(G312,LEN(G312)-1)),IF(RIGHT(G312,1)="B",1000000000*VALUE(LEFT(G312,LEN(G312)-1)),IF(RIGHT(G312,1)="%",0.01*VALUE(LEFT(G312,LEN(G312)-1)),IF(RIGHT(G312,1)="k",1000*VALUE(LEFT(G312,LEN(G312)-1)),VALUE(SUBSTITUTE(G312,",",""))))))))),"N/A")</f>
        <v>-3250000</v>
      </c>
      <c r="P312">
        <f t="shared" si="94"/>
        <v>-2080000</v>
      </c>
      <c r="Q312">
        <f>IFERROR(J144+MATCH(P312,J312:N312,0)-1,"")</f>
        <v>2012</v>
      </c>
      <c r="R312">
        <f t="shared" si="95"/>
        <v>-3340000</v>
      </c>
      <c r="S312">
        <f>IFERROR(J144+MATCH(R312,J312:N312,0)-1,"")</f>
        <v>2014</v>
      </c>
      <c r="T312">
        <f t="shared" si="96"/>
        <v>-2826000</v>
      </c>
      <c r="U312">
        <f t="shared" si="97"/>
        <v>582048.10797733895</v>
      </c>
      <c r="V312">
        <f t="shared" si="98"/>
        <v>1.2816809981436177</v>
      </c>
      <c r="W312">
        <f t="shared" si="99"/>
        <v>0.86934394780250746</v>
      </c>
      <c r="X312">
        <f t="shared" si="100"/>
        <v>-0.88308851614721118</v>
      </c>
      <c r="Y312">
        <f t="shared" si="101"/>
        <v>-0.53947430752961922</v>
      </c>
      <c r="Z312">
        <f t="shared" si="102"/>
        <v>-0.72846212226929485</v>
      </c>
      <c r="AA312">
        <f t="shared" si="103"/>
        <v>1.2816809981436177</v>
      </c>
      <c r="AB312">
        <f>IFERROR(V144+MATCH(AA312,V312:Z312,0)-1,"")</f>
        <v>2012</v>
      </c>
      <c r="AC312" t="str">
        <f t="shared" si="104"/>
        <v>High</v>
      </c>
      <c r="AE312">
        <f>IF(ISNUMBER(MATCH("N/A",J312:N312,0)),"",IFERROR((5 * SUMPRODUCT(J144:N144,J312:N312) - PRODUCT(SUM(J144:N144),SUM(J312:N312))) / ((5 * SUM((J144^2)+(K144^2)+(L144^2)+(M144^2)+(N144^2))) - SUM(J144:N144)^2),""))</f>
        <v>-316000</v>
      </c>
      <c r="AF312">
        <f>IFERROR(CORREL(J144:N144,J312:N312),"")</f>
        <v>-0.85841679314599972</v>
      </c>
      <c r="AZ312">
        <f t="shared" si="105"/>
        <v>1</v>
      </c>
      <c r="BA312" t="str">
        <f>IF(AZ312=1,IF(Q312="","",IF(Q312=N144,"Yes","No")),"")</f>
        <v>No</v>
      </c>
      <c r="BB312" t="str">
        <f t="shared" si="106"/>
        <v/>
      </c>
      <c r="BC312" t="str">
        <f>IF(AZ312=1,IF(S312="","",IF(S312=N144,"Yes","No")),"")</f>
        <v>No</v>
      </c>
      <c r="BD312" t="str">
        <f t="shared" si="107"/>
        <v/>
      </c>
      <c r="BE312" t="str">
        <f t="shared" si="108"/>
        <v>Decreasing</v>
      </c>
      <c r="BF312" t="str">
        <f t="shared" si="109"/>
        <v>No</v>
      </c>
      <c r="BG312" t="str">
        <f t="shared" si="110"/>
        <v>No</v>
      </c>
      <c r="BH312" t="str">
        <f t="shared" si="111"/>
        <v>Yes</v>
      </c>
    </row>
    <row r="313" spans="1:60" x14ac:dyDescent="0.3">
      <c r="A313" s="1">
        <v>1</v>
      </c>
      <c r="B313" t="s">
        <v>874</v>
      </c>
      <c r="C313" t="s">
        <v>3751</v>
      </c>
      <c r="D313" t="s">
        <v>3752</v>
      </c>
      <c r="E313" t="s">
        <v>2348</v>
      </c>
      <c r="F313" t="s">
        <v>3753</v>
      </c>
      <c r="G313" t="s">
        <v>3754</v>
      </c>
      <c r="I313" t="str">
        <f t="shared" si="112"/>
        <v>neg_trend</v>
      </c>
      <c r="J313">
        <f t="shared" si="113"/>
        <v>-925000</v>
      </c>
      <c r="K313">
        <f t="shared" si="114"/>
        <v>-1160000</v>
      </c>
      <c r="L313">
        <f t="shared" si="115"/>
        <v>-1470000</v>
      </c>
      <c r="M313">
        <f t="shared" si="116"/>
        <v>-1560000</v>
      </c>
      <c r="N313">
        <f t="shared" si="117"/>
        <v>-1750000</v>
      </c>
      <c r="P313">
        <f t="shared" si="94"/>
        <v>-925000</v>
      </c>
      <c r="Q313">
        <f>IFERROR(J144+MATCH(P313,J313:N313,0)-1,"")</f>
        <v>2012</v>
      </c>
      <c r="R313">
        <f t="shared" si="95"/>
        <v>-1750000</v>
      </c>
      <c r="S313">
        <f>IFERROR(J144+MATCH(R313,J313:N313,0)-1,"")</f>
        <v>2016</v>
      </c>
      <c r="T313">
        <f t="shared" si="96"/>
        <v>-1373000</v>
      </c>
      <c r="U313">
        <f t="shared" si="97"/>
        <v>328854.07097981923</v>
      </c>
      <c r="V313">
        <f t="shared" si="98"/>
        <v>1.3623063830871427</v>
      </c>
      <c r="W313">
        <f t="shared" si="99"/>
        <v>0.6477037044588424</v>
      </c>
      <c r="X313">
        <f t="shared" si="100"/>
        <v>-0.29496365883806436</v>
      </c>
      <c r="Y313">
        <f t="shared" si="101"/>
        <v>-0.56864128044039208</v>
      </c>
      <c r="Z313">
        <f t="shared" si="102"/>
        <v>-1.1464051482675286</v>
      </c>
      <c r="AA313">
        <f t="shared" si="103"/>
        <v>1.3623063830871427</v>
      </c>
      <c r="AB313">
        <f>IFERROR(V144+MATCH(AA313,V313:Z313,0)-1,"")</f>
        <v>2012</v>
      </c>
      <c r="AC313" t="str">
        <f t="shared" si="104"/>
        <v>High</v>
      </c>
      <c r="AE313">
        <f>IF(ISNUMBER(MATCH("N/A",J313:N313,0)),"",IFERROR((5 * SUMPRODUCT(J144:N144,J313:N313) - PRODUCT(SUM(J144:N144),SUM(J313:N313))) / ((5 * SUM((J144^2)+(K144^2)+(L144^2)+(M144^2)+(N144^2))) - SUM(J144:N144)^2),""))</f>
        <v>-205000</v>
      </c>
      <c r="AF313">
        <f>IFERROR(CORREL(J144:N144,J313:N313),"")</f>
        <v>-0.98564527178120254</v>
      </c>
      <c r="AZ313">
        <f t="shared" si="105"/>
        <v>1</v>
      </c>
      <c r="BA313" t="str">
        <f>IF(AZ313=1,IF(Q313="","",IF(Q313=N144,"Yes","No")),"")</f>
        <v>No</v>
      </c>
      <c r="BB313" t="str">
        <f t="shared" si="106"/>
        <v/>
      </c>
      <c r="BC313" t="str">
        <f>IF(AZ313=1,IF(S313="","",IF(S313=N144,"Yes","No")),"")</f>
        <v>Yes</v>
      </c>
      <c r="BD313">
        <f t="shared" si="107"/>
        <v>-1750000</v>
      </c>
      <c r="BE313" t="str">
        <f t="shared" si="108"/>
        <v>Decreasing</v>
      </c>
      <c r="BF313" t="str">
        <f t="shared" si="109"/>
        <v>Yes</v>
      </c>
      <c r="BG313" t="str">
        <f t="shared" si="110"/>
        <v>No</v>
      </c>
      <c r="BH313" t="str">
        <f t="shared" si="111"/>
        <v>Yes</v>
      </c>
    </row>
    <row r="314" spans="1:60" x14ac:dyDescent="0.3">
      <c r="A314" s="1">
        <v>2</v>
      </c>
      <c r="B314" t="s">
        <v>421</v>
      </c>
      <c r="C314" t="s">
        <v>3752</v>
      </c>
      <c r="D314" t="s">
        <v>3752</v>
      </c>
      <c r="E314" t="s">
        <v>3755</v>
      </c>
      <c r="F314" t="s">
        <v>3756</v>
      </c>
      <c r="G314" t="s">
        <v>3757</v>
      </c>
      <c r="I314" t="str">
        <f t="shared" si="112"/>
        <v>N/A</v>
      </c>
      <c r="J314">
        <f t="shared" si="113"/>
        <v>-1160000</v>
      </c>
      <c r="K314">
        <f t="shared" si="114"/>
        <v>-1160000</v>
      </c>
      <c r="L314">
        <f t="shared" si="115"/>
        <v>-1870000</v>
      </c>
      <c r="M314">
        <f t="shared" si="116"/>
        <v>-1580000</v>
      </c>
      <c r="N314">
        <f t="shared" si="117"/>
        <v>-1500000</v>
      </c>
      <c r="P314">
        <f t="shared" si="94"/>
        <v>-1160000</v>
      </c>
      <c r="Q314">
        <f>IFERROR(J144+MATCH(P314,J314:N314,0)-1,"")</f>
        <v>2012</v>
      </c>
      <c r="R314">
        <f t="shared" si="95"/>
        <v>-1870000</v>
      </c>
      <c r="S314">
        <f>IFERROR(J144+MATCH(R314,J314:N314,0)-1,"")</f>
        <v>2014</v>
      </c>
      <c r="T314">
        <f t="shared" si="96"/>
        <v>-1454000</v>
      </c>
      <c r="U314">
        <f t="shared" si="97"/>
        <v>301628.91108114953</v>
      </c>
      <c r="V314">
        <f t="shared" si="98"/>
        <v>0.97470762648777698</v>
      </c>
      <c r="W314">
        <f t="shared" si="99"/>
        <v>0.97470762648777698</v>
      </c>
      <c r="X314">
        <f t="shared" si="100"/>
        <v>-1.3791781381595756</v>
      </c>
      <c r="Y314">
        <f t="shared" si="101"/>
        <v>-0.41773183992333301</v>
      </c>
      <c r="Z314">
        <f t="shared" si="102"/>
        <v>-0.15250527489264537</v>
      </c>
      <c r="AA314">
        <f t="shared" si="103"/>
        <v>-1.3791781381595756</v>
      </c>
      <c r="AB314">
        <f>IFERROR(V144+MATCH(AA314,V314:Z314,0)-1,"")</f>
        <v>2014</v>
      </c>
      <c r="AC314" t="str">
        <f t="shared" si="104"/>
        <v>Low</v>
      </c>
      <c r="AE314">
        <f>IF(ISNUMBER(MATCH("N/A",J314:N314,0)),"",IFERROR((5 * SUMPRODUCT(J144:N144,J314:N314) - PRODUCT(SUM(J144:N144),SUM(J314:N314))) / ((5 * SUM((J144^2)+(K144^2)+(L144^2)+(M144^2)+(N144^2))) - SUM(J144:N144)^2),""))</f>
        <v>-110000</v>
      </c>
      <c r="AF314">
        <f>IFERROR(CORREL(J144:N144,J314:N314),"")</f>
        <v>-0.57662002851732075</v>
      </c>
      <c r="AZ314">
        <f t="shared" si="105"/>
        <v>1</v>
      </c>
      <c r="BA314" t="str">
        <f>IF(AZ314=1,IF(Q314="","",IF(Q314=N144,"Yes","No")),"")</f>
        <v>No</v>
      </c>
      <c r="BB314" t="str">
        <f t="shared" si="106"/>
        <v/>
      </c>
      <c r="BC314" t="str">
        <f>IF(AZ314=1,IF(S314="","",IF(S314=N144,"Yes","No")),"")</f>
        <v>No</v>
      </c>
      <c r="BD314" t="str">
        <f t="shared" si="107"/>
        <v/>
      </c>
      <c r="BE314" t="str">
        <f t="shared" si="108"/>
        <v>Decreasing</v>
      </c>
      <c r="BF314" t="str">
        <f t="shared" si="109"/>
        <v>No</v>
      </c>
      <c r="BG314" t="str">
        <f t="shared" si="110"/>
        <v>No</v>
      </c>
      <c r="BH314" t="str">
        <f t="shared" si="111"/>
        <v>No</v>
      </c>
    </row>
    <row r="315" spans="1:60" x14ac:dyDescent="0.3">
      <c r="A315" s="1">
        <v>3</v>
      </c>
      <c r="B315" t="s">
        <v>3758</v>
      </c>
      <c r="C315" t="s">
        <v>264</v>
      </c>
      <c r="D315" t="s">
        <v>3759</v>
      </c>
      <c r="E315" t="s">
        <v>3760</v>
      </c>
      <c r="F315" t="s">
        <v>3761</v>
      </c>
      <c r="G315" t="s">
        <v>3762</v>
      </c>
      <c r="I315" t="str">
        <f t="shared" si="112"/>
        <v>N/A</v>
      </c>
      <c r="J315" t="str">
        <f t="shared" si="113"/>
        <v>N/A</v>
      </c>
      <c r="K315">
        <f t="shared" si="114"/>
        <v>-0.11080000000000001</v>
      </c>
      <c r="L315">
        <f t="shared" si="115"/>
        <v>-0.44189999999999996</v>
      </c>
      <c r="M315">
        <f t="shared" si="116"/>
        <v>5.96E-2</v>
      </c>
      <c r="N315">
        <f t="shared" si="117"/>
        <v>-3.6600000000000001E-2</v>
      </c>
      <c r="P315">
        <f t="shared" si="94"/>
        <v>5.96E-2</v>
      </c>
      <c r="Q315">
        <f>IFERROR(J144+MATCH(P315,J315:N315,0)-1,"")</f>
        <v>2015</v>
      </c>
      <c r="R315">
        <f t="shared" si="95"/>
        <v>-0.44189999999999996</v>
      </c>
      <c r="S315">
        <f>IFERROR(J144+MATCH(R315,J315:N315,0)-1,"")</f>
        <v>2014</v>
      </c>
      <c r="T315">
        <f t="shared" si="96"/>
        <v>-0.13242499999999999</v>
      </c>
      <c r="U315">
        <f t="shared" si="97"/>
        <v>0.21779076158857916</v>
      </c>
      <c r="V315" t="str">
        <f t="shared" si="98"/>
        <v/>
      </c>
      <c r="W315">
        <f t="shared" si="99"/>
        <v>9.929254961168188E-2</v>
      </c>
      <c r="X315">
        <f t="shared" si="100"/>
        <v>-1.4209739556566603</v>
      </c>
      <c r="Y315">
        <f t="shared" si="101"/>
        <v>0.88169488273679697</v>
      </c>
      <c r="Z315">
        <f t="shared" si="102"/>
        <v>0.43998652330818155</v>
      </c>
      <c r="AA315">
        <f t="shared" si="103"/>
        <v>-1.4209739556566603</v>
      </c>
      <c r="AB315">
        <f>IFERROR(V144+MATCH(AA315,V315:Z315,0)-1,"")</f>
        <v>2014</v>
      </c>
      <c r="AC315" t="str">
        <f t="shared" si="104"/>
        <v>Low</v>
      </c>
      <c r="AE315" t="str">
        <f>IF(ISNUMBER(MATCH("N/A",J315:N315,0)),"",IFERROR((5 * SUMPRODUCT(J144:N144,J315:N315) - PRODUCT(SUM(J144:N144),SUM(J315:N315))) / ((5 * SUM((J144^2)+(K144^2)+(L144^2)+(M144^2)+(N144^2))) - SUM(J144:N144)^2),""))</f>
        <v/>
      </c>
      <c r="AF315">
        <f>IFERROR(CORREL(J144:N144,J315:N315),"")</f>
        <v>0.42922347739226502</v>
      </c>
      <c r="AZ315">
        <f t="shared" si="105"/>
        <v>1</v>
      </c>
      <c r="BA315" t="str">
        <f>IF(AZ315=1,IF(Q315="","",IF(Q315=N144,"Yes","No")),"")</f>
        <v>No</v>
      </c>
      <c r="BB315" t="str">
        <f t="shared" si="106"/>
        <v/>
      </c>
      <c r="BC315" t="str">
        <f>IF(AZ315=1,IF(S315="","",IF(S315=N144,"Yes","No")),"")</f>
        <v>No</v>
      </c>
      <c r="BD315" t="str">
        <f t="shared" si="107"/>
        <v/>
      </c>
      <c r="BE315" t="str">
        <f t="shared" si="108"/>
        <v/>
      </c>
      <c r="BF315" t="str">
        <f t="shared" si="109"/>
        <v>No</v>
      </c>
      <c r="BG315" t="str">
        <f t="shared" si="110"/>
        <v>No</v>
      </c>
      <c r="BH315" t="str">
        <f t="shared" si="111"/>
        <v>No</v>
      </c>
    </row>
    <row r="316" spans="1:60" x14ac:dyDescent="0.3">
      <c r="A316" s="1">
        <v>4</v>
      </c>
      <c r="B316" t="s">
        <v>3763</v>
      </c>
      <c r="C316" t="s">
        <v>264</v>
      </c>
      <c r="D316" t="s">
        <v>264</v>
      </c>
      <c r="E316" t="s">
        <v>264</v>
      </c>
      <c r="F316" t="s">
        <v>3764</v>
      </c>
      <c r="G316" t="s">
        <v>264</v>
      </c>
      <c r="I316" t="str">
        <f t="shared" si="112"/>
        <v>N/A</v>
      </c>
      <c r="J316" t="str">
        <f t="shared" si="113"/>
        <v>N/A</v>
      </c>
      <c r="K316" t="str">
        <f t="shared" si="114"/>
        <v>N/A</v>
      </c>
      <c r="L316" t="str">
        <f t="shared" si="115"/>
        <v>N/A</v>
      </c>
      <c r="M316">
        <f t="shared" si="116"/>
        <v>3750000</v>
      </c>
      <c r="N316" t="str">
        <f t="shared" si="117"/>
        <v>N/A</v>
      </c>
      <c r="P316">
        <f t="shared" si="94"/>
        <v>3750000</v>
      </c>
      <c r="Q316">
        <f>IFERROR(J144+MATCH(P316,J316:N316,0)-1,"")</f>
        <v>2015</v>
      </c>
      <c r="R316">
        <f t="shared" si="95"/>
        <v>3750000</v>
      </c>
      <c r="S316">
        <f>IFERROR(J144+MATCH(R316,J316:N316,0)-1,"")</f>
        <v>2015</v>
      </c>
      <c r="T316">
        <f t="shared" si="96"/>
        <v>3750000</v>
      </c>
      <c r="U316" t="str">
        <f t="shared" si="97"/>
        <v/>
      </c>
      <c r="V316" t="str">
        <f t="shared" si="98"/>
        <v/>
      </c>
      <c r="W316" t="str">
        <f t="shared" si="99"/>
        <v/>
      </c>
      <c r="X316" t="str">
        <f t="shared" si="100"/>
        <v/>
      </c>
      <c r="Y316" t="str">
        <f t="shared" si="101"/>
        <v/>
      </c>
      <c r="Z316" t="str">
        <f t="shared" si="102"/>
        <v/>
      </c>
      <c r="AA316">
        <f t="shared" si="103"/>
        <v>0</v>
      </c>
      <c r="AB316" t="str">
        <f>IFERROR(V144+MATCH(AA316,V316:Z316,0)-1,"")</f>
        <v/>
      </c>
      <c r="AC316" t="str">
        <f t="shared" si="104"/>
        <v/>
      </c>
      <c r="AE316" t="str">
        <f>IF(ISNUMBER(MATCH("N/A",J316:N316,0)),"",IFERROR((5 * SUMPRODUCT(J144:N144,J316:N316) - PRODUCT(SUM(J144:N144),SUM(J316:N316))) / ((5 * SUM((J144^2)+(K144^2)+(L144^2)+(M144^2)+(N144^2))) - SUM(J144:N144)^2),""))</f>
        <v/>
      </c>
      <c r="AF316" t="str">
        <f>IFERROR(CORREL(J144:N144,J316:N316),"")</f>
        <v/>
      </c>
      <c r="AZ316">
        <f t="shared" si="105"/>
        <v>0</v>
      </c>
      <c r="BA316" t="str">
        <f>IF(AZ316=1,IF(Q316="","",IF(Q316=N144,"Yes","No")),"")</f>
        <v/>
      </c>
      <c r="BB316" t="str">
        <f t="shared" si="106"/>
        <v/>
      </c>
      <c r="BC316" t="str">
        <f>IF(AZ316=1,IF(S316="","",IF(S316=N144,"Yes","No")),"")</f>
        <v/>
      </c>
      <c r="BD316" t="str">
        <f t="shared" si="107"/>
        <v/>
      </c>
      <c r="BE316" t="str">
        <f t="shared" si="108"/>
        <v/>
      </c>
      <c r="BF316" t="str">
        <f t="shared" si="109"/>
        <v>No</v>
      </c>
      <c r="BG316" t="str">
        <f t="shared" si="110"/>
        <v>No</v>
      </c>
      <c r="BH316" t="str">
        <f t="shared" si="111"/>
        <v/>
      </c>
    </row>
    <row r="317" spans="1:60" x14ac:dyDescent="0.3">
      <c r="A317" s="1">
        <v>5</v>
      </c>
      <c r="B317" t="s">
        <v>3765</v>
      </c>
      <c r="C317" t="s">
        <v>3766</v>
      </c>
      <c r="D317" t="s">
        <v>3767</v>
      </c>
      <c r="E317" t="s">
        <v>3768</v>
      </c>
      <c r="F317" t="s">
        <v>264</v>
      </c>
      <c r="G317" t="s">
        <v>3769</v>
      </c>
      <c r="I317" t="str">
        <f t="shared" si="112"/>
        <v>N/A</v>
      </c>
      <c r="J317">
        <f t="shared" si="113"/>
        <v>25140000</v>
      </c>
      <c r="K317">
        <f t="shared" si="114"/>
        <v>16090000</v>
      </c>
      <c r="L317">
        <f t="shared" si="115"/>
        <v>26440000</v>
      </c>
      <c r="M317" t="str">
        <f t="shared" si="116"/>
        <v>N/A</v>
      </c>
      <c r="N317">
        <f t="shared" si="117"/>
        <v>69070000</v>
      </c>
      <c r="P317">
        <f t="shared" si="94"/>
        <v>69070000</v>
      </c>
      <c r="Q317">
        <f>IFERROR(J144+MATCH(P317,J317:N317,0)-1,"")</f>
        <v>2016</v>
      </c>
      <c r="R317">
        <f t="shared" si="95"/>
        <v>16090000</v>
      </c>
      <c r="S317">
        <f>IFERROR(J144+MATCH(R317,J317:N317,0)-1,"")</f>
        <v>2013</v>
      </c>
      <c r="T317">
        <f t="shared" si="96"/>
        <v>34185000</v>
      </c>
      <c r="U317">
        <f t="shared" si="97"/>
        <v>23707870.001330782</v>
      </c>
      <c r="V317">
        <f t="shared" si="98"/>
        <v>-0.38151887957426295</v>
      </c>
      <c r="W317">
        <f t="shared" si="99"/>
        <v>-0.76324865957946808</v>
      </c>
      <c r="X317">
        <f t="shared" si="100"/>
        <v>-0.32668476752931636</v>
      </c>
      <c r="Y317" t="str">
        <f t="shared" si="101"/>
        <v/>
      </c>
      <c r="Z317">
        <f t="shared" si="102"/>
        <v>1.4714523066830474</v>
      </c>
      <c r="AA317">
        <f t="shared" si="103"/>
        <v>1.4714523066830474</v>
      </c>
      <c r="AB317">
        <f>IFERROR(V144+MATCH(AA317,V317:Z317,0)-1,"")</f>
        <v>2016</v>
      </c>
      <c r="AC317" t="str">
        <f t="shared" si="104"/>
        <v>High</v>
      </c>
      <c r="AE317" t="str">
        <f>IF(ISNUMBER(MATCH("N/A",J317:N317,0)),"",IFERROR((5 * SUMPRODUCT(J144:N144,J317:N317) - PRODUCT(SUM(J144:N144),SUM(J317:N317))) / ((5 * SUM((J144^2)+(K144^2)+(L144^2)+(M144^2)+(N144^2))) - SUM(J144:N144)^2),""))</f>
        <v/>
      </c>
      <c r="AF317">
        <f>IFERROR(CORREL(J144:N144,J317:N317),"")</f>
        <v>0.87229677084831014</v>
      </c>
      <c r="AZ317">
        <f t="shared" si="105"/>
        <v>1</v>
      </c>
      <c r="BA317" t="str">
        <f>IF(AZ317=1,IF(Q317="","",IF(Q317=N144,"Yes","No")),"")</f>
        <v>Yes</v>
      </c>
      <c r="BB317">
        <f t="shared" si="106"/>
        <v>69070000</v>
      </c>
      <c r="BC317" t="str">
        <f>IF(AZ317=1,IF(S317="","",IF(S317=N144,"Yes","No")),"")</f>
        <v>No</v>
      </c>
      <c r="BD317" t="str">
        <f t="shared" si="107"/>
        <v/>
      </c>
      <c r="BE317" t="str">
        <f t="shared" si="108"/>
        <v/>
      </c>
      <c r="BF317" t="str">
        <f t="shared" si="109"/>
        <v>No</v>
      </c>
      <c r="BG317" t="str">
        <f t="shared" si="110"/>
        <v>No</v>
      </c>
      <c r="BH317" t="str">
        <f t="shared" si="111"/>
        <v>Yes</v>
      </c>
    </row>
    <row r="318" spans="1:60" x14ac:dyDescent="0.3">
      <c r="A318" s="1">
        <v>6</v>
      </c>
      <c r="B318" t="s">
        <v>875</v>
      </c>
      <c r="C318" t="s">
        <v>3770</v>
      </c>
      <c r="D318" t="s">
        <v>3657</v>
      </c>
      <c r="E318" t="s">
        <v>3771</v>
      </c>
      <c r="F318" t="s">
        <v>264</v>
      </c>
      <c r="G318" t="s">
        <v>3772</v>
      </c>
      <c r="I318" t="str">
        <f t="shared" si="112"/>
        <v>N/A</v>
      </c>
      <c r="J318">
        <f t="shared" si="113"/>
        <v>-564000</v>
      </c>
      <c r="K318">
        <f t="shared" si="114"/>
        <v>23130000</v>
      </c>
      <c r="L318">
        <f t="shared" si="115"/>
        <v>-22860000</v>
      </c>
      <c r="M318" t="str">
        <f t="shared" si="116"/>
        <v>N/A</v>
      </c>
      <c r="N318">
        <f t="shared" si="117"/>
        <v>-1000</v>
      </c>
      <c r="P318">
        <f t="shared" si="94"/>
        <v>23130000</v>
      </c>
      <c r="Q318">
        <f>IFERROR(J144+MATCH(P318,J318:N318,0)-1,"")</f>
        <v>2013</v>
      </c>
      <c r="R318">
        <f t="shared" si="95"/>
        <v>-22860000</v>
      </c>
      <c r="S318">
        <f>IFERROR(J144+MATCH(R318,J318:N318,0)-1,"")</f>
        <v>2014</v>
      </c>
      <c r="T318">
        <f t="shared" si="96"/>
        <v>-73750</v>
      </c>
      <c r="U318">
        <f t="shared" si="97"/>
        <v>18778292.793808494</v>
      </c>
      <c r="V318">
        <f t="shared" si="98"/>
        <v>-2.610727212442035E-2</v>
      </c>
      <c r="W318">
        <f t="shared" si="99"/>
        <v>1.2356687721713793</v>
      </c>
      <c r="X318">
        <f t="shared" si="100"/>
        <v>-1.2134356541459932</v>
      </c>
      <c r="Y318" t="str">
        <f t="shared" si="101"/>
        <v/>
      </c>
      <c r="Z318">
        <f t="shared" si="102"/>
        <v>3.8741540990343301E-3</v>
      </c>
      <c r="AA318">
        <f t="shared" si="103"/>
        <v>1.2356687721713793</v>
      </c>
      <c r="AB318">
        <f>IFERROR(V144+MATCH(AA318,V318:Z318,0)-1,"")</f>
        <v>2013</v>
      </c>
      <c r="AC318" t="str">
        <f t="shared" si="104"/>
        <v>High</v>
      </c>
      <c r="AE318" t="str">
        <f>IF(ISNUMBER(MATCH("N/A",J318:N318,0)),"",IFERROR((5 * SUMPRODUCT(J144:N144,J318:N318) - PRODUCT(SUM(J144:N144),SUM(J318:N318))) / ((5 * SUM((J144^2)+(K144^2)+(L144^2)+(M144^2)+(N144^2))) - SUM(J144:N144)^2),""))</f>
        <v/>
      </c>
      <c r="AF318">
        <f>IFERROR(CORREL(J144:N144,J318:N318),"")</f>
        <v>-0.22947429856502649</v>
      </c>
      <c r="AZ318">
        <f t="shared" si="105"/>
        <v>1</v>
      </c>
      <c r="BA318" t="str">
        <f>IF(AZ318=1,IF(Q318="","",IF(Q318=N144,"Yes","No")),"")</f>
        <v>No</v>
      </c>
      <c r="BB318" t="str">
        <f t="shared" si="106"/>
        <v/>
      </c>
      <c r="BC318" t="str">
        <f>IF(AZ318=1,IF(S318="","",IF(S318=N144,"Yes","No")),"")</f>
        <v>No</v>
      </c>
      <c r="BD318" t="str">
        <f t="shared" si="107"/>
        <v/>
      </c>
      <c r="BE318" t="str">
        <f t="shared" si="108"/>
        <v/>
      </c>
      <c r="BF318" t="str">
        <f t="shared" si="109"/>
        <v>No</v>
      </c>
      <c r="BG318" t="str">
        <f t="shared" si="110"/>
        <v>No</v>
      </c>
      <c r="BH318" t="str">
        <f t="shared" si="111"/>
        <v>No</v>
      </c>
    </row>
    <row r="319" spans="1:60" x14ac:dyDescent="0.3">
      <c r="A319" s="1">
        <v>7</v>
      </c>
      <c r="B319" t="s">
        <v>881</v>
      </c>
      <c r="C319" t="s">
        <v>3770</v>
      </c>
      <c r="D319" t="s">
        <v>264</v>
      </c>
      <c r="E319" t="s">
        <v>3771</v>
      </c>
      <c r="F319" t="s">
        <v>264</v>
      </c>
      <c r="G319" t="s">
        <v>264</v>
      </c>
      <c r="I319" t="str">
        <f t="shared" si="112"/>
        <v>N/A</v>
      </c>
      <c r="J319">
        <f t="shared" si="113"/>
        <v>-564000</v>
      </c>
      <c r="K319" t="str">
        <f t="shared" si="114"/>
        <v>N/A</v>
      </c>
      <c r="L319">
        <f t="shared" si="115"/>
        <v>-22860000</v>
      </c>
      <c r="M319" t="str">
        <f t="shared" si="116"/>
        <v>N/A</v>
      </c>
      <c r="N319" t="str">
        <f t="shared" si="117"/>
        <v>N/A</v>
      </c>
      <c r="P319">
        <f t="shared" si="94"/>
        <v>-564000</v>
      </c>
      <c r="Q319">
        <f>IFERROR(J144+MATCH(P319,J319:N319,0)-1,"")</f>
        <v>2012</v>
      </c>
      <c r="R319">
        <f t="shared" si="95"/>
        <v>-22860000</v>
      </c>
      <c r="S319">
        <f>IFERROR(J144+MATCH(R319,J319:N319,0)-1,"")</f>
        <v>2014</v>
      </c>
      <c r="T319">
        <f t="shared" si="96"/>
        <v>-11712000</v>
      </c>
      <c r="U319">
        <f t="shared" si="97"/>
        <v>15765652.793335263</v>
      </c>
      <c r="V319">
        <f t="shared" si="98"/>
        <v>0.70710678118654757</v>
      </c>
      <c r="W319" t="str">
        <f t="shared" si="99"/>
        <v/>
      </c>
      <c r="X319">
        <f t="shared" si="100"/>
        <v>-0.70710678118654757</v>
      </c>
      <c r="Y319" t="str">
        <f t="shared" si="101"/>
        <v/>
      </c>
      <c r="Z319" t="str">
        <f t="shared" si="102"/>
        <v/>
      </c>
      <c r="AA319">
        <f t="shared" si="103"/>
        <v>-0.70710678118654757</v>
      </c>
      <c r="AB319">
        <f>IFERROR(V144+MATCH(AA319,V319:Z319,0)-1,"")</f>
        <v>2014</v>
      </c>
      <c r="AC319" t="str">
        <f t="shared" si="104"/>
        <v>Low</v>
      </c>
      <c r="AE319" t="str">
        <f>IF(ISNUMBER(MATCH("N/A",J319:N319,0)),"",IFERROR((5 * SUMPRODUCT(J144:N144,J319:N319) - PRODUCT(SUM(J144:N144),SUM(J319:N319))) / ((5 * SUM((J144^2)+(K144^2)+(L144^2)+(M144^2)+(N144^2))) - SUM(J144:N144)^2),""))</f>
        <v/>
      </c>
      <c r="AF319">
        <f>IFERROR(CORREL(J144:N144,J319:N319),"")</f>
        <v>-1</v>
      </c>
      <c r="AZ319">
        <f t="shared" si="105"/>
        <v>1</v>
      </c>
      <c r="BA319" t="str">
        <f>IF(AZ319=1,IF(Q319="","",IF(Q319=N144,"Yes","No")),"")</f>
        <v>No</v>
      </c>
      <c r="BB319" t="str">
        <f t="shared" si="106"/>
        <v/>
      </c>
      <c r="BC319" t="str">
        <f>IF(AZ319=1,IF(S319="","",IF(S319=N144,"Yes","No")),"")</f>
        <v>No</v>
      </c>
      <c r="BD319" t="str">
        <f t="shared" si="107"/>
        <v/>
      </c>
      <c r="BE319" t="str">
        <f t="shared" si="108"/>
        <v/>
      </c>
      <c r="BF319" t="str">
        <f t="shared" si="109"/>
        <v>No</v>
      </c>
      <c r="BG319" t="str">
        <f t="shared" si="110"/>
        <v>No</v>
      </c>
      <c r="BH319" t="str">
        <f t="shared" si="111"/>
        <v>Yes</v>
      </c>
    </row>
    <row r="320" spans="1:60" x14ac:dyDescent="0.3">
      <c r="A320" s="1">
        <v>8</v>
      </c>
      <c r="B320" t="s">
        <v>885</v>
      </c>
      <c r="C320" t="s">
        <v>264</v>
      </c>
      <c r="D320" t="s">
        <v>3657</v>
      </c>
      <c r="E320" t="s">
        <v>264</v>
      </c>
      <c r="F320" t="s">
        <v>264</v>
      </c>
      <c r="G320" t="s">
        <v>3772</v>
      </c>
      <c r="I320" t="str">
        <f t="shared" si="112"/>
        <v>N/A</v>
      </c>
      <c r="J320" t="str">
        <f t="shared" si="113"/>
        <v>N/A</v>
      </c>
      <c r="K320">
        <f t="shared" si="114"/>
        <v>23130000</v>
      </c>
      <c r="L320" t="str">
        <f t="shared" si="115"/>
        <v>N/A</v>
      </c>
      <c r="M320" t="str">
        <f t="shared" si="116"/>
        <v>N/A</v>
      </c>
      <c r="N320">
        <f t="shared" si="117"/>
        <v>-1000</v>
      </c>
      <c r="P320">
        <f t="shared" si="94"/>
        <v>23130000</v>
      </c>
      <c r="Q320">
        <f>IFERROR(J144+MATCH(P320,J320:N320,0)-1,"")</f>
        <v>2013</v>
      </c>
      <c r="R320">
        <f t="shared" si="95"/>
        <v>-1000</v>
      </c>
      <c r="S320">
        <f>IFERROR(J144+MATCH(R320,J320:N320,0)-1,"")</f>
        <v>2016</v>
      </c>
      <c r="T320">
        <f t="shared" si="96"/>
        <v>11564500</v>
      </c>
      <c r="U320">
        <f t="shared" si="97"/>
        <v>16356086.955626031</v>
      </c>
      <c r="V320" t="str">
        <f t="shared" si="98"/>
        <v/>
      </c>
      <c r="W320">
        <f t="shared" si="99"/>
        <v>0.70710678118654746</v>
      </c>
      <c r="X320" t="str">
        <f t="shared" si="100"/>
        <v/>
      </c>
      <c r="Y320" t="str">
        <f t="shared" si="101"/>
        <v/>
      </c>
      <c r="Z320">
        <f t="shared" si="102"/>
        <v>-0.70710678118654746</v>
      </c>
      <c r="AA320">
        <f t="shared" si="103"/>
        <v>-0.70710678118654746</v>
      </c>
      <c r="AB320">
        <f>IFERROR(V144+MATCH(AA320,V320:Z320,0)-1,"")</f>
        <v>2016</v>
      </c>
      <c r="AC320" t="str">
        <f t="shared" si="104"/>
        <v>Low</v>
      </c>
      <c r="AE320" t="str">
        <f>IF(ISNUMBER(MATCH("N/A",J320:N320,0)),"",IFERROR((5 * SUMPRODUCT(J144:N144,J320:N320) - PRODUCT(SUM(J144:N144),SUM(J320:N320))) / ((5 * SUM((J144^2)+(K144^2)+(L144^2)+(M144^2)+(N144^2))) - SUM(J144:N144)^2),""))</f>
        <v/>
      </c>
      <c r="AF320">
        <f>IFERROR(CORREL(J144:N144,J320:N320),"")</f>
        <v>-1</v>
      </c>
      <c r="AZ320">
        <f t="shared" si="105"/>
        <v>1</v>
      </c>
      <c r="BA320" t="str">
        <f>IF(AZ320=1,IF(Q320="","",IF(Q320=N144,"Yes","No")),"")</f>
        <v>No</v>
      </c>
      <c r="BB320" t="str">
        <f t="shared" si="106"/>
        <v/>
      </c>
      <c r="BC320" t="str">
        <f>IF(AZ320=1,IF(S320="","",IF(S320=N144,"Yes","No")),"")</f>
        <v>Yes</v>
      </c>
      <c r="BD320">
        <f t="shared" si="107"/>
        <v>-1000</v>
      </c>
      <c r="BE320" t="str">
        <f t="shared" si="108"/>
        <v/>
      </c>
      <c r="BF320" t="str">
        <f t="shared" si="109"/>
        <v>No</v>
      </c>
      <c r="BG320" t="str">
        <f t="shared" si="110"/>
        <v>No</v>
      </c>
      <c r="BH320" t="str">
        <f t="shared" si="111"/>
        <v>Yes</v>
      </c>
    </row>
    <row r="321" spans="1:60" x14ac:dyDescent="0.3">
      <c r="A321" s="1">
        <v>9</v>
      </c>
      <c r="B321" t="s">
        <v>889</v>
      </c>
      <c r="C321" t="s">
        <v>264</v>
      </c>
      <c r="D321" t="s">
        <v>3657</v>
      </c>
      <c r="E321" t="s">
        <v>264</v>
      </c>
      <c r="F321" t="s">
        <v>264</v>
      </c>
      <c r="G321" t="s">
        <v>3772</v>
      </c>
      <c r="I321" t="str">
        <f t="shared" si="112"/>
        <v>N/A</v>
      </c>
      <c r="J321" t="str">
        <f t="shared" si="113"/>
        <v>N/A</v>
      </c>
      <c r="K321">
        <f t="shared" si="114"/>
        <v>23130000</v>
      </c>
      <c r="L321" t="str">
        <f t="shared" si="115"/>
        <v>N/A</v>
      </c>
      <c r="M321" t="str">
        <f t="shared" si="116"/>
        <v>N/A</v>
      </c>
      <c r="N321">
        <f t="shared" si="117"/>
        <v>-1000</v>
      </c>
      <c r="P321">
        <f t="shared" si="94"/>
        <v>23130000</v>
      </c>
      <c r="Q321">
        <f>IFERROR(J144+MATCH(P321,J321:N321,0)-1,"")</f>
        <v>2013</v>
      </c>
      <c r="R321">
        <f t="shared" si="95"/>
        <v>-1000</v>
      </c>
      <c r="S321">
        <f>IFERROR(J144+MATCH(R321,J321:N321,0)-1,"")</f>
        <v>2016</v>
      </c>
      <c r="T321">
        <f t="shared" si="96"/>
        <v>11564500</v>
      </c>
      <c r="U321">
        <f t="shared" si="97"/>
        <v>16356086.955626031</v>
      </c>
      <c r="V321" t="str">
        <f t="shared" si="98"/>
        <v/>
      </c>
      <c r="W321">
        <f t="shared" si="99"/>
        <v>0.70710678118654746</v>
      </c>
      <c r="X321" t="str">
        <f t="shared" si="100"/>
        <v/>
      </c>
      <c r="Y321" t="str">
        <f t="shared" si="101"/>
        <v/>
      </c>
      <c r="Z321">
        <f t="shared" si="102"/>
        <v>-0.70710678118654746</v>
      </c>
      <c r="AA321">
        <f t="shared" si="103"/>
        <v>-0.70710678118654746</v>
      </c>
      <c r="AB321">
        <f>IFERROR(V144+MATCH(AA321,V321:Z321,0)-1,"")</f>
        <v>2016</v>
      </c>
      <c r="AC321" t="str">
        <f t="shared" si="104"/>
        <v>Low</v>
      </c>
      <c r="AE321" t="str">
        <f>IF(ISNUMBER(MATCH("N/A",J321:N321,0)),"",IFERROR((5 * SUMPRODUCT(J144:N144,J321:N321) - PRODUCT(SUM(J144:N144),SUM(J321:N321))) / ((5 * SUM((J144^2)+(K144^2)+(L144^2)+(M144^2)+(N144^2))) - SUM(J144:N144)^2),""))</f>
        <v/>
      </c>
      <c r="AF321">
        <f>IFERROR(CORREL(J144:N144,J321:N321),"")</f>
        <v>-1</v>
      </c>
      <c r="AZ321">
        <f t="shared" si="105"/>
        <v>1</v>
      </c>
      <c r="BA321" t="str">
        <f>IF(AZ321=1,IF(Q321="","",IF(Q321=N144,"Yes","No")),"")</f>
        <v>No</v>
      </c>
      <c r="BB321" t="str">
        <f t="shared" si="106"/>
        <v/>
      </c>
      <c r="BC321" t="str">
        <f>IF(AZ321=1,IF(S321="","",IF(S321=N144,"Yes","No")),"")</f>
        <v>Yes</v>
      </c>
      <c r="BD321">
        <f t="shared" si="107"/>
        <v>-1000</v>
      </c>
      <c r="BE321" t="str">
        <f t="shared" si="108"/>
        <v/>
      </c>
      <c r="BF321" t="str">
        <f t="shared" si="109"/>
        <v>No</v>
      </c>
      <c r="BG321" t="str">
        <f t="shared" si="110"/>
        <v>No</v>
      </c>
      <c r="BH321" t="str">
        <f t="shared" si="111"/>
        <v>Yes</v>
      </c>
    </row>
    <row r="322" spans="1:60" x14ac:dyDescent="0.3">
      <c r="A322" s="1">
        <v>10</v>
      </c>
      <c r="B322" t="s">
        <v>891</v>
      </c>
      <c r="C322" t="s">
        <v>869</v>
      </c>
      <c r="D322" t="s">
        <v>3773</v>
      </c>
      <c r="E322" t="s">
        <v>3774</v>
      </c>
      <c r="F322" t="s">
        <v>3775</v>
      </c>
      <c r="G322" t="s">
        <v>3776</v>
      </c>
      <c r="I322" t="str">
        <f t="shared" si="112"/>
        <v>N/A</v>
      </c>
      <c r="J322">
        <f t="shared" si="113"/>
        <v>-5840000</v>
      </c>
      <c r="K322">
        <f t="shared" si="114"/>
        <v>-5700000</v>
      </c>
      <c r="L322">
        <f t="shared" si="115"/>
        <v>29030000</v>
      </c>
      <c r="M322">
        <f t="shared" si="116"/>
        <v>9430000</v>
      </c>
      <c r="N322">
        <f t="shared" si="117"/>
        <v>-18820000</v>
      </c>
      <c r="P322">
        <f t="shared" si="94"/>
        <v>29030000</v>
      </c>
      <c r="Q322">
        <f>IFERROR(J144+MATCH(P322,J322:N322,0)-1,"")</f>
        <v>2014</v>
      </c>
      <c r="R322">
        <f t="shared" si="95"/>
        <v>-18820000</v>
      </c>
      <c r="S322">
        <f>IFERROR(J144+MATCH(R322,J322:N322,0)-1,"")</f>
        <v>2016</v>
      </c>
      <c r="T322">
        <f t="shared" si="96"/>
        <v>1620000</v>
      </c>
      <c r="U322">
        <f t="shared" si="97"/>
        <v>18298441.190440238</v>
      </c>
      <c r="V322">
        <f t="shared" si="98"/>
        <v>-0.40768500017899734</v>
      </c>
      <c r="W322">
        <f t="shared" si="99"/>
        <v>-0.40003407524266227</v>
      </c>
      <c r="X322">
        <f t="shared" si="100"/>
        <v>1.4979418036067449</v>
      </c>
      <c r="Y322">
        <f t="shared" si="101"/>
        <v>0.42681231251983498</v>
      </c>
      <c r="Z322">
        <f t="shared" si="102"/>
        <v>-1.1170350407049203</v>
      </c>
      <c r="AA322">
        <f t="shared" si="103"/>
        <v>1.4979418036067449</v>
      </c>
      <c r="AB322">
        <f>IFERROR(V144+MATCH(AA322,V322:Z322,0)-1,"")</f>
        <v>2014</v>
      </c>
      <c r="AC322" t="str">
        <f t="shared" si="104"/>
        <v>High</v>
      </c>
      <c r="AE322">
        <f>IF(ISNUMBER(MATCH("N/A",J322:N322,0)),"",IFERROR((5 * SUMPRODUCT(J144:N144,J322:N322) - PRODUCT(SUM(J144:N144),SUM(J322:N322))) / ((5 * SUM((J144^2)+(K144^2)+(L144^2)+(M144^2)+(N144^2))) - SUM(J144:N144)^2),""))</f>
        <v>-1083000</v>
      </c>
      <c r="AF322">
        <f>IFERROR(CORREL(J144:N144,J322:N322),"")</f>
        <v>-9.3580285618852746E-2</v>
      </c>
      <c r="AZ322">
        <f t="shared" si="105"/>
        <v>1</v>
      </c>
      <c r="BA322" t="str">
        <f>IF(AZ322=1,IF(Q322="","",IF(Q322=N144,"Yes","No")),"")</f>
        <v>No</v>
      </c>
      <c r="BB322" t="str">
        <f t="shared" si="106"/>
        <v/>
      </c>
      <c r="BC322" t="str">
        <f>IF(AZ322=1,IF(S322="","",IF(S322=N144,"Yes","No")),"")</f>
        <v>Yes</v>
      </c>
      <c r="BD322">
        <f t="shared" si="107"/>
        <v>-18820000</v>
      </c>
      <c r="BE322" t="str">
        <f t="shared" si="108"/>
        <v>Decreasing</v>
      </c>
      <c r="BF322" t="str">
        <f t="shared" si="109"/>
        <v>Yes</v>
      </c>
      <c r="BG322" t="str">
        <f t="shared" si="110"/>
        <v>No</v>
      </c>
      <c r="BH322" t="str">
        <f t="shared" si="111"/>
        <v>No</v>
      </c>
    </row>
    <row r="323" spans="1:60" x14ac:dyDescent="0.3">
      <c r="A323" s="1">
        <v>11</v>
      </c>
      <c r="B323" t="s">
        <v>897</v>
      </c>
      <c r="C323" t="s">
        <v>3777</v>
      </c>
      <c r="D323" t="s">
        <v>3778</v>
      </c>
      <c r="E323" t="s">
        <v>3779</v>
      </c>
      <c r="F323" t="s">
        <v>3113</v>
      </c>
      <c r="G323" t="s">
        <v>3776</v>
      </c>
      <c r="I323" t="str">
        <f t="shared" si="112"/>
        <v>N/A</v>
      </c>
      <c r="J323">
        <f t="shared" si="113"/>
        <v>4190000.0000000005</v>
      </c>
      <c r="K323">
        <f t="shared" si="114"/>
        <v>-3170000</v>
      </c>
      <c r="L323">
        <f t="shared" si="115"/>
        <v>44260000</v>
      </c>
      <c r="M323">
        <f t="shared" si="116"/>
        <v>14430000</v>
      </c>
      <c r="N323">
        <f t="shared" si="117"/>
        <v>-18820000</v>
      </c>
      <c r="P323">
        <f t="shared" si="94"/>
        <v>44260000</v>
      </c>
      <c r="Q323">
        <f>IFERROR(J144+MATCH(P323,J323:N323,0)-1,"")</f>
        <v>2014</v>
      </c>
      <c r="R323">
        <f t="shared" si="95"/>
        <v>-18820000</v>
      </c>
      <c r="S323">
        <f>IFERROR(J144+MATCH(R323,J323:N323,0)-1,"")</f>
        <v>2016</v>
      </c>
      <c r="T323">
        <f t="shared" si="96"/>
        <v>8178000</v>
      </c>
      <c r="U323">
        <f t="shared" si="97"/>
        <v>23529616.868959002</v>
      </c>
      <c r="V323">
        <f t="shared" si="98"/>
        <v>-0.16948852258028443</v>
      </c>
      <c r="W323">
        <f t="shared" si="99"/>
        <v>-0.48228579594811133</v>
      </c>
      <c r="X323">
        <f t="shared" si="100"/>
        <v>1.5334716328339579</v>
      </c>
      <c r="Y323">
        <f t="shared" si="101"/>
        <v>0.26570768384451815</v>
      </c>
      <c r="Z323">
        <f t="shared" si="102"/>
        <v>-1.1474049981500802</v>
      </c>
      <c r="AA323">
        <f t="shared" si="103"/>
        <v>1.5334716328339579</v>
      </c>
      <c r="AB323">
        <f>IFERROR(V144+MATCH(AA323,V323:Z323,0)-1,"")</f>
        <v>2014</v>
      </c>
      <c r="AC323" t="str">
        <f t="shared" si="104"/>
        <v>High</v>
      </c>
      <c r="AE323">
        <f>IF(ISNUMBER(MATCH("N/A",J323:N323,0)),"",IFERROR((5 * SUMPRODUCT(J144:N144,J323:N323) - PRODUCT(SUM(J144:N144),SUM(J323:N323))) / ((5 * SUM((J144^2)+(K144^2)+(L144^2)+(M144^2)+(N144^2))) - SUM(J144:N144)^2),""))</f>
        <v>-2842000</v>
      </c>
      <c r="AF323">
        <f>IFERROR(CORREL(J144:N144,J323:N323),"")</f>
        <v>-0.19097618886550413</v>
      </c>
      <c r="AZ323">
        <f t="shared" si="105"/>
        <v>1</v>
      </c>
      <c r="BA323" t="str">
        <f>IF(AZ323=1,IF(Q323="","",IF(Q323=N144,"Yes","No")),"")</f>
        <v>No</v>
      </c>
      <c r="BB323" t="str">
        <f t="shared" si="106"/>
        <v/>
      </c>
      <c r="BC323" t="str">
        <f>IF(AZ323=1,IF(S323="","",IF(S323=N144,"Yes","No")),"")</f>
        <v>Yes</v>
      </c>
      <c r="BD323">
        <f t="shared" si="107"/>
        <v>-18820000</v>
      </c>
      <c r="BE323" t="str">
        <f t="shared" si="108"/>
        <v>Decreasing</v>
      </c>
      <c r="BF323" t="str">
        <f t="shared" si="109"/>
        <v>Yes</v>
      </c>
      <c r="BG323" t="str">
        <f t="shared" si="110"/>
        <v>No</v>
      </c>
      <c r="BH323" t="str">
        <f t="shared" si="111"/>
        <v>No</v>
      </c>
    </row>
    <row r="324" spans="1:60" x14ac:dyDescent="0.3">
      <c r="A324" s="1">
        <v>12</v>
      </c>
      <c r="B324" t="s">
        <v>898</v>
      </c>
      <c r="C324" t="s">
        <v>3780</v>
      </c>
      <c r="D324" t="s">
        <v>3781</v>
      </c>
      <c r="E324" t="s">
        <v>3782</v>
      </c>
      <c r="F324" t="s">
        <v>3783</v>
      </c>
      <c r="G324" t="s">
        <v>264</v>
      </c>
      <c r="I324" t="str">
        <f t="shared" si="112"/>
        <v>N/A</v>
      </c>
      <c r="J324">
        <f t="shared" si="113"/>
        <v>-10030000</v>
      </c>
      <c r="K324">
        <f t="shared" si="114"/>
        <v>-2540000</v>
      </c>
      <c r="L324">
        <f t="shared" si="115"/>
        <v>-15230000</v>
      </c>
      <c r="M324">
        <f t="shared" si="116"/>
        <v>-5000000</v>
      </c>
      <c r="N324" t="str">
        <f t="shared" si="117"/>
        <v>N/A</v>
      </c>
      <c r="P324">
        <f t="shared" si="94"/>
        <v>-2540000</v>
      </c>
      <c r="Q324">
        <f>IFERROR(J144+MATCH(P324,J324:N324,0)-1,"")</f>
        <v>2013</v>
      </c>
      <c r="R324">
        <f t="shared" si="95"/>
        <v>-15230000</v>
      </c>
      <c r="S324">
        <f>IFERROR(J144+MATCH(R324,J324:N324,0)-1,"")</f>
        <v>2014</v>
      </c>
      <c r="T324">
        <f t="shared" si="96"/>
        <v>-8200000</v>
      </c>
      <c r="U324">
        <f t="shared" si="97"/>
        <v>5628658.8100541318</v>
      </c>
      <c r="V324">
        <f t="shared" si="98"/>
        <v>-0.32512185615713318</v>
      </c>
      <c r="W324">
        <f t="shared" si="99"/>
        <v>1.005568145272882</v>
      </c>
      <c r="X324">
        <f t="shared" si="100"/>
        <v>-1.2489653818495337</v>
      </c>
      <c r="Y324">
        <f t="shared" si="101"/>
        <v>0.56851909273378487</v>
      </c>
      <c r="Z324" t="str">
        <f t="shared" si="102"/>
        <v/>
      </c>
      <c r="AA324">
        <f t="shared" si="103"/>
        <v>-1.2489653818495337</v>
      </c>
      <c r="AB324">
        <f>IFERROR(V144+MATCH(AA324,V324:Z324,0)-1,"")</f>
        <v>2014</v>
      </c>
      <c r="AC324" t="str">
        <f t="shared" si="104"/>
        <v>Low</v>
      </c>
      <c r="AE324" t="str">
        <f>IF(ISNUMBER(MATCH("N/A",J324:N324,0)),"",IFERROR((5 * SUMPRODUCT(J144:N144,J324:N324) - PRODUCT(SUM(J144:N144),SUM(J324:N324))) / ((5 * SUM((J144^2)+(K144^2)+(L144^2)+(M144^2)+(N144^2))) - SUM(J144:N144)^2),""))</f>
        <v/>
      </c>
      <c r="AF324">
        <f>IFERROR(CORREL(J144:N144,J324:N324),"")</f>
        <v>5.5046624453972459E-2</v>
      </c>
      <c r="AZ324">
        <f t="shared" si="105"/>
        <v>1</v>
      </c>
      <c r="BA324" t="str">
        <f>IF(AZ324=1,IF(Q324="","",IF(Q324=N144,"Yes","No")),"")</f>
        <v>No</v>
      </c>
      <c r="BB324" t="str">
        <f t="shared" si="106"/>
        <v/>
      </c>
      <c r="BC324" t="str">
        <f>IF(AZ324=1,IF(S324="","",IF(S324=N144,"Yes","No")),"")</f>
        <v>No</v>
      </c>
      <c r="BD324" t="str">
        <f t="shared" si="107"/>
        <v/>
      </c>
      <c r="BE324" t="str">
        <f t="shared" si="108"/>
        <v/>
      </c>
      <c r="BF324" t="str">
        <f t="shared" si="109"/>
        <v>No</v>
      </c>
      <c r="BG324" t="str">
        <f t="shared" si="110"/>
        <v>No</v>
      </c>
      <c r="BH324" t="str">
        <f t="shared" si="111"/>
        <v>No</v>
      </c>
    </row>
    <row r="325" spans="1:60" x14ac:dyDescent="0.3">
      <c r="A325" s="1">
        <v>13</v>
      </c>
      <c r="B325" t="s">
        <v>899</v>
      </c>
      <c r="C325" t="s">
        <v>264</v>
      </c>
      <c r="D325" t="s">
        <v>264</v>
      </c>
      <c r="E325" t="s">
        <v>1838</v>
      </c>
      <c r="F325" t="s">
        <v>264</v>
      </c>
      <c r="G325" t="s">
        <v>264</v>
      </c>
      <c r="I325" t="str">
        <f t="shared" si="112"/>
        <v>N/A</v>
      </c>
      <c r="J325" t="str">
        <f t="shared" si="113"/>
        <v>N/A</v>
      </c>
      <c r="K325" t="str">
        <f t="shared" si="114"/>
        <v>N/A</v>
      </c>
      <c r="L325">
        <f t="shared" si="115"/>
        <v>15000000</v>
      </c>
      <c r="M325" t="str">
        <f t="shared" si="116"/>
        <v>N/A</v>
      </c>
      <c r="N325" t="str">
        <f t="shared" si="117"/>
        <v>N/A</v>
      </c>
      <c r="P325">
        <f t="shared" si="94"/>
        <v>15000000</v>
      </c>
      <c r="Q325">
        <f>IFERROR(J144+MATCH(P325,J325:N325,0)-1,"")</f>
        <v>2014</v>
      </c>
      <c r="R325">
        <f t="shared" si="95"/>
        <v>15000000</v>
      </c>
      <c r="S325">
        <f>IFERROR(J144+MATCH(R325,J325:N325,0)-1,"")</f>
        <v>2014</v>
      </c>
      <c r="T325">
        <f t="shared" si="96"/>
        <v>15000000</v>
      </c>
      <c r="U325" t="str">
        <f t="shared" si="97"/>
        <v/>
      </c>
      <c r="V325" t="str">
        <f t="shared" si="98"/>
        <v/>
      </c>
      <c r="W325" t="str">
        <f t="shared" si="99"/>
        <v/>
      </c>
      <c r="X325" t="str">
        <f t="shared" si="100"/>
        <v/>
      </c>
      <c r="Y325" t="str">
        <f t="shared" si="101"/>
        <v/>
      </c>
      <c r="Z325" t="str">
        <f t="shared" si="102"/>
        <v/>
      </c>
      <c r="AA325">
        <f t="shared" si="103"/>
        <v>0</v>
      </c>
      <c r="AB325" t="str">
        <f>IFERROR(V144+MATCH(AA325,V325:Z325,0)-1,"")</f>
        <v/>
      </c>
      <c r="AC325" t="str">
        <f t="shared" si="104"/>
        <v/>
      </c>
      <c r="AE325" t="str">
        <f>IF(ISNUMBER(MATCH("N/A",J325:N325,0)),"",IFERROR((5 * SUMPRODUCT(J144:N144,J325:N325) - PRODUCT(SUM(J144:N144),SUM(J325:N325))) / ((5 * SUM((J144^2)+(K144^2)+(L144^2)+(M144^2)+(N144^2))) - SUM(J144:N144)^2),""))</f>
        <v/>
      </c>
      <c r="AF325" t="str">
        <f>IFERROR(CORREL(J144:N144,J325:N325),"")</f>
        <v/>
      </c>
      <c r="AZ325">
        <f t="shared" si="105"/>
        <v>0</v>
      </c>
      <c r="BA325" t="str">
        <f>IF(AZ325=1,IF(Q325="","",IF(Q325=N144,"Yes","No")),"")</f>
        <v/>
      </c>
      <c r="BB325" t="str">
        <f t="shared" si="106"/>
        <v/>
      </c>
      <c r="BC325" t="str">
        <f>IF(AZ325=1,IF(S325="","",IF(S325=N144,"Yes","No")),"")</f>
        <v/>
      </c>
      <c r="BD325" t="str">
        <f t="shared" si="107"/>
        <v/>
      </c>
      <c r="BE325" t="str">
        <f t="shared" si="108"/>
        <v/>
      </c>
      <c r="BF325" t="str">
        <f t="shared" si="109"/>
        <v>No</v>
      </c>
      <c r="BG325" t="str">
        <f t="shared" si="110"/>
        <v>No</v>
      </c>
      <c r="BH325" t="str">
        <f t="shared" si="111"/>
        <v/>
      </c>
    </row>
    <row r="326" spans="1:60" x14ac:dyDescent="0.3">
      <c r="A326" s="1">
        <v>14</v>
      </c>
      <c r="B326" t="s">
        <v>905</v>
      </c>
      <c r="C326" t="s">
        <v>3780</v>
      </c>
      <c r="D326" t="s">
        <v>3781</v>
      </c>
      <c r="E326" t="s">
        <v>3784</v>
      </c>
      <c r="F326" t="s">
        <v>3783</v>
      </c>
      <c r="G326" t="s">
        <v>264</v>
      </c>
      <c r="I326" t="str">
        <f t="shared" si="112"/>
        <v>N/A</v>
      </c>
      <c r="J326">
        <f t="shared" si="113"/>
        <v>-10030000</v>
      </c>
      <c r="K326">
        <f t="shared" si="114"/>
        <v>-2540000</v>
      </c>
      <c r="L326">
        <f t="shared" si="115"/>
        <v>-30230000</v>
      </c>
      <c r="M326">
        <f t="shared" si="116"/>
        <v>-5000000</v>
      </c>
      <c r="N326" t="str">
        <f t="shared" si="117"/>
        <v>N/A</v>
      </c>
      <c r="P326">
        <f t="shared" si="94"/>
        <v>-2540000</v>
      </c>
      <c r="Q326">
        <f>IFERROR(J144+MATCH(P326,J326:N326,0)-1,"")</f>
        <v>2013</v>
      </c>
      <c r="R326">
        <f t="shared" si="95"/>
        <v>-30230000</v>
      </c>
      <c r="S326">
        <f>IFERROR(J144+MATCH(R326,J326:N326,0)-1,"")</f>
        <v>2014</v>
      </c>
      <c r="T326">
        <f t="shared" si="96"/>
        <v>-11950000</v>
      </c>
      <c r="U326">
        <f t="shared" si="97"/>
        <v>12579022.219552679</v>
      </c>
      <c r="V326">
        <f t="shared" si="98"/>
        <v>0.15263507500730664</v>
      </c>
      <c r="W326">
        <f t="shared" si="99"/>
        <v>0.74807086240560183</v>
      </c>
      <c r="X326">
        <f t="shared" si="100"/>
        <v>-1.4532131099653987</v>
      </c>
      <c r="Y326">
        <f t="shared" si="101"/>
        <v>0.55250717255249016</v>
      </c>
      <c r="Z326" t="str">
        <f t="shared" si="102"/>
        <v/>
      </c>
      <c r="AA326">
        <f t="shared" si="103"/>
        <v>-1.4532131099653987</v>
      </c>
      <c r="AB326">
        <f>IFERROR(V144+MATCH(AA326,V326:Z326,0)-1,"")</f>
        <v>2014</v>
      </c>
      <c r="AC326" t="str">
        <f t="shared" si="104"/>
        <v>Low</v>
      </c>
      <c r="AE326" t="str">
        <f>IF(ISNUMBER(MATCH("N/A",J326:N326,0)),"",IFERROR((5 * SUMPRODUCT(J144:N144,J326:N326) - PRODUCT(SUM(J144:N144),SUM(J326:N326))) / ((5 * SUM((J144^2)+(K144^2)+(L144^2)+(M144^2)+(N144^2))) - SUM(J144:N144)^2),""))</f>
        <v/>
      </c>
      <c r="AF326">
        <f>IFERROR(CORREL(J144:N144,J326:N326),"")</f>
        <v>-0.12931474140165405</v>
      </c>
      <c r="AZ326">
        <f t="shared" si="105"/>
        <v>1</v>
      </c>
      <c r="BA326" t="str">
        <f>IF(AZ326=1,IF(Q326="","",IF(Q326=N144,"Yes","No")),"")</f>
        <v>No</v>
      </c>
      <c r="BB326" t="str">
        <f t="shared" si="106"/>
        <v/>
      </c>
      <c r="BC326" t="str">
        <f>IF(AZ326=1,IF(S326="","",IF(S326=N144,"Yes","No")),"")</f>
        <v>No</v>
      </c>
      <c r="BD326" t="str">
        <f t="shared" si="107"/>
        <v/>
      </c>
      <c r="BE326" t="str">
        <f t="shared" si="108"/>
        <v/>
      </c>
      <c r="BF326" t="str">
        <f t="shared" si="109"/>
        <v>No</v>
      </c>
      <c r="BG326" t="str">
        <f t="shared" si="110"/>
        <v>No</v>
      </c>
      <c r="BH326" t="str">
        <f t="shared" si="111"/>
        <v>No</v>
      </c>
    </row>
    <row r="327" spans="1:60" x14ac:dyDescent="0.3">
      <c r="A327" s="1">
        <v>15</v>
      </c>
      <c r="B327" t="s">
        <v>757</v>
      </c>
      <c r="C327" t="s">
        <v>264</v>
      </c>
      <c r="D327" t="s">
        <v>264</v>
      </c>
      <c r="E327" t="s">
        <v>264</v>
      </c>
      <c r="F327" t="s">
        <v>264</v>
      </c>
      <c r="G327" t="s">
        <v>264</v>
      </c>
      <c r="I327" t="str">
        <f t="shared" si="112"/>
        <v>N/A</v>
      </c>
      <c r="J327" t="str">
        <f t="shared" si="113"/>
        <v>N/A</v>
      </c>
      <c r="K327" t="str">
        <f t="shared" si="114"/>
        <v>N/A</v>
      </c>
      <c r="L327" t="str">
        <f t="shared" si="115"/>
        <v>N/A</v>
      </c>
      <c r="M327" t="str">
        <f t="shared" si="116"/>
        <v>N/A</v>
      </c>
      <c r="N327" t="str">
        <f t="shared" si="117"/>
        <v>N/A</v>
      </c>
      <c r="P327">
        <f t="shared" si="94"/>
        <v>0</v>
      </c>
      <c r="Q327" t="str">
        <f>IFERROR(J144+MATCH(P327,J327:N327,0)-1,"")</f>
        <v/>
      </c>
      <c r="R327" t="str">
        <f t="shared" si="95"/>
        <v/>
      </c>
      <c r="S327" t="str">
        <f>IFERROR(J144+MATCH(R327,J327:N327,0)-1,"")</f>
        <v/>
      </c>
      <c r="T327" t="str">
        <f t="shared" si="96"/>
        <v/>
      </c>
      <c r="U327" t="str">
        <f t="shared" si="97"/>
        <v/>
      </c>
      <c r="V327" t="str">
        <f t="shared" si="98"/>
        <v/>
      </c>
      <c r="W327" t="str">
        <f t="shared" si="99"/>
        <v/>
      </c>
      <c r="X327" t="str">
        <f t="shared" si="100"/>
        <v/>
      </c>
      <c r="Y327" t="str">
        <f t="shared" si="101"/>
        <v/>
      </c>
      <c r="Z327" t="str">
        <f t="shared" si="102"/>
        <v/>
      </c>
      <c r="AA327">
        <f t="shared" si="103"/>
        <v>0</v>
      </c>
      <c r="AB327" t="str">
        <f>IFERROR(V144+MATCH(AA327,V327:Z327,0)-1,"")</f>
        <v/>
      </c>
      <c r="AC327" t="str">
        <f t="shared" si="104"/>
        <v/>
      </c>
      <c r="AE327" t="str">
        <f>IF(ISNUMBER(MATCH("N/A",J327:N327,0)),"",IFERROR((5 * SUMPRODUCT(J144:N144,J327:N327) - PRODUCT(SUM(J144:N144),SUM(J327:N327))) / ((5 * SUM((J144^2)+(K144^2)+(L144^2)+(M144^2)+(N144^2))) - SUM(J144:N144)^2),""))</f>
        <v/>
      </c>
      <c r="AF327" t="str">
        <f>IFERROR(CORREL(J144:N144,J327:N327),"")</f>
        <v/>
      </c>
      <c r="AZ327">
        <f t="shared" si="105"/>
        <v>0</v>
      </c>
      <c r="BA327" t="str">
        <f>IF(AZ327=1,IF(Q327="","",IF(Q327=N144,"Yes","No")),"")</f>
        <v/>
      </c>
      <c r="BB327" t="str">
        <f t="shared" si="106"/>
        <v/>
      </c>
      <c r="BC327" t="str">
        <f>IF(AZ327=1,IF(S327="","",IF(S327=N144,"Yes","No")),"")</f>
        <v/>
      </c>
      <c r="BD327" t="str">
        <f t="shared" si="107"/>
        <v/>
      </c>
      <c r="BE327" t="str">
        <f t="shared" si="108"/>
        <v/>
      </c>
      <c r="BF327" t="str">
        <f t="shared" si="109"/>
        <v>No</v>
      </c>
      <c r="BG327" t="str">
        <f t="shared" si="110"/>
        <v>No</v>
      </c>
      <c r="BH327" t="str">
        <f t="shared" si="111"/>
        <v/>
      </c>
    </row>
    <row r="328" spans="1:60" x14ac:dyDescent="0.3">
      <c r="A328" s="1">
        <v>16</v>
      </c>
      <c r="B328" t="s">
        <v>846</v>
      </c>
      <c r="C328" t="s">
        <v>264</v>
      </c>
      <c r="D328" t="s">
        <v>264</v>
      </c>
      <c r="E328" t="s">
        <v>264</v>
      </c>
      <c r="F328" t="s">
        <v>264</v>
      </c>
      <c r="G328" t="s">
        <v>264</v>
      </c>
      <c r="P328">
        <f t="shared" si="94"/>
        <v>0</v>
      </c>
      <c r="Q328" t="str">
        <f>IFERROR(J144+MATCH(P328,J328:N328,0)-1,"")</f>
        <v/>
      </c>
      <c r="R328" t="str">
        <f t="shared" si="95"/>
        <v/>
      </c>
      <c r="S328" t="str">
        <f>IFERROR(J144+MATCH(R328,J328:N328,0)-1,"")</f>
        <v/>
      </c>
      <c r="T328" t="str">
        <f t="shared" si="96"/>
        <v/>
      </c>
      <c r="U328" t="str">
        <f t="shared" si="97"/>
        <v/>
      </c>
      <c r="V328" t="str">
        <f t="shared" si="98"/>
        <v/>
      </c>
      <c r="W328" t="str">
        <f t="shared" si="99"/>
        <v/>
      </c>
      <c r="X328" t="str">
        <f t="shared" si="100"/>
        <v/>
      </c>
      <c r="Y328" t="str">
        <f t="shared" si="101"/>
        <v/>
      </c>
      <c r="Z328" t="str">
        <f t="shared" si="102"/>
        <v/>
      </c>
      <c r="AA328">
        <f t="shared" si="103"/>
        <v>0</v>
      </c>
      <c r="AB328" t="str">
        <f>IFERROR(V144+MATCH(AA328,V328:Z328,0)-1,"")</f>
        <v/>
      </c>
      <c r="AC328" t="str">
        <f t="shared" si="104"/>
        <v/>
      </c>
      <c r="AE328">
        <f>IF(ISNUMBER(MATCH("N/A",J328:N328,0)),"",IFERROR((5 * SUMPRODUCT(J144:N144,J328:N328) - PRODUCT(SUM(J144:N144),SUM(J328:N328))) / ((5 * SUM((J144^2)+(K144^2)+(L144^2)+(M144^2)+(N144^2))) - SUM(J144:N144)^2),""))</f>
        <v>0</v>
      </c>
      <c r="AF328" t="str">
        <f>IFERROR(CORREL(J144:N144,J328:N328),"")</f>
        <v/>
      </c>
      <c r="AZ328">
        <f t="shared" si="105"/>
        <v>0</v>
      </c>
      <c r="BA328" t="str">
        <f>IF(AZ328=1,IF(Q328="","",IF(Q328=N144,"Yes","No")),"")</f>
        <v/>
      </c>
      <c r="BB328" t="str">
        <f t="shared" si="106"/>
        <v/>
      </c>
      <c r="BC328" t="str">
        <f>IF(AZ328=1,IF(S328="","",IF(S328=N144,"Yes","No")),"")</f>
        <v/>
      </c>
      <c r="BD328" t="str">
        <f t="shared" si="107"/>
        <v/>
      </c>
      <c r="BE328" t="str">
        <f t="shared" si="108"/>
        <v/>
      </c>
      <c r="BF328" t="str">
        <f t="shared" si="109"/>
        <v>No</v>
      </c>
      <c r="BG328" t="str">
        <f t="shared" si="110"/>
        <v>No</v>
      </c>
      <c r="BH328" t="str">
        <f t="shared" si="111"/>
        <v/>
      </c>
    </row>
    <row r="329" spans="1:60" x14ac:dyDescent="0.3">
      <c r="A329" s="1">
        <v>17</v>
      </c>
      <c r="B329" t="s">
        <v>849</v>
      </c>
      <c r="C329" t="s">
        <v>264</v>
      </c>
      <c r="D329" t="s">
        <v>264</v>
      </c>
      <c r="E329" t="s">
        <v>264</v>
      </c>
      <c r="F329" t="s">
        <v>264</v>
      </c>
      <c r="G329" t="s">
        <v>264</v>
      </c>
      <c r="I329" t="str">
        <f t="shared" ref="I329:I360" si="118">IF(AND(K329&gt; J329, L329&gt; K329, M329&gt; L329, N329&gt; M329), "pos_trend", IF(AND(K329&lt; J329, L329&lt; K329, M329&lt; L329, N329&lt; M329), "neg_trend", "N/A"))</f>
        <v>N/A</v>
      </c>
      <c r="J329" t="str">
        <f t="shared" ref="J329:J360" si="119">IFERROR(IF(TRIM(C329)="-", "N/A", IF(RIGHT(C329,1)=")",IF(RIGHT(C329,2)="T)",-1000000000000*VALUE(MID(C329,2,LEN(C329)-3)),IF(RIGHT(C329,2)="M)",-1000000*VALUE(MID(C329,2,LEN(C329)-3)),IF(RIGHT(C329,2)="B)",-1000000000*VALUE(MID(C329,2,LEN(C329)-3)),IF(RIGHT(C329,2)="k)",-1000*VALUE(MID(C329,2,LEN(C329)-3)),VALUE(SUBSTITUTE(C329,",","")))))),IF(RIGHT(C329,1)="T",1000000000000*VALUE(LEFT(C329,LEN(C329)-1)),IF(RIGHT(C329,1)="M",1000000*VALUE(LEFT(C329,LEN(C329)-1)),IF(RIGHT(C329,1)="B",1000000000*VALUE(LEFT(C329,LEN(C329)-1)),IF(RIGHT(C329,1)="%",0.01*VALUE(LEFT(C329,LEN(C329)-1)),IF(RIGHT(C329,1)="k",1000*VALUE(LEFT(C329,LEN(C329)-1)),VALUE(SUBSTITUTE(C329,",",""))))))))),"N/A")</f>
        <v>N/A</v>
      </c>
      <c r="K329" t="str">
        <f t="shared" ref="K329:K360" si="120">IFERROR(IF(TRIM(D329)="-", "N/A", IF(RIGHT(D329,1)=")",IF(RIGHT(D329,2)="T)",-1000000000000*VALUE(MID(D329,2,LEN(D329)-3)),IF(RIGHT(D329,2)="M)",-1000000*VALUE(MID(D329,2,LEN(D329)-3)),IF(RIGHT(D329,2)="B)",-1000000000*VALUE(MID(D329,2,LEN(D329)-3)),IF(RIGHT(D329,2)="k)",-1000*VALUE(MID(D329,2,LEN(D329)-3)),VALUE(SUBSTITUTE(D329,",","")))))),IF(RIGHT(D329,1)="T",1000000000000*VALUE(LEFT(D329,LEN(D329)-1)),IF(RIGHT(D329,1)="M",1000000*VALUE(LEFT(D329,LEN(D329)-1)),IF(RIGHT(D329,1)="B",1000000000*VALUE(LEFT(D329,LEN(D329)-1)),IF(RIGHT(D329,1)="%",0.01*VALUE(LEFT(D329,LEN(D329)-1)),IF(RIGHT(D329,1)="k",1000*VALUE(LEFT(D329,LEN(D329)-1)),VALUE(SUBSTITUTE(D329,",",""))))))))),"N/A")</f>
        <v>N/A</v>
      </c>
      <c r="L329" t="str">
        <f t="shared" ref="L329:L360" si="121">IFERROR(IF(TRIM(E329)="-", "N/A", IF(RIGHT(E329,1)=")",IF(RIGHT(E329,2)="T)",-1000000000000*VALUE(MID(E329,2,LEN(E329)-3)),IF(RIGHT(E329,2)="M)",-1000000*VALUE(MID(E329,2,LEN(E329)-3)),IF(RIGHT(E329,2)="B)",-1000000000*VALUE(MID(E329,2,LEN(E329)-3)),IF(RIGHT(E329,2)="k)",-1000*VALUE(MID(E329,2,LEN(E329)-3)),VALUE(SUBSTITUTE(E329,",","")))))),IF(RIGHT(E329,1)="T",1000000000000*VALUE(LEFT(E329,LEN(E329)-1)),IF(RIGHT(E329,1)="M",1000000*VALUE(LEFT(E329,LEN(E329)-1)),IF(RIGHT(E329,1)="B",1000000000*VALUE(LEFT(E329,LEN(E329)-1)),IF(RIGHT(E329,1)="%",0.01*VALUE(LEFT(E329,LEN(E329)-1)),IF(RIGHT(E329,1)="k",1000*VALUE(LEFT(E329,LEN(E329)-1)),VALUE(SUBSTITUTE(E329,",",""))))))))),"N/A")</f>
        <v>N/A</v>
      </c>
      <c r="M329" t="str">
        <f t="shared" ref="M329:M360" si="122">IFERROR(IF(TRIM(F329)="-", "N/A", IF(RIGHT(F329,1)=")",IF(RIGHT(F329,2)="T)",-1000000000000*VALUE(MID(F329,2,LEN(F329)-3)),IF(RIGHT(F329,2)="M)",-1000000*VALUE(MID(F329,2,LEN(F329)-3)),IF(RIGHT(F329,2)="B)",-1000000000*VALUE(MID(F329,2,LEN(F329)-3)),IF(RIGHT(F329,2)="k)",-1000*VALUE(MID(F329,2,LEN(F329)-3)),VALUE(SUBSTITUTE(F329,",","")))))),IF(RIGHT(F329,1)="T",1000000000000*VALUE(LEFT(F329,LEN(F329)-1)),IF(RIGHT(F329,1)="M",1000000*VALUE(LEFT(F329,LEN(F329)-1)),IF(RIGHT(F329,1)="B",1000000000*VALUE(LEFT(F329,LEN(F329)-1)),IF(RIGHT(F329,1)="%",0.01*VALUE(LEFT(F329,LEN(F329)-1)),IF(RIGHT(F329,1)="k",1000*VALUE(LEFT(F329,LEN(F329)-1)),VALUE(SUBSTITUTE(F329,",",""))))))))),"N/A")</f>
        <v>N/A</v>
      </c>
      <c r="N329" t="str">
        <f t="shared" ref="N329:N360" si="123">IFERROR(IF(TRIM(G329)="-", "N/A", IF(RIGHT(G329,1)=")",IF(RIGHT(G329,2)="T)",-1000000000000*VALUE(MID(G329,2,LEN(G329)-3)),IF(RIGHT(G329,2)="M)",-1000000*VALUE(MID(G329,2,LEN(G329)-3)),IF(RIGHT(G329,2)="B)",-1000000000*VALUE(MID(G329,2,LEN(G329)-3)),IF(RIGHT(G329,2)="k)",-1000*VALUE(MID(G329,2,LEN(G329)-3)),VALUE(SUBSTITUTE(G329,",","")))))),IF(RIGHT(G329,1)="T",1000000000000*VALUE(LEFT(G329,LEN(G329)-1)),IF(RIGHT(G329,1)="M",1000000*VALUE(LEFT(G329,LEN(G329)-1)),IF(RIGHT(G329,1)="B",1000000000*VALUE(LEFT(G329,LEN(G329)-1)),IF(RIGHT(G329,1)="%",0.01*VALUE(LEFT(G329,LEN(G329)-1)),IF(RIGHT(G329,1)="k",1000*VALUE(LEFT(G329,LEN(G329)-1)),VALUE(SUBSTITUTE(G329,",",""))))))))),"N/A")</f>
        <v>N/A</v>
      </c>
      <c r="P329">
        <f t="shared" si="94"/>
        <v>0</v>
      </c>
      <c r="Q329" t="str">
        <f>IFERROR(J144+MATCH(P329,J329:N329,0)-1,"")</f>
        <v/>
      </c>
      <c r="R329" t="str">
        <f t="shared" si="95"/>
        <v/>
      </c>
      <c r="S329" t="str">
        <f>IFERROR(J144+MATCH(R329,J329:N329,0)-1,"")</f>
        <v/>
      </c>
      <c r="T329" t="str">
        <f t="shared" si="96"/>
        <v/>
      </c>
      <c r="U329" t="str">
        <f t="shared" si="97"/>
        <v/>
      </c>
      <c r="V329" t="str">
        <f t="shared" si="98"/>
        <v/>
      </c>
      <c r="W329" t="str">
        <f t="shared" si="99"/>
        <v/>
      </c>
      <c r="X329" t="str">
        <f t="shared" si="100"/>
        <v/>
      </c>
      <c r="Y329" t="str">
        <f t="shared" si="101"/>
        <v/>
      </c>
      <c r="Z329" t="str">
        <f t="shared" si="102"/>
        <v/>
      </c>
      <c r="AA329">
        <f t="shared" si="103"/>
        <v>0</v>
      </c>
      <c r="AB329" t="str">
        <f>IFERROR(V144+MATCH(AA329,V329:Z329,0)-1,"")</f>
        <v/>
      </c>
      <c r="AC329" t="str">
        <f t="shared" si="104"/>
        <v/>
      </c>
      <c r="AE329" t="str">
        <f>IF(ISNUMBER(MATCH("N/A",J329:N329,0)),"",IFERROR((5 * SUMPRODUCT(J144:N144,J329:N329) - PRODUCT(SUM(J144:N144),SUM(J329:N329))) / ((5 * SUM((J144^2)+(K144^2)+(L144^2)+(M144^2)+(N144^2))) - SUM(J144:N144)^2),""))</f>
        <v/>
      </c>
      <c r="AF329" t="str">
        <f>IFERROR(CORREL(J144:N144,J329:N329),"")</f>
        <v/>
      </c>
      <c r="AZ329">
        <f t="shared" si="105"/>
        <v>0</v>
      </c>
      <c r="BA329" t="str">
        <f>IF(AZ329=1,IF(Q329="","",IF(Q329=N144,"Yes","No")),"")</f>
        <v/>
      </c>
      <c r="BB329" t="str">
        <f t="shared" si="106"/>
        <v/>
      </c>
      <c r="BC329" t="str">
        <f>IF(AZ329=1,IF(S329="","",IF(S329=N144,"Yes","No")),"")</f>
        <v/>
      </c>
      <c r="BD329" t="str">
        <f t="shared" si="107"/>
        <v/>
      </c>
      <c r="BE329" t="str">
        <f t="shared" si="108"/>
        <v/>
      </c>
      <c r="BF329" t="str">
        <f t="shared" si="109"/>
        <v>No</v>
      </c>
      <c r="BG329" t="str">
        <f t="shared" si="110"/>
        <v>No</v>
      </c>
      <c r="BH329" t="str">
        <f t="shared" si="111"/>
        <v/>
      </c>
    </row>
    <row r="330" spans="1:60" x14ac:dyDescent="0.3">
      <c r="A330" s="1">
        <v>18</v>
      </c>
      <c r="B330" t="s">
        <v>920</v>
      </c>
      <c r="C330" t="s">
        <v>3785</v>
      </c>
      <c r="D330" t="s">
        <v>3786</v>
      </c>
      <c r="E330" t="s">
        <v>3787</v>
      </c>
      <c r="F330" t="s">
        <v>3788</v>
      </c>
      <c r="G330" t="s">
        <v>3789</v>
      </c>
      <c r="I330" t="str">
        <f t="shared" si="118"/>
        <v>N/A</v>
      </c>
      <c r="J330">
        <f t="shared" si="119"/>
        <v>16649999.999999998</v>
      </c>
      <c r="K330">
        <f t="shared" si="120"/>
        <v>31200000</v>
      </c>
      <c r="L330">
        <f t="shared" si="121"/>
        <v>29280000</v>
      </c>
      <c r="M330">
        <f t="shared" si="122"/>
        <v>2530000</v>
      </c>
      <c r="N330">
        <f t="shared" si="123"/>
        <v>47000000</v>
      </c>
      <c r="P330">
        <f t="shared" si="94"/>
        <v>47000000</v>
      </c>
      <c r="Q330">
        <f>IFERROR(J144+MATCH(P330,J330:N330,0)-1,"")</f>
        <v>2016</v>
      </c>
      <c r="R330">
        <f t="shared" si="95"/>
        <v>2530000</v>
      </c>
      <c r="S330">
        <f>IFERROR(J144+MATCH(R330,J330:N330,0)-1,"")</f>
        <v>2015</v>
      </c>
      <c r="T330">
        <f t="shared" si="96"/>
        <v>25332000</v>
      </c>
      <c r="U330">
        <f t="shared" si="97"/>
        <v>16694540.125442211</v>
      </c>
      <c r="V330">
        <f t="shared" si="98"/>
        <v>-0.52005026402427068</v>
      </c>
      <c r="W330">
        <f t="shared" si="99"/>
        <v>0.3514921618629831</v>
      </c>
      <c r="X330">
        <f t="shared" si="100"/>
        <v>0.23648450153971665</v>
      </c>
      <c r="Y330">
        <f t="shared" si="101"/>
        <v>-1.3658357659849594</v>
      </c>
      <c r="Z330">
        <f t="shared" si="102"/>
        <v>1.29790936660653</v>
      </c>
      <c r="AA330">
        <f t="shared" si="103"/>
        <v>-1.3658357659849594</v>
      </c>
      <c r="AB330">
        <f>IFERROR(V144+MATCH(AA330,V330:Z330,0)-1,"")</f>
        <v>2015</v>
      </c>
      <c r="AC330" t="str">
        <f t="shared" si="104"/>
        <v>Low</v>
      </c>
      <c r="AE330">
        <f>IF(ISNUMBER(MATCH("N/A",J330:N330,0)),"",IFERROR((5 * SUMPRODUCT(J144:N144,J330:N330) - PRODUCT(SUM(J144:N144),SUM(J330:N330))) / ((5 * SUM((J144^2)+(K144^2)+(L144^2)+(M144^2)+(N144^2))) - SUM(J144:N144)^2),""))</f>
        <v>3203000</v>
      </c>
      <c r="AF330">
        <f>IFERROR(CORREL(J144:N144,J330:N330),"")</f>
        <v>0.30335592563233388</v>
      </c>
      <c r="AZ330">
        <f t="shared" si="105"/>
        <v>1</v>
      </c>
      <c r="BA330" t="str">
        <f>IF(AZ330=1,IF(Q330="","",IF(Q330=N144,"Yes","No")),"")</f>
        <v>Yes</v>
      </c>
      <c r="BB330">
        <f t="shared" si="106"/>
        <v>47000000</v>
      </c>
      <c r="BC330" t="str">
        <f>IF(AZ330=1,IF(S330="","",IF(S330=N144,"Yes","No")),"")</f>
        <v>No</v>
      </c>
      <c r="BD330" t="str">
        <f t="shared" si="107"/>
        <v/>
      </c>
      <c r="BE330" t="str">
        <f t="shared" si="108"/>
        <v>Increasing</v>
      </c>
      <c r="BF330" t="str">
        <f t="shared" si="109"/>
        <v>Yes</v>
      </c>
      <c r="BG330" t="str">
        <f t="shared" si="110"/>
        <v>No</v>
      </c>
      <c r="BH330" t="str">
        <f t="shared" si="111"/>
        <v>No</v>
      </c>
    </row>
    <row r="331" spans="1:60" x14ac:dyDescent="0.3">
      <c r="A331" s="1">
        <v>19</v>
      </c>
      <c r="B331" t="s">
        <v>926</v>
      </c>
      <c r="C331" t="s">
        <v>264</v>
      </c>
      <c r="D331" t="s">
        <v>3790</v>
      </c>
      <c r="E331" t="s">
        <v>3791</v>
      </c>
      <c r="F331" t="s">
        <v>3792</v>
      </c>
      <c r="G331" t="s">
        <v>3793</v>
      </c>
      <c r="I331" t="str">
        <f t="shared" si="118"/>
        <v>N/A</v>
      </c>
      <c r="J331" t="str">
        <f t="shared" si="119"/>
        <v>N/A</v>
      </c>
      <c r="K331">
        <f t="shared" si="120"/>
        <v>0.87390000000000001</v>
      </c>
      <c r="L331">
        <f t="shared" si="121"/>
        <v>-6.1500000000000006E-2</v>
      </c>
      <c r="M331">
        <f t="shared" si="122"/>
        <v>-0.91349999999999998</v>
      </c>
      <c r="N331">
        <f t="shared" si="123"/>
        <v>17.547799999999999</v>
      </c>
      <c r="P331">
        <f t="shared" si="94"/>
        <v>17.547799999999999</v>
      </c>
      <c r="Q331">
        <f>IFERROR(J144+MATCH(P331,J331:N331,0)-1,"")</f>
        <v>2016</v>
      </c>
      <c r="R331">
        <f t="shared" si="95"/>
        <v>-0.91349999999999998</v>
      </c>
      <c r="S331">
        <f>IFERROR(J144+MATCH(R331,J331:N331,0)-1,"")</f>
        <v>2015</v>
      </c>
      <c r="T331">
        <f t="shared" si="96"/>
        <v>4.361675</v>
      </c>
      <c r="U331">
        <f t="shared" si="97"/>
        <v>8.82100552332329</v>
      </c>
      <c r="V331" t="str">
        <f t="shared" si="98"/>
        <v/>
      </c>
      <c r="W331">
        <f t="shared" si="99"/>
        <v>-0.3953942655152074</v>
      </c>
      <c r="X331">
        <f t="shared" si="100"/>
        <v>-0.50143659793714546</v>
      </c>
      <c r="Y331">
        <f t="shared" si="101"/>
        <v>-0.59802422592890425</v>
      </c>
      <c r="Z331">
        <f t="shared" si="102"/>
        <v>1.4948550893812571</v>
      </c>
      <c r="AA331">
        <f t="shared" si="103"/>
        <v>1.4948550893812571</v>
      </c>
      <c r="AB331">
        <f>IFERROR(V144+MATCH(AA331,V331:Z331,0)-1,"")</f>
        <v>2016</v>
      </c>
      <c r="AC331" t="str">
        <f t="shared" si="104"/>
        <v>High</v>
      </c>
      <c r="AE331" t="str">
        <f>IF(ISNUMBER(MATCH("N/A",J331:N331,0)),"",IFERROR((5 * SUMPRODUCT(J144:N144,J331:N331) - PRODUCT(SUM(J144:N144),SUM(J331:N331))) / ((5 * SUM((J144^2)+(K144^2)+(L144^2)+(M144^2)+(N144^2))) - SUM(J144:N144)^2),""))</f>
        <v/>
      </c>
      <c r="AF331">
        <f>IFERROR(CORREL(J144:N144,J331:N331),"")</f>
        <v>0.71962101801394018</v>
      </c>
      <c r="AZ331">
        <f t="shared" si="105"/>
        <v>1</v>
      </c>
      <c r="BA331" t="str">
        <f>IF(AZ331=1,IF(Q331="","",IF(Q331=N144,"Yes","No")),"")</f>
        <v>Yes</v>
      </c>
      <c r="BB331">
        <f t="shared" si="106"/>
        <v>17.547799999999999</v>
      </c>
      <c r="BC331" t="str">
        <f>IF(AZ331=1,IF(S331="","",IF(S331=N144,"Yes","No")),"")</f>
        <v>No</v>
      </c>
      <c r="BD331" t="str">
        <f t="shared" si="107"/>
        <v/>
      </c>
      <c r="BE331" t="str">
        <f t="shared" si="108"/>
        <v/>
      </c>
      <c r="BF331" t="str">
        <f t="shared" si="109"/>
        <v>No</v>
      </c>
      <c r="BG331" t="str">
        <f t="shared" si="110"/>
        <v>No</v>
      </c>
      <c r="BH331" t="str">
        <f t="shared" si="111"/>
        <v>No</v>
      </c>
    </row>
    <row r="332" spans="1:60" x14ac:dyDescent="0.3">
      <c r="A332" s="1">
        <v>20</v>
      </c>
      <c r="B332" t="s">
        <v>3794</v>
      </c>
      <c r="C332" t="s">
        <v>3795</v>
      </c>
      <c r="D332" t="s">
        <v>3796</v>
      </c>
      <c r="E332" t="s">
        <v>3797</v>
      </c>
      <c r="F332" t="s">
        <v>3329</v>
      </c>
      <c r="G332" t="s">
        <v>3798</v>
      </c>
      <c r="I332" t="str">
        <f t="shared" si="118"/>
        <v>N/A</v>
      </c>
      <c r="J332">
        <f t="shared" si="119"/>
        <v>0.35610000000000003</v>
      </c>
      <c r="K332">
        <f t="shared" si="120"/>
        <v>0.69519999999999993</v>
      </c>
      <c r="L332">
        <f t="shared" si="121"/>
        <v>0.63549999999999995</v>
      </c>
      <c r="M332">
        <f t="shared" si="122"/>
        <v>0.05</v>
      </c>
      <c r="N332">
        <f t="shared" si="123"/>
        <v>0.87739999999999996</v>
      </c>
      <c r="P332">
        <f t="shared" si="94"/>
        <v>0.87739999999999996</v>
      </c>
      <c r="Q332">
        <f>IFERROR(J144+MATCH(P332,J332:N332,0)-1,"")</f>
        <v>2016</v>
      </c>
      <c r="R332">
        <f t="shared" si="95"/>
        <v>0.05</v>
      </c>
      <c r="S332">
        <f>IFERROR(J144+MATCH(R332,J332:N332,0)-1,"")</f>
        <v>2015</v>
      </c>
      <c r="T332">
        <f t="shared" si="96"/>
        <v>0.52283999999999997</v>
      </c>
      <c r="U332">
        <f t="shared" si="97"/>
        <v>0.32384137011814895</v>
      </c>
      <c r="V332">
        <f t="shared" si="98"/>
        <v>-0.51488171489382972</v>
      </c>
      <c r="W332">
        <f t="shared" si="99"/>
        <v>0.53223589048279052</v>
      </c>
      <c r="X332">
        <f t="shared" si="100"/>
        <v>0.34788637399507533</v>
      </c>
      <c r="Y332">
        <f t="shared" si="101"/>
        <v>-1.4600975774882961</v>
      </c>
      <c r="Z332">
        <f t="shared" si="102"/>
        <v>1.09485702790426</v>
      </c>
      <c r="AA332">
        <f t="shared" si="103"/>
        <v>-1.4600975774882961</v>
      </c>
      <c r="AB332">
        <f>IFERROR(V144+MATCH(AA332,V332:Z332,0)-1,"")</f>
        <v>2015</v>
      </c>
      <c r="AC332" t="str">
        <f t="shared" si="104"/>
        <v>Low</v>
      </c>
      <c r="AE332">
        <f>IF(ISNUMBER(MATCH("N/A",J332:N332,0)),"",IFERROR((5 * SUMPRODUCT(J144:N144,J332:N332) - PRODUCT(SUM(J144:N144),SUM(J332:N332))) / ((5 * SUM((J144^2)+(K144^2)+(L144^2)+(M144^2)+(N144^2))) - SUM(J144:N144)^2),""))</f>
        <v>3.9739999999947033E-2</v>
      </c>
      <c r="AF332">
        <f>IFERROR(CORREL(J144:N144,J332:N332),"")</f>
        <v>0.19402850563725504</v>
      </c>
      <c r="AZ332">
        <f t="shared" si="105"/>
        <v>1</v>
      </c>
      <c r="BA332" t="str">
        <f>IF(AZ332=1,IF(Q332="","",IF(Q332=N144,"Yes","No")),"")</f>
        <v>Yes</v>
      </c>
      <c r="BB332">
        <f t="shared" si="106"/>
        <v>0.87739999999999996</v>
      </c>
      <c r="BC332" t="str">
        <f>IF(AZ332=1,IF(S332="","",IF(S332=N144,"Yes","No")),"")</f>
        <v>No</v>
      </c>
      <c r="BD332" t="str">
        <f t="shared" si="107"/>
        <v/>
      </c>
      <c r="BE332" t="str">
        <f t="shared" si="108"/>
        <v>Increasing</v>
      </c>
      <c r="BF332" t="str">
        <f t="shared" si="109"/>
        <v>Yes</v>
      </c>
      <c r="BG332" t="str">
        <f t="shared" si="110"/>
        <v>No</v>
      </c>
      <c r="BH332" t="str">
        <f t="shared" si="111"/>
        <v>No</v>
      </c>
    </row>
    <row r="333" spans="1:60" x14ac:dyDescent="0.3">
      <c r="A333" s="1">
        <v>21</v>
      </c>
      <c r="B333" t="s">
        <v>937</v>
      </c>
      <c r="C333" t="s">
        <v>264</v>
      </c>
      <c r="D333" t="s">
        <v>264</v>
      </c>
      <c r="E333" t="s">
        <v>264</v>
      </c>
      <c r="F333" t="s">
        <v>264</v>
      </c>
      <c r="G333" t="s">
        <v>264</v>
      </c>
      <c r="I333" t="str">
        <f t="shared" si="118"/>
        <v>N/A</v>
      </c>
      <c r="J333" t="str">
        <f t="shared" si="119"/>
        <v>N/A</v>
      </c>
      <c r="K333" t="str">
        <f t="shared" si="120"/>
        <v>N/A</v>
      </c>
      <c r="L333" t="str">
        <f t="shared" si="121"/>
        <v>N/A</v>
      </c>
      <c r="M333" t="str">
        <f t="shared" si="122"/>
        <v>N/A</v>
      </c>
      <c r="N333" t="str">
        <f t="shared" si="123"/>
        <v>N/A</v>
      </c>
      <c r="P333">
        <f t="shared" si="94"/>
        <v>0</v>
      </c>
      <c r="Q333" t="str">
        <f>IFERROR(J144+MATCH(P333,J333:N333,0)-1,"")</f>
        <v/>
      </c>
      <c r="R333" t="str">
        <f t="shared" si="95"/>
        <v/>
      </c>
      <c r="S333" t="str">
        <f>IFERROR(J144+MATCH(R333,J333:N333,0)-1,"")</f>
        <v/>
      </c>
      <c r="T333" t="str">
        <f t="shared" si="96"/>
        <v/>
      </c>
      <c r="U333" t="str">
        <f t="shared" si="97"/>
        <v/>
      </c>
      <c r="V333" t="str">
        <f t="shared" si="98"/>
        <v/>
      </c>
      <c r="W333" t="str">
        <f t="shared" si="99"/>
        <v/>
      </c>
      <c r="X333" t="str">
        <f t="shared" si="100"/>
        <v/>
      </c>
      <c r="Y333" t="str">
        <f t="shared" si="101"/>
        <v/>
      </c>
      <c r="Z333" t="str">
        <f t="shared" si="102"/>
        <v/>
      </c>
      <c r="AA333">
        <f t="shared" si="103"/>
        <v>0</v>
      </c>
      <c r="AB333" t="str">
        <f>IFERROR(V144+MATCH(AA333,V333:Z333,0)-1,"")</f>
        <v/>
      </c>
      <c r="AC333" t="str">
        <f t="shared" si="104"/>
        <v/>
      </c>
      <c r="AE333" t="str">
        <f>IF(ISNUMBER(MATCH("N/A",J333:N333,0)),"",IFERROR((5 * SUMPRODUCT(J144:N144,J333:N333) - PRODUCT(SUM(J144:N144),SUM(J333:N333))) / ((5 * SUM((J144^2)+(K144^2)+(L144^2)+(M144^2)+(N144^2))) - SUM(J144:N144)^2),""))</f>
        <v/>
      </c>
      <c r="AF333" t="str">
        <f>IFERROR(CORREL(J144:N144,J333:N333),"")</f>
        <v/>
      </c>
      <c r="AZ333">
        <f t="shared" si="105"/>
        <v>0</v>
      </c>
      <c r="BA333" t="str">
        <f>IF(AZ333=1,IF(Q333="","",IF(Q333=N144,"Yes","No")),"")</f>
        <v/>
      </c>
      <c r="BB333" t="str">
        <f t="shared" si="106"/>
        <v/>
      </c>
      <c r="BC333" t="str">
        <f>IF(AZ333=1,IF(S333="","",IF(S333=N144,"Yes","No")),"")</f>
        <v/>
      </c>
      <c r="BD333" t="str">
        <f t="shared" si="107"/>
        <v/>
      </c>
      <c r="BE333" t="str">
        <f t="shared" si="108"/>
        <v/>
      </c>
      <c r="BF333" t="str">
        <f t="shared" si="109"/>
        <v>No</v>
      </c>
      <c r="BG333" t="str">
        <f t="shared" si="110"/>
        <v>No</v>
      </c>
      <c r="BH333" t="str">
        <f t="shared" si="111"/>
        <v/>
      </c>
    </row>
    <row r="334" spans="1:60" x14ac:dyDescent="0.3">
      <c r="A334" s="1">
        <v>22</v>
      </c>
      <c r="B334" t="s">
        <v>939</v>
      </c>
      <c r="C334" t="s">
        <v>698</v>
      </c>
      <c r="D334" t="s">
        <v>698</v>
      </c>
      <c r="E334" t="s">
        <v>698</v>
      </c>
      <c r="F334" t="s">
        <v>698</v>
      </c>
      <c r="G334" t="s">
        <v>698</v>
      </c>
      <c r="I334" t="str">
        <f t="shared" si="118"/>
        <v>N/A</v>
      </c>
      <c r="J334">
        <f t="shared" si="119"/>
        <v>0</v>
      </c>
      <c r="K334">
        <f t="shared" si="120"/>
        <v>0</v>
      </c>
      <c r="L334">
        <f t="shared" si="121"/>
        <v>0</v>
      </c>
      <c r="M334">
        <f t="shared" si="122"/>
        <v>0</v>
      </c>
      <c r="N334">
        <f t="shared" si="123"/>
        <v>0</v>
      </c>
      <c r="P334">
        <f t="shared" si="94"/>
        <v>0</v>
      </c>
      <c r="Q334">
        <f>IFERROR(J144+MATCH(P334,J334:N334,0)-1,"")</f>
        <v>2012</v>
      </c>
      <c r="R334">
        <f t="shared" si="95"/>
        <v>0</v>
      </c>
      <c r="S334">
        <f>IFERROR(J144+MATCH(R334,J334:N334,0)-1,"")</f>
        <v>2012</v>
      </c>
      <c r="T334">
        <f t="shared" si="96"/>
        <v>0</v>
      </c>
      <c r="U334">
        <f t="shared" si="97"/>
        <v>0</v>
      </c>
      <c r="V334" t="str">
        <f t="shared" si="98"/>
        <v/>
      </c>
      <c r="W334" t="str">
        <f t="shared" si="99"/>
        <v/>
      </c>
      <c r="X334" t="str">
        <f t="shared" si="100"/>
        <v/>
      </c>
      <c r="Y334" t="str">
        <f t="shared" si="101"/>
        <v/>
      </c>
      <c r="Z334" t="str">
        <f t="shared" si="102"/>
        <v/>
      </c>
      <c r="AA334">
        <f t="shared" si="103"/>
        <v>0</v>
      </c>
      <c r="AB334" t="str">
        <f>IFERROR(V144+MATCH(AA334,V334:Z334,0)-1,"")</f>
        <v/>
      </c>
      <c r="AC334" t="str">
        <f t="shared" si="104"/>
        <v/>
      </c>
      <c r="AE334">
        <f>IF(ISNUMBER(MATCH("N/A",J334:N334,0)),"",IFERROR((5 * SUMPRODUCT(J144:N144,J334:N334) - PRODUCT(SUM(J144:N144),SUM(J334:N334))) / ((5 * SUM((J144^2)+(K144^2)+(L144^2)+(M144^2)+(N144^2))) - SUM(J144:N144)^2),""))</f>
        <v>0</v>
      </c>
      <c r="AF334" t="str">
        <f>IFERROR(CORREL(J144:N144,J334:N334),"")</f>
        <v/>
      </c>
      <c r="AZ334">
        <f t="shared" si="105"/>
        <v>0</v>
      </c>
      <c r="BA334" t="str">
        <f>IF(AZ334=1,IF(Q334="","",IF(Q334=N144,"Yes","No")),"")</f>
        <v/>
      </c>
      <c r="BB334" t="str">
        <f t="shared" si="106"/>
        <v/>
      </c>
      <c r="BC334" t="str">
        <f>IF(AZ334=1,IF(S334="","",IF(S334=N144,"Yes","No")),"")</f>
        <v/>
      </c>
      <c r="BD334" t="str">
        <f t="shared" si="107"/>
        <v/>
      </c>
      <c r="BE334" t="str">
        <f t="shared" si="108"/>
        <v/>
      </c>
      <c r="BF334" t="str">
        <f t="shared" si="109"/>
        <v>No</v>
      </c>
      <c r="BG334" t="str">
        <f t="shared" si="110"/>
        <v>No</v>
      </c>
      <c r="BH334" t="str">
        <f t="shared" si="111"/>
        <v/>
      </c>
    </row>
    <row r="335" spans="1:60" x14ac:dyDescent="0.3">
      <c r="A335" s="1">
        <v>23</v>
      </c>
      <c r="B335" t="s">
        <v>940</v>
      </c>
      <c r="C335" t="s">
        <v>511</v>
      </c>
      <c r="D335" t="s">
        <v>3799</v>
      </c>
      <c r="E335" t="s">
        <v>3800</v>
      </c>
      <c r="F335" t="s">
        <v>2220</v>
      </c>
      <c r="G335" t="s">
        <v>3801</v>
      </c>
      <c r="I335" t="str">
        <f t="shared" si="118"/>
        <v>N/A</v>
      </c>
      <c r="J335">
        <f t="shared" si="119"/>
        <v>-6000000</v>
      </c>
      <c r="K335">
        <f t="shared" si="120"/>
        <v>-12250000</v>
      </c>
      <c r="L335">
        <f t="shared" si="121"/>
        <v>-4330000</v>
      </c>
      <c r="M335">
        <f t="shared" si="122"/>
        <v>5700000</v>
      </c>
      <c r="N335">
        <f t="shared" si="123"/>
        <v>1130000</v>
      </c>
      <c r="P335">
        <f t="shared" si="94"/>
        <v>5700000</v>
      </c>
      <c r="Q335">
        <f>IFERROR(J144+MATCH(P335,J335:N335,0)-1,"")</f>
        <v>2015</v>
      </c>
      <c r="R335">
        <f t="shared" si="95"/>
        <v>-12250000</v>
      </c>
      <c r="S335">
        <f>IFERROR(J144+MATCH(R335,J335:N335,0)-1,"")</f>
        <v>2013</v>
      </c>
      <c r="T335">
        <f t="shared" si="96"/>
        <v>-3150000</v>
      </c>
      <c r="U335">
        <f t="shared" si="97"/>
        <v>6873241.5933095207</v>
      </c>
      <c r="V335">
        <f t="shared" si="98"/>
        <v>-0.41465150923462624</v>
      </c>
      <c r="W335">
        <f t="shared" si="99"/>
        <v>-1.3239749943982804</v>
      </c>
      <c r="X335">
        <f t="shared" si="100"/>
        <v>-0.17168027399889788</v>
      </c>
      <c r="Y335">
        <f t="shared" si="101"/>
        <v>1.2876020549917342</v>
      </c>
      <c r="Z335">
        <f t="shared" si="102"/>
        <v>0.62270472264007026</v>
      </c>
      <c r="AA335">
        <f t="shared" si="103"/>
        <v>-1.3239749943982804</v>
      </c>
      <c r="AB335">
        <f>IFERROR(V144+MATCH(AA335,V335:Z335,0)-1,"")</f>
        <v>2013</v>
      </c>
      <c r="AC335" t="str">
        <f t="shared" si="104"/>
        <v>Low</v>
      </c>
      <c r="AE335">
        <f>IF(ISNUMBER(MATCH("N/A",J335:N335,0)),"",IFERROR((5 * SUMPRODUCT(J144:N144,J335:N335) - PRODUCT(SUM(J144:N144),SUM(J335:N335))) / ((5 * SUM((J144^2)+(K144^2)+(L144^2)+(M144^2)+(N144^2))) - SUM(J144:N144)^2),""))</f>
        <v>3221000</v>
      </c>
      <c r="AF335">
        <f>IFERROR(CORREL(J144:N144,J335:N335),"")</f>
        <v>0.74096743182410485</v>
      </c>
      <c r="AZ335">
        <f t="shared" si="105"/>
        <v>1</v>
      </c>
      <c r="BA335" t="str">
        <f>IF(AZ335=1,IF(Q335="","",IF(Q335=N144,"Yes","No")),"")</f>
        <v>No</v>
      </c>
      <c r="BB335" t="str">
        <f t="shared" si="106"/>
        <v/>
      </c>
      <c r="BC335" t="str">
        <f>IF(AZ335=1,IF(S335="","",IF(S335=N144,"Yes","No")),"")</f>
        <v>No</v>
      </c>
      <c r="BD335" t="str">
        <f t="shared" si="107"/>
        <v/>
      </c>
      <c r="BE335" t="str">
        <f t="shared" si="108"/>
        <v>Increasing</v>
      </c>
      <c r="BF335" t="str">
        <f t="shared" si="109"/>
        <v>No</v>
      </c>
      <c r="BG335" t="str">
        <f t="shared" si="110"/>
        <v>No</v>
      </c>
      <c r="BH335" t="str">
        <f t="shared" si="111"/>
        <v>No</v>
      </c>
    </row>
    <row r="336" spans="1:60" x14ac:dyDescent="0.3">
      <c r="A336" s="1">
        <v>24</v>
      </c>
      <c r="B336" t="s">
        <v>946</v>
      </c>
      <c r="C336" t="s">
        <v>3802</v>
      </c>
      <c r="D336" t="s">
        <v>3803</v>
      </c>
      <c r="E336" t="s">
        <v>2838</v>
      </c>
      <c r="F336" t="s">
        <v>3804</v>
      </c>
      <c r="G336" t="s">
        <v>3805</v>
      </c>
      <c r="I336" t="str">
        <f t="shared" si="118"/>
        <v>N/A</v>
      </c>
      <c r="J336">
        <f t="shared" si="119"/>
        <v>15990000</v>
      </c>
      <c r="K336">
        <f t="shared" si="120"/>
        <v>11190000</v>
      </c>
      <c r="L336">
        <f t="shared" si="121"/>
        <v>14400000</v>
      </c>
      <c r="M336">
        <f t="shared" si="122"/>
        <v>12180000</v>
      </c>
      <c r="N336">
        <f t="shared" si="123"/>
        <v>13090000</v>
      </c>
      <c r="P336">
        <f t="shared" si="94"/>
        <v>15990000</v>
      </c>
      <c r="Q336">
        <f>IFERROR(J144+MATCH(P336,J336:N336,0)-1,"")</f>
        <v>2012</v>
      </c>
      <c r="R336">
        <f t="shared" si="95"/>
        <v>11190000</v>
      </c>
      <c r="S336">
        <f>IFERROR(J144+MATCH(R336,J336:N336,0)-1,"")</f>
        <v>2013</v>
      </c>
      <c r="T336">
        <f t="shared" si="96"/>
        <v>13370000</v>
      </c>
      <c r="U336">
        <f t="shared" si="97"/>
        <v>1882299.1260689679</v>
      </c>
      <c r="V336">
        <f t="shared" si="98"/>
        <v>1.3919147938360157</v>
      </c>
      <c r="W336">
        <f t="shared" si="99"/>
        <v>-1.1581581109017229</v>
      </c>
      <c r="X336">
        <f t="shared" si="100"/>
        <v>0.54720314414163973</v>
      </c>
      <c r="Y336">
        <f t="shared" si="101"/>
        <v>-0.63220557429956437</v>
      </c>
      <c r="Z336">
        <f t="shared" si="102"/>
        <v>-0.14875425277636808</v>
      </c>
      <c r="AA336">
        <f t="shared" si="103"/>
        <v>1.3919147938360157</v>
      </c>
      <c r="AB336">
        <f>IFERROR(V144+MATCH(AA336,V336:Z336,0)-1,"")</f>
        <v>2012</v>
      </c>
      <c r="AC336" t="str">
        <f t="shared" si="104"/>
        <v>High</v>
      </c>
      <c r="AE336">
        <f>IF(ISNUMBER(MATCH("N/A",J336:N336,0)),"",IFERROR((5 * SUMPRODUCT(J144:N144,J336:N336) - PRODUCT(SUM(J144:N144),SUM(J336:N336))) / ((5 * SUM((J144^2)+(K144^2)+(L144^2)+(M144^2)+(N144^2))) - SUM(J144:N144)^2),""))</f>
        <v>-481000</v>
      </c>
      <c r="AF336">
        <f>IFERROR(CORREL(J144:N144,J336:N336),"")</f>
        <v>-0.40404193294123075</v>
      </c>
      <c r="AZ336">
        <f t="shared" si="105"/>
        <v>1</v>
      </c>
      <c r="BA336" t="str">
        <f>IF(AZ336=1,IF(Q336="","",IF(Q336=N144,"Yes","No")),"")</f>
        <v>No</v>
      </c>
      <c r="BB336" t="str">
        <f t="shared" si="106"/>
        <v/>
      </c>
      <c r="BC336" t="str">
        <f>IF(AZ336=1,IF(S336="","",IF(S336=N144,"Yes","No")),"")</f>
        <v>No</v>
      </c>
      <c r="BD336" t="str">
        <f t="shared" si="107"/>
        <v/>
      </c>
      <c r="BE336" t="str">
        <f t="shared" si="108"/>
        <v>Decreasing</v>
      </c>
      <c r="BF336" t="str">
        <f t="shared" si="109"/>
        <v>No</v>
      </c>
      <c r="BG336" t="str">
        <f t="shared" si="110"/>
        <v>No</v>
      </c>
      <c r="BH336" t="str">
        <f t="shared" si="111"/>
        <v>No</v>
      </c>
    </row>
    <row r="337" spans="1:60" x14ac:dyDescent="0.3">
      <c r="A337" s="1">
        <v>25</v>
      </c>
      <c r="B337" t="s">
        <v>952</v>
      </c>
      <c r="C337" t="s">
        <v>264</v>
      </c>
      <c r="D337" t="s">
        <v>3806</v>
      </c>
      <c r="E337" t="s">
        <v>3807</v>
      </c>
      <c r="F337" t="s">
        <v>3808</v>
      </c>
      <c r="G337" t="s">
        <v>3809</v>
      </c>
      <c r="I337" t="str">
        <f t="shared" si="118"/>
        <v>N/A</v>
      </c>
      <c r="J337" t="str">
        <f t="shared" si="119"/>
        <v>N/A</v>
      </c>
      <c r="K337">
        <f t="shared" si="120"/>
        <v>-0.3004</v>
      </c>
      <c r="L337">
        <f t="shared" si="121"/>
        <v>0.28750000000000003</v>
      </c>
      <c r="M337">
        <f t="shared" si="122"/>
        <v>-0.15410000000000001</v>
      </c>
      <c r="N337">
        <f t="shared" si="123"/>
        <v>7.4700000000000003E-2</v>
      </c>
      <c r="P337">
        <f t="shared" ref="P337:P353" si="124">MAX(J337:N337)</f>
        <v>0.28750000000000003</v>
      </c>
      <c r="Q337">
        <f>IFERROR(J144+MATCH(P337,J337:N337,0)-1,"")</f>
        <v>2014</v>
      </c>
      <c r="R337">
        <f t="shared" ref="R337:R400" si="125">IF(Q337="","",MIN(J337:N337))</f>
        <v>-0.3004</v>
      </c>
      <c r="S337">
        <f>IFERROR(J144+MATCH(R337,J337:N337,0)-1,"")</f>
        <v>2013</v>
      </c>
      <c r="T337">
        <f t="shared" ref="T337:T353" si="126">IFERROR(AVERAGE(J337:N337),"")</f>
        <v>-2.3074999999999995E-2</v>
      </c>
      <c r="U337">
        <f t="shared" ref="U337:U353" si="127">IFERROR(STDEV(J337:N337),"")</f>
        <v>0.25825922861858525</v>
      </c>
      <c r="V337" t="str">
        <f t="shared" ref="V337:V400" si="128">IFERROR(IF(C337="-","",IF(ISBLANK(B337),"",IF(OR(ISNUMBER(FIND("Growth",B337)),ISNUMBER(FIND("Margin",B337))),"",(J337-T337)/U337))),"")</f>
        <v/>
      </c>
      <c r="W337">
        <f t="shared" ref="W337:W353" si="129">IFERROR(IF(OR(D337="-",ISBLANK(D337)),"",(K337-T337)/U337),"")</f>
        <v>-1.0738241629675598</v>
      </c>
      <c r="X337">
        <f t="shared" ref="X337:X353" si="130">IFERROR(IF(OR(E337="-",ISBLANK(E337)),"",(L337-T337)/U337),"")</f>
        <v>1.202570772247904</v>
      </c>
      <c r="Y337">
        <f t="shared" ref="Y337:Y353" si="131">IFERROR(IF(OR(F337="-",ISBLANK(F337)),"",(M337-T337)/U337),"")</f>
        <v>-0.50733908213404699</v>
      </c>
      <c r="Z337">
        <f t="shared" ref="Z337:Z353" si="132">IFERROR(IF(OR(G337="-",ISBLANK(G337)),"",(N337-T337)/U337),"")</f>
        <v>0.37859247285370295</v>
      </c>
      <c r="AA337">
        <f t="shared" ref="AA337:AA400" si="133">IF(MAX(MAX(V337:Z337),ABS(MIN(V337:Z337)))=ABS(MIN(V337:Z337)),MIN(V337:Z337),MAX(V337:Z337))</f>
        <v>1.202570772247904</v>
      </c>
      <c r="AB337">
        <f>IFERROR(V144+MATCH(AA337,V337:Z337,0)-1,"")</f>
        <v>2014</v>
      </c>
      <c r="AC337" t="str">
        <f t="shared" ref="AC337:AC400" si="134">IF(AB337&lt;&gt;"",IF(S337=AB337,"Low",IF(AB337=Q337,"High","")),"")</f>
        <v>High</v>
      </c>
      <c r="AE337" t="str">
        <f>IF(ISNUMBER(MATCH("N/A",J337:N337,0)),"",IFERROR((5 * SUMPRODUCT(J144:N144,J337:N337) - PRODUCT(SUM(J144:N144),SUM(J337:N337))) / ((5 * SUM((J144^2)+(K144^2)+(L144^2)+(M144^2)+(N144^2))) - SUM(J144:N144)^2),""))</f>
        <v/>
      </c>
      <c r="AF337">
        <f>IFERROR(CORREL(J144:N144,J337:N337),"")</f>
        <v>0.34177013124446048</v>
      </c>
      <c r="AZ337">
        <f t="shared" ref="AZ337:AZ352" si="135">IF(Q337=S337,0,1)</f>
        <v>1</v>
      </c>
      <c r="BA337" t="str">
        <f>IF(AZ337=1,IF(Q337="","",IF(Q337=N144,"Yes","No")),"")</f>
        <v>No</v>
      </c>
      <c r="BB337" t="str">
        <f t="shared" ref="BB337:BB400" si="136">IF(BA337="Yes",P337,"")</f>
        <v/>
      </c>
      <c r="BC337" t="str">
        <f>IF(AZ337=1,IF(S337="","",IF(S337=N144,"Yes","No")),"")</f>
        <v>No</v>
      </c>
      <c r="BD337" t="str">
        <f t="shared" ref="BD337:BD400" si="137">IF(BC337="Yes",R337,"")</f>
        <v/>
      </c>
      <c r="BE337" t="str">
        <f t="shared" ref="BE337:BE352" si="138">IFERROR(IF(SIGN(AE337)=1,"Increasing",IF(SIGN(AE337)=-1,"Decreasing","")),"")</f>
        <v/>
      </c>
      <c r="BF337" t="str">
        <f t="shared" ref="BF337:BF400" si="139">IF(OR(AND(BE337="Increasing",BA337="Yes"),AND(BE337="Decreasing",BC337="Yes")),"Yes","No")</f>
        <v>No</v>
      </c>
      <c r="BG337" t="str">
        <f t="shared" ref="BG337:BG352" si="140">IF(I337="pos_trend","Yes","No")</f>
        <v>No</v>
      </c>
      <c r="BH337" t="str">
        <f t="shared" ref="BH337:BH352" si="141">IF(AF337&lt;&gt;"",IF(ABS(AF337)&gt;0.8,"Yes","No"),"")</f>
        <v>No</v>
      </c>
    </row>
    <row r="338" spans="1:60" x14ac:dyDescent="0.3">
      <c r="A338" s="1">
        <v>26</v>
      </c>
      <c r="B338" t="s">
        <v>957</v>
      </c>
      <c r="C338" t="s">
        <v>264</v>
      </c>
      <c r="D338" t="s">
        <v>264</v>
      </c>
      <c r="E338" t="s">
        <v>264</v>
      </c>
      <c r="F338" t="s">
        <v>264</v>
      </c>
      <c r="G338" t="s">
        <v>1987</v>
      </c>
      <c r="I338" t="str">
        <f t="shared" si="118"/>
        <v>N/A</v>
      </c>
      <c r="J338" t="str">
        <f t="shared" si="119"/>
        <v>N/A</v>
      </c>
      <c r="K338" t="str">
        <f t="shared" si="120"/>
        <v>N/A</v>
      </c>
      <c r="L338" t="str">
        <f t="shared" si="121"/>
        <v>N/A</v>
      </c>
      <c r="M338" t="str">
        <f t="shared" si="122"/>
        <v>N/A</v>
      </c>
      <c r="N338">
        <f t="shared" si="123"/>
        <v>4.6200000000000005E-2</v>
      </c>
      <c r="P338">
        <f t="shared" si="124"/>
        <v>4.6200000000000005E-2</v>
      </c>
      <c r="Q338">
        <f>IFERROR(J144+MATCH(P338,J338:N338,0)-1,"")</f>
        <v>2016</v>
      </c>
      <c r="R338">
        <f t="shared" si="125"/>
        <v>4.6200000000000005E-2</v>
      </c>
      <c r="S338">
        <f>IFERROR(J144+MATCH(R338,J338:N338,0)-1,"")</f>
        <v>2016</v>
      </c>
      <c r="T338">
        <f t="shared" si="126"/>
        <v>4.6200000000000005E-2</v>
      </c>
      <c r="U338" t="str">
        <f t="shared" si="127"/>
        <v/>
      </c>
      <c r="V338" t="str">
        <f t="shared" si="128"/>
        <v/>
      </c>
      <c r="W338" t="str">
        <f t="shared" si="129"/>
        <v/>
      </c>
      <c r="X338" t="str">
        <f t="shared" si="130"/>
        <v/>
      </c>
      <c r="Y338" t="str">
        <f t="shared" si="131"/>
        <v/>
      </c>
      <c r="Z338" t="str">
        <f t="shared" si="132"/>
        <v/>
      </c>
      <c r="AA338">
        <f t="shared" si="133"/>
        <v>0</v>
      </c>
      <c r="AB338" t="str">
        <f>IFERROR(V144+MATCH(AA338,V338:Z338,0)-1,"")</f>
        <v/>
      </c>
      <c r="AC338" t="str">
        <f t="shared" si="134"/>
        <v/>
      </c>
      <c r="AE338" t="str">
        <f>IF(ISNUMBER(MATCH("N/A",J338:N338,0)),"",IFERROR((5 * SUMPRODUCT(J144:N144,J338:N338) - PRODUCT(SUM(J144:N144),SUM(J338:N338))) / ((5 * SUM((J144^2)+(K144^2)+(L144^2)+(M144^2)+(N144^2))) - SUM(J144:N144)^2),""))</f>
        <v/>
      </c>
      <c r="AF338" t="str">
        <f>IFERROR(CORREL(J144:N144,J338:N338),"")</f>
        <v/>
      </c>
      <c r="AZ338">
        <f t="shared" si="135"/>
        <v>0</v>
      </c>
      <c r="BA338" t="str">
        <f>IF(AZ338=1,IF(Q338="","",IF(Q338=N144,"Yes","No")),"")</f>
        <v/>
      </c>
      <c r="BB338" t="str">
        <f t="shared" si="136"/>
        <v/>
      </c>
      <c r="BC338" t="str">
        <f>IF(AZ338=1,IF(S338="","",IF(S338=N144,"Yes","No")),"")</f>
        <v/>
      </c>
      <c r="BD338" t="str">
        <f t="shared" si="137"/>
        <v/>
      </c>
      <c r="BE338" t="str">
        <f t="shared" si="138"/>
        <v/>
      </c>
      <c r="BF338" t="str">
        <f t="shared" si="139"/>
        <v>No</v>
      </c>
      <c r="BG338" t="str">
        <f t="shared" si="140"/>
        <v>No</v>
      </c>
      <c r="BH338" t="str">
        <f t="shared" si="141"/>
        <v/>
      </c>
    </row>
    <row r="339" spans="1:60" x14ac:dyDescent="0.3">
      <c r="I339" t="str">
        <f t="shared" si="118"/>
        <v>N/A</v>
      </c>
      <c r="J339" t="str">
        <f t="shared" si="119"/>
        <v>N/A</v>
      </c>
      <c r="K339" t="str">
        <f t="shared" si="120"/>
        <v>N/A</v>
      </c>
      <c r="L339" t="str">
        <f t="shared" si="121"/>
        <v>N/A</v>
      </c>
      <c r="M339" t="str">
        <f t="shared" si="122"/>
        <v>N/A</v>
      </c>
      <c r="N339" t="str">
        <f t="shared" si="123"/>
        <v>N/A</v>
      </c>
      <c r="P339">
        <f t="shared" si="124"/>
        <v>0</v>
      </c>
      <c r="Q339" t="str">
        <f>IFERROR(J144+MATCH(P339,J339:N339,0)-1,"")</f>
        <v/>
      </c>
      <c r="R339" t="str">
        <f t="shared" si="125"/>
        <v/>
      </c>
      <c r="S339" t="str">
        <f>IFERROR(J144+MATCH(R339,J339:N339,0)-1,"")</f>
        <v/>
      </c>
      <c r="T339" t="str">
        <f t="shared" si="126"/>
        <v/>
      </c>
      <c r="U339" t="str">
        <f t="shared" si="127"/>
        <v/>
      </c>
      <c r="V339" t="str">
        <f t="shared" si="128"/>
        <v/>
      </c>
      <c r="W339" t="str">
        <f t="shared" si="129"/>
        <v/>
      </c>
      <c r="X339" t="str">
        <f t="shared" si="130"/>
        <v/>
      </c>
      <c r="Y339" t="str">
        <f t="shared" si="131"/>
        <v/>
      </c>
      <c r="Z339" t="str">
        <f t="shared" si="132"/>
        <v/>
      </c>
      <c r="AA339">
        <f t="shared" si="133"/>
        <v>0</v>
      </c>
      <c r="AB339" t="str">
        <f>IFERROR(V144+MATCH(AA339,V339:Z339,0)-1,"")</f>
        <v/>
      </c>
      <c r="AC339" t="str">
        <f t="shared" si="134"/>
        <v/>
      </c>
      <c r="AE339" t="str">
        <f>IF(ISNUMBER(MATCH("N/A",J339:N339,0)),"",IFERROR((5 * SUMPRODUCT(J144:N144,J339:N339) - PRODUCT(SUM(J144:N144),SUM(J339:N339))) / ((5 * SUM((J144^2)+(K144^2)+(L144^2)+(M144^2)+(N144^2))) - SUM(J144:N144)^2),""))</f>
        <v/>
      </c>
      <c r="AF339" t="str">
        <f>IFERROR(CORREL(J144:N144,J339:N339),"")</f>
        <v/>
      </c>
      <c r="AZ339">
        <f t="shared" si="135"/>
        <v>0</v>
      </c>
      <c r="BA339" t="str">
        <f>IF(AZ339=1,IF(Q339="","",IF(Q339=N144,"Yes","No")),"")</f>
        <v/>
      </c>
      <c r="BB339" t="str">
        <f t="shared" si="136"/>
        <v/>
      </c>
      <c r="BC339" t="str">
        <f>IF(AZ339=1,IF(S339="","",IF(S339=N144,"Yes","No")),"")</f>
        <v/>
      </c>
      <c r="BD339" t="str">
        <f t="shared" si="137"/>
        <v/>
      </c>
      <c r="BE339" t="str">
        <f t="shared" si="138"/>
        <v/>
      </c>
      <c r="BF339" t="str">
        <f t="shared" si="139"/>
        <v>No</v>
      </c>
      <c r="BG339" t="str">
        <f t="shared" si="140"/>
        <v>No</v>
      </c>
      <c r="BH339" t="str">
        <f t="shared" si="141"/>
        <v/>
      </c>
    </row>
    <row r="340" spans="1:60" x14ac:dyDescent="0.3">
      <c r="A340" s="1">
        <v>0</v>
      </c>
      <c r="B340" t="s">
        <v>3810</v>
      </c>
      <c r="C340" t="s">
        <v>3811</v>
      </c>
      <c r="I340" t="str">
        <f t="shared" si="118"/>
        <v>N/A</v>
      </c>
      <c r="J340" t="str">
        <f t="shared" si="119"/>
        <v>N/A</v>
      </c>
      <c r="K340" t="str">
        <f t="shared" si="120"/>
        <v>N/A</v>
      </c>
      <c r="L340" t="str">
        <f t="shared" si="121"/>
        <v>N/A</v>
      </c>
      <c r="M340" t="str">
        <f t="shared" si="122"/>
        <v>N/A</v>
      </c>
      <c r="N340" t="str">
        <f t="shared" si="123"/>
        <v>N/A</v>
      </c>
      <c r="P340">
        <f t="shared" si="124"/>
        <v>0</v>
      </c>
      <c r="Q340" t="str">
        <f>IFERROR(J144+MATCH(P340,J340:N340,0)-1,"")</f>
        <v/>
      </c>
      <c r="R340" t="str">
        <f t="shared" si="125"/>
        <v/>
      </c>
      <c r="S340" t="str">
        <f>IFERROR(J144+MATCH(R340,J340:N340,0)-1,"")</f>
        <v/>
      </c>
      <c r="T340" t="str">
        <f t="shared" si="126"/>
        <v/>
      </c>
      <c r="U340" t="str">
        <f t="shared" si="127"/>
        <v/>
      </c>
      <c r="V340" t="str">
        <f t="shared" si="128"/>
        <v/>
      </c>
      <c r="W340" t="str">
        <f t="shared" si="129"/>
        <v/>
      </c>
      <c r="X340" t="str">
        <f t="shared" si="130"/>
        <v/>
      </c>
      <c r="Y340" t="str">
        <f t="shared" si="131"/>
        <v/>
      </c>
      <c r="Z340" t="str">
        <f t="shared" si="132"/>
        <v/>
      </c>
      <c r="AA340">
        <f t="shared" si="133"/>
        <v>0</v>
      </c>
      <c r="AB340" t="str">
        <f>IFERROR(V144+MATCH(AA340,V340:Z340,0)-1,"")</f>
        <v/>
      </c>
      <c r="AC340" t="str">
        <f t="shared" si="134"/>
        <v/>
      </c>
      <c r="AE340" t="str">
        <f>IF(ISNUMBER(MATCH("N/A",J340:N340,0)),"",IFERROR((5 * SUMPRODUCT(J144:N144,J340:N340) - PRODUCT(SUM(J144:N144),SUM(J340:N340))) / ((5 * SUM((J144^2)+(K144^2)+(L144^2)+(M144^2)+(N144^2))) - SUM(J144:N144)^2),""))</f>
        <v/>
      </c>
      <c r="AF340" t="str">
        <f>IFERROR(CORREL(J144:N144,J340:N340),"")</f>
        <v/>
      </c>
      <c r="AZ340">
        <f t="shared" si="135"/>
        <v>0</v>
      </c>
      <c r="BA340" t="str">
        <f>IF(AZ340=1,IF(Q340="","",IF(Q340=N144,"Yes","No")),"")</f>
        <v/>
      </c>
      <c r="BB340" t="str">
        <f t="shared" si="136"/>
        <v/>
      </c>
      <c r="BC340" t="str">
        <f>IF(AZ340=1,IF(S340="","",IF(S340=N144,"Yes","No")),"")</f>
        <v/>
      </c>
      <c r="BD340" t="str">
        <f t="shared" si="137"/>
        <v/>
      </c>
      <c r="BE340" t="str">
        <f t="shared" si="138"/>
        <v/>
      </c>
      <c r="BF340" t="str">
        <f t="shared" si="139"/>
        <v>No</v>
      </c>
      <c r="BG340" t="str">
        <f t="shared" si="140"/>
        <v>No</v>
      </c>
      <c r="BH340" t="str">
        <f t="shared" si="141"/>
        <v/>
      </c>
    </row>
    <row r="341" spans="1:60" x14ac:dyDescent="0.3">
      <c r="A341" s="1">
        <v>1</v>
      </c>
      <c r="B341" t="s">
        <v>3812</v>
      </c>
      <c r="C341" t="s">
        <v>3813</v>
      </c>
      <c r="I341" t="str">
        <f t="shared" si="118"/>
        <v>N/A</v>
      </c>
      <c r="J341" t="str">
        <f t="shared" si="119"/>
        <v>N/A</v>
      </c>
      <c r="K341" t="str">
        <f t="shared" si="120"/>
        <v>N/A</v>
      </c>
      <c r="L341" t="str">
        <f t="shared" si="121"/>
        <v>N/A</v>
      </c>
      <c r="M341" t="str">
        <f t="shared" si="122"/>
        <v>N/A</v>
      </c>
      <c r="N341" t="str">
        <f t="shared" si="123"/>
        <v>N/A</v>
      </c>
      <c r="P341">
        <f t="shared" si="124"/>
        <v>0</v>
      </c>
      <c r="Q341" t="str">
        <f>IFERROR(J144+MATCH(P341,J341:N341,0)-1,"")</f>
        <v/>
      </c>
      <c r="R341" t="str">
        <f t="shared" si="125"/>
        <v/>
      </c>
      <c r="S341" t="str">
        <f>IFERROR(J144+MATCH(R341,J341:N341,0)-1,"")</f>
        <v/>
      </c>
      <c r="T341" t="str">
        <f t="shared" si="126"/>
        <v/>
      </c>
      <c r="U341" t="str">
        <f t="shared" si="127"/>
        <v/>
      </c>
      <c r="V341" t="str">
        <f t="shared" si="128"/>
        <v/>
      </c>
      <c r="W341" t="str">
        <f t="shared" si="129"/>
        <v/>
      </c>
      <c r="X341" t="str">
        <f t="shared" si="130"/>
        <v/>
      </c>
      <c r="Y341" t="str">
        <f t="shared" si="131"/>
        <v/>
      </c>
      <c r="Z341" t="str">
        <f t="shared" si="132"/>
        <v/>
      </c>
      <c r="AA341">
        <f t="shared" si="133"/>
        <v>0</v>
      </c>
      <c r="AB341" t="str">
        <f>IFERROR(V144+MATCH(AA341,V341:Z341,0)-1,"")</f>
        <v/>
      </c>
      <c r="AC341" t="str">
        <f t="shared" si="134"/>
        <v/>
      </c>
      <c r="AE341" t="str">
        <f>IF(ISNUMBER(MATCH("N/A",J341:N341,0)),"",IFERROR((5 * SUMPRODUCT(J144:N144,J341:N341) - PRODUCT(SUM(J144:N144),SUM(J341:N341))) / ((5 * SUM((J144^2)+(K144^2)+(L144^2)+(M144^2)+(N144^2))) - SUM(J144:N144)^2),""))</f>
        <v/>
      </c>
      <c r="AF341" t="str">
        <f>IFERROR(CORREL(J144:N144,J341:N341),"")</f>
        <v/>
      </c>
      <c r="AZ341">
        <f t="shared" si="135"/>
        <v>0</v>
      </c>
      <c r="BA341" t="str">
        <f>IF(AZ341=1,IF(Q341="","",IF(Q341=N144,"Yes","No")),"")</f>
        <v/>
      </c>
      <c r="BB341" t="str">
        <f t="shared" si="136"/>
        <v/>
      </c>
      <c r="BC341" t="str">
        <f>IF(AZ341=1,IF(S341="","",IF(S341=N144,"Yes","No")),"")</f>
        <v/>
      </c>
      <c r="BD341" t="str">
        <f t="shared" si="137"/>
        <v/>
      </c>
      <c r="BE341" t="str">
        <f t="shared" si="138"/>
        <v/>
      </c>
      <c r="BF341" t="str">
        <f t="shared" si="139"/>
        <v>No</v>
      </c>
      <c r="BG341" t="str">
        <f t="shared" si="140"/>
        <v>No</v>
      </c>
      <c r="BH341" t="str">
        <f t="shared" si="141"/>
        <v/>
      </c>
    </row>
    <row r="342" spans="1:60" x14ac:dyDescent="0.3">
      <c r="A342" s="1">
        <v>2</v>
      </c>
      <c r="B342" t="s">
        <v>3814</v>
      </c>
      <c r="C342" t="s">
        <v>3815</v>
      </c>
      <c r="I342" t="str">
        <f t="shared" si="118"/>
        <v>N/A</v>
      </c>
      <c r="J342" t="str">
        <f t="shared" si="119"/>
        <v>N/A</v>
      </c>
      <c r="K342" t="str">
        <f t="shared" si="120"/>
        <v>N/A</v>
      </c>
      <c r="L342" t="str">
        <f t="shared" si="121"/>
        <v>N/A</v>
      </c>
      <c r="M342" t="str">
        <f t="shared" si="122"/>
        <v>N/A</v>
      </c>
      <c r="N342" t="str">
        <f t="shared" si="123"/>
        <v>N/A</v>
      </c>
      <c r="P342">
        <f t="shared" si="124"/>
        <v>0</v>
      </c>
      <c r="Q342" t="str">
        <f>IFERROR(J144+MATCH(P342,J342:N342,0)-1,"")</f>
        <v/>
      </c>
      <c r="R342" t="str">
        <f t="shared" si="125"/>
        <v/>
      </c>
      <c r="S342" t="str">
        <f>IFERROR(J144+MATCH(R342,J342:N342,0)-1,"")</f>
        <v/>
      </c>
      <c r="T342" t="str">
        <f t="shared" si="126"/>
        <v/>
      </c>
      <c r="U342" t="str">
        <f t="shared" si="127"/>
        <v/>
      </c>
      <c r="V342" t="str">
        <f t="shared" si="128"/>
        <v/>
      </c>
      <c r="W342" t="str">
        <f t="shared" si="129"/>
        <v/>
      </c>
      <c r="X342" t="str">
        <f t="shared" si="130"/>
        <v/>
      </c>
      <c r="Y342" t="str">
        <f t="shared" si="131"/>
        <v/>
      </c>
      <c r="Z342" t="str">
        <f t="shared" si="132"/>
        <v/>
      </c>
      <c r="AA342">
        <f t="shared" si="133"/>
        <v>0</v>
      </c>
      <c r="AB342" t="str">
        <f>IFERROR(V144+MATCH(AA342,V342:Z342,0)-1,"")</f>
        <v/>
      </c>
      <c r="AC342" t="str">
        <f t="shared" si="134"/>
        <v/>
      </c>
      <c r="AE342" t="str">
        <f>IF(ISNUMBER(MATCH("N/A",J342:N342,0)),"",IFERROR((5 * SUMPRODUCT(J144:N144,J342:N342) - PRODUCT(SUM(J144:N144),SUM(J342:N342))) / ((5 * SUM((J144^2)+(K144^2)+(L144^2)+(M144^2)+(N144^2))) - SUM(J144:N144)^2),""))</f>
        <v/>
      </c>
      <c r="AF342" t="str">
        <f>IFERROR(CORREL(J144:N144,J342:N342),"")</f>
        <v/>
      </c>
      <c r="AZ342">
        <f t="shared" si="135"/>
        <v>0</v>
      </c>
      <c r="BA342" t="str">
        <f>IF(AZ342=1,IF(Q342="","",IF(Q342=N144,"Yes","No")),"")</f>
        <v/>
      </c>
      <c r="BB342" t="str">
        <f t="shared" si="136"/>
        <v/>
      </c>
      <c r="BC342" t="str">
        <f>IF(AZ342=1,IF(S342="","",IF(S342=N144,"Yes","No")),"")</f>
        <v/>
      </c>
      <c r="BD342" t="str">
        <f t="shared" si="137"/>
        <v/>
      </c>
      <c r="BE342" t="str">
        <f t="shared" si="138"/>
        <v/>
      </c>
      <c r="BF342" t="str">
        <f t="shared" si="139"/>
        <v>No</v>
      </c>
      <c r="BG342" t="str">
        <f t="shared" si="140"/>
        <v>No</v>
      </c>
      <c r="BH342" t="str">
        <f t="shared" si="141"/>
        <v/>
      </c>
    </row>
    <row r="343" spans="1:60" x14ac:dyDescent="0.3">
      <c r="A343" s="1">
        <v>3</v>
      </c>
      <c r="B343" t="s">
        <v>3816</v>
      </c>
      <c r="C343" t="s">
        <v>3817</v>
      </c>
      <c r="I343" t="str">
        <f t="shared" si="118"/>
        <v>N/A</v>
      </c>
      <c r="J343" t="str">
        <f t="shared" si="119"/>
        <v>N/A</v>
      </c>
      <c r="K343" t="str">
        <f t="shared" si="120"/>
        <v>N/A</v>
      </c>
      <c r="L343" t="str">
        <f t="shared" si="121"/>
        <v>N/A</v>
      </c>
      <c r="M343" t="str">
        <f t="shared" si="122"/>
        <v>N/A</v>
      </c>
      <c r="N343" t="str">
        <f t="shared" si="123"/>
        <v>N/A</v>
      </c>
      <c r="P343">
        <f t="shared" si="124"/>
        <v>0</v>
      </c>
      <c r="Q343" t="str">
        <f>IFERROR(J144+MATCH(P343,J343:N343,0)-1,"")</f>
        <v/>
      </c>
      <c r="R343" t="str">
        <f t="shared" si="125"/>
        <v/>
      </c>
      <c r="S343" t="str">
        <f>IFERROR(J144+MATCH(R343,J343:N343,0)-1,"")</f>
        <v/>
      </c>
      <c r="T343" t="str">
        <f t="shared" si="126"/>
        <v/>
      </c>
      <c r="U343" t="str">
        <f t="shared" si="127"/>
        <v/>
      </c>
      <c r="V343" t="str">
        <f t="shared" si="128"/>
        <v/>
      </c>
      <c r="W343" t="str">
        <f t="shared" si="129"/>
        <v/>
      </c>
      <c r="X343" t="str">
        <f t="shared" si="130"/>
        <v/>
      </c>
      <c r="Y343" t="str">
        <f t="shared" si="131"/>
        <v/>
      </c>
      <c r="Z343" t="str">
        <f t="shared" si="132"/>
        <v/>
      </c>
      <c r="AA343">
        <f t="shared" si="133"/>
        <v>0</v>
      </c>
      <c r="AB343" t="str">
        <f>IFERROR(V144+MATCH(AA343,V343:Z343,0)-1,"")</f>
        <v/>
      </c>
      <c r="AC343" t="str">
        <f t="shared" si="134"/>
        <v/>
      </c>
      <c r="AE343" t="str">
        <f>IF(ISNUMBER(MATCH("N/A",J343:N343,0)),"",IFERROR((5 * SUMPRODUCT(J144:N144,J343:N343) - PRODUCT(SUM(J144:N144),SUM(J343:N343))) / ((5 * SUM((J144^2)+(K144^2)+(L144^2)+(M144^2)+(N144^2))) - SUM(J144:N144)^2),""))</f>
        <v/>
      </c>
      <c r="AF343" t="str">
        <f>IFERROR(CORREL(J144:N144,J343:N343),"")</f>
        <v/>
      </c>
      <c r="AZ343">
        <f t="shared" si="135"/>
        <v>0</v>
      </c>
      <c r="BA343" t="str">
        <f>IF(AZ343=1,IF(Q343="","",IF(Q343=N144,"Yes","No")),"")</f>
        <v/>
      </c>
      <c r="BB343" t="str">
        <f t="shared" si="136"/>
        <v/>
      </c>
      <c r="BC343" t="str">
        <f>IF(AZ343=1,IF(S343="","",IF(S343=N144,"Yes","No")),"")</f>
        <v/>
      </c>
      <c r="BD343" t="str">
        <f t="shared" si="137"/>
        <v/>
      </c>
      <c r="BE343" t="str">
        <f t="shared" si="138"/>
        <v/>
      </c>
      <c r="BF343" t="str">
        <f t="shared" si="139"/>
        <v>No</v>
      </c>
      <c r="BG343" t="str">
        <f t="shared" si="140"/>
        <v>No</v>
      </c>
      <c r="BH343" t="str">
        <f t="shared" si="141"/>
        <v/>
      </c>
    </row>
    <row r="344" spans="1:60" x14ac:dyDescent="0.3">
      <c r="A344" s="1">
        <v>4</v>
      </c>
      <c r="B344" t="s">
        <v>3818</v>
      </c>
      <c r="C344" t="s">
        <v>3819</v>
      </c>
      <c r="I344" t="str">
        <f t="shared" si="118"/>
        <v>N/A</v>
      </c>
      <c r="J344" t="str">
        <f t="shared" si="119"/>
        <v>N/A</v>
      </c>
      <c r="K344" t="str">
        <f t="shared" si="120"/>
        <v>N/A</v>
      </c>
      <c r="L344" t="str">
        <f t="shared" si="121"/>
        <v>N/A</v>
      </c>
      <c r="M344" t="str">
        <f t="shared" si="122"/>
        <v>N/A</v>
      </c>
      <c r="N344" t="str">
        <f t="shared" si="123"/>
        <v>N/A</v>
      </c>
      <c r="P344">
        <f t="shared" si="124"/>
        <v>0</v>
      </c>
      <c r="Q344" t="str">
        <f>IFERROR(J144+MATCH(P344,J344:N344,0)-1,"")</f>
        <v/>
      </c>
      <c r="R344" t="str">
        <f t="shared" si="125"/>
        <v/>
      </c>
      <c r="S344" t="str">
        <f>IFERROR(J144+MATCH(R344,J344:N344,0)-1,"")</f>
        <v/>
      </c>
      <c r="T344" t="str">
        <f t="shared" si="126"/>
        <v/>
      </c>
      <c r="U344" t="str">
        <f t="shared" si="127"/>
        <v/>
      </c>
      <c r="V344" t="str">
        <f t="shared" si="128"/>
        <v/>
      </c>
      <c r="W344" t="str">
        <f t="shared" si="129"/>
        <v/>
      </c>
      <c r="X344" t="str">
        <f t="shared" si="130"/>
        <v/>
      </c>
      <c r="Y344" t="str">
        <f t="shared" si="131"/>
        <v/>
      </c>
      <c r="Z344" t="str">
        <f t="shared" si="132"/>
        <v/>
      </c>
      <c r="AA344">
        <f t="shared" si="133"/>
        <v>0</v>
      </c>
      <c r="AB344" t="str">
        <f>IFERROR(V144+MATCH(AA344,V344:Z344,0)-1,"")</f>
        <v/>
      </c>
      <c r="AC344" t="str">
        <f t="shared" si="134"/>
        <v/>
      </c>
      <c r="AE344" t="str">
        <f>IF(ISNUMBER(MATCH("N/A",J344:N344,0)),"",IFERROR((5 * SUMPRODUCT(J144:N144,J344:N344) - PRODUCT(SUM(J144:N144),SUM(J344:N344))) / ((5 * SUM((J144^2)+(K144^2)+(L144^2)+(M144^2)+(N144^2))) - SUM(J144:N144)^2),""))</f>
        <v/>
      </c>
      <c r="AF344" t="str">
        <f>IFERROR(CORREL(J144:N144,J344:N344),"")</f>
        <v/>
      </c>
      <c r="AZ344">
        <f t="shared" si="135"/>
        <v>0</v>
      </c>
      <c r="BA344" t="str">
        <f>IF(AZ344=1,IF(Q344="","",IF(Q344=N144,"Yes","No")),"")</f>
        <v/>
      </c>
      <c r="BB344" t="str">
        <f t="shared" si="136"/>
        <v/>
      </c>
      <c r="BC344" t="str">
        <f>IF(AZ344=1,IF(S344="","",IF(S344=N144,"Yes","No")),"")</f>
        <v/>
      </c>
      <c r="BD344" t="str">
        <f t="shared" si="137"/>
        <v/>
      </c>
      <c r="BE344" t="str">
        <f t="shared" si="138"/>
        <v/>
      </c>
      <c r="BF344" t="str">
        <f t="shared" si="139"/>
        <v>No</v>
      </c>
      <c r="BG344" t="str">
        <f t="shared" si="140"/>
        <v>No</v>
      </c>
      <c r="BH344" t="str">
        <f t="shared" si="141"/>
        <v/>
      </c>
    </row>
    <row r="345" spans="1:60" x14ac:dyDescent="0.3">
      <c r="A345" s="1">
        <v>5</v>
      </c>
      <c r="B345" t="s">
        <v>3820</v>
      </c>
      <c r="C345" t="s">
        <v>3821</v>
      </c>
      <c r="I345" t="str">
        <f t="shared" si="118"/>
        <v>N/A</v>
      </c>
      <c r="J345" t="str">
        <f t="shared" si="119"/>
        <v>N/A</v>
      </c>
      <c r="K345" t="str">
        <f t="shared" si="120"/>
        <v>N/A</v>
      </c>
      <c r="L345" t="str">
        <f t="shared" si="121"/>
        <v>N/A</v>
      </c>
      <c r="M345" t="str">
        <f t="shared" si="122"/>
        <v>N/A</v>
      </c>
      <c r="N345" t="str">
        <f t="shared" si="123"/>
        <v>N/A</v>
      </c>
      <c r="P345">
        <f t="shared" si="124"/>
        <v>0</v>
      </c>
      <c r="Q345" t="str">
        <f>IFERROR(J144+MATCH(P345,J345:N345,0)-1,"")</f>
        <v/>
      </c>
      <c r="R345" t="str">
        <f t="shared" si="125"/>
        <v/>
      </c>
      <c r="S345" t="str">
        <f>IFERROR(J144+MATCH(R345,J345:N345,0)-1,"")</f>
        <v/>
      </c>
      <c r="T345" t="str">
        <f t="shared" si="126"/>
        <v/>
      </c>
      <c r="U345" t="str">
        <f t="shared" si="127"/>
        <v/>
      </c>
      <c r="V345" t="str">
        <f t="shared" si="128"/>
        <v/>
      </c>
      <c r="W345" t="str">
        <f t="shared" si="129"/>
        <v/>
      </c>
      <c r="X345" t="str">
        <f t="shared" si="130"/>
        <v/>
      </c>
      <c r="Y345" t="str">
        <f t="shared" si="131"/>
        <v/>
      </c>
      <c r="Z345" t="str">
        <f t="shared" si="132"/>
        <v/>
      </c>
      <c r="AA345">
        <f t="shared" si="133"/>
        <v>0</v>
      </c>
      <c r="AB345" t="str">
        <f>IFERROR(V144+MATCH(AA345,V345:Z345,0)-1,"")</f>
        <v/>
      </c>
      <c r="AC345" t="str">
        <f t="shared" si="134"/>
        <v/>
      </c>
      <c r="AE345" t="str">
        <f>IF(ISNUMBER(MATCH("N/A",J345:N345,0)),"",IFERROR((5 * SUMPRODUCT(J144:N144,J345:N345) - PRODUCT(SUM(J144:N144),SUM(J345:N345))) / ((5 * SUM((J144^2)+(K144^2)+(L144^2)+(M144^2)+(N144^2))) - SUM(J144:N144)^2),""))</f>
        <v/>
      </c>
      <c r="AF345" t="str">
        <f>IFERROR(CORREL(J144:N144,J345:N345),"")</f>
        <v/>
      </c>
      <c r="AZ345">
        <f t="shared" si="135"/>
        <v>0</v>
      </c>
      <c r="BA345" t="str">
        <f>IF(AZ345=1,IF(Q345="","",IF(Q345=N144,"Yes","No")),"")</f>
        <v/>
      </c>
      <c r="BB345" t="str">
        <f t="shared" si="136"/>
        <v/>
      </c>
      <c r="BC345" t="str">
        <f>IF(AZ345=1,IF(S345="","",IF(S345=N144,"Yes","No")),"")</f>
        <v/>
      </c>
      <c r="BD345" t="str">
        <f t="shared" si="137"/>
        <v/>
      </c>
      <c r="BE345" t="str">
        <f t="shared" si="138"/>
        <v/>
      </c>
      <c r="BF345" t="str">
        <f t="shared" si="139"/>
        <v>No</v>
      </c>
      <c r="BG345" t="str">
        <f t="shared" si="140"/>
        <v>No</v>
      </c>
      <c r="BH345" t="str">
        <f t="shared" si="141"/>
        <v/>
      </c>
    </row>
    <row r="346" spans="1:60" x14ac:dyDescent="0.3">
      <c r="I346" t="str">
        <f t="shared" si="118"/>
        <v>N/A</v>
      </c>
      <c r="J346" t="str">
        <f t="shared" si="119"/>
        <v>N/A</v>
      </c>
      <c r="K346" t="str">
        <f t="shared" si="120"/>
        <v>N/A</v>
      </c>
      <c r="L346" t="str">
        <f t="shared" si="121"/>
        <v>N/A</v>
      </c>
      <c r="M346" t="str">
        <f t="shared" si="122"/>
        <v>N/A</v>
      </c>
      <c r="N346" t="str">
        <f t="shared" si="123"/>
        <v>N/A</v>
      </c>
      <c r="P346">
        <f t="shared" si="124"/>
        <v>0</v>
      </c>
      <c r="Q346" t="str">
        <f>IFERROR(J144+MATCH(P346,J346:N346,0)-1,"")</f>
        <v/>
      </c>
      <c r="R346" t="str">
        <f t="shared" si="125"/>
        <v/>
      </c>
      <c r="S346" t="str">
        <f>IFERROR(J144+MATCH(R346,J346:N346,0)-1,"")</f>
        <v/>
      </c>
      <c r="T346" t="str">
        <f t="shared" si="126"/>
        <v/>
      </c>
      <c r="U346" t="str">
        <f t="shared" si="127"/>
        <v/>
      </c>
      <c r="V346" t="str">
        <f t="shared" si="128"/>
        <v/>
      </c>
      <c r="W346" t="str">
        <f t="shared" si="129"/>
        <v/>
      </c>
      <c r="X346" t="str">
        <f t="shared" si="130"/>
        <v/>
      </c>
      <c r="Y346" t="str">
        <f t="shared" si="131"/>
        <v/>
      </c>
      <c r="Z346" t="str">
        <f t="shared" si="132"/>
        <v/>
      </c>
      <c r="AA346">
        <f t="shared" si="133"/>
        <v>0</v>
      </c>
      <c r="AB346" t="str">
        <f>IFERROR(V144+MATCH(AA346,V346:Z346,0)-1,"")</f>
        <v/>
      </c>
      <c r="AC346" t="str">
        <f t="shared" si="134"/>
        <v/>
      </c>
      <c r="AE346" t="str">
        <f>IF(ISNUMBER(MATCH("N/A",J346:N346,0)),"",IFERROR((5 * SUMPRODUCT(J144:N144,J346:N346) - PRODUCT(SUM(J144:N144),SUM(J346:N346))) / ((5 * SUM((J144^2)+(K144^2)+(L144^2)+(M144^2)+(N144^2))) - SUM(J144:N144)^2),""))</f>
        <v/>
      </c>
      <c r="AF346" t="str">
        <f>IFERROR(CORREL(J144:N144,J346:N346),"")</f>
        <v/>
      </c>
      <c r="AZ346">
        <f t="shared" si="135"/>
        <v>0</v>
      </c>
      <c r="BA346" t="str">
        <f>IF(AZ346=1,IF(Q346="","",IF(Q346=N144,"Yes","No")),"")</f>
        <v/>
      </c>
      <c r="BB346" t="str">
        <f t="shared" si="136"/>
        <v/>
      </c>
      <c r="BC346" t="str">
        <f>IF(AZ346=1,IF(S346="","",IF(S346=N144,"Yes","No")),"")</f>
        <v/>
      </c>
      <c r="BD346" t="str">
        <f t="shared" si="137"/>
        <v/>
      </c>
      <c r="BE346" t="str">
        <f t="shared" si="138"/>
        <v/>
      </c>
      <c r="BF346" t="str">
        <f t="shared" si="139"/>
        <v>No</v>
      </c>
      <c r="BG346" t="str">
        <f t="shared" si="140"/>
        <v>No</v>
      </c>
      <c r="BH346" t="str">
        <f t="shared" si="141"/>
        <v/>
      </c>
    </row>
    <row r="347" spans="1:60" x14ac:dyDescent="0.3">
      <c r="I347" t="str">
        <f t="shared" si="118"/>
        <v>N/A</v>
      </c>
      <c r="J347" t="str">
        <f t="shared" si="119"/>
        <v>N/A</v>
      </c>
      <c r="K347" t="str">
        <f t="shared" si="120"/>
        <v>N/A</v>
      </c>
      <c r="L347" t="str">
        <f t="shared" si="121"/>
        <v>N/A</v>
      </c>
      <c r="M347" t="str">
        <f t="shared" si="122"/>
        <v>N/A</v>
      </c>
      <c r="N347" t="str">
        <f t="shared" si="123"/>
        <v>N/A</v>
      </c>
      <c r="P347">
        <f t="shared" si="124"/>
        <v>0</v>
      </c>
      <c r="Q347" t="str">
        <f>IFERROR(J144+MATCH(P347,J347:N347,0)-1,"")</f>
        <v/>
      </c>
      <c r="R347" t="str">
        <f t="shared" si="125"/>
        <v/>
      </c>
      <c r="S347" t="str">
        <f>IFERROR(J144+MATCH(R347,J347:N347,0)-1,"")</f>
        <v/>
      </c>
      <c r="T347" t="str">
        <f t="shared" si="126"/>
        <v/>
      </c>
      <c r="U347" t="str">
        <f t="shared" si="127"/>
        <v/>
      </c>
      <c r="V347" t="str">
        <f t="shared" si="128"/>
        <v/>
      </c>
      <c r="W347" t="str">
        <f t="shared" si="129"/>
        <v/>
      </c>
      <c r="X347" t="str">
        <f t="shared" si="130"/>
        <v/>
      </c>
      <c r="Y347" t="str">
        <f t="shared" si="131"/>
        <v/>
      </c>
      <c r="Z347" t="str">
        <f t="shared" si="132"/>
        <v/>
      </c>
      <c r="AA347">
        <f t="shared" si="133"/>
        <v>0</v>
      </c>
      <c r="AB347" t="str">
        <f>IFERROR(V144+MATCH(AA347,V347:Z347,0)-1,"")</f>
        <v/>
      </c>
      <c r="AC347" t="str">
        <f t="shared" si="134"/>
        <v/>
      </c>
      <c r="AE347" t="str">
        <f>IF(ISNUMBER(MATCH("N/A",J347:N347,0)),"",IFERROR((5 * SUMPRODUCT(J144:N144,J347:N347) - PRODUCT(SUM(J144:N144),SUM(J347:N347))) / ((5 * SUM((J144^2)+(K144^2)+(L144^2)+(M144^2)+(N144^2))) - SUM(J144:N144)^2),""))</f>
        <v/>
      </c>
      <c r="AF347" t="str">
        <f>IFERROR(CORREL(J144:N144,J347:N347),"")</f>
        <v/>
      </c>
      <c r="AZ347">
        <f t="shared" si="135"/>
        <v>0</v>
      </c>
      <c r="BA347" t="str">
        <f>IF(AZ347=1,IF(Q347="","",IF(Q347=N144,"Yes","No")),"")</f>
        <v/>
      </c>
      <c r="BB347" t="str">
        <f t="shared" si="136"/>
        <v/>
      </c>
      <c r="BC347" t="str">
        <f>IF(AZ347=1,IF(S347="","",IF(S347=N144,"Yes","No")),"")</f>
        <v/>
      </c>
      <c r="BD347" t="str">
        <f t="shared" si="137"/>
        <v/>
      </c>
      <c r="BE347" t="str">
        <f t="shared" si="138"/>
        <v/>
      </c>
      <c r="BF347" t="str">
        <f t="shared" si="139"/>
        <v>No</v>
      </c>
      <c r="BG347" t="str">
        <f t="shared" si="140"/>
        <v>No</v>
      </c>
      <c r="BH347" t="str">
        <f t="shared" si="141"/>
        <v/>
      </c>
    </row>
    <row r="348" spans="1:60" x14ac:dyDescent="0.3">
      <c r="A348" s="1">
        <v>0</v>
      </c>
      <c r="B348" t="s">
        <v>123</v>
      </c>
      <c r="C348" t="s">
        <v>3822</v>
      </c>
      <c r="I348" t="str">
        <f t="shared" si="118"/>
        <v>N/A</v>
      </c>
      <c r="J348">
        <f t="shared" si="119"/>
        <v>473300000</v>
      </c>
      <c r="K348" t="str">
        <f t="shared" si="120"/>
        <v>N/A</v>
      </c>
      <c r="L348" t="str">
        <f t="shared" si="121"/>
        <v>N/A</v>
      </c>
      <c r="M348" t="str">
        <f t="shared" si="122"/>
        <v>N/A</v>
      </c>
      <c r="N348" t="str">
        <f t="shared" si="123"/>
        <v>N/A</v>
      </c>
      <c r="P348">
        <f t="shared" si="124"/>
        <v>473300000</v>
      </c>
      <c r="Q348">
        <f>IFERROR(J144+MATCH(P348,J348:N348,0)-1,"")</f>
        <v>2012</v>
      </c>
      <c r="R348">
        <f t="shared" si="125"/>
        <v>473300000</v>
      </c>
      <c r="S348">
        <f>IFERROR(J144+MATCH(R348,J348:N348,0)-1,"")</f>
        <v>2012</v>
      </c>
      <c r="T348">
        <f t="shared" si="126"/>
        <v>473300000</v>
      </c>
      <c r="U348" t="str">
        <f t="shared" si="127"/>
        <v/>
      </c>
      <c r="V348" t="str">
        <f t="shared" si="128"/>
        <v/>
      </c>
      <c r="W348" t="str">
        <f t="shared" si="129"/>
        <v/>
      </c>
      <c r="X348" t="str">
        <f t="shared" si="130"/>
        <v/>
      </c>
      <c r="Y348" t="str">
        <f t="shared" si="131"/>
        <v/>
      </c>
      <c r="Z348" t="str">
        <f t="shared" si="132"/>
        <v/>
      </c>
      <c r="AA348">
        <f t="shared" si="133"/>
        <v>0</v>
      </c>
      <c r="AB348" t="str">
        <f>IFERROR(V144+MATCH(AA348,V348:Z348,0)-1,"")</f>
        <v/>
      </c>
      <c r="AC348" t="str">
        <f t="shared" si="134"/>
        <v/>
      </c>
      <c r="AE348" t="str">
        <f>IF(ISNUMBER(MATCH("N/A",J348:N348,0)),"",IFERROR((5 * SUMPRODUCT(J144:N144,J348:N348) - PRODUCT(SUM(J144:N144),SUM(J348:N348))) / ((5 * SUM((J144^2)+(K144^2)+(L144^2)+(M144^2)+(N144^2))) - SUM(J144:N144)^2),""))</f>
        <v/>
      </c>
      <c r="AF348" t="str">
        <f>IFERROR(CORREL(J144:N144,J348:N348),"")</f>
        <v/>
      </c>
      <c r="AZ348">
        <f t="shared" si="135"/>
        <v>0</v>
      </c>
      <c r="BA348" t="str">
        <f>IF(AZ348=1,IF(Q348="","",IF(Q348=N144,"Yes","No")),"")</f>
        <v/>
      </c>
      <c r="BB348" t="str">
        <f t="shared" si="136"/>
        <v/>
      </c>
      <c r="BC348" t="str">
        <f>IF(AZ348=1,IF(S348="","",IF(S348=N144,"Yes","No")),"")</f>
        <v/>
      </c>
      <c r="BD348" t="str">
        <f t="shared" si="137"/>
        <v/>
      </c>
      <c r="BE348" t="str">
        <f t="shared" si="138"/>
        <v/>
      </c>
      <c r="BF348" t="str">
        <f t="shared" si="139"/>
        <v>No</v>
      </c>
      <c r="BG348" t="str">
        <f t="shared" si="140"/>
        <v>No</v>
      </c>
      <c r="BH348" t="str">
        <f t="shared" si="141"/>
        <v/>
      </c>
    </row>
    <row r="349" spans="1:60" x14ac:dyDescent="0.3">
      <c r="A349" s="1">
        <v>1</v>
      </c>
      <c r="B349" t="s">
        <v>124</v>
      </c>
      <c r="I349" t="str">
        <f t="shared" si="118"/>
        <v>N/A</v>
      </c>
      <c r="J349" t="str">
        <f t="shared" si="119"/>
        <v>N/A</v>
      </c>
      <c r="K349" t="str">
        <f t="shared" si="120"/>
        <v>N/A</v>
      </c>
      <c r="L349" t="str">
        <f t="shared" si="121"/>
        <v>N/A</v>
      </c>
      <c r="M349" t="str">
        <f t="shared" si="122"/>
        <v>N/A</v>
      </c>
      <c r="N349" t="str">
        <f t="shared" si="123"/>
        <v>N/A</v>
      </c>
      <c r="P349">
        <f t="shared" si="124"/>
        <v>0</v>
      </c>
      <c r="Q349" t="str">
        <f>IFERROR(J144+MATCH(P349,J349:N349,0)-1,"")</f>
        <v/>
      </c>
      <c r="R349" t="str">
        <f t="shared" si="125"/>
        <v/>
      </c>
      <c r="S349" t="str">
        <f>IFERROR(J144+MATCH(R349,J349:N349,0)-1,"")</f>
        <v/>
      </c>
      <c r="T349" t="str">
        <f t="shared" si="126"/>
        <v/>
      </c>
      <c r="U349" t="str">
        <f t="shared" si="127"/>
        <v/>
      </c>
      <c r="V349" t="str">
        <f t="shared" si="128"/>
        <v/>
      </c>
      <c r="W349" t="str">
        <f t="shared" si="129"/>
        <v/>
      </c>
      <c r="X349" t="str">
        <f t="shared" si="130"/>
        <v/>
      </c>
      <c r="Y349" t="str">
        <f t="shared" si="131"/>
        <v/>
      </c>
      <c r="Z349" t="str">
        <f t="shared" si="132"/>
        <v/>
      </c>
      <c r="AA349">
        <f t="shared" si="133"/>
        <v>0</v>
      </c>
      <c r="AB349" t="str">
        <f>IFERROR(V144+MATCH(AA349,V349:Z349,0)-1,"")</f>
        <v/>
      </c>
      <c r="AC349" t="str">
        <f t="shared" si="134"/>
        <v/>
      </c>
      <c r="AE349" t="str">
        <f>IF(ISNUMBER(MATCH("N/A",J349:N349,0)),"",IFERROR((5 * SUMPRODUCT(J144:N144,J349:N349) - PRODUCT(SUM(J144:N144),SUM(J349:N349))) / ((5 * SUM((J144^2)+(K144^2)+(L144^2)+(M144^2)+(N144^2))) - SUM(J144:N144)^2),""))</f>
        <v/>
      </c>
      <c r="AF349" t="str">
        <f>IFERROR(CORREL(J144:N144,J349:N349),"")</f>
        <v/>
      </c>
      <c r="AZ349">
        <f t="shared" si="135"/>
        <v>0</v>
      </c>
      <c r="BA349" t="str">
        <f>IF(AZ349=1,IF(Q349="","",IF(Q349=N144,"Yes","No")),"")</f>
        <v/>
      </c>
      <c r="BB349" t="str">
        <f t="shared" si="136"/>
        <v/>
      </c>
      <c r="BC349" t="str">
        <f>IF(AZ349=1,IF(S349="","",IF(S349=N144,"Yes","No")),"")</f>
        <v/>
      </c>
      <c r="BD349" t="str">
        <f t="shared" si="137"/>
        <v/>
      </c>
      <c r="BE349" t="str">
        <f t="shared" si="138"/>
        <v/>
      </c>
      <c r="BF349" t="str">
        <f t="shared" si="139"/>
        <v>No</v>
      </c>
      <c r="BG349" t="str">
        <f t="shared" si="140"/>
        <v>No</v>
      </c>
      <c r="BH349" t="str">
        <f t="shared" si="141"/>
        <v/>
      </c>
    </row>
    <row r="350" spans="1:60" x14ac:dyDescent="0.3">
      <c r="A350" s="1">
        <v>2</v>
      </c>
      <c r="B350" t="s">
        <v>125</v>
      </c>
      <c r="C350" t="s">
        <v>3823</v>
      </c>
      <c r="I350" t="str">
        <f t="shared" si="118"/>
        <v>N/A</v>
      </c>
      <c r="J350">
        <f t="shared" si="119"/>
        <v>14.8</v>
      </c>
      <c r="K350" t="str">
        <f t="shared" si="120"/>
        <v>N/A</v>
      </c>
      <c r="L350" t="str">
        <f t="shared" si="121"/>
        <v>N/A</v>
      </c>
      <c r="M350" t="str">
        <f t="shared" si="122"/>
        <v>N/A</v>
      </c>
      <c r="N350" t="str">
        <f t="shared" si="123"/>
        <v>N/A</v>
      </c>
      <c r="P350">
        <f t="shared" si="124"/>
        <v>14.8</v>
      </c>
      <c r="Q350">
        <f>IFERROR(J144+MATCH(P350,J350:N350,0)-1,"")</f>
        <v>2012</v>
      </c>
      <c r="R350">
        <f t="shared" si="125"/>
        <v>14.8</v>
      </c>
      <c r="S350">
        <f>IFERROR(J144+MATCH(R350,J350:N350,0)-1,"")</f>
        <v>2012</v>
      </c>
      <c r="T350">
        <f t="shared" si="126"/>
        <v>14.8</v>
      </c>
      <c r="U350" t="str">
        <f t="shared" si="127"/>
        <v/>
      </c>
      <c r="V350" t="str">
        <f t="shared" si="128"/>
        <v/>
      </c>
      <c r="W350" t="str">
        <f t="shared" si="129"/>
        <v/>
      </c>
      <c r="X350" t="str">
        <f t="shared" si="130"/>
        <v/>
      </c>
      <c r="Y350" t="str">
        <f t="shared" si="131"/>
        <v/>
      </c>
      <c r="Z350" t="str">
        <f t="shared" si="132"/>
        <v/>
      </c>
      <c r="AA350">
        <f t="shared" si="133"/>
        <v>0</v>
      </c>
      <c r="AB350" t="str">
        <f>IFERROR(V144+MATCH(AA350,V350:Z350,0)-1,"")</f>
        <v/>
      </c>
      <c r="AC350" t="str">
        <f t="shared" si="134"/>
        <v/>
      </c>
      <c r="AE350" t="str">
        <f>IF(ISNUMBER(MATCH("N/A",J350:N350,0)),"",IFERROR((5 * SUMPRODUCT(J144:N144,J350:N350) - PRODUCT(SUM(J144:N144),SUM(J350:N350))) / ((5 * SUM((J144^2)+(K144^2)+(L144^2)+(M144^2)+(N144^2))) - SUM(J144:N144)^2),""))</f>
        <v/>
      </c>
      <c r="AF350" t="str">
        <f>IFERROR(CORREL(J144:N144,J350:N350),"")</f>
        <v/>
      </c>
      <c r="AZ350">
        <f t="shared" si="135"/>
        <v>0</v>
      </c>
      <c r="BA350" t="str">
        <f>IF(AZ350=1,IF(Q350="","",IF(Q350=N144,"Yes","No")),"")</f>
        <v/>
      </c>
      <c r="BB350" t="str">
        <f t="shared" si="136"/>
        <v/>
      </c>
      <c r="BC350" t="str">
        <f>IF(AZ350=1,IF(S350="","",IF(S350=N144,"Yes","No")),"")</f>
        <v/>
      </c>
      <c r="BD350" t="str">
        <f t="shared" si="137"/>
        <v/>
      </c>
      <c r="BE350" t="str">
        <f t="shared" si="138"/>
        <v/>
      </c>
      <c r="BF350" t="str">
        <f t="shared" si="139"/>
        <v>No</v>
      </c>
      <c r="BG350" t="str">
        <f t="shared" si="140"/>
        <v>No</v>
      </c>
      <c r="BH350" t="str">
        <f t="shared" si="141"/>
        <v/>
      </c>
    </row>
    <row r="351" spans="1:60" x14ac:dyDescent="0.3">
      <c r="A351" s="1">
        <v>3</v>
      </c>
      <c r="B351" t="s">
        <v>126</v>
      </c>
      <c r="C351" t="s">
        <v>3824</v>
      </c>
      <c r="I351" t="str">
        <f t="shared" si="118"/>
        <v>N/A</v>
      </c>
      <c r="J351">
        <f t="shared" si="119"/>
        <v>10.54</v>
      </c>
      <c r="K351" t="str">
        <f t="shared" si="120"/>
        <v>N/A</v>
      </c>
      <c r="L351" t="str">
        <f t="shared" si="121"/>
        <v>N/A</v>
      </c>
      <c r="M351" t="str">
        <f t="shared" si="122"/>
        <v>N/A</v>
      </c>
      <c r="N351" t="str">
        <f t="shared" si="123"/>
        <v>N/A</v>
      </c>
      <c r="P351">
        <f t="shared" si="124"/>
        <v>10.54</v>
      </c>
      <c r="Q351">
        <f>IFERROR(J144+MATCH(P351,J351:N351,0)-1,"")</f>
        <v>2012</v>
      </c>
      <c r="R351">
        <f t="shared" si="125"/>
        <v>10.54</v>
      </c>
      <c r="S351">
        <f>IFERROR(J144+MATCH(R351,J351:N351,0)-1,"")</f>
        <v>2012</v>
      </c>
      <c r="T351">
        <f t="shared" si="126"/>
        <v>10.54</v>
      </c>
      <c r="U351" t="str">
        <f t="shared" si="127"/>
        <v/>
      </c>
      <c r="V351" t="str">
        <f t="shared" si="128"/>
        <v/>
      </c>
      <c r="W351" t="str">
        <f t="shared" si="129"/>
        <v/>
      </c>
      <c r="X351" t="str">
        <f t="shared" si="130"/>
        <v/>
      </c>
      <c r="Y351" t="str">
        <f t="shared" si="131"/>
        <v/>
      </c>
      <c r="Z351" t="str">
        <f t="shared" si="132"/>
        <v/>
      </c>
      <c r="AA351">
        <f t="shared" si="133"/>
        <v>0</v>
      </c>
      <c r="AB351" t="str">
        <f>IFERROR(V144+MATCH(AA351,V351:Z351,0)-1,"")</f>
        <v/>
      </c>
      <c r="AC351" t="str">
        <f t="shared" si="134"/>
        <v/>
      </c>
      <c r="AE351" t="str">
        <f>IF(ISNUMBER(MATCH("N/A",J351:N351,0)),"",IFERROR((5 * SUMPRODUCT(J144:N144,J351:N351) - PRODUCT(SUM(J144:N144),SUM(J351:N351))) / ((5 * SUM((J144^2)+(K144^2)+(L144^2)+(M144^2)+(N144^2))) - SUM(J144:N144)^2),""))</f>
        <v/>
      </c>
      <c r="AF351" t="str">
        <f>IFERROR(CORREL(J144:N144,J351:N351),"")</f>
        <v/>
      </c>
      <c r="AZ351">
        <f t="shared" si="135"/>
        <v>0</v>
      </c>
      <c r="BA351" t="str">
        <f>IF(AZ351=1,IF(Q351="","",IF(Q351=N144,"Yes","No")),"")</f>
        <v/>
      </c>
      <c r="BB351" t="str">
        <f t="shared" si="136"/>
        <v/>
      </c>
      <c r="BC351" t="str">
        <f>IF(AZ351=1,IF(S351="","",IF(S351=N144,"Yes","No")),"")</f>
        <v/>
      </c>
      <c r="BD351" t="str">
        <f t="shared" si="137"/>
        <v/>
      </c>
      <c r="BE351" t="str">
        <f t="shared" si="138"/>
        <v/>
      </c>
      <c r="BF351" t="str">
        <f t="shared" si="139"/>
        <v>No</v>
      </c>
      <c r="BG351" t="str">
        <f t="shared" si="140"/>
        <v>No</v>
      </c>
      <c r="BH351" t="str">
        <f t="shared" si="141"/>
        <v/>
      </c>
    </row>
    <row r="352" spans="1:60" x14ac:dyDescent="0.3">
      <c r="A352" s="1">
        <v>4</v>
      </c>
      <c r="B352" t="s">
        <v>128</v>
      </c>
      <c r="C352" t="s">
        <v>990</v>
      </c>
      <c r="I352" t="str">
        <f t="shared" si="118"/>
        <v>N/A</v>
      </c>
      <c r="J352">
        <f t="shared" si="119"/>
        <v>1.49</v>
      </c>
      <c r="K352" t="str">
        <f t="shared" si="120"/>
        <v>N/A</v>
      </c>
      <c r="L352" t="str">
        <f t="shared" si="121"/>
        <v>N/A</v>
      </c>
      <c r="M352" t="str">
        <f t="shared" si="122"/>
        <v>N/A</v>
      </c>
      <c r="N352" t="str">
        <f t="shared" si="123"/>
        <v>N/A</v>
      </c>
      <c r="P352">
        <f t="shared" si="124"/>
        <v>1.49</v>
      </c>
      <c r="Q352">
        <f>IFERROR(J144+MATCH(P352,J352:N352,0)-1,"")</f>
        <v>2012</v>
      </c>
      <c r="R352">
        <f t="shared" si="125"/>
        <v>1.49</v>
      </c>
      <c r="S352">
        <f>IFERROR(J144+MATCH(R352,J352:N352,0)-1,"")</f>
        <v>2012</v>
      </c>
      <c r="T352">
        <f t="shared" si="126"/>
        <v>1.49</v>
      </c>
      <c r="U352" t="str">
        <f t="shared" si="127"/>
        <v/>
      </c>
      <c r="V352" t="str">
        <f t="shared" si="128"/>
        <v/>
      </c>
      <c r="W352" t="str">
        <f t="shared" si="129"/>
        <v/>
      </c>
      <c r="X352" t="str">
        <f t="shared" si="130"/>
        <v/>
      </c>
      <c r="Y352" t="str">
        <f t="shared" si="131"/>
        <v/>
      </c>
      <c r="Z352" t="str">
        <f t="shared" si="132"/>
        <v/>
      </c>
      <c r="AA352">
        <f t="shared" si="133"/>
        <v>0</v>
      </c>
      <c r="AB352" t="str">
        <f>IFERROR(V144+MATCH(AA352,V352:Z352,0)-1,"")</f>
        <v/>
      </c>
      <c r="AC352" t="str">
        <f t="shared" si="134"/>
        <v/>
      </c>
      <c r="AE352" t="str">
        <f>IF(ISNUMBER(MATCH("N/A",J352:N352,0)),"",IFERROR((5 * SUMPRODUCT(J144:N144,J352:N352) - PRODUCT(SUM(J144:N144),SUM(J352:N352))) / ((5 * SUM((J144^2)+(K144^2)+(L144^2)+(M144^2)+(N144^2))) - SUM(J144:N144)^2),""))</f>
        <v/>
      </c>
      <c r="AF352" t="str">
        <f>IFERROR(CORREL(J144:N144,J352:N352),"")</f>
        <v/>
      </c>
      <c r="AZ352">
        <f t="shared" si="135"/>
        <v>0</v>
      </c>
      <c r="BA352" t="str">
        <f>IF(AZ352=1,IF(Q352="","",IF(Q352=N144,"Yes","No")),"")</f>
        <v/>
      </c>
      <c r="BB352" t="str">
        <f t="shared" si="136"/>
        <v/>
      </c>
      <c r="BC352" t="str">
        <f>IF(AZ352=1,IF(S352="","",IF(S352=N144,"Yes","No")),"")</f>
        <v/>
      </c>
      <c r="BD352" t="str">
        <f t="shared" si="137"/>
        <v/>
      </c>
      <c r="BE352" t="str">
        <f t="shared" si="138"/>
        <v/>
      </c>
      <c r="BF352" t="str">
        <f t="shared" si="139"/>
        <v>No</v>
      </c>
      <c r="BG352" t="str">
        <f t="shared" si="140"/>
        <v>No</v>
      </c>
      <c r="BH352" t="str">
        <f t="shared" si="141"/>
        <v/>
      </c>
    </row>
    <row r="353" spans="1:29" x14ac:dyDescent="0.3">
      <c r="A353" s="1">
        <v>5</v>
      </c>
      <c r="B353" t="s">
        <v>130</v>
      </c>
      <c r="C353" t="s">
        <v>166</v>
      </c>
      <c r="I353" t="str">
        <f t="shared" si="118"/>
        <v>N/A</v>
      </c>
      <c r="J353">
        <f t="shared" si="119"/>
        <v>4.93</v>
      </c>
      <c r="K353" t="str">
        <f t="shared" si="120"/>
        <v>N/A</v>
      </c>
      <c r="L353" t="str">
        <f t="shared" si="121"/>
        <v>N/A</v>
      </c>
      <c r="M353" t="str">
        <f t="shared" si="122"/>
        <v>N/A</v>
      </c>
      <c r="N353" t="str">
        <f t="shared" si="123"/>
        <v>N/A</v>
      </c>
      <c r="P353">
        <f t="shared" si="124"/>
        <v>4.93</v>
      </c>
      <c r="Q353">
        <f>IFERROR(J144+MATCH(P353,J353:N353,0)-1,"")</f>
        <v>2012</v>
      </c>
      <c r="R353">
        <f t="shared" si="125"/>
        <v>4.93</v>
      </c>
      <c r="T353">
        <f t="shared" si="126"/>
        <v>4.93</v>
      </c>
      <c r="U353" t="str">
        <f t="shared" si="127"/>
        <v/>
      </c>
      <c r="V353" t="str">
        <f t="shared" si="128"/>
        <v/>
      </c>
      <c r="W353" t="str">
        <f t="shared" si="129"/>
        <v/>
      </c>
      <c r="X353" t="str">
        <f t="shared" si="130"/>
        <v/>
      </c>
      <c r="Y353" t="str">
        <f t="shared" si="131"/>
        <v/>
      </c>
      <c r="Z353" t="str">
        <f t="shared" si="132"/>
        <v/>
      </c>
      <c r="AA353">
        <f t="shared" si="133"/>
        <v>0</v>
      </c>
      <c r="AB353" t="str">
        <f>IFERROR(V144+MATCH(AA353,V353:Z353,0)-1,"")</f>
        <v/>
      </c>
      <c r="AC353" t="str">
        <f>IF(S353=AB353,"Low",IF(AB353=Q353,"High",""))</f>
        <v>Low</v>
      </c>
    </row>
    <row r="354" spans="1:29" x14ac:dyDescent="0.3">
      <c r="A354" s="1">
        <v>6</v>
      </c>
      <c r="B354" t="s">
        <v>132</v>
      </c>
      <c r="C354" t="s">
        <v>2402</v>
      </c>
      <c r="I354" t="str">
        <f t="shared" si="118"/>
        <v>N/A</v>
      </c>
      <c r="J354">
        <f t="shared" si="119"/>
        <v>1.7</v>
      </c>
      <c r="K354" t="str">
        <f t="shared" si="120"/>
        <v>N/A</v>
      </c>
      <c r="L354" t="str">
        <f t="shared" si="121"/>
        <v>N/A</v>
      </c>
      <c r="M354" t="str">
        <f t="shared" si="122"/>
        <v>N/A</v>
      </c>
      <c r="N354" t="str">
        <f t="shared" si="123"/>
        <v>N/A</v>
      </c>
      <c r="V354">
        <f>MAX(V145:V353)</f>
        <v>1.7275918013297629</v>
      </c>
      <c r="W354">
        <f>MAX(W145:W353)</f>
        <v>1.7668220723652748</v>
      </c>
      <c r="X354">
        <f>MAX(X145:X353)</f>
        <v>1.59541575367772</v>
      </c>
      <c r="Y354">
        <f>MAX(Y145:Y353)</f>
        <v>1.6686379793840687</v>
      </c>
      <c r="Z354">
        <f>MAX(Z145:Z353)</f>
        <v>1.7779828357601124</v>
      </c>
    </row>
    <row r="355" spans="1:29" x14ac:dyDescent="0.3">
      <c r="A355" s="1">
        <v>7</v>
      </c>
      <c r="B355" t="s">
        <v>134</v>
      </c>
      <c r="I355" t="str">
        <f t="shared" si="118"/>
        <v>N/A</v>
      </c>
      <c r="J355" t="str">
        <f t="shared" si="119"/>
        <v>N/A</v>
      </c>
      <c r="K355" t="str">
        <f t="shared" si="120"/>
        <v>N/A</v>
      </c>
      <c r="L355" t="str">
        <f t="shared" si="121"/>
        <v>N/A</v>
      </c>
      <c r="M355" t="str">
        <f t="shared" si="122"/>
        <v>N/A</v>
      </c>
      <c r="N355" t="str">
        <f t="shared" si="123"/>
        <v>N/A</v>
      </c>
      <c r="V355">
        <f>MIN(V145:V353)</f>
        <v>-1.7150720603962635</v>
      </c>
      <c r="W355">
        <f>MIN(W145:W353)</f>
        <v>-1.6849770053025235</v>
      </c>
      <c r="X355">
        <f>MIN(X145:X353)</f>
        <v>-1.459018813176266</v>
      </c>
      <c r="Y355">
        <f>MIN(Y145:Y353)</f>
        <v>-1.4600975774882961</v>
      </c>
      <c r="Z355">
        <f>MIN(Z145:Z353)</f>
        <v>-1.712442845865918</v>
      </c>
    </row>
    <row r="356" spans="1:29" x14ac:dyDescent="0.3">
      <c r="A356" s="1">
        <v>8</v>
      </c>
      <c r="B356" t="s">
        <v>135</v>
      </c>
      <c r="I356" t="str">
        <f t="shared" si="118"/>
        <v>N/A</v>
      </c>
      <c r="J356" t="str">
        <f t="shared" si="119"/>
        <v>N/A</v>
      </c>
      <c r="K356" t="str">
        <f t="shared" si="120"/>
        <v>N/A</v>
      </c>
      <c r="L356" t="str">
        <f t="shared" si="121"/>
        <v>N/A</v>
      </c>
      <c r="M356" t="str">
        <f t="shared" si="122"/>
        <v>N/A</v>
      </c>
      <c r="N356" t="str">
        <f t="shared" si="123"/>
        <v>N/A</v>
      </c>
      <c r="V356">
        <f>COUNTIF(V145:V353,"&gt;1.5")</f>
        <v>8</v>
      </c>
      <c r="W356">
        <f>COUNTIF(W145:W353,"&gt;1.5")</f>
        <v>3</v>
      </c>
      <c r="X356">
        <f>COUNTIF(X145:X353,"&gt;1.5")</f>
        <v>2</v>
      </c>
      <c r="Y356">
        <f>COUNTIF(Y145:Y353,"&gt;1.5")</f>
        <v>2</v>
      </c>
      <c r="Z356">
        <f>COUNTIF(Z145:Z353,"&gt;1.5")</f>
        <v>6</v>
      </c>
    </row>
    <row r="357" spans="1:29" x14ac:dyDescent="0.3">
      <c r="I357" t="str">
        <f t="shared" si="118"/>
        <v>N/A</v>
      </c>
      <c r="J357" t="str">
        <f t="shared" si="119"/>
        <v>N/A</v>
      </c>
      <c r="K357" t="str">
        <f t="shared" si="120"/>
        <v>N/A</v>
      </c>
      <c r="L357" t="str">
        <f t="shared" si="121"/>
        <v>N/A</v>
      </c>
      <c r="M357" t="str">
        <f t="shared" si="122"/>
        <v>N/A</v>
      </c>
      <c r="N357" t="str">
        <f t="shared" si="123"/>
        <v>N/A</v>
      </c>
      <c r="V357">
        <f>COUNTIF(V145:V353,"&lt;-1.5")</f>
        <v>4</v>
      </c>
      <c r="W357">
        <f>COUNTIF(W145:W353,"&lt;-1.5")</f>
        <v>2</v>
      </c>
      <c r="X357">
        <f>COUNTIF(X145:X353,"&lt;-1.5")</f>
        <v>0</v>
      </c>
      <c r="Y357">
        <f>COUNTIF(Y145:Y353,"&lt;-1.5")</f>
        <v>0</v>
      </c>
      <c r="Z357">
        <f>COUNTIF(Z145:Z353,"&lt;-1.5")</f>
        <v>1</v>
      </c>
    </row>
    <row r="358" spans="1:29" x14ac:dyDescent="0.3">
      <c r="I358" t="str">
        <f t="shared" si="118"/>
        <v>N/A</v>
      </c>
      <c r="J358" t="str">
        <f t="shared" si="119"/>
        <v>N/A</v>
      </c>
      <c r="K358" t="str">
        <f t="shared" si="120"/>
        <v>N/A</v>
      </c>
      <c r="L358" t="str">
        <f t="shared" si="121"/>
        <v>N/A</v>
      </c>
      <c r="M358" t="str">
        <f t="shared" si="122"/>
        <v>N/A</v>
      </c>
      <c r="N358" t="str">
        <f t="shared" si="123"/>
        <v>N/A</v>
      </c>
      <c r="V358">
        <f>SUM(V356:V357)</f>
        <v>12</v>
      </c>
      <c r="W358">
        <f>SUM(W356:W357)</f>
        <v>5</v>
      </c>
      <c r="X358">
        <f>SUM(X356:X357)</f>
        <v>2</v>
      </c>
      <c r="Y358">
        <f>SUM(Y356:Y357)</f>
        <v>2</v>
      </c>
      <c r="Z358">
        <f>SUM(Z356:Z357)</f>
        <v>7</v>
      </c>
    </row>
    <row r="359" spans="1:29" x14ac:dyDescent="0.3">
      <c r="A359" s="1">
        <v>0</v>
      </c>
      <c r="B359" t="s">
        <v>123</v>
      </c>
      <c r="C359" t="s">
        <v>3825</v>
      </c>
      <c r="I359" t="str">
        <f t="shared" si="118"/>
        <v>N/A</v>
      </c>
      <c r="J359">
        <f t="shared" si="119"/>
        <v>327570000</v>
      </c>
      <c r="K359" t="str">
        <f t="shared" si="120"/>
        <v>N/A</v>
      </c>
      <c r="L359" t="str">
        <f t="shared" si="121"/>
        <v>N/A</v>
      </c>
      <c r="M359" t="str">
        <f t="shared" si="122"/>
        <v>N/A</v>
      </c>
      <c r="N359" t="str">
        <f t="shared" si="123"/>
        <v>N/A</v>
      </c>
    </row>
    <row r="360" spans="1:29" x14ac:dyDescent="0.3">
      <c r="A360" s="1">
        <v>1</v>
      </c>
      <c r="B360" t="s">
        <v>124</v>
      </c>
      <c r="I360" t="str">
        <f t="shared" si="118"/>
        <v>N/A</v>
      </c>
      <c r="J360" t="str">
        <f t="shared" si="119"/>
        <v>N/A</v>
      </c>
      <c r="K360" t="str">
        <f t="shared" si="120"/>
        <v>N/A</v>
      </c>
      <c r="L360" t="str">
        <f t="shared" si="121"/>
        <v>N/A</v>
      </c>
      <c r="M360" t="str">
        <f t="shared" si="122"/>
        <v>N/A</v>
      </c>
      <c r="N360" t="str">
        <f t="shared" si="123"/>
        <v>N/A</v>
      </c>
      <c r="V360" t="str">
        <f>"Most Variable Year"</f>
        <v>Most Variable Year</v>
      </c>
      <c r="X360">
        <f>V144+MATCH(MAX(V358:Z358),V358:Z358,0)-1</f>
        <v>2012</v>
      </c>
    </row>
    <row r="361" spans="1:29" x14ac:dyDescent="0.3">
      <c r="A361" s="1">
        <v>2</v>
      </c>
      <c r="B361" t="s">
        <v>125</v>
      </c>
      <c r="C361" t="s">
        <v>3826</v>
      </c>
      <c r="I361" t="str">
        <f t="shared" ref="I361:I392" si="142">IF(AND(K361&gt; J361, L361&gt; K361, M361&gt; L361, N361&gt; M361), "pos_trend", IF(AND(K361&lt; J361, L361&lt; K361, M361&lt; L361, N361&lt; M361), "neg_trend", "N/A"))</f>
        <v>N/A</v>
      </c>
      <c r="J361">
        <f t="shared" ref="J361:J392" si="143">IFERROR(IF(TRIM(C361)="-", "N/A", IF(RIGHT(C361,1)=")",IF(RIGHT(C361,2)="T)",-1000000000000*VALUE(MID(C361,2,LEN(C361)-3)),IF(RIGHT(C361,2)="M)",-1000000*VALUE(MID(C361,2,LEN(C361)-3)),IF(RIGHT(C361,2)="B)",-1000000000*VALUE(MID(C361,2,LEN(C361)-3)),IF(RIGHT(C361,2)="k)",-1000*VALUE(MID(C361,2,LEN(C361)-3)),VALUE(SUBSTITUTE(C361,",","")))))),IF(RIGHT(C361,1)="T",1000000000000*VALUE(LEFT(C361,LEN(C361)-1)),IF(RIGHT(C361,1)="M",1000000*VALUE(LEFT(C361,LEN(C361)-1)),IF(RIGHT(C361,1)="B",1000000000*VALUE(LEFT(C361,LEN(C361)-1)),IF(RIGHT(C361,1)="%",0.01*VALUE(LEFT(C361,LEN(C361)-1)),IF(RIGHT(C361,1)="k",1000*VALUE(LEFT(C361,LEN(C361)-1)),VALUE(SUBSTITUTE(C361,",",""))))))))),"N/A")</f>
        <v>20.16</v>
      </c>
      <c r="K361" t="str">
        <f t="shared" ref="K361:K392" si="144">IFERROR(IF(TRIM(D361)="-", "N/A", IF(RIGHT(D361,1)=")",IF(RIGHT(D361,2)="T)",-1000000000000*VALUE(MID(D361,2,LEN(D361)-3)),IF(RIGHT(D361,2)="M)",-1000000*VALUE(MID(D361,2,LEN(D361)-3)),IF(RIGHT(D361,2)="B)",-1000000000*VALUE(MID(D361,2,LEN(D361)-3)),IF(RIGHT(D361,2)="k)",-1000*VALUE(MID(D361,2,LEN(D361)-3)),VALUE(SUBSTITUTE(D361,",","")))))),IF(RIGHT(D361,1)="T",1000000000000*VALUE(LEFT(D361,LEN(D361)-1)),IF(RIGHT(D361,1)="M",1000000*VALUE(LEFT(D361,LEN(D361)-1)),IF(RIGHT(D361,1)="B",1000000000*VALUE(LEFT(D361,LEN(D361)-1)),IF(RIGHT(D361,1)="%",0.01*VALUE(LEFT(D361,LEN(D361)-1)),IF(RIGHT(D361,1)="k",1000*VALUE(LEFT(D361,LEN(D361)-1)),VALUE(SUBSTITUTE(D361,",",""))))))))),"N/A")</f>
        <v>N/A</v>
      </c>
      <c r="L361" t="str">
        <f t="shared" ref="L361:L392" si="145">IFERROR(IF(TRIM(E361)="-", "N/A", IF(RIGHT(E361,1)=")",IF(RIGHT(E361,2)="T)",-1000000000000*VALUE(MID(E361,2,LEN(E361)-3)),IF(RIGHT(E361,2)="M)",-1000000*VALUE(MID(E361,2,LEN(E361)-3)),IF(RIGHT(E361,2)="B)",-1000000000*VALUE(MID(E361,2,LEN(E361)-3)),IF(RIGHT(E361,2)="k)",-1000*VALUE(MID(E361,2,LEN(E361)-3)),VALUE(SUBSTITUTE(E361,",","")))))),IF(RIGHT(E361,1)="T",1000000000000*VALUE(LEFT(E361,LEN(E361)-1)),IF(RIGHT(E361,1)="M",1000000*VALUE(LEFT(E361,LEN(E361)-1)),IF(RIGHT(E361,1)="B",1000000000*VALUE(LEFT(E361,LEN(E361)-1)),IF(RIGHT(E361,1)="%",0.01*VALUE(LEFT(E361,LEN(E361)-1)),IF(RIGHT(E361,1)="k",1000*VALUE(LEFT(E361,LEN(E361)-1)),VALUE(SUBSTITUTE(E361,",",""))))))))),"N/A")</f>
        <v>N/A</v>
      </c>
      <c r="M361" t="str">
        <f t="shared" ref="M361:M392" si="146">IFERROR(IF(TRIM(F361)="-", "N/A", IF(RIGHT(F361,1)=")",IF(RIGHT(F361,2)="T)",-1000000000000*VALUE(MID(F361,2,LEN(F361)-3)),IF(RIGHT(F361,2)="M)",-1000000*VALUE(MID(F361,2,LEN(F361)-3)),IF(RIGHT(F361,2)="B)",-1000000000*VALUE(MID(F361,2,LEN(F361)-3)),IF(RIGHT(F361,2)="k)",-1000*VALUE(MID(F361,2,LEN(F361)-3)),VALUE(SUBSTITUTE(F361,",","")))))),IF(RIGHT(F361,1)="T",1000000000000*VALUE(LEFT(F361,LEN(F361)-1)),IF(RIGHT(F361,1)="M",1000000*VALUE(LEFT(F361,LEN(F361)-1)),IF(RIGHT(F361,1)="B",1000000000*VALUE(LEFT(F361,LEN(F361)-1)),IF(RIGHT(F361,1)="%",0.01*VALUE(LEFT(F361,LEN(F361)-1)),IF(RIGHT(F361,1)="k",1000*VALUE(LEFT(F361,LEN(F361)-1)),VALUE(SUBSTITUTE(F361,",",""))))))))),"N/A")</f>
        <v>N/A</v>
      </c>
      <c r="N361" t="str">
        <f t="shared" ref="N361:N392" si="147">IFERROR(IF(TRIM(G361)="-", "N/A", IF(RIGHT(G361,1)=")",IF(RIGHT(G361,2)="T)",-1000000000000*VALUE(MID(G361,2,LEN(G361)-3)),IF(RIGHT(G361,2)="M)",-1000000*VALUE(MID(G361,2,LEN(G361)-3)),IF(RIGHT(G361,2)="B)",-1000000000*VALUE(MID(G361,2,LEN(G361)-3)),IF(RIGHT(G361,2)="k)",-1000*VALUE(MID(G361,2,LEN(G361)-3)),VALUE(SUBSTITUTE(G361,",","")))))),IF(RIGHT(G361,1)="T",1000000000000*VALUE(LEFT(G361,LEN(G361)-1)),IF(RIGHT(G361,1)="M",1000000*VALUE(LEFT(G361,LEN(G361)-1)),IF(RIGHT(G361,1)="B",1000000000*VALUE(LEFT(G361,LEN(G361)-1)),IF(RIGHT(G361,1)="%",0.01*VALUE(LEFT(G361,LEN(G361)-1)),IF(RIGHT(G361,1)="k",1000*VALUE(LEFT(G361,LEN(G361)-1)),VALUE(SUBSTITUTE(G361,",",""))))))))),"N/A")</f>
        <v>N/A</v>
      </c>
    </row>
    <row r="362" spans="1:29" x14ac:dyDescent="0.3">
      <c r="A362" s="1">
        <v>3</v>
      </c>
      <c r="B362" t="s">
        <v>126</v>
      </c>
      <c r="C362" t="s">
        <v>3827</v>
      </c>
      <c r="I362" t="str">
        <f t="shared" si="142"/>
        <v>N/A</v>
      </c>
      <c r="J362">
        <f t="shared" si="143"/>
        <v>15.79</v>
      </c>
      <c r="K362" t="str">
        <f t="shared" si="144"/>
        <v>N/A</v>
      </c>
      <c r="L362" t="str">
        <f t="shared" si="145"/>
        <v>N/A</v>
      </c>
      <c r="M362" t="str">
        <f t="shared" si="146"/>
        <v>N/A</v>
      </c>
      <c r="N362" t="str">
        <f t="shared" si="147"/>
        <v>N/A</v>
      </c>
    </row>
    <row r="363" spans="1:29" x14ac:dyDescent="0.3">
      <c r="A363" s="1">
        <v>4</v>
      </c>
      <c r="B363" t="s">
        <v>128</v>
      </c>
      <c r="C363" t="s">
        <v>3828</v>
      </c>
      <c r="I363" t="str">
        <f t="shared" si="142"/>
        <v>N/A</v>
      </c>
      <c r="J363">
        <f t="shared" si="143"/>
        <v>4.72</v>
      </c>
      <c r="K363" t="str">
        <f t="shared" si="144"/>
        <v>N/A</v>
      </c>
      <c r="L363" t="str">
        <f t="shared" si="145"/>
        <v>N/A</v>
      </c>
      <c r="M363" t="str">
        <f t="shared" si="146"/>
        <v>N/A</v>
      </c>
      <c r="N363" t="str">
        <f t="shared" si="147"/>
        <v>N/A</v>
      </c>
    </row>
    <row r="364" spans="1:29" x14ac:dyDescent="0.3">
      <c r="A364" s="1">
        <v>5</v>
      </c>
      <c r="B364" t="s">
        <v>130</v>
      </c>
      <c r="C364" t="s">
        <v>3829</v>
      </c>
      <c r="I364" t="str">
        <f t="shared" si="142"/>
        <v>N/A</v>
      </c>
      <c r="J364">
        <f t="shared" si="143"/>
        <v>5.05</v>
      </c>
      <c r="K364" t="str">
        <f t="shared" si="144"/>
        <v>N/A</v>
      </c>
      <c r="L364" t="str">
        <f t="shared" si="145"/>
        <v>N/A</v>
      </c>
      <c r="M364" t="str">
        <f t="shared" si="146"/>
        <v>N/A</v>
      </c>
      <c r="N364" t="str">
        <f t="shared" si="147"/>
        <v>N/A</v>
      </c>
    </row>
    <row r="365" spans="1:29" x14ac:dyDescent="0.3">
      <c r="A365" s="1">
        <v>6</v>
      </c>
      <c r="B365" t="s">
        <v>132</v>
      </c>
      <c r="C365" t="s">
        <v>2407</v>
      </c>
      <c r="I365" t="str">
        <f t="shared" si="142"/>
        <v>N/A</v>
      </c>
      <c r="J365">
        <f t="shared" si="143"/>
        <v>1.6</v>
      </c>
      <c r="K365" t="str">
        <f t="shared" si="144"/>
        <v>N/A</v>
      </c>
      <c r="L365" t="str">
        <f t="shared" si="145"/>
        <v>N/A</v>
      </c>
      <c r="M365" t="str">
        <f t="shared" si="146"/>
        <v>N/A</v>
      </c>
      <c r="N365" t="str">
        <f t="shared" si="147"/>
        <v>N/A</v>
      </c>
    </row>
    <row r="366" spans="1:29" x14ac:dyDescent="0.3">
      <c r="A366" s="1">
        <v>7</v>
      </c>
      <c r="B366" t="s">
        <v>134</v>
      </c>
      <c r="I366" t="str">
        <f t="shared" si="142"/>
        <v>N/A</v>
      </c>
      <c r="J366" t="str">
        <f t="shared" si="143"/>
        <v>N/A</v>
      </c>
      <c r="K366" t="str">
        <f t="shared" si="144"/>
        <v>N/A</v>
      </c>
      <c r="L366" t="str">
        <f t="shared" si="145"/>
        <v>N/A</v>
      </c>
      <c r="M366" t="str">
        <f t="shared" si="146"/>
        <v>N/A</v>
      </c>
      <c r="N366" t="str">
        <f t="shared" si="147"/>
        <v>N/A</v>
      </c>
    </row>
    <row r="367" spans="1:29" x14ac:dyDescent="0.3">
      <c r="A367" s="1">
        <v>8</v>
      </c>
      <c r="B367" t="s">
        <v>135</v>
      </c>
      <c r="I367" t="str">
        <f t="shared" si="142"/>
        <v>N/A</v>
      </c>
      <c r="J367" t="str">
        <f t="shared" si="143"/>
        <v>N/A</v>
      </c>
      <c r="K367" t="str">
        <f t="shared" si="144"/>
        <v>N/A</v>
      </c>
      <c r="L367" t="str">
        <f t="shared" si="145"/>
        <v>N/A</v>
      </c>
      <c r="M367" t="str">
        <f t="shared" si="146"/>
        <v>N/A</v>
      </c>
      <c r="N367" t="str">
        <f t="shared" si="147"/>
        <v>N/A</v>
      </c>
    </row>
    <row r="368" spans="1:29" x14ac:dyDescent="0.3">
      <c r="I368" t="str">
        <f t="shared" si="142"/>
        <v>N/A</v>
      </c>
      <c r="J368" t="str">
        <f t="shared" si="143"/>
        <v>N/A</v>
      </c>
      <c r="K368" t="str">
        <f t="shared" si="144"/>
        <v>N/A</v>
      </c>
      <c r="L368" t="str">
        <f t="shared" si="145"/>
        <v>N/A</v>
      </c>
      <c r="M368" t="str">
        <f t="shared" si="146"/>
        <v>N/A</v>
      </c>
      <c r="N368" t="str">
        <f t="shared" si="147"/>
        <v>N/A</v>
      </c>
    </row>
    <row r="369" spans="1:14" x14ac:dyDescent="0.3">
      <c r="I369" t="str">
        <f t="shared" si="142"/>
        <v>N/A</v>
      </c>
      <c r="J369" t="str">
        <f t="shared" si="143"/>
        <v>N/A</v>
      </c>
      <c r="K369" t="str">
        <f t="shared" si="144"/>
        <v>N/A</v>
      </c>
      <c r="L369" t="str">
        <f t="shared" si="145"/>
        <v>N/A</v>
      </c>
      <c r="M369" t="str">
        <f t="shared" si="146"/>
        <v>N/A</v>
      </c>
      <c r="N369" t="str">
        <f t="shared" si="147"/>
        <v>N/A</v>
      </c>
    </row>
    <row r="370" spans="1:14" x14ac:dyDescent="0.3">
      <c r="A370" s="1">
        <v>0</v>
      </c>
      <c r="B370" t="s">
        <v>123</v>
      </c>
      <c r="C370" t="s">
        <v>3830</v>
      </c>
      <c r="I370" t="str">
        <f t="shared" si="142"/>
        <v>N/A</v>
      </c>
      <c r="J370">
        <f t="shared" si="143"/>
        <v>90790000</v>
      </c>
      <c r="K370" t="str">
        <f t="shared" si="144"/>
        <v>N/A</v>
      </c>
      <c r="L370" t="str">
        <f t="shared" si="145"/>
        <v>N/A</v>
      </c>
      <c r="M370" t="str">
        <f t="shared" si="146"/>
        <v>N/A</v>
      </c>
      <c r="N370" t="str">
        <f t="shared" si="147"/>
        <v>N/A</v>
      </c>
    </row>
    <row r="371" spans="1:14" x14ac:dyDescent="0.3">
      <c r="A371" s="1">
        <v>1</v>
      </c>
      <c r="B371" t="s">
        <v>124</v>
      </c>
      <c r="I371" t="str">
        <f t="shared" si="142"/>
        <v>N/A</v>
      </c>
      <c r="J371" t="str">
        <f t="shared" si="143"/>
        <v>N/A</v>
      </c>
      <c r="K371" t="str">
        <f t="shared" si="144"/>
        <v>N/A</v>
      </c>
      <c r="L371" t="str">
        <f t="shared" si="145"/>
        <v>N/A</v>
      </c>
      <c r="M371" t="str">
        <f t="shared" si="146"/>
        <v>N/A</v>
      </c>
      <c r="N371" t="str">
        <f t="shared" si="147"/>
        <v>N/A</v>
      </c>
    </row>
    <row r="372" spans="1:14" x14ac:dyDescent="0.3">
      <c r="A372" s="1">
        <v>2</v>
      </c>
      <c r="B372" t="s">
        <v>125</v>
      </c>
      <c r="C372" t="s">
        <v>3831</v>
      </c>
      <c r="I372" t="str">
        <f t="shared" si="142"/>
        <v>N/A</v>
      </c>
      <c r="J372">
        <f t="shared" si="143"/>
        <v>15.06</v>
      </c>
      <c r="K372" t="str">
        <f t="shared" si="144"/>
        <v>N/A</v>
      </c>
      <c r="L372" t="str">
        <f t="shared" si="145"/>
        <v>N/A</v>
      </c>
      <c r="M372" t="str">
        <f t="shared" si="146"/>
        <v>N/A</v>
      </c>
      <c r="N372" t="str">
        <f t="shared" si="147"/>
        <v>N/A</v>
      </c>
    </row>
    <row r="373" spans="1:14" x14ac:dyDescent="0.3">
      <c r="A373" s="1">
        <v>3</v>
      </c>
      <c r="B373" t="s">
        <v>126</v>
      </c>
      <c r="C373" t="s">
        <v>3832</v>
      </c>
      <c r="I373" t="str">
        <f t="shared" si="142"/>
        <v>N/A</v>
      </c>
      <c r="J373">
        <f t="shared" si="143"/>
        <v>16.34</v>
      </c>
      <c r="K373" t="str">
        <f t="shared" si="144"/>
        <v>N/A</v>
      </c>
      <c r="L373" t="str">
        <f t="shared" si="145"/>
        <v>N/A</v>
      </c>
      <c r="M373" t="str">
        <f t="shared" si="146"/>
        <v>N/A</v>
      </c>
      <c r="N373" t="str">
        <f t="shared" si="147"/>
        <v>N/A</v>
      </c>
    </row>
    <row r="374" spans="1:14" x14ac:dyDescent="0.3">
      <c r="A374" s="1">
        <v>4</v>
      </c>
      <c r="B374" t="s">
        <v>128</v>
      </c>
      <c r="C374" t="s">
        <v>2397</v>
      </c>
      <c r="I374" t="str">
        <f t="shared" si="142"/>
        <v>N/A</v>
      </c>
      <c r="J374">
        <f t="shared" si="143"/>
        <v>1.19</v>
      </c>
      <c r="K374" t="str">
        <f t="shared" si="144"/>
        <v>N/A</v>
      </c>
      <c r="L374" t="str">
        <f t="shared" si="145"/>
        <v>N/A</v>
      </c>
      <c r="M374" t="str">
        <f t="shared" si="146"/>
        <v>N/A</v>
      </c>
      <c r="N374" t="str">
        <f t="shared" si="147"/>
        <v>N/A</v>
      </c>
    </row>
    <row r="375" spans="1:14" x14ac:dyDescent="0.3">
      <c r="A375" s="1">
        <v>5</v>
      </c>
      <c r="B375" t="s">
        <v>130</v>
      </c>
      <c r="C375" t="s">
        <v>3833</v>
      </c>
      <c r="I375" t="str">
        <f t="shared" si="142"/>
        <v>N/A</v>
      </c>
      <c r="J375">
        <f t="shared" si="143"/>
        <v>3.95</v>
      </c>
      <c r="K375" t="str">
        <f t="shared" si="144"/>
        <v>N/A</v>
      </c>
      <c r="L375" t="str">
        <f t="shared" si="145"/>
        <v>N/A</v>
      </c>
      <c r="M375" t="str">
        <f t="shared" si="146"/>
        <v>N/A</v>
      </c>
      <c r="N375" t="str">
        <f t="shared" si="147"/>
        <v>N/A</v>
      </c>
    </row>
    <row r="376" spans="1:14" x14ac:dyDescent="0.3">
      <c r="A376" s="1">
        <v>6</v>
      </c>
      <c r="B376" t="s">
        <v>132</v>
      </c>
      <c r="C376" t="s">
        <v>3834</v>
      </c>
      <c r="I376" t="str">
        <f t="shared" si="142"/>
        <v>N/A</v>
      </c>
      <c r="J376">
        <f t="shared" si="143"/>
        <v>1.0900000000000001</v>
      </c>
      <c r="K376" t="str">
        <f t="shared" si="144"/>
        <v>N/A</v>
      </c>
      <c r="L376" t="str">
        <f t="shared" si="145"/>
        <v>N/A</v>
      </c>
      <c r="M376" t="str">
        <f t="shared" si="146"/>
        <v>N/A</v>
      </c>
      <c r="N376" t="str">
        <f t="shared" si="147"/>
        <v>N/A</v>
      </c>
    </row>
    <row r="377" spans="1:14" x14ac:dyDescent="0.3">
      <c r="A377" s="1">
        <v>7</v>
      </c>
      <c r="B377" t="s">
        <v>134</v>
      </c>
      <c r="I377" t="str">
        <f t="shared" si="142"/>
        <v>N/A</v>
      </c>
      <c r="J377" t="str">
        <f t="shared" si="143"/>
        <v>N/A</v>
      </c>
      <c r="K377" t="str">
        <f t="shared" si="144"/>
        <v>N/A</v>
      </c>
      <c r="L377" t="str">
        <f t="shared" si="145"/>
        <v>N/A</v>
      </c>
      <c r="M377" t="str">
        <f t="shared" si="146"/>
        <v>N/A</v>
      </c>
      <c r="N377" t="str">
        <f t="shared" si="147"/>
        <v>N/A</v>
      </c>
    </row>
    <row r="378" spans="1:14" x14ac:dyDescent="0.3">
      <c r="A378" s="1">
        <v>8</v>
      </c>
      <c r="B378" t="s">
        <v>135</v>
      </c>
      <c r="I378" t="str">
        <f t="shared" si="142"/>
        <v>N/A</v>
      </c>
      <c r="J378" t="str">
        <f t="shared" si="143"/>
        <v>N/A</v>
      </c>
      <c r="K378" t="str">
        <f t="shared" si="144"/>
        <v>N/A</v>
      </c>
      <c r="L378" t="str">
        <f t="shared" si="145"/>
        <v>N/A</v>
      </c>
      <c r="M378" t="str">
        <f t="shared" si="146"/>
        <v>N/A</v>
      </c>
      <c r="N378" t="str">
        <f t="shared" si="147"/>
        <v>N/A</v>
      </c>
    </row>
    <row r="379" spans="1:14" x14ac:dyDescent="0.3">
      <c r="I379" t="str">
        <f t="shared" si="142"/>
        <v>N/A</v>
      </c>
      <c r="J379" t="str">
        <f t="shared" si="143"/>
        <v>N/A</v>
      </c>
      <c r="K379" t="str">
        <f t="shared" si="144"/>
        <v>N/A</v>
      </c>
      <c r="L379" t="str">
        <f t="shared" si="145"/>
        <v>N/A</v>
      </c>
      <c r="M379" t="str">
        <f t="shared" si="146"/>
        <v>N/A</v>
      </c>
      <c r="N379" t="str">
        <f t="shared" si="147"/>
        <v>N/A</v>
      </c>
    </row>
    <row r="380" spans="1:14" x14ac:dyDescent="0.3">
      <c r="I380" t="str">
        <f t="shared" si="142"/>
        <v>N/A</v>
      </c>
      <c r="J380" t="str">
        <f t="shared" si="143"/>
        <v>N/A</v>
      </c>
      <c r="K380" t="str">
        <f t="shared" si="144"/>
        <v>N/A</v>
      </c>
      <c r="L380" t="str">
        <f t="shared" si="145"/>
        <v>N/A</v>
      </c>
      <c r="M380" t="str">
        <f t="shared" si="146"/>
        <v>N/A</v>
      </c>
      <c r="N380" t="str">
        <f t="shared" si="147"/>
        <v>N/A</v>
      </c>
    </row>
    <row r="381" spans="1:14" x14ac:dyDescent="0.3">
      <c r="A381" s="1">
        <v>0</v>
      </c>
      <c r="B381" t="s">
        <v>123</v>
      </c>
      <c r="C381" t="s">
        <v>3835</v>
      </c>
      <c r="I381" t="str">
        <f t="shared" si="142"/>
        <v>N/A</v>
      </c>
      <c r="J381">
        <f t="shared" si="143"/>
        <v>539940000</v>
      </c>
      <c r="K381" t="str">
        <f t="shared" si="144"/>
        <v>N/A</v>
      </c>
      <c r="L381" t="str">
        <f t="shared" si="145"/>
        <v>N/A</v>
      </c>
      <c r="M381" t="str">
        <f t="shared" si="146"/>
        <v>N/A</v>
      </c>
      <c r="N381" t="str">
        <f t="shared" si="147"/>
        <v>N/A</v>
      </c>
    </row>
    <row r="382" spans="1:14" x14ac:dyDescent="0.3">
      <c r="A382" s="1">
        <v>1</v>
      </c>
      <c r="B382" t="s">
        <v>124</v>
      </c>
      <c r="I382" t="str">
        <f t="shared" si="142"/>
        <v>N/A</v>
      </c>
      <c r="J382" t="str">
        <f t="shared" si="143"/>
        <v>N/A</v>
      </c>
      <c r="K382" t="str">
        <f t="shared" si="144"/>
        <v>N/A</v>
      </c>
      <c r="L382" t="str">
        <f t="shared" si="145"/>
        <v>N/A</v>
      </c>
      <c r="M382" t="str">
        <f t="shared" si="146"/>
        <v>N/A</v>
      </c>
      <c r="N382" t="str">
        <f t="shared" si="147"/>
        <v>N/A</v>
      </c>
    </row>
    <row r="383" spans="1:14" x14ac:dyDescent="0.3">
      <c r="A383" s="1">
        <v>2</v>
      </c>
      <c r="B383" t="s">
        <v>125</v>
      </c>
      <c r="C383" t="s">
        <v>3836</v>
      </c>
      <c r="I383" t="str">
        <f t="shared" si="142"/>
        <v>N/A</v>
      </c>
      <c r="J383">
        <f t="shared" si="143"/>
        <v>19.16</v>
      </c>
      <c r="K383" t="str">
        <f t="shared" si="144"/>
        <v>N/A</v>
      </c>
      <c r="L383" t="str">
        <f t="shared" si="145"/>
        <v>N/A</v>
      </c>
      <c r="M383" t="str">
        <f t="shared" si="146"/>
        <v>N/A</v>
      </c>
      <c r="N383" t="str">
        <f t="shared" si="147"/>
        <v>N/A</v>
      </c>
    </row>
    <row r="384" spans="1:14" x14ac:dyDescent="0.3">
      <c r="A384" s="1">
        <v>3</v>
      </c>
      <c r="B384" t="s">
        <v>126</v>
      </c>
      <c r="C384" t="s">
        <v>3837</v>
      </c>
      <c r="I384" t="str">
        <f t="shared" si="142"/>
        <v>N/A</v>
      </c>
      <c r="J384">
        <f t="shared" si="143"/>
        <v>14.45</v>
      </c>
      <c r="K384" t="str">
        <f t="shared" si="144"/>
        <v>N/A</v>
      </c>
      <c r="L384" t="str">
        <f t="shared" si="145"/>
        <v>N/A</v>
      </c>
      <c r="M384" t="str">
        <f t="shared" si="146"/>
        <v>N/A</v>
      </c>
      <c r="N384" t="str">
        <f t="shared" si="147"/>
        <v>N/A</v>
      </c>
    </row>
    <row r="385" spans="1:14" x14ac:dyDescent="0.3">
      <c r="A385" s="1">
        <v>4</v>
      </c>
      <c r="B385" t="s">
        <v>128</v>
      </c>
      <c r="C385" t="s">
        <v>3838</v>
      </c>
      <c r="I385" t="str">
        <f t="shared" si="142"/>
        <v>N/A</v>
      </c>
      <c r="J385">
        <f t="shared" si="143"/>
        <v>2.54</v>
      </c>
      <c r="K385" t="str">
        <f t="shared" si="144"/>
        <v>N/A</v>
      </c>
      <c r="L385" t="str">
        <f t="shared" si="145"/>
        <v>N/A</v>
      </c>
      <c r="M385" t="str">
        <f t="shared" si="146"/>
        <v>N/A</v>
      </c>
      <c r="N385" t="str">
        <f t="shared" si="147"/>
        <v>N/A</v>
      </c>
    </row>
    <row r="386" spans="1:14" x14ac:dyDescent="0.3">
      <c r="A386" s="1">
        <v>5</v>
      </c>
      <c r="B386" t="s">
        <v>130</v>
      </c>
      <c r="C386" t="s">
        <v>3839</v>
      </c>
      <c r="I386" t="str">
        <f t="shared" si="142"/>
        <v>N/A</v>
      </c>
      <c r="J386">
        <f t="shared" si="143"/>
        <v>7.47</v>
      </c>
      <c r="K386" t="str">
        <f t="shared" si="144"/>
        <v>N/A</v>
      </c>
      <c r="L386" t="str">
        <f t="shared" si="145"/>
        <v>N/A</v>
      </c>
      <c r="M386" t="str">
        <f t="shared" si="146"/>
        <v>N/A</v>
      </c>
      <c r="N386" t="str">
        <f t="shared" si="147"/>
        <v>N/A</v>
      </c>
    </row>
    <row r="387" spans="1:14" x14ac:dyDescent="0.3">
      <c r="A387" s="1">
        <v>6</v>
      </c>
      <c r="B387" t="s">
        <v>132</v>
      </c>
      <c r="C387" t="s">
        <v>979</v>
      </c>
      <c r="I387" t="str">
        <f t="shared" si="142"/>
        <v>N/A</v>
      </c>
      <c r="J387">
        <f t="shared" si="143"/>
        <v>2.31</v>
      </c>
      <c r="K387" t="str">
        <f t="shared" si="144"/>
        <v>N/A</v>
      </c>
      <c r="L387" t="str">
        <f t="shared" si="145"/>
        <v>N/A</v>
      </c>
      <c r="M387" t="str">
        <f t="shared" si="146"/>
        <v>N/A</v>
      </c>
      <c r="N387" t="str">
        <f t="shared" si="147"/>
        <v>N/A</v>
      </c>
    </row>
    <row r="388" spans="1:14" x14ac:dyDescent="0.3">
      <c r="A388" s="1">
        <v>7</v>
      </c>
      <c r="B388" t="s">
        <v>134</v>
      </c>
      <c r="I388" t="str">
        <f t="shared" si="142"/>
        <v>N/A</v>
      </c>
      <c r="J388" t="str">
        <f t="shared" si="143"/>
        <v>N/A</v>
      </c>
      <c r="K388" t="str">
        <f t="shared" si="144"/>
        <v>N/A</v>
      </c>
      <c r="L388" t="str">
        <f t="shared" si="145"/>
        <v>N/A</v>
      </c>
      <c r="M388" t="str">
        <f t="shared" si="146"/>
        <v>N/A</v>
      </c>
      <c r="N388" t="str">
        <f t="shared" si="147"/>
        <v>N/A</v>
      </c>
    </row>
    <row r="389" spans="1:14" x14ac:dyDescent="0.3">
      <c r="A389" s="1">
        <v>8</v>
      </c>
      <c r="B389" t="s">
        <v>135</v>
      </c>
      <c r="I389" t="str">
        <f t="shared" si="142"/>
        <v>N/A</v>
      </c>
      <c r="J389" t="str">
        <f t="shared" si="143"/>
        <v>N/A</v>
      </c>
      <c r="K389" t="str">
        <f t="shared" si="144"/>
        <v>N/A</v>
      </c>
      <c r="L389" t="str">
        <f t="shared" si="145"/>
        <v>N/A</v>
      </c>
      <c r="M389" t="str">
        <f t="shared" si="146"/>
        <v>N/A</v>
      </c>
      <c r="N389" t="str">
        <f t="shared" si="147"/>
        <v>N/A</v>
      </c>
    </row>
    <row r="390" spans="1:14" x14ac:dyDescent="0.3">
      <c r="I390" t="str">
        <f t="shared" si="142"/>
        <v>N/A</v>
      </c>
      <c r="J390" t="str">
        <f t="shared" si="143"/>
        <v>N/A</v>
      </c>
      <c r="K390" t="str">
        <f t="shared" si="144"/>
        <v>N/A</v>
      </c>
      <c r="L390" t="str">
        <f t="shared" si="145"/>
        <v>N/A</v>
      </c>
      <c r="M390" t="str">
        <f t="shared" si="146"/>
        <v>N/A</v>
      </c>
      <c r="N390" t="str">
        <f t="shared" si="147"/>
        <v>N/A</v>
      </c>
    </row>
    <row r="391" spans="1:14" x14ac:dyDescent="0.3">
      <c r="I391" t="str">
        <f t="shared" si="142"/>
        <v>N/A</v>
      </c>
      <c r="J391" t="str">
        <f t="shared" si="143"/>
        <v>N/A</v>
      </c>
      <c r="K391" t="str">
        <f t="shared" si="144"/>
        <v>N/A</v>
      </c>
      <c r="L391" t="str">
        <f t="shared" si="145"/>
        <v>N/A</v>
      </c>
      <c r="M391" t="str">
        <f t="shared" si="146"/>
        <v>N/A</v>
      </c>
      <c r="N391" t="str">
        <f t="shared" si="147"/>
        <v>N/A</v>
      </c>
    </row>
    <row r="392" spans="1:14" x14ac:dyDescent="0.3">
      <c r="I392" t="str">
        <f t="shared" si="142"/>
        <v>N/A</v>
      </c>
      <c r="J392" t="str">
        <f t="shared" si="143"/>
        <v>N/A</v>
      </c>
      <c r="K392" t="str">
        <f t="shared" si="144"/>
        <v>N/A</v>
      </c>
      <c r="L392" t="str">
        <f t="shared" si="145"/>
        <v>N/A</v>
      </c>
      <c r="M392" t="str">
        <f t="shared" si="146"/>
        <v>N/A</v>
      </c>
      <c r="N392" t="str">
        <f t="shared" si="147"/>
        <v>N/A</v>
      </c>
    </row>
    <row r="393" spans="1:14" x14ac:dyDescent="0.3">
      <c r="I393" t="str">
        <f t="shared" ref="I393:I424" si="148">IF(AND(K393&gt; J393, L393&gt; K393, M393&gt; L393, N393&gt; M393), "pos_trend", IF(AND(K393&lt; J393, L393&lt; K393, M393&lt; L393, N393&lt; M393), "neg_trend", "N/A"))</f>
        <v>N/A</v>
      </c>
      <c r="J393" t="str">
        <f t="shared" ref="J393:J399" si="149">IFERROR(IF(TRIM(C393)="-", "N/A", IF(RIGHT(C393,1)=")",IF(RIGHT(C393,2)="T)",-1000000000000*VALUE(MID(C393,2,LEN(C393)-3)),IF(RIGHT(C393,2)="M)",-1000000*VALUE(MID(C393,2,LEN(C393)-3)),IF(RIGHT(C393,2)="B)",-1000000000*VALUE(MID(C393,2,LEN(C393)-3)),IF(RIGHT(C393,2)="k)",-1000*VALUE(MID(C393,2,LEN(C393)-3)),VALUE(SUBSTITUTE(C393,",","")))))),IF(RIGHT(C393,1)="T",1000000000000*VALUE(LEFT(C393,LEN(C393)-1)),IF(RIGHT(C393,1)="M",1000000*VALUE(LEFT(C393,LEN(C393)-1)),IF(RIGHT(C393,1)="B",1000000000*VALUE(LEFT(C393,LEN(C393)-1)),IF(RIGHT(C393,1)="%",0.01*VALUE(LEFT(C393,LEN(C393)-1)),IF(RIGHT(C393,1)="k",1000*VALUE(LEFT(C393,LEN(C393)-1)),VALUE(SUBSTITUTE(C393,",",""))))))))),"N/A")</f>
        <v>N/A</v>
      </c>
      <c r="K393" t="str">
        <f t="shared" ref="K393:K399" si="150">IFERROR(IF(TRIM(D393)="-", "N/A", IF(RIGHT(D393,1)=")",IF(RIGHT(D393,2)="T)",-1000000000000*VALUE(MID(D393,2,LEN(D393)-3)),IF(RIGHT(D393,2)="M)",-1000000*VALUE(MID(D393,2,LEN(D393)-3)),IF(RIGHT(D393,2)="B)",-1000000000*VALUE(MID(D393,2,LEN(D393)-3)),IF(RIGHT(D393,2)="k)",-1000*VALUE(MID(D393,2,LEN(D393)-3)),VALUE(SUBSTITUTE(D393,",","")))))),IF(RIGHT(D393,1)="T",1000000000000*VALUE(LEFT(D393,LEN(D393)-1)),IF(RIGHT(D393,1)="M",1000000*VALUE(LEFT(D393,LEN(D393)-1)),IF(RIGHT(D393,1)="B",1000000000*VALUE(LEFT(D393,LEN(D393)-1)),IF(RIGHT(D393,1)="%",0.01*VALUE(LEFT(D393,LEN(D393)-1)),IF(RIGHT(D393,1)="k",1000*VALUE(LEFT(D393,LEN(D393)-1)),VALUE(SUBSTITUTE(D393,",",""))))))))),"N/A")</f>
        <v>N/A</v>
      </c>
      <c r="L393" t="str">
        <f t="shared" ref="L393:L399" si="151">IFERROR(IF(TRIM(E393)="-", "N/A", IF(RIGHT(E393,1)=")",IF(RIGHT(E393,2)="T)",-1000000000000*VALUE(MID(E393,2,LEN(E393)-3)),IF(RIGHT(E393,2)="M)",-1000000*VALUE(MID(E393,2,LEN(E393)-3)),IF(RIGHT(E393,2)="B)",-1000000000*VALUE(MID(E393,2,LEN(E393)-3)),IF(RIGHT(E393,2)="k)",-1000*VALUE(MID(E393,2,LEN(E393)-3)),VALUE(SUBSTITUTE(E393,",","")))))),IF(RIGHT(E393,1)="T",1000000000000*VALUE(LEFT(E393,LEN(E393)-1)),IF(RIGHT(E393,1)="M",1000000*VALUE(LEFT(E393,LEN(E393)-1)),IF(RIGHT(E393,1)="B",1000000000*VALUE(LEFT(E393,LEN(E393)-1)),IF(RIGHT(E393,1)="%",0.01*VALUE(LEFT(E393,LEN(E393)-1)),IF(RIGHT(E393,1)="k",1000*VALUE(LEFT(E393,LEN(E393)-1)),VALUE(SUBSTITUTE(E393,",",""))))))))),"N/A")</f>
        <v>N/A</v>
      </c>
      <c r="M393" t="str">
        <f t="shared" ref="M393:M399" si="152">IFERROR(IF(TRIM(F393)="-", "N/A", IF(RIGHT(F393,1)=")",IF(RIGHT(F393,2)="T)",-1000000000000*VALUE(MID(F393,2,LEN(F393)-3)),IF(RIGHT(F393,2)="M)",-1000000*VALUE(MID(F393,2,LEN(F393)-3)),IF(RIGHT(F393,2)="B)",-1000000000*VALUE(MID(F393,2,LEN(F393)-3)),IF(RIGHT(F393,2)="k)",-1000*VALUE(MID(F393,2,LEN(F393)-3)),VALUE(SUBSTITUTE(F393,",","")))))),IF(RIGHT(F393,1)="T",1000000000000*VALUE(LEFT(F393,LEN(F393)-1)),IF(RIGHT(F393,1)="M",1000000*VALUE(LEFT(F393,LEN(F393)-1)),IF(RIGHT(F393,1)="B",1000000000*VALUE(LEFT(F393,LEN(F393)-1)),IF(RIGHT(F393,1)="%",0.01*VALUE(LEFT(F393,LEN(F393)-1)),IF(RIGHT(F393,1)="k",1000*VALUE(LEFT(F393,LEN(F393)-1)),VALUE(SUBSTITUTE(F393,",",""))))))))),"N/A")</f>
        <v>N/A</v>
      </c>
      <c r="N393" t="str">
        <f t="shared" ref="N393:N399" si="153">IFERROR(IF(TRIM(G393)="-", "N/A", IF(RIGHT(G393,1)=")",IF(RIGHT(G393,2)="T)",-1000000000000*VALUE(MID(G393,2,LEN(G393)-3)),IF(RIGHT(G393,2)="M)",-1000000*VALUE(MID(G393,2,LEN(G393)-3)),IF(RIGHT(G393,2)="B)",-1000000000*VALUE(MID(G393,2,LEN(G393)-3)),IF(RIGHT(G393,2)="k)",-1000*VALUE(MID(G393,2,LEN(G393)-3)),VALUE(SUBSTITUTE(G393,",","")))))),IF(RIGHT(G393,1)="T",1000000000000*VALUE(LEFT(G393,LEN(G393)-1)),IF(RIGHT(G393,1)="M",1000000*VALUE(LEFT(G393,LEN(G393)-1)),IF(RIGHT(G393,1)="B",1000000000*VALUE(LEFT(G393,LEN(G393)-1)),IF(RIGHT(G393,1)="%",0.01*VALUE(LEFT(G393,LEN(G393)-1)),IF(RIGHT(G393,1)="k",1000*VALUE(LEFT(G393,LEN(G393)-1)),VALUE(SUBSTITUTE(G393,",",""))))))))),"N/A")</f>
        <v>N/A</v>
      </c>
    </row>
    <row r="394" spans="1:14" x14ac:dyDescent="0.3">
      <c r="I394" t="str">
        <f t="shared" si="148"/>
        <v>N/A</v>
      </c>
      <c r="J394" t="str">
        <f t="shared" si="149"/>
        <v>N/A</v>
      </c>
      <c r="K394" t="str">
        <f t="shared" si="150"/>
        <v>N/A</v>
      </c>
      <c r="L394" t="str">
        <f t="shared" si="151"/>
        <v>N/A</v>
      </c>
      <c r="M394" t="str">
        <f t="shared" si="152"/>
        <v>N/A</v>
      </c>
      <c r="N394" t="str">
        <f t="shared" si="153"/>
        <v>N/A</v>
      </c>
    </row>
    <row r="395" spans="1:14" x14ac:dyDescent="0.3">
      <c r="I395" t="str">
        <f t="shared" si="148"/>
        <v>N/A</v>
      </c>
      <c r="J395" t="str">
        <f t="shared" si="149"/>
        <v>N/A</v>
      </c>
      <c r="K395" t="str">
        <f t="shared" si="150"/>
        <v>N/A</v>
      </c>
      <c r="L395" t="str">
        <f t="shared" si="151"/>
        <v>N/A</v>
      </c>
      <c r="M395" t="str">
        <f t="shared" si="152"/>
        <v>N/A</v>
      </c>
      <c r="N395" t="str">
        <f t="shared" si="153"/>
        <v>N/A</v>
      </c>
    </row>
    <row r="396" spans="1:14" x14ac:dyDescent="0.3">
      <c r="I396" t="str">
        <f t="shared" si="148"/>
        <v>N/A</v>
      </c>
      <c r="J396" t="str">
        <f t="shared" si="149"/>
        <v>N/A</v>
      </c>
      <c r="K396" t="str">
        <f t="shared" si="150"/>
        <v>N/A</v>
      </c>
      <c r="L396" t="str">
        <f t="shared" si="151"/>
        <v>N/A</v>
      </c>
      <c r="M396" t="str">
        <f t="shared" si="152"/>
        <v>N/A</v>
      </c>
      <c r="N396" t="str">
        <f t="shared" si="153"/>
        <v>N/A</v>
      </c>
    </row>
    <row r="397" spans="1:14" x14ac:dyDescent="0.3">
      <c r="I397" t="str">
        <f t="shared" si="148"/>
        <v>N/A</v>
      </c>
      <c r="J397" t="str">
        <f t="shared" si="149"/>
        <v>N/A</v>
      </c>
      <c r="K397" t="str">
        <f t="shared" si="150"/>
        <v>N/A</v>
      </c>
      <c r="L397" t="str">
        <f t="shared" si="151"/>
        <v>N/A</v>
      </c>
      <c r="M397" t="str">
        <f t="shared" si="152"/>
        <v>N/A</v>
      </c>
      <c r="N397" t="str">
        <f t="shared" si="153"/>
        <v>N/A</v>
      </c>
    </row>
    <row r="398" spans="1:14" x14ac:dyDescent="0.3">
      <c r="I398" t="str">
        <f t="shared" si="148"/>
        <v>N/A</v>
      </c>
      <c r="J398" t="str">
        <f t="shared" si="149"/>
        <v>N/A</v>
      </c>
      <c r="K398" t="str">
        <f t="shared" si="150"/>
        <v>N/A</v>
      </c>
      <c r="L398" t="str">
        <f t="shared" si="151"/>
        <v>N/A</v>
      </c>
      <c r="M398" t="str">
        <f t="shared" si="152"/>
        <v>N/A</v>
      </c>
      <c r="N398" t="str">
        <f t="shared" si="153"/>
        <v>N/A</v>
      </c>
    </row>
    <row r="399" spans="1:14" x14ac:dyDescent="0.3">
      <c r="I399" t="str">
        <f t="shared" si="148"/>
        <v>N/A</v>
      </c>
      <c r="J399" t="str">
        <f t="shared" si="149"/>
        <v>N/A</v>
      </c>
      <c r="K399" t="str">
        <f t="shared" si="150"/>
        <v>N/A</v>
      </c>
      <c r="L399" t="str">
        <f t="shared" si="151"/>
        <v>N/A</v>
      </c>
      <c r="M399" t="str">
        <f t="shared" si="152"/>
        <v>N/A</v>
      </c>
      <c r="N399" t="str">
        <f t="shared" si="153"/>
        <v>N/A</v>
      </c>
    </row>
    <row r="448" spans="52:52" x14ac:dyDescent="0.3">
      <c r="AZ448" t="str">
        <f>"Compile Facts"</f>
        <v>Compile Facts</v>
      </c>
    </row>
    <row r="450" spans="2:53" x14ac:dyDescent="0.3">
      <c r="B450" t="str">
        <f>"ROIC Super Tree"</f>
        <v>ROIC Super Tree</v>
      </c>
      <c r="AZ450" t="str">
        <f t="shared" ref="AZ450:BA453" si="154">I519</f>
        <v>Max SD</v>
      </c>
      <c r="BA450" t="e">
        <f t="shared" ca="1" si="154"/>
        <v>#N/A</v>
      </c>
    </row>
    <row r="451" spans="2:53" x14ac:dyDescent="0.3">
      <c r="AZ451" t="str">
        <f t="shared" si="154"/>
        <v>Max SD Item</v>
      </c>
      <c r="BA451" t="e">
        <f t="shared" ca="1" si="154"/>
        <v>#N/A</v>
      </c>
    </row>
    <row r="452" spans="2:53" x14ac:dyDescent="0.3">
      <c r="AK452" t="str">
        <f>"Change in Gross Margin / Sales"</f>
        <v>Change in Gross Margin / Sales</v>
      </c>
      <c r="AZ452" t="str">
        <f t="shared" si="154"/>
        <v>Min SD</v>
      </c>
      <c r="BA452" t="e">
        <f t="shared" ca="1" si="154"/>
        <v>#N/A</v>
      </c>
    </row>
    <row r="453" spans="2:53" x14ac:dyDescent="0.3">
      <c r="X453" t="str">
        <f>"Gross Margin"</f>
        <v>Gross Margin</v>
      </c>
      <c r="AK453" t="str">
        <f>K476</f>
        <v>12-13</v>
      </c>
      <c r="AL453" t="str">
        <f>L476</f>
        <v>13-14</v>
      </c>
      <c r="AM453" t="str">
        <f>M476</f>
        <v>14-15</v>
      </c>
      <c r="AN453" t="str">
        <f>N476</f>
        <v>15-16</v>
      </c>
      <c r="AZ453" t="str">
        <f t="shared" si="154"/>
        <v>Min SD Item</v>
      </c>
      <c r="BA453" t="e">
        <f t="shared" ca="1" si="154"/>
        <v>#N/A</v>
      </c>
    </row>
    <row r="454" spans="2:53" x14ac:dyDescent="0.3">
      <c r="X454" t="str">
        <f>D476</f>
        <v>2012</v>
      </c>
      <c r="Y454" t="str">
        <f>E476</f>
        <v>2013</v>
      </c>
      <c r="Z454" t="str">
        <f>F476</f>
        <v>2014</v>
      </c>
      <c r="AA454" t="str">
        <f>G476</f>
        <v>2015</v>
      </c>
      <c r="AB454" t="str">
        <f>H476</f>
        <v>2016</v>
      </c>
      <c r="AK454" t="e">
        <f ca="1">Y455-X455</f>
        <v>#N/A</v>
      </c>
      <c r="AL454" t="e">
        <f ca="1">Z455-Y455</f>
        <v>#N/A</v>
      </c>
      <c r="AM454" t="e">
        <f ca="1">AA455-Z455</f>
        <v>#N/A</v>
      </c>
      <c r="AN454" t="e">
        <f ca="1">AB455-AA455</f>
        <v>#N/A</v>
      </c>
    </row>
    <row r="455" spans="2:53" x14ac:dyDescent="0.3">
      <c r="X455" t="e">
        <f ca="1">IFERROR((INDIRECT("J" &amp; MATCH("Gross Income",B145:B403,0) +144))/(INDIRECT("J" &amp; MATCH("Sales/Revenue",B145:B403,0) +144)), IFERROR((1 - (INDIRECT("J" &amp; MATCH("Cost of Goods Sold*",B145:B403,0) +144))/(INDIRECT("J" &amp; MATCH("Sales/Revenue",B145:B403,0) +144))),(INDIRECT("J" &amp; MATCH("Operating Income",B145:B403,0) +144))/(INDIRECT("J" &amp; MATCH("Sales/Revenue",B145:B403,0) +144))))</f>
        <v>#N/A</v>
      </c>
      <c r="Y455" t="e">
        <f ca="1">IFERROR((INDIRECT("K" &amp; MATCH("Gross Income",B145:B403,0) +144))/(INDIRECT("K" &amp; MATCH("Sales/Revenue",B145:B403,0) +144)), IFERROR((1 - (INDIRECT("K" &amp; MATCH("Cost of Goods Sold*",B145:B403,0) +144))/(INDIRECT("K" &amp; MATCH("Sales/Revenue",B145:B403,0) +144))),(INDIRECT("K" &amp; MATCH("Operating Income",B145:B403,0) +144))/(INDIRECT("K" &amp; MATCH("Sales/Revenue",B145:B403,0) +144))))</f>
        <v>#N/A</v>
      </c>
      <c r="Z455" t="e">
        <f ca="1">IFERROR((INDIRECT("L" &amp; MATCH("Gross Income",B145:B403,0) +144))/(INDIRECT("L" &amp; MATCH("Sales/Revenue",B145:B403,0) +144)), IFERROR((1 - (INDIRECT("L" &amp; MATCH("Cost of Goods Sold*",B145:B403,0) +144))/(INDIRECT("L" &amp; MATCH("Sales/Revenue",B145:B403,0) +144))),(INDIRECT("L" &amp; MATCH("Operating Income",B145:B403,0) +144))/(INDIRECT("L" &amp; MATCH("Sales/Revenue",B145:B403,0) +144))))</f>
        <v>#N/A</v>
      </c>
      <c r="AA455" t="e">
        <f ca="1">IFERROR((INDIRECT("M" &amp; MATCH("Gross Income",B145:B403,0) +144))/(INDIRECT("M" &amp; MATCH("Sales/Revenue",B145:B403,0) +144)), IFERROR((1 - (INDIRECT("M" &amp; MATCH("Cost of Goods Sold*",B145:B403,0) +144))/(INDIRECT("M" &amp; MATCH("Sales/Revenue",B145:B403,0) +144))),(INDIRECT("M" &amp; MATCH("Operating Income",B145:B403,0) +144))/(INDIRECT("M" &amp; MATCH("Sales/Revenue",B145:B403,0) +144))))</f>
        <v>#N/A</v>
      </c>
      <c r="AB455" t="e">
        <f ca="1">IFERROR((INDIRECT("N" &amp; MATCH("Gross Income",B145:B403,0) +144))/(INDIRECT("N" &amp; MATCH("Sales/Revenue",B145:B403,0) +144)), IFERROR((1 - (INDIRECT("N" &amp; MATCH("Cost of Goods Sold*",B145:B403,0) +144))/(INDIRECT("N" &amp; MATCH("Sales/Revenue",B145:B403,0) +144))),(INDIRECT("N" &amp; MATCH("Operating Income",B145:B403,0) +144))/(INDIRECT("N" &amp; MATCH("Sales/Revenue",B145:B403,0) +144))))</f>
        <v>#N/A</v>
      </c>
      <c r="AK455" t="str">
        <f>"Max " &amp; AK452</f>
        <v>Max Change in Gross Margin / Sales</v>
      </c>
      <c r="AL455" t="e">
        <f ca="1">MAX(AK454:AN454)</f>
        <v>#N/A</v>
      </c>
      <c r="AZ455" t="str">
        <f>"Item"</f>
        <v>Item</v>
      </c>
      <c r="BA455" t="str">
        <f>"Key Driver"</f>
        <v>Key Driver</v>
      </c>
    </row>
    <row r="456" spans="2:53" x14ac:dyDescent="0.3">
      <c r="X456" t="str">
        <f>"Max " &amp; X453</f>
        <v>Max Gross Margin</v>
      </c>
      <c r="Y456" t="e">
        <f ca="1">MAX(X455:AB455)</f>
        <v>#N/A</v>
      </c>
      <c r="AK456" t="str">
        <f>AK455 &amp; " Year"</f>
        <v>Max Change in Gross Margin / Sales Year</v>
      </c>
      <c r="AL456" t="e">
        <f ca="1">IF(MATCH(AL455,AK454:AN454,0)=1,AK453,IF(MATCH(AL455,AK454:AN454,0)=2,AL453,IF(MATCH(AL455,AK454:AN454,0)=3,AM453,AN453)))</f>
        <v>#N/A</v>
      </c>
      <c r="AZ456" t="str">
        <f>C528</f>
        <v>Operating Margin</v>
      </c>
      <c r="BA456" t="e">
        <f ca="1">L528</f>
        <v>#N/A</v>
      </c>
    </row>
    <row r="457" spans="2:53" x14ac:dyDescent="0.3">
      <c r="X457" t="str">
        <f>X456 &amp; " Year"</f>
        <v>Max Gross Margin Year</v>
      </c>
      <c r="Y457" t="e">
        <f ca="1">VALUE(X454)+MATCH(Y456,X455:AB455,0)-1</f>
        <v>#N/A</v>
      </c>
      <c r="AK457" t="str">
        <f>"Min " &amp; AK452</f>
        <v>Min Change in Gross Margin / Sales</v>
      </c>
      <c r="AL457" t="e">
        <f ca="1">MIN(AK454:AN454)</f>
        <v>#N/A</v>
      </c>
      <c r="AZ457" t="str">
        <f>C529</f>
        <v>Invested Capital / Sales</v>
      </c>
      <c r="BA457" t="e">
        <f ca="1">L529</f>
        <v>#N/A</v>
      </c>
    </row>
    <row r="458" spans="2:53" x14ac:dyDescent="0.3">
      <c r="X458" t="str">
        <f>"Min " &amp; X453</f>
        <v>Min Gross Margin</v>
      </c>
      <c r="Y458" t="e">
        <f ca="1">MIN(X455:AB455)</f>
        <v>#N/A</v>
      </c>
      <c r="AK458" t="str">
        <f>AK457 &amp; " Year"</f>
        <v>Min Change in Gross Margin / Sales Year</v>
      </c>
      <c r="AL458" t="e">
        <f ca="1">IF(MATCH(AL457,AK454:AN454,0)=1,AK453,IF(MATCH(AL457,AK454:AN454,0)=2,AL453,IF(MATCH(AL457,AK454:AN454,0)=3,AM453,AN453)))</f>
        <v>#N/A</v>
      </c>
    </row>
    <row r="459" spans="2:53" x14ac:dyDescent="0.3">
      <c r="X459" t="str">
        <f>X458 &amp; " Year"</f>
        <v>Min Gross Margin Year</v>
      </c>
      <c r="Y459" t="e">
        <f ca="1">VALUE(X454)+MATCH(Y458,X455:AB455,0)-1</f>
        <v>#N/A</v>
      </c>
      <c r="AZ459" t="e">
        <f ca="1">C540</f>
        <v>#NAME?</v>
      </c>
    </row>
    <row r="460" spans="2:53" x14ac:dyDescent="0.3">
      <c r="Q460" t="str">
        <f>"Operating Margin"</f>
        <v>Operating Margin</v>
      </c>
    </row>
    <row r="461" spans="2:53" x14ac:dyDescent="0.3">
      <c r="Q461" t="str">
        <f>D476</f>
        <v>2012</v>
      </c>
      <c r="R461" t="str">
        <f>E476</f>
        <v>2013</v>
      </c>
      <c r="S461" t="str">
        <f>F476</f>
        <v>2014</v>
      </c>
      <c r="T461" t="str">
        <f>G476</f>
        <v>2015</v>
      </c>
      <c r="U461" t="str">
        <f>H476</f>
        <v>2016</v>
      </c>
      <c r="X461" t="str">
        <f>"SGA / Sales"</f>
        <v>SGA / Sales</v>
      </c>
      <c r="AE461" t="str">
        <f>"Change in Operating Margin"</f>
        <v>Change in Operating Margin</v>
      </c>
      <c r="AK461" t="str">
        <f>"Change in SGA / Sales"</f>
        <v>Change in SGA / Sales</v>
      </c>
    </row>
    <row r="462" spans="2:53" x14ac:dyDescent="0.3">
      <c r="Q462" t="e">
        <f ca="1">X455-X463-X471</f>
        <v>#N/A</v>
      </c>
      <c r="R462" t="e">
        <f ca="1">Y455-Y463-Y471</f>
        <v>#N/A</v>
      </c>
      <c r="S462" t="e">
        <f ca="1">Z455-Z463-Z471</f>
        <v>#N/A</v>
      </c>
      <c r="T462" t="e">
        <f ca="1">AA455-AA463-AA471</f>
        <v>#N/A</v>
      </c>
      <c r="U462" t="e">
        <f ca="1">AB455-AB463-AB471</f>
        <v>#N/A</v>
      </c>
      <c r="X462" t="str">
        <f>D476</f>
        <v>2012</v>
      </c>
      <c r="Y462" t="str">
        <f>E476</f>
        <v>2013</v>
      </c>
      <c r="Z462" t="str">
        <f>F476</f>
        <v>2014</v>
      </c>
      <c r="AA462" t="str">
        <f>G476</f>
        <v>2015</v>
      </c>
      <c r="AB462" t="str">
        <f>H476</f>
        <v>2016</v>
      </c>
      <c r="AE462" t="str">
        <f>K476</f>
        <v>12-13</v>
      </c>
      <c r="AF462" t="str">
        <f>L476</f>
        <v>13-14</v>
      </c>
      <c r="AG462" t="str">
        <f>M476</f>
        <v>14-15</v>
      </c>
      <c r="AH462" t="str">
        <f>N476</f>
        <v>15-16</v>
      </c>
      <c r="AK462" t="str">
        <f>K476</f>
        <v>12-13</v>
      </c>
      <c r="AL462" t="str">
        <f>L476</f>
        <v>13-14</v>
      </c>
      <c r="AM462" t="str">
        <f>M476</f>
        <v>14-15</v>
      </c>
      <c r="AN462" t="str">
        <f>N476</f>
        <v>15-16</v>
      </c>
    </row>
    <row r="463" spans="2:53" x14ac:dyDescent="0.3">
      <c r="Q463" t="str">
        <f>"Max " &amp; Q460</f>
        <v>Max Operating Margin</v>
      </c>
      <c r="R463" t="e">
        <f ca="1">MAX(Q462:U462)</f>
        <v>#N/A</v>
      </c>
      <c r="S463" t="str">
        <f>"GM Effect on Max"</f>
        <v>GM Effect on Max</v>
      </c>
      <c r="T463" t="e">
        <f ca="1">IF(R464=Y457,"Max OM in same year as Max GM","Inconclusive Effect")</f>
        <v>#N/A</v>
      </c>
      <c r="U463" t="str">
        <f>"Correlation with GM"</f>
        <v>Correlation with GM</v>
      </c>
      <c r="V463" t="e">
        <f ca="1">CORREL(Q462:U462,X455:AB455)</f>
        <v>#N/A</v>
      </c>
      <c r="X463" t="e">
        <f ca="1">(INDIRECT("J" &amp; MATCH("SG&amp;A Expense",B145:B403,0) +144))/(INDIRECT("J" &amp; MATCH("Sales/Revenue",B145:B403,0) +144))</f>
        <v>#N/A</v>
      </c>
      <c r="Y463" t="e">
        <f ca="1">(INDIRECT("K" &amp; MATCH("SG&amp;A Expense",B145:B403,0) +144))/(INDIRECT("K" &amp; MATCH("Sales/Revenue",B145:B403,0) +144))</f>
        <v>#N/A</v>
      </c>
      <c r="Z463" t="e">
        <f ca="1">(INDIRECT("L" &amp; MATCH("SG&amp;A Expense",B145:B403,0) +144))/(INDIRECT("L" &amp; MATCH("Sales/Revenue",B145:B403,0) +144))</f>
        <v>#N/A</v>
      </c>
      <c r="AA463" t="e">
        <f ca="1">(INDIRECT("M" &amp; MATCH("SG&amp;A Expense",B145:B403,0) +144))/(INDIRECT("M" &amp; MATCH("Sales/Revenue",B145:B403,0) +144))</f>
        <v>#N/A</v>
      </c>
      <c r="AB463" t="e">
        <f ca="1">(INDIRECT("N" &amp; MATCH("SG&amp;A Expense",B145:B403,0) +144))/(INDIRECT("N" &amp; MATCH("Sales/Revenue",B145:B403,0) +144))</f>
        <v>#N/A</v>
      </c>
      <c r="AE463" t="e">
        <f ca="1">R462-Q462</f>
        <v>#N/A</v>
      </c>
      <c r="AF463" t="e">
        <f ca="1">S462-R462</f>
        <v>#N/A</v>
      </c>
      <c r="AG463" t="e">
        <f ca="1">T462-S462</f>
        <v>#N/A</v>
      </c>
      <c r="AH463" t="e">
        <f ca="1">U462-T462</f>
        <v>#N/A</v>
      </c>
      <c r="AK463" t="e">
        <f ca="1">Y463-X463</f>
        <v>#N/A</v>
      </c>
      <c r="AL463" t="e">
        <f ca="1">Z463-Y463</f>
        <v>#N/A</v>
      </c>
      <c r="AM463" t="e">
        <f ca="1">AA463-Z463</f>
        <v>#N/A</v>
      </c>
      <c r="AN463" t="e">
        <f ca="1">AB463-AA463</f>
        <v>#N/A</v>
      </c>
    </row>
    <row r="464" spans="2:53" x14ac:dyDescent="0.3">
      <c r="Q464" t="str">
        <f>Q463 &amp; " Year"</f>
        <v>Max Operating Margin Year</v>
      </c>
      <c r="R464" t="e">
        <f ca="1">VALUE(Q461)+MATCH(R463,Q462:U462,0)-1</f>
        <v>#N/A</v>
      </c>
      <c r="S464" t="str">
        <f>"SGA Effect on Max"</f>
        <v>SGA Effect on Max</v>
      </c>
      <c r="T464" t="e">
        <f ca="1">IF(R464=Y467,"Max OM in same year as Min SGA","Inconclusive Effect")</f>
        <v>#N/A</v>
      </c>
      <c r="U464" t="str">
        <f>"Correlation with SGA"</f>
        <v>Correlation with SGA</v>
      </c>
      <c r="V464" t="e">
        <f ca="1">CORREL(Q462:U462,X463:AB463)</f>
        <v>#N/A</v>
      </c>
      <c r="X464" t="str">
        <f>"Max " &amp; X461</f>
        <v>Max SGA / Sales</v>
      </c>
      <c r="Y464" t="e">
        <f ca="1">MAX(X463:AB463)</f>
        <v>#N/A</v>
      </c>
      <c r="AE464" t="str">
        <f>"Max " &amp; AE461</f>
        <v>Max Change in Operating Margin</v>
      </c>
      <c r="AF464" t="e">
        <f ca="1">MAX(AE463:AH463)</f>
        <v>#N/A</v>
      </c>
      <c r="AK464" t="str">
        <f>"Max " &amp; AK461</f>
        <v>Max Change in SGA / Sales</v>
      </c>
      <c r="AL464" t="e">
        <f ca="1">MAX(AK463:AN463)</f>
        <v>#N/A</v>
      </c>
    </row>
    <row r="465" spans="4:40" x14ac:dyDescent="0.3">
      <c r="J465" t="str">
        <f>"EOY Pretax ROIC"</f>
        <v>EOY Pretax ROIC</v>
      </c>
      <c r="Q465" t="str">
        <f>"Min " &amp; Q460</f>
        <v>Min Operating Margin</v>
      </c>
      <c r="R465" t="e">
        <f ca="1">MIN(Q462:U462)</f>
        <v>#N/A</v>
      </c>
      <c r="S465" t="str">
        <f>"Dep Effect on Max"</f>
        <v>Dep Effect on Max</v>
      </c>
      <c r="T465" t="e">
        <f ca="1">IF(R464=Y475,"Max OM in same year as Min Depr","Inconclusive Effect")</f>
        <v>#N/A</v>
      </c>
      <c r="U465" t="str">
        <f>"Correlation with Dep"</f>
        <v>Correlation with Dep</v>
      </c>
      <c r="V465" t="e">
        <f ca="1">CORREL(Q462:U462,X471:AB471)</f>
        <v>#N/A</v>
      </c>
      <c r="X465" t="str">
        <f>X464 &amp; " Year"</f>
        <v>Max SGA / Sales Year</v>
      </c>
      <c r="Y465" t="e">
        <f ca="1">VALUE(X462)+MATCH(Y464,X463:AB463,0)-1</f>
        <v>#N/A</v>
      </c>
      <c r="AE465" t="str">
        <f>AE464 &amp; " Year"</f>
        <v>Max Change in Operating Margin Year</v>
      </c>
      <c r="AF465" t="e">
        <f ca="1">IF(MATCH(AF464,AE463:AH463,0)=1,AE462,IF(MATCH(AF464,AE463:AH463,0)=2,AF462,IF(MATCH(AF464,AE463:AH463,0)=3,AG462,AH462)))</f>
        <v>#N/A</v>
      </c>
      <c r="AK465" t="str">
        <f>AK464 &amp; " Year"</f>
        <v>Max Change in SGA / Sales Year</v>
      </c>
      <c r="AL465" t="e">
        <f ca="1">IF(MATCH(AL464,AK463:AN463,0)=1,AK462,IF(MATCH(AL464,AK463:AN463,0)=2,AL462,IF(MATCH(AL464,AK463:AN463,0)=3,AM462,AN462)))</f>
        <v>#N/A</v>
      </c>
    </row>
    <row r="466" spans="4:40" x14ac:dyDescent="0.3">
      <c r="J466" t="str">
        <f>D476</f>
        <v>2012</v>
      </c>
      <c r="K466" t="str">
        <f>E476</f>
        <v>2013</v>
      </c>
      <c r="L466" t="str">
        <f>F476</f>
        <v>2014</v>
      </c>
      <c r="M466" t="str">
        <f>G476</f>
        <v>2015</v>
      </c>
      <c r="N466" t="str">
        <f>H476</f>
        <v>2016</v>
      </c>
      <c r="Q466" t="str">
        <f>Q465 &amp; " Year"</f>
        <v>Min Operating Margin Year</v>
      </c>
      <c r="R466" t="e">
        <f ca="1">VALUE(Q461)+MATCH(R465,Q462:U462,0)-1</f>
        <v>#N/A</v>
      </c>
      <c r="S466" t="str">
        <f>"GM Effect on Min"</f>
        <v>GM Effect on Min</v>
      </c>
      <c r="T466" t="e">
        <f ca="1">IF(R466=Y459,"Min OM in same year as Min GM","Inconclusive Effect")</f>
        <v>#N/A</v>
      </c>
      <c r="X466" t="str">
        <f>"Min " &amp; X461</f>
        <v>Min SGA / Sales</v>
      </c>
      <c r="Y466" t="e">
        <f ca="1">MIN(X463:AB463)</f>
        <v>#N/A</v>
      </c>
      <c r="AE466" t="str">
        <f>"Min " &amp; AE461</f>
        <v>Min Change in Operating Margin</v>
      </c>
      <c r="AF466" t="e">
        <f ca="1">MIN(AE463:AH463)</f>
        <v>#N/A</v>
      </c>
      <c r="AK466" t="str">
        <f>"Min " &amp; AK461</f>
        <v>Min Change in SGA / Sales</v>
      </c>
      <c r="AL466" t="e">
        <f ca="1">MIN(AK463:AN463)</f>
        <v>#N/A</v>
      </c>
    </row>
    <row r="467" spans="4:40" x14ac:dyDescent="0.3">
      <c r="J467" t="e">
        <f ca="1">Q462*(1/Q490)</f>
        <v>#N/A</v>
      </c>
      <c r="K467" t="e">
        <f ca="1">R462*(1/R490)</f>
        <v>#N/A</v>
      </c>
      <c r="L467" t="e">
        <f ca="1">S462*(1/S490)</f>
        <v>#N/A</v>
      </c>
      <c r="M467" t="e">
        <f ca="1">T462*(1/T490)</f>
        <v>#N/A</v>
      </c>
      <c r="N467" t="e">
        <f ca="1">U462*(1/U490)</f>
        <v>#N/A</v>
      </c>
      <c r="S467" t="str">
        <f>"SGA Effect on Min"</f>
        <v>SGA Effect on Min</v>
      </c>
      <c r="T467" t="e">
        <f ca="1">IF(R466=Y465,"Min OM in same year as Max SGA","Inconclusive Effect")</f>
        <v>#N/A</v>
      </c>
      <c r="X467" t="str">
        <f>X466 &amp; " Year"</f>
        <v>Min SGA / Sales Year</v>
      </c>
      <c r="Y467" t="e">
        <f ca="1">VALUE(X462)+MATCH(Y466,X463:AB463,0)-1</f>
        <v>#N/A</v>
      </c>
      <c r="AE467" t="str">
        <f>AE466 &amp; " Year"</f>
        <v>Min Change in Operating Margin Year</v>
      </c>
      <c r="AF467" t="e">
        <f ca="1">IF(MATCH(AF466,AE463:AH463,0)=1,AE462,IF(MATCH(AF466,AE463:AH463,0)=2,AF462,IF(MATCH(AF466,AE463:AH463,0)=3,AG462,AH462)))</f>
        <v>#N/A</v>
      </c>
      <c r="AK467" t="str">
        <f>AK466 &amp; " Year"</f>
        <v>Min Change in SGA / Sales Year</v>
      </c>
      <c r="AL467" t="e">
        <f ca="1">IF(MATCH(AL466,AK463:AN463,0)=1,AK462,IF(MATCH(AL466,AK463:AN463,0)=2,AL462,IF(MATCH(AL466,AK463:AN463,0)=3,AM462,AN462)))</f>
        <v>#N/A</v>
      </c>
    </row>
    <row r="468" spans="4:40" x14ac:dyDescent="0.3">
      <c r="J468" t="str">
        <f>"Max " &amp; J465</f>
        <v>Max EOY Pretax ROIC</v>
      </c>
      <c r="K468" t="e">
        <f ca="1">MAX(J467:N467)</f>
        <v>#N/A</v>
      </c>
      <c r="L468" t="str">
        <f>"OM Effect on Max"</f>
        <v>OM Effect on Max</v>
      </c>
      <c r="M468" t="e">
        <f ca="1">IF(K469=R464,"Max ROIC in same year as Max OM","Inconclusive Effect")</f>
        <v>#N/A</v>
      </c>
      <c r="N468" t="str">
        <f>"Correlation with OM"</f>
        <v>Correlation with OM</v>
      </c>
      <c r="O468" t="e">
        <f ca="1">CORREL(J467:N467,Q462:U462)</f>
        <v>#N/A</v>
      </c>
      <c r="S468" t="str">
        <f>"Dep Effect on Min"</f>
        <v>Dep Effect on Min</v>
      </c>
      <c r="T468" t="e">
        <f ca="1">IF(R466=Y473,"Min OM in same year as Max Dep","Inconclusive Effect")</f>
        <v>#N/A</v>
      </c>
    </row>
    <row r="469" spans="4:40" x14ac:dyDescent="0.3">
      <c r="J469" t="str">
        <f>J468 &amp; " Year"</f>
        <v>Max EOY Pretax ROIC Year</v>
      </c>
      <c r="K469" t="e">
        <f ca="1">VALUE(J466)+MATCH(K468,J467:N467,0)-1</f>
        <v>#N/A</v>
      </c>
      <c r="L469" t="str">
        <f>"IC Effect on Max"</f>
        <v>IC Effect on Max</v>
      </c>
      <c r="M469" t="e">
        <f ca="1">IF(K469=R494,"Max ROIC in same year as Min IC","Inconclusive Effect")</f>
        <v>#N/A</v>
      </c>
      <c r="N469" t="str">
        <f>"Correlation with IC"</f>
        <v>Correlation with IC</v>
      </c>
      <c r="O469" t="e">
        <f ca="1">CORREL(J467:N467,Q490:U490)</f>
        <v>#N/A</v>
      </c>
      <c r="X469" t="str">
        <f>"Depreciation / Sales"</f>
        <v>Depreciation / Sales</v>
      </c>
    </row>
    <row r="470" spans="4:40" x14ac:dyDescent="0.3">
      <c r="J470" t="str">
        <f>"Min " &amp; J465</f>
        <v>Min EOY Pretax ROIC</v>
      </c>
      <c r="K470" t="e">
        <f ca="1">MIN(J467:N467)</f>
        <v>#N/A</v>
      </c>
      <c r="L470" t="str">
        <f>"OM Effect on Min"</f>
        <v>OM Effect on Min</v>
      </c>
      <c r="M470" t="e">
        <f ca="1">IF(K471=R466,"Min ROIC in same year as Min OM","Inconclusive Effect")</f>
        <v>#N/A</v>
      </c>
      <c r="Q470" t="str">
        <f>"Change in EOY Pretax ROIC"</f>
        <v>Change in EOY Pretax ROIC</v>
      </c>
      <c r="X470" t="str">
        <f>D476</f>
        <v>2012</v>
      </c>
      <c r="Y470" t="str">
        <f>E476</f>
        <v>2013</v>
      </c>
      <c r="Z470" t="str">
        <f>F476</f>
        <v>2014</v>
      </c>
      <c r="AA470" t="str">
        <f>G476</f>
        <v>2015</v>
      </c>
      <c r="AB470" t="str">
        <f>H476</f>
        <v>2016</v>
      </c>
    </row>
    <row r="471" spans="4:40" x14ac:dyDescent="0.3">
      <c r="J471" t="str">
        <f>J470 &amp; " Year"</f>
        <v>Min EOY Pretax ROIC Year</v>
      </c>
      <c r="K471" t="e">
        <f ca="1">VALUE(J466)+MATCH(K470,J467:N467,0)-1</f>
        <v>#N/A</v>
      </c>
      <c r="L471" t="str">
        <f>"IC Effect on Min"</f>
        <v>IC Effect on Min</v>
      </c>
      <c r="M471" t="e">
        <f ca="1">IF(K471=R492,"Min ROIC in same year as Max IC","Inconclusive Effect")</f>
        <v>#N/A</v>
      </c>
      <c r="Q471" t="str">
        <f>K476</f>
        <v>12-13</v>
      </c>
      <c r="R471" t="str">
        <f>L476</f>
        <v>13-14</v>
      </c>
      <c r="S471" t="str">
        <f>M476</f>
        <v>14-15</v>
      </c>
      <c r="T471" t="str">
        <f>N476</f>
        <v>15-16</v>
      </c>
      <c r="X471" t="e">
        <f ca="1">(INDIRECT("J" &amp; MATCH("Depreciation &amp; Amortization Expense",B145:B403,0) +144))/(INDIRECT("J" &amp; MATCH("Sales/Revenue",B145:B403,0) +144))</f>
        <v>#N/A</v>
      </c>
      <c r="Y471" t="e">
        <f ca="1">(INDIRECT("K" &amp; MATCH("Depreciation &amp; Amortization Expense",B145:B403,0) +144))/(INDIRECT("K" &amp; MATCH("Sales/Revenue",B145:B403,0) +144))</f>
        <v>#N/A</v>
      </c>
      <c r="Z471" t="e">
        <f ca="1">(INDIRECT("L" &amp; MATCH("Depreciation &amp; Amortization Expense",B145:B403,0) +144))/(INDIRECT("L" &amp; MATCH("Sales/Revenue",B145:B403,0) +144))</f>
        <v>#N/A</v>
      </c>
      <c r="AA471" t="e">
        <f ca="1">(INDIRECT("M" &amp; MATCH("Depreciation &amp; Amortization Expense",B145:B403,0) +144))/(INDIRECT("M" &amp; MATCH("Sales/Revenue",B145:B403,0) +144))</f>
        <v>#N/A</v>
      </c>
      <c r="AB471" t="e">
        <f ca="1">(INDIRECT("N" &amp; MATCH("Depreciation &amp; Amortization Expense",B145:B403,0) +144))/(INDIRECT("N" &amp; MATCH("Sales/Revenue",B145:B403,0) +144))</f>
        <v>#N/A</v>
      </c>
    </row>
    <row r="472" spans="4:40" x14ac:dyDescent="0.3">
      <c r="Q472" t="e">
        <f ca="1">K467-J467</f>
        <v>#N/A</v>
      </c>
      <c r="R472" t="e">
        <f ca="1">L467-K467</f>
        <v>#N/A</v>
      </c>
      <c r="S472" t="e">
        <f ca="1">M467-L467</f>
        <v>#N/A</v>
      </c>
      <c r="T472" t="e">
        <f ca="1">N467-M467</f>
        <v>#N/A</v>
      </c>
      <c r="X472" t="str">
        <f>"Max " &amp; X469</f>
        <v>Max Depreciation / Sales</v>
      </c>
      <c r="Y472" t="e">
        <f ca="1">MAX(X471:AB471)</f>
        <v>#N/A</v>
      </c>
      <c r="AK472" t="str">
        <f>"Change in Depreciation / Sales"</f>
        <v>Change in Depreciation / Sales</v>
      </c>
    </row>
    <row r="473" spans="4:40" x14ac:dyDescent="0.3">
      <c r="Q473" t="str">
        <f>"Max " &amp; Q470</f>
        <v>Max Change in EOY Pretax ROIC</v>
      </c>
      <c r="R473" t="e">
        <f ca="1">MAX(Q472:T472)</f>
        <v>#N/A</v>
      </c>
      <c r="X473" t="str">
        <f>X472 &amp; " Year"</f>
        <v>Max Depreciation / Sales Year</v>
      </c>
      <c r="Y473" t="e">
        <f ca="1">VALUE(X470)+MATCH(Y472,X471:AB471,0)-1</f>
        <v>#N/A</v>
      </c>
      <c r="AK473" t="str">
        <f>K476</f>
        <v>12-13</v>
      </c>
      <c r="AL473" t="str">
        <f>L476</f>
        <v>13-14</v>
      </c>
      <c r="AM473" t="str">
        <f>M476</f>
        <v>14-15</v>
      </c>
      <c r="AN473" t="str">
        <f>N476</f>
        <v>15-16</v>
      </c>
    </row>
    <row r="474" spans="4:40" x14ac:dyDescent="0.3">
      <c r="Q474" t="str">
        <f>Q473 &amp; " Year"</f>
        <v>Max Change in EOY Pretax ROIC Year</v>
      </c>
      <c r="R474" t="e">
        <f ca="1">IF(MATCH(R473,Q472:T472,0)=1,Q471,IF(MATCH(R473,Q472:T472,0)=2,R471,IF(MATCH(R473,Q472:T472,0)=3,S471,T471)))</f>
        <v>#N/A</v>
      </c>
      <c r="X474" t="str">
        <f>"Min " &amp; X469</f>
        <v>Min Depreciation / Sales</v>
      </c>
      <c r="Y474" t="e">
        <f ca="1">MIN(X471:AB471)</f>
        <v>#N/A</v>
      </c>
      <c r="AK474" t="e">
        <f ca="1">Y471-X471</f>
        <v>#N/A</v>
      </c>
      <c r="AL474" t="e">
        <f ca="1">Z471-Y471</f>
        <v>#N/A</v>
      </c>
      <c r="AM474" t="e">
        <f ca="1">AA471-Z471</f>
        <v>#N/A</v>
      </c>
      <c r="AN474" t="e">
        <f ca="1">AB471-AA471</f>
        <v>#N/A</v>
      </c>
    </row>
    <row r="475" spans="4:40" x14ac:dyDescent="0.3">
      <c r="D475" t="str">
        <f>"EOY ROIC"</f>
        <v>EOY ROIC</v>
      </c>
      <c r="K475" t="str">
        <f>"Change in EOY ROIC"</f>
        <v>Change in EOY ROIC</v>
      </c>
      <c r="Q475" t="str">
        <f>"Min " &amp; Q470</f>
        <v>Min Change in EOY Pretax ROIC</v>
      </c>
      <c r="R475" t="e">
        <f ca="1">MIN(Q472:T472)</f>
        <v>#N/A</v>
      </c>
      <c r="X475" t="str">
        <f>X474 &amp; " Year"</f>
        <v>Min Depreciation / Sales Year</v>
      </c>
      <c r="Y475" t="e">
        <f ca="1">VALUE(X470)+MATCH(Y474,X471:AB471,0)-1</f>
        <v>#N/A</v>
      </c>
      <c r="AK475" t="str">
        <f>"Max " &amp; AK472</f>
        <v>Max Change in Depreciation / Sales</v>
      </c>
      <c r="AL475" t="e">
        <f ca="1">MAX(AK474:AN474)</f>
        <v>#N/A</v>
      </c>
    </row>
    <row r="476" spans="4:40" x14ac:dyDescent="0.3">
      <c r="D476" t="str">
        <f>C144</f>
        <v>2012</v>
      </c>
      <c r="E476" t="str">
        <f>D144</f>
        <v>2013</v>
      </c>
      <c r="F476" t="str">
        <f>E144</f>
        <v>2014</v>
      </c>
      <c r="G476" t="str">
        <f>F144</f>
        <v>2015</v>
      </c>
      <c r="H476" t="str">
        <f>G144</f>
        <v>2016</v>
      </c>
      <c r="K476" t="str">
        <f>RIGHT(D476,2) &amp; "-" &amp; RIGHT(E476,2)</f>
        <v>12-13</v>
      </c>
      <c r="L476" t="str">
        <f>RIGHT(E476,2) &amp; "-" &amp; RIGHT(F476,2)</f>
        <v>13-14</v>
      </c>
      <c r="M476" t="str">
        <f>RIGHT(F476,2) &amp; "-" &amp; RIGHT(G476,2)</f>
        <v>14-15</v>
      </c>
      <c r="N476" t="str">
        <f>RIGHT(G476,2) &amp; "-" &amp; RIGHT(H476,2)</f>
        <v>15-16</v>
      </c>
      <c r="Q476" t="str">
        <f>Q475 &amp; " Year"</f>
        <v>Min Change in EOY Pretax ROIC Year</v>
      </c>
      <c r="R476" t="e">
        <f ca="1">IF(MATCH(R475,Q472:T472,0)=1,Q471,IF(MATCH(R475,Q472:T472,0)=2,R471,IF(MATCH(R475,Q472:T472,0)=3,S471,T471)))</f>
        <v>#N/A</v>
      </c>
      <c r="AK476" t="str">
        <f>AK475 &amp; " Year"</f>
        <v>Max Change in Depreciation / Sales Year</v>
      </c>
      <c r="AL476" t="e">
        <f ca="1">IF(MATCH(AL475,AK474:AN474,0)=1,AK473,IF(MATCH(AL475,AK474:AN474,0)=2,AL473,IF(MATCH(AL475,AK474:AN474,0)=3,AM473,AN473)))</f>
        <v>#N/A</v>
      </c>
    </row>
    <row r="477" spans="4:40" x14ac:dyDescent="0.3">
      <c r="D477" t="e">
        <f ca="1">J467*(1-J487)</f>
        <v>#N/A</v>
      </c>
      <c r="E477" t="e">
        <f ca="1">K467*(1-K487)</f>
        <v>#N/A</v>
      </c>
      <c r="F477" t="e">
        <f ca="1">L467*(1-L487)</f>
        <v>#N/A</v>
      </c>
      <c r="G477" t="e">
        <f ca="1">M467*(1-M487)</f>
        <v>#N/A</v>
      </c>
      <c r="H477" t="e">
        <f ca="1">N467*(1-N487)</f>
        <v>#N/A</v>
      </c>
      <c r="K477" t="e">
        <f ca="1">E477-D477</f>
        <v>#N/A</v>
      </c>
      <c r="L477" t="e">
        <f ca="1">F477-E477</f>
        <v>#N/A</v>
      </c>
      <c r="M477" t="e">
        <f ca="1">G477-F477</f>
        <v>#N/A</v>
      </c>
      <c r="N477" t="e">
        <f ca="1">H477-G477</f>
        <v>#N/A</v>
      </c>
      <c r="AK477" t="str">
        <f>"Min " &amp; AK472</f>
        <v>Min Change in Depreciation / Sales</v>
      </c>
      <c r="AL477" t="e">
        <f ca="1">MIN(AK474:AN474)</f>
        <v>#N/A</v>
      </c>
    </row>
    <row r="478" spans="4:40" x14ac:dyDescent="0.3">
      <c r="D478" t="str">
        <f>"Max " &amp; D475</f>
        <v>Max EOY ROIC</v>
      </c>
      <c r="E478" t="e">
        <f ca="1">MAX(D477:H477)</f>
        <v>#N/A</v>
      </c>
      <c r="F478" t="str">
        <f>"Cash Tax  Effect on Max"</f>
        <v>Cash Tax  Effect on Max</v>
      </c>
      <c r="G478" t="e">
        <f ca="1">IF(E479=K491,"Max ROIC in same year as Min Cash Tax","Inconclusive Effect")</f>
        <v>#N/A</v>
      </c>
      <c r="K478" t="str">
        <f>"Max " &amp; K475</f>
        <v>Max Change in EOY ROIC</v>
      </c>
      <c r="L478" t="e">
        <f ca="1">MAX(K477:N477)</f>
        <v>#N/A</v>
      </c>
      <c r="AK478" t="str">
        <f>AK477 &amp; " Year"</f>
        <v>Min Change in Depreciation / Sales Year</v>
      </c>
      <c r="AL478" t="e">
        <f ca="1">IF(MATCH(AL477,AK474:AN474,0)=1,AK473,IF(MATCH(AL477,AK474:AN474,0)=2,AL473,IF(MATCH(AL477,AK474:AN474,0)=3,AM473,AN473)))</f>
        <v>#N/A</v>
      </c>
    </row>
    <row r="479" spans="4:40" x14ac:dyDescent="0.3">
      <c r="D479" t="str">
        <f>D478 &amp; " Year"</f>
        <v>Max EOY ROIC Year</v>
      </c>
      <c r="E479" t="e">
        <f ca="1">VALUE(D476)+MATCH(E478,D477:H477,0)-1</f>
        <v>#N/A</v>
      </c>
      <c r="K479" t="str">
        <f>K478 &amp; " Year"</f>
        <v>Max Change in EOY ROIC Year</v>
      </c>
      <c r="L479" t="e">
        <f ca="1">IF(MATCH(L478,K477:N477,0)=1,K476,IF(MATCH(L478,K477:N477,0)=2,L476,IF(MATCH(L478,K477:N477,0)=3,M476,N476)))</f>
        <v>#N/A</v>
      </c>
      <c r="Q479" t="str">
        <f>"Change in Cash Tax Rate"</f>
        <v>Change in Cash Tax Rate</v>
      </c>
    </row>
    <row r="480" spans="4:40" x14ac:dyDescent="0.3">
      <c r="D480" t="str">
        <f>"Min " &amp; D475</f>
        <v>Min EOY ROIC</v>
      </c>
      <c r="E480" t="e">
        <f ca="1">MIN(D477:H477)</f>
        <v>#N/A</v>
      </c>
      <c r="F480" t="str">
        <f>"Cash Tax  Effect on Min"</f>
        <v>Cash Tax  Effect on Min</v>
      </c>
      <c r="G480" t="e">
        <f ca="1">IF(E481=K489,"Min ROIC in same year as Max Cash Tax","Inconclusive Effect")</f>
        <v>#N/A</v>
      </c>
      <c r="K480" t="str">
        <f>"Min " &amp; K475</f>
        <v>Min Change in EOY ROIC</v>
      </c>
      <c r="L480" t="e">
        <f ca="1">MIN(K477:N477)</f>
        <v>#N/A</v>
      </c>
      <c r="Q480" t="str">
        <f>K476</f>
        <v>12-13</v>
      </c>
      <c r="R480" t="str">
        <f>L476</f>
        <v>13-14</v>
      </c>
      <c r="S480" t="str">
        <f>M476</f>
        <v>14-15</v>
      </c>
      <c r="T480" t="str">
        <f>N476</f>
        <v>15-16</v>
      </c>
    </row>
    <row r="481" spans="4:40" x14ac:dyDescent="0.3">
      <c r="D481" t="str">
        <f>D480 &amp; " Year"</f>
        <v>Min EOY ROIC Year</v>
      </c>
      <c r="E481" t="e">
        <f ca="1">VALUE(D476)+MATCH(E480,D477:H477,0)-1</f>
        <v>#N/A</v>
      </c>
      <c r="K481" t="str">
        <f>K480 &amp; " Year"</f>
        <v>Min Change in EOY ROIC Year</v>
      </c>
      <c r="L481" t="e">
        <f ca="1">IF(MATCH(L480,K477:N477,0)=1,K476,IF(MATCH(L480,K477:N477,0)=2,L476,IF(MATCH(L480,K477:N477,0)=3,M476,N476)))</f>
        <v>#N/A</v>
      </c>
      <c r="Q481" t="e">
        <f ca="1">K487-J487</f>
        <v>#N/A</v>
      </c>
      <c r="R481" t="e">
        <f ca="1">L487-K487</f>
        <v>#N/A</v>
      </c>
      <c r="S481" t="e">
        <f ca="1">M487-L487</f>
        <v>#N/A</v>
      </c>
      <c r="T481" t="e">
        <f ca="1">N487-M487</f>
        <v>#N/A</v>
      </c>
      <c r="X481" t="str">
        <f>"Op WC / Sales"</f>
        <v>Op WC / Sales</v>
      </c>
    </row>
    <row r="482" spans="4:40" x14ac:dyDescent="0.3">
      <c r="D482" t="str">
        <f>"Correlation with OM"</f>
        <v>Correlation with OM</v>
      </c>
      <c r="E482" t="e">
        <f ca="1">CORREL(D477:H477,Q462:U462)</f>
        <v>#N/A</v>
      </c>
      <c r="Q482" t="str">
        <f>"Max " &amp; Q479</f>
        <v>Max Change in Cash Tax Rate</v>
      </c>
      <c r="R482" t="e">
        <f ca="1">MAX(Q481:T481)</f>
        <v>#N/A</v>
      </c>
      <c r="X482" t="str">
        <f>D476</f>
        <v>2012</v>
      </c>
      <c r="Y482" t="str">
        <f>E476</f>
        <v>2013</v>
      </c>
      <c r="Z482" t="str">
        <f>F476</f>
        <v>2014</v>
      </c>
      <c r="AA482" t="str">
        <f>G476</f>
        <v>2015</v>
      </c>
      <c r="AB482" t="str">
        <f>H476</f>
        <v>2016</v>
      </c>
      <c r="AK482" t="str">
        <f>"Change in Op WC / Sales"</f>
        <v>Change in Op WC / Sales</v>
      </c>
    </row>
    <row r="483" spans="4:40" x14ac:dyDescent="0.3">
      <c r="D483" t="str">
        <f>"Correlation with IC"</f>
        <v>Correlation with IC</v>
      </c>
      <c r="E483" t="e">
        <f ca="1">CORREL(D477:H477,Q490:U490)</f>
        <v>#N/A</v>
      </c>
      <c r="Q483" t="str">
        <f>Q482 &amp; " Year"</f>
        <v>Max Change in Cash Tax Rate Year</v>
      </c>
      <c r="R483" t="e">
        <f ca="1">IF(MATCH(R482,Q481:T481,0)=1,Q480,IF(MATCH(R482,Q481:T481,0)=2,R480,IF(MATCH(R482,Q481:T481,0)=3,S480,T480)))</f>
        <v>#N/A</v>
      </c>
      <c r="X483" t="e">
        <f ca="1">(INDIRECT("J" &amp; MATCH("Total Current Assets",B145:B403,0) +144) - INDIRECT("J" &amp; MATCH("Total Current Liabilities",B145:B403,0) +144))/(INDIRECT("J" &amp; MATCH("Sales/Revenue",B145:B403,0) +144))</f>
        <v>#N/A</v>
      </c>
      <c r="Y483" t="e">
        <f ca="1">(INDIRECT("K" &amp; MATCH("Total Current Assets",B145:B403,0) +144) - INDIRECT("K" &amp; MATCH("Total Current Liabilities",B145:B403,0) +144))/(INDIRECT("K" &amp; MATCH("Sales/Revenue",B145:B403,0) +144))</f>
        <v>#N/A</v>
      </c>
      <c r="Z483" t="e">
        <f ca="1">(INDIRECT("L" &amp; MATCH("Total Current Assets",B145:B403,0) +144) - INDIRECT("L" &amp; MATCH("Total Current Liabilities",B145:B403,0) +144))/(INDIRECT("L" &amp; MATCH("Sales/Revenue",B145:B403,0) +144))</f>
        <v>#N/A</v>
      </c>
      <c r="AA483" t="e">
        <f ca="1">(INDIRECT("M" &amp; MATCH("Total Current Assets",B145:B403,0) +144) - INDIRECT("M" &amp; MATCH("Total Current Liabilities",B145:B403,0) +144))/(INDIRECT("M" &amp; MATCH("Sales/Revenue",B145:B403,0) +144))</f>
        <v>#N/A</v>
      </c>
      <c r="AB483" t="e">
        <f ca="1">(INDIRECT("N" &amp; MATCH("Total Current Assets",B145:B403,0) +144) - INDIRECT("N" &amp; MATCH("Total Current Liabilities",B145:B403,0) +144))/(INDIRECT("N" &amp; MATCH("Sales/Revenue",B145:B403,0) +144))</f>
        <v>#N/A</v>
      </c>
      <c r="AK483" t="str">
        <f>K476</f>
        <v>12-13</v>
      </c>
      <c r="AL483" t="str">
        <f>L476</f>
        <v>13-14</v>
      </c>
      <c r="AM483" t="str">
        <f>M476</f>
        <v>14-15</v>
      </c>
      <c r="AN483" t="str">
        <f>N476</f>
        <v>15-16</v>
      </c>
    </row>
    <row r="484" spans="4:40" x14ac:dyDescent="0.3">
      <c r="D484" t="str">
        <f>"Correlation with GM"</f>
        <v>Correlation with GM</v>
      </c>
      <c r="E484" t="e">
        <f ca="1">CORREL(D477:H477,X455:AB455)</f>
        <v>#N/A</v>
      </c>
      <c r="Q484" t="str">
        <f>"Min " &amp; Q479</f>
        <v>Min Change in Cash Tax Rate</v>
      </c>
      <c r="R484" t="e">
        <f ca="1">MIN(Q481:T481)</f>
        <v>#N/A</v>
      </c>
      <c r="X484" t="str">
        <f>"Max " &amp; X481</f>
        <v>Max Op WC / Sales</v>
      </c>
      <c r="Y484" t="e">
        <f ca="1">MAX(X483:AB483)</f>
        <v>#N/A</v>
      </c>
      <c r="AK484" t="e">
        <f ca="1">Y483-X483</f>
        <v>#N/A</v>
      </c>
      <c r="AL484" t="e">
        <f ca="1">Z483-Y483</f>
        <v>#N/A</v>
      </c>
      <c r="AM484" t="e">
        <f ca="1">AA483-Z483</f>
        <v>#N/A</v>
      </c>
      <c r="AN484" t="e">
        <f ca="1">AB483-AA483</f>
        <v>#N/A</v>
      </c>
    </row>
    <row r="485" spans="4:40" x14ac:dyDescent="0.3">
      <c r="D485" t="str">
        <f>"Correlation with SGA"</f>
        <v>Correlation with SGA</v>
      </c>
      <c r="E485" t="e">
        <f ca="1">CORREL(D477:H477,X463:AB463)</f>
        <v>#N/A</v>
      </c>
      <c r="J485" t="str">
        <f>"Cash Tax Rate"</f>
        <v>Cash Tax Rate</v>
      </c>
      <c r="Q485" t="str">
        <f>Q484 &amp; " Year"</f>
        <v>Min Change in Cash Tax Rate Year</v>
      </c>
      <c r="R485" t="e">
        <f ca="1">IF(MATCH(R484,Q481:T481,0)=1,Q480,IF(MATCH(R484,Q481:T481,0)=2,R480,IF(MATCH(R484,Q481:T481,0)=3,S480,T480)))</f>
        <v>#N/A</v>
      </c>
      <c r="X485" t="str">
        <f>X484 &amp; " Year"</f>
        <v>Max Op WC / Sales Year</v>
      </c>
      <c r="Y485" t="e">
        <f ca="1">VALUE(X482)+MATCH(Y484,X483:AB483,0)-1</f>
        <v>#N/A</v>
      </c>
      <c r="AK485" t="str">
        <f>"Max " &amp; AK482</f>
        <v>Max Change in Op WC / Sales</v>
      </c>
      <c r="AL485" t="e">
        <f ca="1">MAX(AK484:AN484)</f>
        <v>#N/A</v>
      </c>
    </row>
    <row r="486" spans="4:40" x14ac:dyDescent="0.3">
      <c r="D486" t="str">
        <f>"Correlation with Dep"</f>
        <v>Correlation with Dep</v>
      </c>
      <c r="E486" t="e">
        <f ca="1">CORREL(D477:H477,X471:AB471)</f>
        <v>#N/A</v>
      </c>
      <c r="J486" t="str">
        <f>D476</f>
        <v>2012</v>
      </c>
      <c r="K486" t="str">
        <f>E476</f>
        <v>2013</v>
      </c>
      <c r="L486" t="str">
        <f>F476</f>
        <v>2014</v>
      </c>
      <c r="M486" t="str">
        <f>G476</f>
        <v>2015</v>
      </c>
      <c r="N486" t="str">
        <f>H476</f>
        <v>2016</v>
      </c>
      <c r="X486" t="str">
        <f>"Min " &amp; X481</f>
        <v>Min Op WC / Sales</v>
      </c>
      <c r="Y486" t="e">
        <f ca="1">MIN(X483:AB483)</f>
        <v>#N/A</v>
      </c>
      <c r="AK486" t="str">
        <f>AK485 &amp; " Year"</f>
        <v>Max Change in Op WC / Sales Year</v>
      </c>
      <c r="AL486" t="e">
        <f ca="1">IF(MATCH(AL485,AK484:AN484,0)=1,AK483,IF(MATCH(AL485,AK484:AN484,0)=2,AL483,IF(MATCH(AL485,AK484:AN484,0)=3,AM483,AN483)))</f>
        <v>#N/A</v>
      </c>
    </row>
    <row r="487" spans="4:40" x14ac:dyDescent="0.3">
      <c r="D487" t="str">
        <f>"Correlation with Op WC"</f>
        <v>Correlation with Op WC</v>
      </c>
      <c r="E487" t="e">
        <f ca="1">CORREL(D477:H477,X483:AB483)</f>
        <v>#N/A</v>
      </c>
      <c r="J487" t="e">
        <f ca="1">(INDIRECT("J" &amp; MATCH("Income Tax",B145:B403,0) +144))/(INDIRECT("J" &amp; MATCH("Pretax Income",B145:B403,0) +144))</f>
        <v>#N/A</v>
      </c>
      <c r="K487" t="e">
        <f ca="1">(INDIRECT("K" &amp; MATCH("Income Tax",B145:B403,0) +144))/(INDIRECT("K" &amp; MATCH("Pretax Income",B145:B403,0) +144))</f>
        <v>#N/A</v>
      </c>
      <c r="L487" t="e">
        <f ca="1">(INDIRECT("L" &amp; MATCH("Income Tax",B145:B403,0) +144))/(INDIRECT("L" &amp; MATCH("Pretax Income",B145:B403,0) +144))</f>
        <v>#N/A</v>
      </c>
      <c r="M487" t="e">
        <f ca="1">(INDIRECT("M" &amp; MATCH("Income Tax",B145:B403,0) +144))/(INDIRECT("M" &amp; MATCH("Pretax Income",B145:B403,0) +144))</f>
        <v>#N/A</v>
      </c>
      <c r="N487" t="e">
        <f ca="1">(INDIRECT("N" &amp; MATCH("Income Tax",B145:B403,0) +144))/(INDIRECT("N" &amp; MATCH("Pretax Income",B145:B403,0) +144))</f>
        <v>#N/A</v>
      </c>
      <c r="X487" t="str">
        <f>X486 &amp; " Year"</f>
        <v>Min Op WC / Sales Year</v>
      </c>
      <c r="Y487" t="e">
        <f ca="1">VALUE(X482)+MATCH(Y486,X483:AB483,0)-1</f>
        <v>#N/A</v>
      </c>
      <c r="AK487" t="str">
        <f>"Min " &amp; AK482</f>
        <v>Min Change in Op WC / Sales</v>
      </c>
      <c r="AL487" t="e">
        <f ca="1">MIN(AK484:AN484)</f>
        <v>#N/A</v>
      </c>
    </row>
    <row r="488" spans="4:40" x14ac:dyDescent="0.3">
      <c r="D488" t="str">
        <f>"Correlation with PPE"</f>
        <v>Correlation with PPE</v>
      </c>
      <c r="E488" t="e">
        <f ca="1">CORREL(D477:H477,X491:AB491)</f>
        <v>#N/A</v>
      </c>
      <c r="J488" t="str">
        <f>"Max " &amp; J485</f>
        <v>Max Cash Tax Rate</v>
      </c>
      <c r="K488" t="e">
        <f ca="1">MAX(J487:N487)</f>
        <v>#N/A</v>
      </c>
      <c r="Q488" t="str">
        <f>"Invested Capital / Sales"</f>
        <v>Invested Capital / Sales</v>
      </c>
      <c r="AK488" t="str">
        <f>AK487 &amp; " Year"</f>
        <v>Min Change in Op WC / Sales Year</v>
      </c>
      <c r="AL488" t="e">
        <f ca="1">IF(MATCH(AL487,AK484:AN484,0)=1,AK483,IF(MATCH(AL487,AK484:AN484,0)=2,AL483,IF(MATCH(AL487,AK484:AN484,0)=3,AM483,AN483)))</f>
        <v>#N/A</v>
      </c>
    </row>
    <row r="489" spans="4:40" x14ac:dyDescent="0.3">
      <c r="D489" t="str">
        <f>"Correlation with Intangibles"</f>
        <v>Correlation with Intangibles</v>
      </c>
      <c r="E489" t="e">
        <f ca="1">CORREL(D477:H477,X499:AB499)</f>
        <v>#N/A</v>
      </c>
      <c r="J489" t="str">
        <f>J488 &amp; " Year"</f>
        <v>Max Cash Tax Rate Year</v>
      </c>
      <c r="K489" t="e">
        <f ca="1">VALUE(J486)+MATCH(K488,J487:N487,0)-1</f>
        <v>#N/A</v>
      </c>
      <c r="Q489" t="str">
        <f>D476</f>
        <v>2012</v>
      </c>
      <c r="R489" t="str">
        <f>E476</f>
        <v>2013</v>
      </c>
      <c r="S489" t="str">
        <f>F476</f>
        <v>2014</v>
      </c>
      <c r="T489" t="str">
        <f>G476</f>
        <v>2015</v>
      </c>
      <c r="U489" t="str">
        <f>H476</f>
        <v>2016</v>
      </c>
      <c r="X489" t="str">
        <f>"PPE / Sales"</f>
        <v>PPE / Sales</v>
      </c>
    </row>
    <row r="490" spans="4:40" x14ac:dyDescent="0.3">
      <c r="J490" t="str">
        <f>"Min " &amp; J485</f>
        <v>Min Cash Tax Rate</v>
      </c>
      <c r="K490" t="e">
        <f ca="1">MIN(J487:N487)</f>
        <v>#N/A</v>
      </c>
      <c r="Q490" t="e">
        <f ca="1">SUM(X483,X491,X499)</f>
        <v>#N/A</v>
      </c>
      <c r="R490" t="e">
        <f ca="1">SUM(Y483,Y491,Y499)</f>
        <v>#N/A</v>
      </c>
      <c r="S490" t="e">
        <f ca="1">SUM(Z483,Z491,Z499)</f>
        <v>#N/A</v>
      </c>
      <c r="T490" t="e">
        <f ca="1">SUM(AA483,AA491,AA499)</f>
        <v>#N/A</v>
      </c>
      <c r="U490" t="e">
        <f ca="1">SUM(AB483,AB491,AB499)</f>
        <v>#N/A</v>
      </c>
      <c r="X490" t="str">
        <f>D476</f>
        <v>2012</v>
      </c>
      <c r="Y490" t="str">
        <f>E476</f>
        <v>2013</v>
      </c>
      <c r="Z490" t="str">
        <f>F476</f>
        <v>2014</v>
      </c>
      <c r="AA490" t="str">
        <f>G476</f>
        <v>2015</v>
      </c>
      <c r="AB490" t="str">
        <f>H476</f>
        <v>2016</v>
      </c>
      <c r="AE490" t="str">
        <f>"Change in Invested Capital / Sales"</f>
        <v>Change in Invested Capital / Sales</v>
      </c>
      <c r="AK490" t="str">
        <f>"Change in PPE / Sales"</f>
        <v>Change in PPE / Sales</v>
      </c>
    </row>
    <row r="491" spans="4:40" x14ac:dyDescent="0.3">
      <c r="J491" t="str">
        <f>J490 &amp; " Year"</f>
        <v>Min Cash Tax Rate Year</v>
      </c>
      <c r="K491" t="e">
        <f ca="1">VALUE(J486)+MATCH(K490,J487:N487,0)-1</f>
        <v>#N/A</v>
      </c>
      <c r="Q491" t="str">
        <f>"Max " &amp; Q488</f>
        <v>Max Invested Capital / Sales</v>
      </c>
      <c r="R491" t="e">
        <f ca="1">MAX(Q490:U490)</f>
        <v>#N/A</v>
      </c>
      <c r="S491" t="str">
        <f>"Op WC Effect on Max"</f>
        <v>Op WC Effect on Max</v>
      </c>
      <c r="T491" t="e">
        <f ca="1">IF(R492=Y485,"Max IC in same year as Max Op WC","Inconclusive Effect")</f>
        <v>#N/A</v>
      </c>
      <c r="U491" t="str">
        <f>"Correlation with Op WC"</f>
        <v>Correlation with Op WC</v>
      </c>
      <c r="V491" t="e">
        <f ca="1">CORREL(Q490:U490,X483:AB483)</f>
        <v>#N/A</v>
      </c>
      <c r="X491" t="e">
        <f ca="1">(INDIRECT("J" &amp; MATCH("Net Property, Plant &amp; Equipment",B145:B403,0) +144))/(INDIRECT("J" &amp; MATCH("Sales/Revenue",B145:B403,0) +144))</f>
        <v>#N/A</v>
      </c>
      <c r="Y491" t="e">
        <f ca="1">(INDIRECT("K" &amp; MATCH("Net Property, Plant &amp; Equipment",B145:B403,0) +144))/(INDIRECT("K" &amp; MATCH("Sales/Revenue",B145:B403,0) +144))</f>
        <v>#N/A</v>
      </c>
      <c r="Z491" t="e">
        <f ca="1">(INDIRECT("L" &amp; MATCH("Net Property, Plant &amp; Equipment",B145:B403,0) +144))/(INDIRECT("L" &amp; MATCH("Sales/Revenue",B145:B403,0) +144))</f>
        <v>#N/A</v>
      </c>
      <c r="AA491" t="e">
        <f ca="1">(INDIRECT("M" &amp; MATCH("Net Property, Plant &amp; Equipment",B145:B403,0) +144))/(INDIRECT("M" &amp; MATCH("Sales/Revenue",B145:B403,0) +144))</f>
        <v>#N/A</v>
      </c>
      <c r="AB491" t="e">
        <f ca="1">(INDIRECT("N" &amp; MATCH("Net Property, Plant &amp; Equipment",B145:B403,0) +144))/(INDIRECT("N" &amp; MATCH("Sales/Revenue",B145:B403,0) +144))</f>
        <v>#N/A</v>
      </c>
      <c r="AE491" t="str">
        <f>K476</f>
        <v>12-13</v>
      </c>
      <c r="AF491" t="str">
        <f>L476</f>
        <v>13-14</v>
      </c>
      <c r="AG491" t="str">
        <f>M476</f>
        <v>14-15</v>
      </c>
      <c r="AH491" t="str">
        <f>N476</f>
        <v>15-16</v>
      </c>
      <c r="AK491" t="str">
        <f>K476</f>
        <v>12-13</v>
      </c>
      <c r="AL491" t="str">
        <f>L476</f>
        <v>13-14</v>
      </c>
      <c r="AM491" t="str">
        <f>M476</f>
        <v>14-15</v>
      </c>
      <c r="AN491" t="str">
        <f>N476</f>
        <v>15-16</v>
      </c>
    </row>
    <row r="492" spans="4:40" x14ac:dyDescent="0.3">
      <c r="Q492" t="str">
        <f>Q491 &amp; " Year"</f>
        <v>Max Invested Capital / Sales Year</v>
      </c>
      <c r="R492" t="e">
        <f ca="1">VALUE(Q489)+MATCH(R491,Q490:U490,0)-1</f>
        <v>#N/A</v>
      </c>
      <c r="S492" t="str">
        <f>"PPE Effect on Max"</f>
        <v>PPE Effect on Max</v>
      </c>
      <c r="T492" t="e">
        <f ca="1">IF(R492=Y493,"Max IC in same year as Max PPE","Inconclusive Effect")</f>
        <v>#N/A</v>
      </c>
      <c r="U492" t="str">
        <f>"Correlation with PPE"</f>
        <v>Correlation with PPE</v>
      </c>
      <c r="V492" t="e">
        <f ca="1">CORREL(Q490:U490,X491:AB491)</f>
        <v>#N/A</v>
      </c>
      <c r="X492" t="str">
        <f>"Max " &amp; X489</f>
        <v>Max PPE / Sales</v>
      </c>
      <c r="Y492" t="e">
        <f ca="1">MAX(X491:AB491)</f>
        <v>#N/A</v>
      </c>
      <c r="AE492" t="e">
        <f ca="1">R490-Q490</f>
        <v>#N/A</v>
      </c>
      <c r="AF492" t="e">
        <f ca="1">S490-R490</f>
        <v>#N/A</v>
      </c>
      <c r="AG492" t="e">
        <f ca="1">T490-S490</f>
        <v>#N/A</v>
      </c>
      <c r="AH492" t="e">
        <f ca="1">U490-T490</f>
        <v>#N/A</v>
      </c>
      <c r="AK492" t="e">
        <f ca="1">Y491-X491</f>
        <v>#N/A</v>
      </c>
      <c r="AL492" t="e">
        <f ca="1">Z491-Y491</f>
        <v>#N/A</v>
      </c>
      <c r="AM492" t="e">
        <f ca="1">AA491-Z491</f>
        <v>#N/A</v>
      </c>
      <c r="AN492" t="e">
        <f ca="1">AB491-AA491</f>
        <v>#N/A</v>
      </c>
    </row>
    <row r="493" spans="4:40" x14ac:dyDescent="0.3">
      <c r="Q493" t="str">
        <f>"Min " &amp; Q488</f>
        <v>Min Invested Capital / Sales</v>
      </c>
      <c r="R493" t="e">
        <f ca="1">MIN(Q490:U490)</f>
        <v>#N/A</v>
      </c>
      <c r="S493" t="str">
        <f>"Intangibles Effect on Max"</f>
        <v>Intangibles Effect on Max</v>
      </c>
      <c r="T493" t="e">
        <f ca="1">IF(R492=Y501,"Max IC in same year as Max Intangibles","Inconclusive Effect")</f>
        <v>#N/A</v>
      </c>
      <c r="U493" t="str">
        <f>"Correlation with Intangibles"</f>
        <v>Correlation with Intangibles</v>
      </c>
      <c r="V493" t="e">
        <f ca="1">CORREL(Q490:U490,X499:AB499)</f>
        <v>#N/A</v>
      </c>
      <c r="X493" t="str">
        <f>X492 &amp; " Year"</f>
        <v>Max PPE / Sales Year</v>
      </c>
      <c r="Y493" t="e">
        <f ca="1">VALUE(X490)+MATCH(Y492,X491:AB491,0)-1</f>
        <v>#N/A</v>
      </c>
      <c r="AE493" t="str">
        <f>"Max " &amp; AE490</f>
        <v>Max Change in Invested Capital / Sales</v>
      </c>
      <c r="AF493" t="e">
        <f ca="1">MAX(AE492:AH492)</f>
        <v>#N/A</v>
      </c>
      <c r="AK493" t="str">
        <f>"Max " &amp; AK490</f>
        <v>Max Change in PPE / Sales</v>
      </c>
      <c r="AL493" t="e">
        <f ca="1">MAX(AK492:AN492)</f>
        <v>#N/A</v>
      </c>
    </row>
    <row r="494" spans="4:40" x14ac:dyDescent="0.3">
      <c r="Q494" t="str">
        <f>Q493 &amp; " Year"</f>
        <v>Min Invested Capital / Sales Year</v>
      </c>
      <c r="R494" t="e">
        <f ca="1">VALUE(Q489)+MATCH(R493,Q490:U490,0)-1</f>
        <v>#N/A</v>
      </c>
      <c r="S494" t="str">
        <f>"Op WC Effect on Min"</f>
        <v>Op WC Effect on Min</v>
      </c>
      <c r="T494" t="e">
        <f ca="1">IF(R494=Y487,"Min IC in same year as Min Op WC","Inconclusive Effect")</f>
        <v>#N/A</v>
      </c>
      <c r="X494" t="str">
        <f>"Min " &amp; X489</f>
        <v>Min PPE / Sales</v>
      </c>
      <c r="Y494" t="e">
        <f ca="1">MIN(X491:AB491)</f>
        <v>#N/A</v>
      </c>
      <c r="AE494" t="str">
        <f>AE493 &amp; " Year"</f>
        <v>Max Change in Invested Capital / Sales Year</v>
      </c>
      <c r="AF494" t="e">
        <f ca="1">IF(MATCH(AF493,AE492:AH492,0)=1,AE491,IF(MATCH(AF493,AE492:AH492,0)=2,AF491,IF(MATCH(AF493,AE492:AH492,0)=3,AG491,AH491)))</f>
        <v>#N/A</v>
      </c>
      <c r="AK494" t="str">
        <f>AK493 &amp; " Year"</f>
        <v>Max Change in PPE / Sales Year</v>
      </c>
      <c r="AL494" t="e">
        <f ca="1">IF(MATCH(AL493,AK492:AN492,0)=1,AK491,IF(MATCH(AL493,AK492:AN492,0)=2,AL491,IF(MATCH(AL493,AK492:AN492,0)=3,AM491,AN491)))</f>
        <v>#N/A</v>
      </c>
    </row>
    <row r="495" spans="4:40" x14ac:dyDescent="0.3">
      <c r="S495" t="str">
        <f>"PPE Effect on Min"</f>
        <v>PPE Effect on Min</v>
      </c>
      <c r="T495" t="e">
        <f ca="1">IF(R494=Y495,"Min IC in same year as Min PPE","Inconclusive Effect")</f>
        <v>#N/A</v>
      </c>
      <c r="X495" t="str">
        <f>X494 &amp; " Year"</f>
        <v>Min PPE / Sales Year</v>
      </c>
      <c r="Y495" t="e">
        <f ca="1">VALUE(X490)+MATCH(Y494,X491:AB491,0)-1</f>
        <v>#N/A</v>
      </c>
      <c r="AE495" t="str">
        <f>"Min " &amp; AE490</f>
        <v>Min Change in Invested Capital / Sales</v>
      </c>
      <c r="AF495" t="e">
        <f ca="1">MIN(AE492:AH492)</f>
        <v>#N/A</v>
      </c>
      <c r="AK495" t="str">
        <f>"Min " &amp; AK490</f>
        <v>Min Change in PPE / Sales</v>
      </c>
      <c r="AL495" t="e">
        <f ca="1">MIN(AK492:AN492)</f>
        <v>#N/A</v>
      </c>
    </row>
    <row r="496" spans="4:40" x14ac:dyDescent="0.3">
      <c r="S496" t="str">
        <f>"Intangibles Effect on Min"</f>
        <v>Intangibles Effect on Min</v>
      </c>
      <c r="T496" t="e">
        <f ca="1">IF(R494=Y503,"Min IC in same year as Min Intangibles","Inconclusive Effect")</f>
        <v>#N/A</v>
      </c>
      <c r="AE496" t="str">
        <f>AE495 &amp; " Year"</f>
        <v>Min Change in Invested Capital / Sales Year</v>
      </c>
      <c r="AF496" t="e">
        <f ca="1">IF(MATCH(AF495,AE492:AH492,0)=1,AE491,IF(MATCH(AF495,AE492:AH492,0)=2,AF491,IF(MATCH(AF495,AE492:AH492,0)=3,AG491,AH491)))</f>
        <v>#N/A</v>
      </c>
      <c r="AK496" t="str">
        <f>AK495 &amp; " Year"</f>
        <v>Min Change in PPE / Sales Year</v>
      </c>
      <c r="AL496" t="e">
        <f ca="1">IF(MATCH(AL495,AK492:AN492,0)=1,AK491,IF(MATCH(AL495,AK492:AN492,0)=2,AL491,IF(MATCH(AL495,AK492:AN492,0)=3,AM491,AN491)))</f>
        <v>#N/A</v>
      </c>
    </row>
    <row r="497" spans="3:40" x14ac:dyDescent="0.3">
      <c r="X497" t="str">
        <f>"Intangibles / Sales"</f>
        <v>Intangibles / Sales</v>
      </c>
    </row>
    <row r="498" spans="3:40" x14ac:dyDescent="0.3">
      <c r="X498" t="str">
        <f>D476</f>
        <v>2012</v>
      </c>
      <c r="Y498" t="str">
        <f>E476</f>
        <v>2013</v>
      </c>
      <c r="Z498" t="str">
        <f>F476</f>
        <v>2014</v>
      </c>
      <c r="AA498" t="str">
        <f>G476</f>
        <v>2015</v>
      </c>
      <c r="AB498" t="str">
        <f>H476</f>
        <v>2016</v>
      </c>
      <c r="AK498" t="str">
        <f>"Change in Intagibles / Sales"</f>
        <v>Change in Intagibles / Sales</v>
      </c>
    </row>
    <row r="499" spans="3:40" x14ac:dyDescent="0.3">
      <c r="X499" t="e">
        <f ca="1">(INDIRECT("J" &amp; MATCH("Intangible Assets",B145:B403,0) +144))/(INDIRECT("J" &amp; MATCH("Sales/Revenue",B145:B403,0) +144))</f>
        <v>#N/A</v>
      </c>
      <c r="Y499" t="e">
        <f ca="1">(INDIRECT("K" &amp; MATCH("Intangible Assets",B145:B403,0) +144))/(INDIRECT("K" &amp; MATCH("Sales/Revenue",B145:B403,0) +144))</f>
        <v>#N/A</v>
      </c>
      <c r="Z499" t="e">
        <f ca="1">(INDIRECT("L" &amp; MATCH("Intangible Assets",B145:B403,0) +144))/(INDIRECT("L" &amp; MATCH("Sales/Revenue",B145:B403,0) +144))</f>
        <v>#N/A</v>
      </c>
      <c r="AA499" t="e">
        <f ca="1">(INDIRECT("M" &amp; MATCH("Intangible Assets",B145:B403,0) +144))/(INDIRECT("M" &amp; MATCH("Sales/Revenue",B145:B403,0) +144))</f>
        <v>#N/A</v>
      </c>
      <c r="AB499" t="e">
        <f ca="1">(INDIRECT("N" &amp; MATCH("Intangible Assets",B145:B403,0) +144))/(INDIRECT("N" &amp; MATCH("Sales/Revenue",B145:B403,0) +144))</f>
        <v>#N/A</v>
      </c>
      <c r="AK499" t="str">
        <f>K476</f>
        <v>12-13</v>
      </c>
      <c r="AL499" t="str">
        <f>L476</f>
        <v>13-14</v>
      </c>
      <c r="AM499" t="str">
        <f>M476</f>
        <v>14-15</v>
      </c>
      <c r="AN499" t="str">
        <f>N476</f>
        <v>15-16</v>
      </c>
    </row>
    <row r="500" spans="3:40" x14ac:dyDescent="0.3">
      <c r="X500" t="str">
        <f>"Max " &amp; X497</f>
        <v>Max Intangibles / Sales</v>
      </c>
      <c r="Y500" t="e">
        <f ca="1">MAX(X499:AB499)</f>
        <v>#N/A</v>
      </c>
      <c r="AK500" t="e">
        <f ca="1">Y499-X499</f>
        <v>#N/A</v>
      </c>
      <c r="AL500" t="e">
        <f ca="1">Z499-Y499</f>
        <v>#N/A</v>
      </c>
      <c r="AM500" t="e">
        <f ca="1">AA499-Z499</f>
        <v>#N/A</v>
      </c>
      <c r="AN500" t="e">
        <f ca="1">AB499-AA499</f>
        <v>#N/A</v>
      </c>
    </row>
    <row r="501" spans="3:40" x14ac:dyDescent="0.3">
      <c r="X501" t="str">
        <f>X500 &amp; " Year"</f>
        <v>Max Intangibles / Sales Year</v>
      </c>
      <c r="Y501" t="e">
        <f ca="1">VALUE(X498)+MATCH(Y500,X499:AB499,0)-1</f>
        <v>#N/A</v>
      </c>
      <c r="AK501" t="str">
        <f>"Max " &amp; AK498</f>
        <v>Max Change in Intagibles / Sales</v>
      </c>
      <c r="AL501" t="e">
        <f ca="1">MAX(AK500:AN500)</f>
        <v>#N/A</v>
      </c>
    </row>
    <row r="502" spans="3:40" x14ac:dyDescent="0.3">
      <c r="X502" t="str">
        <f>"Min " &amp; X497</f>
        <v>Min Intangibles / Sales</v>
      </c>
      <c r="Y502" t="e">
        <f ca="1">MIN(X499:AB499)</f>
        <v>#N/A</v>
      </c>
      <c r="AK502" t="str">
        <f>AK501 &amp; " Year"</f>
        <v>Max Change in Intagibles / Sales Year</v>
      </c>
      <c r="AL502" t="e">
        <f ca="1">IF(MATCH(AL501,AK500:AN500,0)=1,AK499,IF(MATCH(AL501,AK500:AN500,0)=2,AL499,IF(MATCH(AL501,AK500:AN500,0)=3,AM499,AN499)))</f>
        <v>#N/A</v>
      </c>
    </row>
    <row r="503" spans="3:40" x14ac:dyDescent="0.3">
      <c r="X503" t="str">
        <f>X502 &amp; " Year"</f>
        <v>Min Intangibles / Sales Year</v>
      </c>
      <c r="Y503" t="e">
        <f ca="1">VALUE(X498)+MATCH(Y502,X499:AB499,0)-1</f>
        <v>#N/A</v>
      </c>
      <c r="AK503" t="str">
        <f>"Min " &amp; AK498</f>
        <v>Min Change in Intagibles / Sales</v>
      </c>
      <c r="AL503" t="e">
        <f ca="1">MIN(AK500:AN500)</f>
        <v>#N/A</v>
      </c>
    </row>
    <row r="504" spans="3:40" x14ac:dyDescent="0.3">
      <c r="AK504" t="str">
        <f>AK503 &amp; " Year"</f>
        <v>Min Change in Intagibles / Sales Year</v>
      </c>
      <c r="AL504" t="e">
        <f ca="1">IF(MATCH(AL503,AK500:AN500,0)=1,AK499,IF(MATCH(AL503,AK500:AN500,0)=2,AL499,IF(MATCH(AL503,AK500:AN500,0)=3,AM499,AN499)))</f>
        <v>#N/A</v>
      </c>
    </row>
    <row r="507" spans="3:40" x14ac:dyDescent="0.3">
      <c r="D507" t="str">
        <f t="shared" ref="D507:H508" si="155">D476</f>
        <v>2012</v>
      </c>
      <c r="E507" t="str">
        <f t="shared" si="155"/>
        <v>2013</v>
      </c>
      <c r="F507" t="str">
        <f t="shared" si="155"/>
        <v>2014</v>
      </c>
      <c r="G507" t="str">
        <f t="shared" si="155"/>
        <v>2015</v>
      </c>
      <c r="H507" t="str">
        <f t="shared" si="155"/>
        <v>2016</v>
      </c>
      <c r="I507" t="str">
        <f>"Average"</f>
        <v>Average</v>
      </c>
      <c r="J507" t="str">
        <f>"SD"</f>
        <v>SD</v>
      </c>
      <c r="K507" t="str">
        <f>D507</f>
        <v>2012</v>
      </c>
      <c r="L507" t="str">
        <f>E507</f>
        <v>2013</v>
      </c>
      <c r="M507" t="str">
        <f>F507</f>
        <v>2014</v>
      </c>
      <c r="N507" t="str">
        <f>G507</f>
        <v>2015</v>
      </c>
      <c r="O507" t="str">
        <f>H507</f>
        <v>2016</v>
      </c>
      <c r="P507" t="str">
        <f>"Max z Year"</f>
        <v>Max z Year</v>
      </c>
    </row>
    <row r="508" spans="3:40" x14ac:dyDescent="0.3">
      <c r="C508" t="str">
        <f>D475</f>
        <v>EOY ROIC</v>
      </c>
      <c r="D508" t="e">
        <f t="shared" ca="1" si="155"/>
        <v>#N/A</v>
      </c>
      <c r="E508" t="e">
        <f t="shared" ca="1" si="155"/>
        <v>#N/A</v>
      </c>
      <c r="F508" t="e">
        <f t="shared" ca="1" si="155"/>
        <v>#N/A</v>
      </c>
      <c r="G508" t="e">
        <f t="shared" ca="1" si="155"/>
        <v>#N/A</v>
      </c>
      <c r="H508" t="e">
        <f t="shared" ca="1" si="155"/>
        <v>#N/A</v>
      </c>
      <c r="I508" t="e">
        <f t="shared" ref="I508:I518" ca="1" si="156">AVERAGE(D508:H508)</f>
        <v>#N/A</v>
      </c>
      <c r="J508" t="e">
        <f t="shared" ref="J508:J518" ca="1" si="157">STDEV(D508:H508)</f>
        <v>#N/A</v>
      </c>
      <c r="K508" t="e">
        <f t="shared" ref="K508:K518" ca="1" si="158">(D508-I508)/J508</f>
        <v>#N/A</v>
      </c>
      <c r="L508" t="e">
        <f t="shared" ref="L508:L518" ca="1" si="159">(E508-I508)/J508</f>
        <v>#N/A</v>
      </c>
      <c r="M508" t="e">
        <f t="shared" ref="M508:M518" ca="1" si="160">(F508-I508)/J508</f>
        <v>#N/A</v>
      </c>
      <c r="N508" t="e">
        <f t="shared" ref="N508:N518" ca="1" si="161">(G508-I508)/J508</f>
        <v>#N/A</v>
      </c>
      <c r="O508" t="e">
        <f t="shared" ref="O508:O518" ca="1" si="162">(H508-I508)/J508</f>
        <v>#N/A</v>
      </c>
      <c r="P508" t="e">
        <f ca="1">K507 + MATCH(IF(MAX(MAX(K508:O508),ABS(MIN(K508:O508)))=ABS(MIN(K508:O508)), MIN(K508:O508),MAX(K508:O508)),K508:O508,0) - 1</f>
        <v>#N/A</v>
      </c>
    </row>
    <row r="509" spans="3:40" x14ac:dyDescent="0.3">
      <c r="C509" t="str">
        <f>J465</f>
        <v>EOY Pretax ROIC</v>
      </c>
      <c r="D509" t="e">
        <f ca="1">J467</f>
        <v>#N/A</v>
      </c>
      <c r="E509" t="e">
        <f ca="1">K467</f>
        <v>#N/A</v>
      </c>
      <c r="F509" t="e">
        <f ca="1">L467</f>
        <v>#N/A</v>
      </c>
      <c r="G509" t="e">
        <f ca="1">M467</f>
        <v>#N/A</v>
      </c>
      <c r="H509" t="e">
        <f ca="1">N467</f>
        <v>#N/A</v>
      </c>
      <c r="I509" t="e">
        <f t="shared" ca="1" si="156"/>
        <v>#N/A</v>
      </c>
      <c r="J509" t="e">
        <f t="shared" ca="1" si="157"/>
        <v>#N/A</v>
      </c>
      <c r="K509" t="e">
        <f t="shared" ca="1" si="158"/>
        <v>#N/A</v>
      </c>
      <c r="L509" t="e">
        <f t="shared" ca="1" si="159"/>
        <v>#N/A</v>
      </c>
      <c r="M509" t="e">
        <f t="shared" ca="1" si="160"/>
        <v>#N/A</v>
      </c>
      <c r="N509" t="e">
        <f t="shared" ca="1" si="161"/>
        <v>#N/A</v>
      </c>
      <c r="O509" t="e">
        <f t="shared" ca="1" si="162"/>
        <v>#N/A</v>
      </c>
      <c r="P509" t="e">
        <f ca="1">K507 + MATCH(IF(MAX(MAX(K509:O509),ABS(MIN(K509:O509)))=ABS(MIN(K509:O509)), MIN(K509:O509),MAX(K509:O509)),K509:O509,0) - 1</f>
        <v>#N/A</v>
      </c>
    </row>
    <row r="510" spans="3:40" x14ac:dyDescent="0.3">
      <c r="C510" t="str">
        <f>J485</f>
        <v>Cash Tax Rate</v>
      </c>
      <c r="D510" t="e">
        <f ca="1">J487</f>
        <v>#N/A</v>
      </c>
      <c r="E510" t="e">
        <f ca="1">K487</f>
        <v>#N/A</v>
      </c>
      <c r="F510" t="e">
        <f ca="1">L487</f>
        <v>#N/A</v>
      </c>
      <c r="G510" t="e">
        <f ca="1">M487</f>
        <v>#N/A</v>
      </c>
      <c r="H510" t="e">
        <f ca="1">N487</f>
        <v>#N/A</v>
      </c>
      <c r="I510" t="e">
        <f t="shared" ca="1" si="156"/>
        <v>#N/A</v>
      </c>
      <c r="J510" t="e">
        <f t="shared" ca="1" si="157"/>
        <v>#N/A</v>
      </c>
      <c r="K510" t="e">
        <f t="shared" ca="1" si="158"/>
        <v>#N/A</v>
      </c>
      <c r="L510" t="e">
        <f t="shared" ca="1" si="159"/>
        <v>#N/A</v>
      </c>
      <c r="M510" t="e">
        <f t="shared" ca="1" si="160"/>
        <v>#N/A</v>
      </c>
      <c r="N510" t="e">
        <f t="shared" ca="1" si="161"/>
        <v>#N/A</v>
      </c>
      <c r="O510" t="e">
        <f t="shared" ca="1" si="162"/>
        <v>#N/A</v>
      </c>
      <c r="P510" t="e">
        <f ca="1">K507 + MATCH(IF(MAX(MAX(K510:O510),ABS(MIN(K510:O510)))=ABS(MIN(K510:O510)), MIN(K510:O510),MAX(K510:O510)),K510:O510,0) - 1</f>
        <v>#N/A</v>
      </c>
    </row>
    <row r="511" spans="3:40" x14ac:dyDescent="0.3">
      <c r="C511" t="str">
        <f>Q460</f>
        <v>Operating Margin</v>
      </c>
      <c r="D511" t="e">
        <f ca="1">Q462</f>
        <v>#N/A</v>
      </c>
      <c r="E511" t="e">
        <f ca="1">R462</f>
        <v>#N/A</v>
      </c>
      <c r="F511" t="e">
        <f ca="1">S462</f>
        <v>#N/A</v>
      </c>
      <c r="G511" t="e">
        <f ca="1">T462</f>
        <v>#N/A</v>
      </c>
      <c r="H511" t="e">
        <f ca="1">U462</f>
        <v>#N/A</v>
      </c>
      <c r="I511" t="e">
        <f t="shared" ca="1" si="156"/>
        <v>#N/A</v>
      </c>
      <c r="J511" t="e">
        <f t="shared" ca="1" si="157"/>
        <v>#N/A</v>
      </c>
      <c r="K511" t="e">
        <f t="shared" ca="1" si="158"/>
        <v>#N/A</v>
      </c>
      <c r="L511" t="e">
        <f t="shared" ca="1" si="159"/>
        <v>#N/A</v>
      </c>
      <c r="M511" t="e">
        <f t="shared" ca="1" si="160"/>
        <v>#N/A</v>
      </c>
      <c r="N511" t="e">
        <f t="shared" ca="1" si="161"/>
        <v>#N/A</v>
      </c>
      <c r="O511" t="e">
        <f t="shared" ca="1" si="162"/>
        <v>#N/A</v>
      </c>
      <c r="P511" t="e">
        <f ca="1">K507 + MATCH(IF(MAX(MAX(K511:O511),ABS(MIN(K511:O511)))=ABS(MIN(K511:O511)), MIN(K511:O511),MAX(K511:O511)),K511:O511,0) - 1</f>
        <v>#N/A</v>
      </c>
    </row>
    <row r="512" spans="3:40" x14ac:dyDescent="0.3">
      <c r="C512" t="str">
        <f>Q488</f>
        <v>Invested Capital / Sales</v>
      </c>
      <c r="D512" t="e">
        <f ca="1">Q490</f>
        <v>#N/A</v>
      </c>
      <c r="E512" t="e">
        <f ca="1">R490</f>
        <v>#N/A</v>
      </c>
      <c r="F512" t="e">
        <f ca="1">S490</f>
        <v>#N/A</v>
      </c>
      <c r="G512" t="e">
        <f ca="1">T490</f>
        <v>#N/A</v>
      </c>
      <c r="H512" t="e">
        <f ca="1">U490</f>
        <v>#N/A</v>
      </c>
      <c r="I512" t="e">
        <f t="shared" ca="1" si="156"/>
        <v>#N/A</v>
      </c>
      <c r="J512" t="e">
        <f t="shared" ca="1" si="157"/>
        <v>#N/A</v>
      </c>
      <c r="K512" t="e">
        <f t="shared" ca="1" si="158"/>
        <v>#N/A</v>
      </c>
      <c r="L512" t="e">
        <f t="shared" ca="1" si="159"/>
        <v>#N/A</v>
      </c>
      <c r="M512" t="e">
        <f t="shared" ca="1" si="160"/>
        <v>#N/A</v>
      </c>
      <c r="N512" t="e">
        <f t="shared" ca="1" si="161"/>
        <v>#N/A</v>
      </c>
      <c r="O512" t="e">
        <f t="shared" ca="1" si="162"/>
        <v>#N/A</v>
      </c>
      <c r="P512" t="e">
        <f ca="1">K507 + MATCH(IF(MAX(MAX(K512:O512),ABS(MIN(K512:O512)))=ABS(MIN(K512:O512)), MIN(K512:O512),MAX(K512:O512)),K512:O512,0) - 1</f>
        <v>#N/A</v>
      </c>
    </row>
    <row r="513" spans="3:16" x14ac:dyDescent="0.3">
      <c r="C513" t="str">
        <f>X453</f>
        <v>Gross Margin</v>
      </c>
      <c r="D513" t="e">
        <f ca="1">X455</f>
        <v>#N/A</v>
      </c>
      <c r="E513" t="e">
        <f ca="1">Y455</f>
        <v>#N/A</v>
      </c>
      <c r="F513" t="e">
        <f ca="1">Z455</f>
        <v>#N/A</v>
      </c>
      <c r="G513" t="e">
        <f ca="1">AA455</f>
        <v>#N/A</v>
      </c>
      <c r="H513" t="e">
        <f ca="1">AB455</f>
        <v>#N/A</v>
      </c>
      <c r="I513" t="e">
        <f t="shared" ca="1" si="156"/>
        <v>#N/A</v>
      </c>
      <c r="J513" t="e">
        <f t="shared" ca="1" si="157"/>
        <v>#N/A</v>
      </c>
      <c r="K513" t="e">
        <f t="shared" ca="1" si="158"/>
        <v>#N/A</v>
      </c>
      <c r="L513" t="e">
        <f t="shared" ca="1" si="159"/>
        <v>#N/A</v>
      </c>
      <c r="M513" t="e">
        <f t="shared" ca="1" si="160"/>
        <v>#N/A</v>
      </c>
      <c r="N513" t="e">
        <f t="shared" ca="1" si="161"/>
        <v>#N/A</v>
      </c>
      <c r="O513" t="e">
        <f t="shared" ca="1" si="162"/>
        <v>#N/A</v>
      </c>
      <c r="P513" t="e">
        <f ca="1">K507 + MATCH(IF(MAX(MAX(K513:O513),ABS(MIN(K513:O513)))=ABS(MIN(K513:O513)), MIN(K513:O513),MAX(K513:O513)),K513:O513,0) - 1</f>
        <v>#N/A</v>
      </c>
    </row>
    <row r="514" spans="3:16" x14ac:dyDescent="0.3">
      <c r="C514" t="str">
        <f>X461</f>
        <v>SGA / Sales</v>
      </c>
      <c r="D514" t="e">
        <f ca="1">X463</f>
        <v>#N/A</v>
      </c>
      <c r="E514" t="e">
        <f ca="1">Y463</f>
        <v>#N/A</v>
      </c>
      <c r="F514" t="e">
        <f ca="1">Z463</f>
        <v>#N/A</v>
      </c>
      <c r="G514" t="e">
        <f ca="1">AA463</f>
        <v>#N/A</v>
      </c>
      <c r="H514" t="e">
        <f ca="1">AB463</f>
        <v>#N/A</v>
      </c>
      <c r="I514" t="e">
        <f t="shared" ca="1" si="156"/>
        <v>#N/A</v>
      </c>
      <c r="J514" t="e">
        <f t="shared" ca="1" si="157"/>
        <v>#N/A</v>
      </c>
      <c r="K514" t="e">
        <f t="shared" ca="1" si="158"/>
        <v>#N/A</v>
      </c>
      <c r="L514" t="e">
        <f t="shared" ca="1" si="159"/>
        <v>#N/A</v>
      </c>
      <c r="M514" t="e">
        <f t="shared" ca="1" si="160"/>
        <v>#N/A</v>
      </c>
      <c r="N514" t="e">
        <f t="shared" ca="1" si="161"/>
        <v>#N/A</v>
      </c>
      <c r="O514" t="e">
        <f t="shared" ca="1" si="162"/>
        <v>#N/A</v>
      </c>
      <c r="P514" t="e">
        <f ca="1">K507 + MATCH(IF(MAX(MAX(K514:O514),ABS(MIN(K514:O514)))=ABS(MIN(K514:O514)), MIN(K514:O514),MAX(K514:O514)),K514:O514,0) - 1</f>
        <v>#N/A</v>
      </c>
    </row>
    <row r="515" spans="3:16" x14ac:dyDescent="0.3">
      <c r="C515" t="str">
        <f>X469</f>
        <v>Depreciation / Sales</v>
      </c>
      <c r="D515" t="e">
        <f ca="1">X471</f>
        <v>#N/A</v>
      </c>
      <c r="E515" t="e">
        <f ca="1">Y471</f>
        <v>#N/A</v>
      </c>
      <c r="F515" t="e">
        <f ca="1">Z471</f>
        <v>#N/A</v>
      </c>
      <c r="G515" t="e">
        <f ca="1">AA471</f>
        <v>#N/A</v>
      </c>
      <c r="H515" t="e">
        <f ca="1">AB471</f>
        <v>#N/A</v>
      </c>
      <c r="I515" t="e">
        <f t="shared" ca="1" si="156"/>
        <v>#N/A</v>
      </c>
      <c r="J515" t="e">
        <f t="shared" ca="1" si="157"/>
        <v>#N/A</v>
      </c>
      <c r="K515" t="e">
        <f t="shared" ca="1" si="158"/>
        <v>#N/A</v>
      </c>
      <c r="L515" t="e">
        <f t="shared" ca="1" si="159"/>
        <v>#N/A</v>
      </c>
      <c r="M515" t="e">
        <f t="shared" ca="1" si="160"/>
        <v>#N/A</v>
      </c>
      <c r="N515" t="e">
        <f t="shared" ca="1" si="161"/>
        <v>#N/A</v>
      </c>
      <c r="O515" t="e">
        <f t="shared" ca="1" si="162"/>
        <v>#N/A</v>
      </c>
      <c r="P515" t="e">
        <f ca="1">K507 + MATCH(IF(MAX(MAX(K515:O515),ABS(MIN(K515:O515)))=ABS(MIN(K515:O515)), MIN(K515:O515),MAX(K515:O515)),K515:O515,0) - 1</f>
        <v>#N/A</v>
      </c>
    </row>
    <row r="516" spans="3:16" x14ac:dyDescent="0.3">
      <c r="C516" t="str">
        <f>X481</f>
        <v>Op WC / Sales</v>
      </c>
      <c r="D516" t="e">
        <f ca="1">X483</f>
        <v>#N/A</v>
      </c>
      <c r="E516" t="e">
        <f ca="1">Y483</f>
        <v>#N/A</v>
      </c>
      <c r="F516" t="e">
        <f ca="1">Z483</f>
        <v>#N/A</v>
      </c>
      <c r="G516" t="e">
        <f ca="1">AA483</f>
        <v>#N/A</v>
      </c>
      <c r="H516" t="e">
        <f ca="1">AB483</f>
        <v>#N/A</v>
      </c>
      <c r="I516" t="e">
        <f t="shared" ca="1" si="156"/>
        <v>#N/A</v>
      </c>
      <c r="J516" t="e">
        <f t="shared" ca="1" si="157"/>
        <v>#N/A</v>
      </c>
      <c r="K516" t="e">
        <f t="shared" ca="1" si="158"/>
        <v>#N/A</v>
      </c>
      <c r="L516" t="e">
        <f t="shared" ca="1" si="159"/>
        <v>#N/A</v>
      </c>
      <c r="M516" t="e">
        <f t="shared" ca="1" si="160"/>
        <v>#N/A</v>
      </c>
      <c r="N516" t="e">
        <f t="shared" ca="1" si="161"/>
        <v>#N/A</v>
      </c>
      <c r="O516" t="e">
        <f t="shared" ca="1" si="162"/>
        <v>#N/A</v>
      </c>
      <c r="P516" t="e">
        <f ca="1">K507 + MATCH(IF(MAX(MAX(K516:O516),ABS(MIN(K516:O516)))=ABS(MIN(K516:O516)), MIN(K516:O516),MAX(K516:O516)),K516:O516,0) - 1</f>
        <v>#N/A</v>
      </c>
    </row>
    <row r="517" spans="3:16" x14ac:dyDescent="0.3">
      <c r="C517" t="str">
        <f>X489</f>
        <v>PPE / Sales</v>
      </c>
      <c r="D517" t="e">
        <f ca="1">X491</f>
        <v>#N/A</v>
      </c>
      <c r="E517" t="e">
        <f ca="1">Y491</f>
        <v>#N/A</v>
      </c>
      <c r="F517" t="e">
        <f ca="1">Z491</f>
        <v>#N/A</v>
      </c>
      <c r="G517" t="e">
        <f ca="1">AA491</f>
        <v>#N/A</v>
      </c>
      <c r="H517" t="e">
        <f ca="1">AB491</f>
        <v>#N/A</v>
      </c>
      <c r="I517" t="e">
        <f t="shared" ca="1" si="156"/>
        <v>#N/A</v>
      </c>
      <c r="J517" t="e">
        <f t="shared" ca="1" si="157"/>
        <v>#N/A</v>
      </c>
      <c r="K517" t="e">
        <f t="shared" ca="1" si="158"/>
        <v>#N/A</v>
      </c>
      <c r="L517" t="e">
        <f t="shared" ca="1" si="159"/>
        <v>#N/A</v>
      </c>
      <c r="M517" t="e">
        <f t="shared" ca="1" si="160"/>
        <v>#N/A</v>
      </c>
      <c r="N517" t="e">
        <f t="shared" ca="1" si="161"/>
        <v>#N/A</v>
      </c>
      <c r="O517" t="e">
        <f t="shared" ca="1" si="162"/>
        <v>#N/A</v>
      </c>
      <c r="P517" t="e">
        <f ca="1">K507 + MATCH(IF(MAX(MAX(K517:O517),ABS(MIN(K517:O517)))=ABS(MIN(K517:O517)), MIN(K517:O517),MAX(K517:O517)),K517:O517,0) - 1</f>
        <v>#N/A</v>
      </c>
    </row>
    <row r="518" spans="3:16" x14ac:dyDescent="0.3">
      <c r="C518" t="str">
        <f>X497</f>
        <v>Intangibles / Sales</v>
      </c>
      <c r="D518" t="e">
        <f ca="1">X499</f>
        <v>#N/A</v>
      </c>
      <c r="E518" t="e">
        <f ca="1">Y499</f>
        <v>#N/A</v>
      </c>
      <c r="F518" t="e">
        <f ca="1">Z499</f>
        <v>#N/A</v>
      </c>
      <c r="G518" t="e">
        <f ca="1">AA499</f>
        <v>#N/A</v>
      </c>
      <c r="H518" t="e">
        <f ca="1">AB499</f>
        <v>#N/A</v>
      </c>
      <c r="I518" t="e">
        <f t="shared" ca="1" si="156"/>
        <v>#N/A</v>
      </c>
      <c r="J518" t="e">
        <f t="shared" ca="1" si="157"/>
        <v>#N/A</v>
      </c>
      <c r="K518" t="e">
        <f t="shared" ca="1" si="158"/>
        <v>#N/A</v>
      </c>
      <c r="L518" t="e">
        <f t="shared" ca="1" si="159"/>
        <v>#N/A</v>
      </c>
      <c r="M518" t="e">
        <f t="shared" ca="1" si="160"/>
        <v>#N/A</v>
      </c>
      <c r="N518" t="e">
        <f t="shared" ca="1" si="161"/>
        <v>#N/A</v>
      </c>
      <c r="O518" t="e">
        <f t="shared" ca="1" si="162"/>
        <v>#N/A</v>
      </c>
      <c r="P518" t="e">
        <f ca="1">K507 + MATCH(IF(MAX(MAX(K518:O518),ABS(MIN(K518:O518)))=ABS(MIN(K518:O518)), MIN(K518:O518),MAX(K518:O518)),K518:O518,0) - 1</f>
        <v>#N/A</v>
      </c>
    </row>
    <row r="519" spans="3:16" x14ac:dyDescent="0.3">
      <c r="I519" t="str">
        <f>"Max SD"</f>
        <v>Max SD</v>
      </c>
      <c r="J519" t="e">
        <f ca="1">MAX(J508:J518)</f>
        <v>#N/A</v>
      </c>
    </row>
    <row r="520" spans="3:16" x14ac:dyDescent="0.3">
      <c r="I520" t="str">
        <f>"Max SD Item"</f>
        <v>Max SD Item</v>
      </c>
      <c r="J520" t="e">
        <f ca="1">INDIRECT("C" &amp; 507 + MATCH(J519,J508:J518,0))</f>
        <v>#N/A</v>
      </c>
    </row>
    <row r="521" spans="3:16" x14ac:dyDescent="0.3">
      <c r="I521" t="str">
        <f>"Min SD"</f>
        <v>Min SD</v>
      </c>
      <c r="J521" t="e">
        <f ca="1">MIN(J508:J518)</f>
        <v>#N/A</v>
      </c>
    </row>
    <row r="522" spans="3:16" x14ac:dyDescent="0.3">
      <c r="I522" t="str">
        <f>"Min SD Item"</f>
        <v>Min SD Item</v>
      </c>
      <c r="J522" t="e">
        <f ca="1">INDIRECT("C" &amp; 507 + MATCH(J521,J508:J518,0))</f>
        <v>#N/A</v>
      </c>
    </row>
    <row r="523" spans="3:16" x14ac:dyDescent="0.3">
      <c r="C523" t="str">
        <f>"Correlation Analysis"</f>
        <v>Correlation Analysis</v>
      </c>
    </row>
    <row r="524" spans="3:16" x14ac:dyDescent="0.3">
      <c r="D524" t="str">
        <f>C528</f>
        <v>Operating Margin</v>
      </c>
      <c r="E524" t="str">
        <f>C529</f>
        <v>Invested Capital / Sales</v>
      </c>
      <c r="F524" t="str">
        <f>X453</f>
        <v>Gross Margin</v>
      </c>
      <c r="G524" t="str">
        <f>X461</f>
        <v>SGA / Sales</v>
      </c>
      <c r="H524" t="str">
        <f>X469</f>
        <v>Depreciation / Sales</v>
      </c>
      <c r="I524" t="str">
        <f>X481</f>
        <v>Op WC / Sales</v>
      </c>
      <c r="J524" t="str">
        <f>X489</f>
        <v>PPE / Sales</v>
      </c>
      <c r="K524" t="str">
        <f>X497</f>
        <v>Intangibles / Sales</v>
      </c>
      <c r="L524" t="str">
        <f>"Key Driver on correlation basis"</f>
        <v>Key Driver on correlation basis</v>
      </c>
    </row>
    <row r="525" spans="3:16" x14ac:dyDescent="0.3">
      <c r="C525" t="str">
        <f>C508</f>
        <v>EOY ROIC</v>
      </c>
      <c r="D525" t="e">
        <f ca="1">E482</f>
        <v>#N/A</v>
      </c>
      <c r="E525" t="e">
        <f ca="1">E483</f>
        <v>#N/A</v>
      </c>
      <c r="F525" t="e">
        <f ca="1">E484</f>
        <v>#N/A</v>
      </c>
      <c r="G525" t="e">
        <f ca="1">E485</f>
        <v>#N/A</v>
      </c>
      <c r="H525" t="e">
        <f ca="1">E486</f>
        <v>#N/A</v>
      </c>
      <c r="I525" t="e">
        <f ca="1">E487</f>
        <v>#N/A</v>
      </c>
      <c r="J525" t="e">
        <f ca="1">E488</f>
        <v>#N/A</v>
      </c>
      <c r="K525" t="e">
        <f ca="1">E489</f>
        <v>#N/A</v>
      </c>
    </row>
    <row r="526" spans="3:16" x14ac:dyDescent="0.3">
      <c r="C526" t="str">
        <f>C509</f>
        <v>EOY Pretax ROIC</v>
      </c>
      <c r="D526" t="e">
        <f ca="1">O468</f>
        <v>#N/A</v>
      </c>
      <c r="E526" t="e">
        <f ca="1">O469</f>
        <v>#N/A</v>
      </c>
    </row>
    <row r="527" spans="3:16" x14ac:dyDescent="0.3">
      <c r="C527" t="str">
        <f>C510</f>
        <v>Cash Tax Rate</v>
      </c>
    </row>
    <row r="528" spans="3:16" x14ac:dyDescent="0.3">
      <c r="C528" t="str">
        <f>C511</f>
        <v>Operating Margin</v>
      </c>
      <c r="F528" t="e">
        <f ca="1">V463</f>
        <v>#N/A</v>
      </c>
      <c r="G528" t="e">
        <f ca="1">V464</f>
        <v>#N/A</v>
      </c>
      <c r="H528" t="e">
        <f ca="1">V465</f>
        <v>#N/A</v>
      </c>
      <c r="L528" t="e">
        <f ca="1">INDIRECT(ADDRESS(524,5+MATCH(IF(ABS(MAX(F528:H528))&gt;ABS(MIN(F528:H528)),MAX(F528:H528),MIN(F528:H528)),F528:H528,0)))</f>
        <v>#N/A</v>
      </c>
    </row>
    <row r="529" spans="3:12" x14ac:dyDescent="0.3">
      <c r="C529" t="str">
        <f>C512</f>
        <v>Invested Capital / Sales</v>
      </c>
      <c r="I529" t="e">
        <f ca="1">V491</f>
        <v>#N/A</v>
      </c>
      <c r="J529" t="e">
        <f ca="1">V492</f>
        <v>#N/A</v>
      </c>
      <c r="K529" t="e">
        <f ca="1">V493</f>
        <v>#N/A</v>
      </c>
      <c r="L529" t="e">
        <f ca="1">INDIRECT(ADDRESS(524,8+MATCH(IF(ABS(MAX(I529:K529))&gt;ABS(MIN(I529:K529)),MAX(I529:K529),MIN(I529:K529)),I529:K529,0)))</f>
        <v>#N/A</v>
      </c>
    </row>
    <row r="532" spans="3:12" x14ac:dyDescent="0.3">
      <c r="C532" t="str">
        <f>"Causation Analysis"</f>
        <v>Causation Analysis</v>
      </c>
    </row>
    <row r="533" spans="3:12" x14ac:dyDescent="0.3">
      <c r="D533" t="str">
        <f>C527</f>
        <v>Cash Tax Rate</v>
      </c>
      <c r="E533" t="str">
        <f>C536</f>
        <v>Operating Margin</v>
      </c>
      <c r="F533" t="str">
        <f>C537</f>
        <v>Invested Capital / Sales</v>
      </c>
      <c r="G533" t="str">
        <f t="shared" ref="G533:L533" si="163">F524</f>
        <v>Gross Margin</v>
      </c>
      <c r="H533" t="str">
        <f t="shared" si="163"/>
        <v>SGA / Sales</v>
      </c>
      <c r="I533" t="str">
        <f t="shared" si="163"/>
        <v>Depreciation / Sales</v>
      </c>
      <c r="J533" t="str">
        <f t="shared" si="163"/>
        <v>Op WC / Sales</v>
      </c>
      <c r="K533" t="str">
        <f t="shared" si="163"/>
        <v>PPE / Sales</v>
      </c>
      <c r="L533" t="str">
        <f t="shared" si="163"/>
        <v>Intangibles / Sales</v>
      </c>
    </row>
    <row r="534" spans="3:12" x14ac:dyDescent="0.3">
      <c r="C534" t="str">
        <f>C508</f>
        <v>EOY ROIC</v>
      </c>
      <c r="D534" t="e">
        <f ca="1">IF(AND(G478&lt;&gt;"Inconclusive Effect",G480&lt;&gt;"Inconclusive Effect"),G478 &amp; CHAR(10) &amp; ". " &amp;G480,IF(G478&lt;&gt;"Inconclusive Effect",G478,IF(G480&lt;&gt;"Inconclusive Effect",G480,"Inconclusive Effect")))</f>
        <v>#N/A</v>
      </c>
    </row>
    <row r="535" spans="3:12" x14ac:dyDescent="0.3">
      <c r="C535" t="str">
        <f>C509</f>
        <v>EOY Pretax ROIC</v>
      </c>
      <c r="E535" t="e">
        <f ca="1">IF(AND(M468&lt;&gt;"Inconclusive Effect",M470&lt;&gt;"Inconclusive Effect"),M468 &amp; CHAR(10) &amp; ". " &amp;M470,IF(M468&lt;&gt;"Inconclusive Effect",M468,IF(M470&lt;&gt;"Inconclusive Effect",M470,"Inconclusive Effect")))</f>
        <v>#N/A</v>
      </c>
      <c r="F535" t="e">
        <f ca="1">IF(AND(M469&lt;&gt;"Inconclusive Effect",M471&lt;&gt;"Inconclusive Effect"),M469 &amp; CHAR(10) &amp; ". " &amp;M471,IF(M469&lt;&gt;"Inconclusive Effect",M469,IF(M471&lt;&gt;"Inconclusive Effect",M471,"Inconclusive Effect")))</f>
        <v>#N/A</v>
      </c>
    </row>
    <row r="536" spans="3:12" x14ac:dyDescent="0.3">
      <c r="C536" t="str">
        <f>C511</f>
        <v>Operating Margin</v>
      </c>
      <c r="G536" t="e">
        <f ca="1">IF(AND(T463&lt;&gt;"Inconclusive Effect",T466&lt;&gt;"Inconclusive Effect"),T463 &amp; CHAR(10) &amp; ". " &amp;T466,IF(T463&lt;&gt;"Inconclusive Effect",T463,IF(T466&lt;&gt;"Inconclusive Effect",T466,"Inconclusive Effect")))</f>
        <v>#N/A</v>
      </c>
      <c r="H536" t="e">
        <f ca="1">IF(AND(T464&lt;&gt;"Inconclusive Effect",T467&lt;&gt;"Inconclusive Effect"),T464 &amp; CHAR(10) &amp; ". " &amp;T467,IF(T464&lt;&gt;"Inconclusive Effect",T464,IF(T467&lt;&gt;"Inconclusive Effect",T467,"Inconclusive Effect")))</f>
        <v>#N/A</v>
      </c>
      <c r="I536" t="e">
        <f ca="1">IF(AND(T465&lt;&gt;"Inconclusive Effect",T468&lt;&gt;"Inconclusive Effect"),T465 &amp; CHAR(10) &amp; ". " &amp;T468,IF(T465&lt;&gt;"Inconclusive Effect",T465,IF(T468&lt;&gt;"Inconclusive Effect",T468,"Inconclusive Effect")))</f>
        <v>#N/A</v>
      </c>
    </row>
    <row r="537" spans="3:12" x14ac:dyDescent="0.3">
      <c r="C537" t="str">
        <f>C512</f>
        <v>Invested Capital / Sales</v>
      </c>
      <c r="J537" t="e">
        <f ca="1">IF(AND(T491&lt;&gt;"Inconclusive Effect",T494&lt;&gt;"Inconclusive Effect"),T491 &amp; CHAR(10) &amp; ". " &amp;T494,IF(T491&lt;&gt;"Inconclusive Effect",T491,IF(T494&lt;&gt;"Inconclusive Effect",T494,"Inconclusive Effect")))</f>
        <v>#N/A</v>
      </c>
      <c r="K537" t="e">
        <f ca="1">IF(AND(T492&lt;&gt;"Inconclusive Effect",T495&lt;&gt;"Inconclusive Effect"),T492 &amp; CHAR(10) &amp; ". " &amp;T495,IF(T492&lt;&gt;"Inconclusive Effect",T492,IF(T495&lt;&gt;"Inconclusive Effect",T495,"Inconclusive Effect")))</f>
        <v>#N/A</v>
      </c>
      <c r="L537" t="e">
        <f ca="1">IF(AND(T493&lt;&gt;"Inconclusive Effect",T496&lt;&gt;"Inconclusive Effect"),T493 &amp; CHAR(10) &amp; ". " &amp;T496,IF(T493&lt;&gt;"Inconclusive Effect",T493,IF(T496&lt;&gt;"Inconclusive Effect",T496,"Inconclusive Effect")))</f>
        <v>#N/A</v>
      </c>
    </row>
    <row r="538" spans="3:12" x14ac:dyDescent="0.3">
      <c r="C538" t="str">
        <f>"Summary"</f>
        <v>Summary</v>
      </c>
      <c r="D538" t="e">
        <f ca="1">IF(D534&lt;&gt;"Inconclusive Effect",D534,"")</f>
        <v>#N/A</v>
      </c>
      <c r="E538" t="e">
        <f ca="1">IF(E535&lt;&gt;"Inconclusive Effect",E535,"")</f>
        <v>#N/A</v>
      </c>
      <c r="F538" t="e">
        <f ca="1">IF(F535&lt;&gt;"Inconclusive Effect",F535,"")</f>
        <v>#N/A</v>
      </c>
      <c r="G538" t="e">
        <f ca="1">IF(G536&lt;&gt;"Inconclusive Effect",G536,"")</f>
        <v>#N/A</v>
      </c>
      <c r="H538" t="e">
        <f ca="1">IF(H536&lt;&gt;"Inconclusive Effect",H536,"")</f>
        <v>#N/A</v>
      </c>
      <c r="I538" t="e">
        <f ca="1">IF(I536&lt;&gt;"Inconclusive Effect",I536,"")</f>
        <v>#N/A</v>
      </c>
      <c r="J538" t="e">
        <f ca="1">IF(J537&lt;&gt;"Inconclusive Effect",J537,"")</f>
        <v>#N/A</v>
      </c>
      <c r="K538" t="e">
        <f ca="1">IF(K537&lt;&gt;"Inconclusive Effect",K537,"")</f>
        <v>#N/A</v>
      </c>
      <c r="L538" t="e">
        <f ca="1">IF(L537&lt;&gt;"Inconclusive Effect",L537,"")</f>
        <v>#N/A</v>
      </c>
    </row>
    <row r="540" spans="3:12" x14ac:dyDescent="0.3">
      <c r="C540" t="e">
        <f ca="1">_xludf.TEXTJOIN(". ",TRUE,D538:L538)</f>
        <v>#NAME?</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H540"/>
  <sheetViews>
    <sheetView topLeftCell="B1" workbookViewId="0"/>
  </sheetViews>
  <sheetFormatPr defaultRowHeight="14.4" x14ac:dyDescent="0.3"/>
  <cols>
    <col min="1" max="1" width="0" hidden="1" customWidth="1"/>
    <col min="2" max="7" width="20.6640625" customWidth="1"/>
  </cols>
  <sheetData>
    <row r="1" spans="1:16" x14ac:dyDescent="0.3">
      <c r="B1" t="s">
        <v>0</v>
      </c>
      <c r="C1" t="s">
        <v>3840</v>
      </c>
      <c r="D1" t="str">
        <f>TRIM(IFERROR(IFERROR(IFERROR(IFERROR(IFERROR(IFERROR(IFERROR(REPLACE(LEFT(C1,FIND("(",C1) - 2), FIND("PLC",UPPER(LEFT(C1,FIND("(",C1) - 2))),3,"" ), REPLACE(LEFT(C1,FIND("(",C1) - 2), FIND(", INC.",UPPER(LEFT(C1,FIND("(",C1) - 2))),6,"" )), REPLACE(LEFT(C1,FIND("(",C1) - 2), FIND("CORPORATION",UPPER(LEFT(C1,FIND("(",C1) - 2))),11,"" )),REPLACE(LEFT(C1,FIND("(",C1) - 2), FIND("CORP.",UPPER(LEFT(C1,FIND("(",C1) - 2))),5,"" )), REPLACE(LEFT(C1,FIND("(",C1) - 2), FIND("COMPANY",UPPER(LEFT(C1,FIND("(",C1) - 2))),7,"" )),REPLACE(LEFT(C1,FIND("(",C1) - 2), FIND("INC.",UPPER(LEFT(C1,FIND("(",C1) - 2))),4,"" )),REPLACE(LEFT(C1,FIND("(",C1) - 2), FIND("CORP",UPPER(LEFT(C1,FIND("(",C1) - 2))),4,"" )),LEFT(C1,FIND("(",C1) - 2)))</f>
        <v>Colfax</v>
      </c>
    </row>
    <row r="2" spans="1:16" x14ac:dyDescent="0.3">
      <c r="B2" t="s">
        <v>2</v>
      </c>
      <c r="C2" t="s">
        <v>3841</v>
      </c>
      <c r="K2" t="str">
        <f>LEFT(C1,FIND("(",C1) - 2)</f>
        <v>Colfax Corporation</v>
      </c>
    </row>
    <row r="3" spans="1:16" x14ac:dyDescent="0.3">
      <c r="J3">
        <f ca="1">RANDBETWEEN(1,6)</f>
        <v>6</v>
      </c>
      <c r="K3" t="str">
        <f>" is scheduled to report earnings "&amp;IFERROR("between "&amp;LEFT(C20,FIND("-",C20)-2)&amp;" and "&amp;RIGHT(C20,FIND("-",C20)-2),"on "&amp;C20)</f>
        <v xml:space="preserve"> is scheduled to report earnings on Jul 28, 2017</v>
      </c>
      <c r="L3" t="str">
        <f>" is slated to report earnings "&amp;IFERROR("between "&amp;LEFT(C20,FIND("-",C20)-2)&amp;" and "&amp;RIGHT(C20,FIND("-",C20)-2),"on "&amp;C20)</f>
        <v xml:space="preserve"> is slated to report earnings on Jul 28, 2017</v>
      </c>
      <c r="M3" t="str">
        <f>" will report earnings "&amp;IFERROR("between "&amp;LEFT(C20,FIND("-",C20)-2)&amp;" and "&amp;RIGHT(C20,FIND("-",C20)-2),"on "&amp;C20)</f>
        <v xml:space="preserve"> will report earnings on Jul 28, 2017</v>
      </c>
      <c r="N3" t="str">
        <f>" reports earnings "&amp;IFERROR("between "&amp;LEFT(C20,FIND("-",C20)-2)&amp;" and "&amp;RIGHT(C20,FIND("-",C20)-2),"on "&amp;C20)</f>
        <v xml:space="preserve"> reports earnings on Jul 28, 2017</v>
      </c>
      <c r="O3" t="str">
        <f>" plans to report earnings "&amp;IFERROR("between "&amp;LEFT(C20,FIND("-",C20)-2)&amp;" and "&amp;RIGHT(C20,FIND("-",C20)-2),"on "&amp;C20)</f>
        <v xml:space="preserve"> plans to report earnings on Jul 28, 2017</v>
      </c>
      <c r="P3" t="str">
        <f>" is going to report earnings "&amp;IFERROR("between "&amp;LEFT(C20,FIND("-",C20)-2)&amp;" and "&amp;RIGHT(C20,FIND("-",C20)-2),"on "&amp;C20)</f>
        <v xml:space="preserve"> is going to report earnings on Jul 28, 2017</v>
      </c>
    </row>
    <row r="4" spans="1:16" x14ac:dyDescent="0.3">
      <c r="B4" t="s">
        <v>4</v>
      </c>
      <c r="J4">
        <f ca="1">RANDBETWEEN(1,2)</f>
        <v>2</v>
      </c>
      <c r="K4" t="str">
        <f>"The stock is currently trading at " &amp; TEXT(C2,"$####.00") &amp; ", " &amp; IF(C2-C7=0, "at the same price" &amp; " after opening " &amp; IF(C8-C7=0, "at the same price as yesterday's close", IF(C8-C7&gt;0, "up " &amp; IF((C7-C8)/C7*-1 &lt;0.01, "slightly", TEXT((C7-C8)/C7*-1,"##.##%")) &amp; " over yesterday's close", IF((C7-C8)/C7 &lt;0.01, "slightly below", "down " &amp; TEXT((C7-C8)/C7*1,"##.##%") &amp; " from") &amp; " yesterday's close")), IF(C2-C7&gt;0, "up " &amp; TEXT((C7-C2)/C7*-1,"##.##%") &amp; " after opening " &amp; IF(C8-C7=0, "at the same price as yesterday's close", IF(C8-C7&gt;0, "up " &amp; IF((C7-C8)/C7*-1 &lt;0.01, "slightly", TEXT((C7-C8)/C7*-1,"##.##%")) &amp; " over yesterday's close", IF((C7-C8)/C7 &lt;0.01, "slightly below", "down " &amp; TEXT((C7-C8)/C7*1,"##.##%") &amp; " from") &amp; " yesterday's close")), "down " &amp; TEXT((C7-C2)/C7*1,"##.##%") &amp; " after opening " &amp; IF(C8-C7=0, "at the same price as yesterday's close", IF(C8-C7&gt;0, "up " &amp; IF((C7-C8)/C7*-1 &lt;0.01, "slightly", TEXT((C7-C8)/C7*-1,"##.##%")) &amp; " over yesterday's close", IF((C7-C8)/C7 &lt;0.01, "slightly below", "down " &amp; TEXT((C7-C8)/C7*1,"##.##%") &amp; " from") &amp; " yesterday's close")) ))</f>
        <v>The stock is currently trading at $40.83, down .29% after opening up slightly over yesterday's close</v>
      </c>
      <c r="L4" t="str">
        <f>"The current stock price is " &amp; TEXT(C2,"$####.00") &amp; ", " &amp; IF(C2-C7=0, "at the same price" &amp; " after opening " &amp; IF(C8-C7=0, "at the same price as yesterday's closing price", IF(C8-C7&gt;0, "up " &amp; IF((C7-C8)/C7*-1 &lt;0.01, "a fraction", TEXT((C7-C8)/C7*-1,"##.##%")) &amp; " over yesterday's closing price", IF((C7-C8)/C7 &lt;0.01, "a bit below", "down " &amp; TEXT((C7-C8)/C7*1,"##.##%") &amp; " from") &amp; " yesterday's closing price")), IF(C2-C7&gt;0, "up " &amp; TEXT((C7-C2)/C7*-1,"##.##%") &amp; " after opening " &amp; IF(C8-C7=0, "at yesterday's closing price", IF(C8-C7&gt;0, "up " &amp; IF((C7-C8)/C7*-1 &lt;0.01, "a fraction", TEXT((C7-C8)/C7*-1,"##.##%")) &amp; " over yesterday's closing price", IF((C7-C8)/C7 &lt;0.01, "a bit below", "down " &amp; TEXT((C7-C8)/C7*1,"##.##%") &amp; " from") &amp; " yesterday's closing price")), "down " &amp; TEXT((C7-C2)/C7*1,"##.##%") &amp; " after opening " &amp; IF(C8-C7=0, "at yesterday's closing price", IF(C8-C7&gt;0, "up " &amp; IF((C7-C8)/C7*-1 &lt;0.01, "a fraction", TEXT((C7-C8)/C7*-1,"##.##%")) &amp; " over yesterday's closing price", IF((C7-C8)/C7 &lt;0.01, "a bit below", "down " &amp; TEXT((C7-C8)/C7*1,"##.##%") &amp; " from") &amp; " yesterday's closing price")) ))</f>
        <v>The current stock price is $40.83, down .29% after opening up a fraction over yesterday's closing price</v>
      </c>
    </row>
    <row r="5" spans="1:16" x14ac:dyDescent="0.3">
      <c r="J5">
        <f ca="1">RANDBETWEEN(1,2)</f>
        <v>2</v>
      </c>
      <c r="K5" t="str">
        <f>"The one year target estimate for " &amp; D1 &amp; " is " &amp; TEXT(C23,"$####.00")</f>
        <v>The one year target estimate for Colfax is $44.30</v>
      </c>
      <c r="L5" t="str">
        <f>D1 &amp; " is expected to be trading at " &amp; TEXT(C23, "$####.00") &amp; ", based on target estimates"</f>
        <v>Colfax is expected to be trading at $44.30, based on target estimates</v>
      </c>
    </row>
    <row r="6" spans="1:16" x14ac:dyDescent="0.3">
      <c r="K6" t="str">
        <f>" which would be " &amp; IF(OR(LEFT(ABS((C23-C2)/C2*100),1)="8",LEFT(ABS((C23-C2)/C2*100),2)="18"), "an ", "a ")  &amp;TEXT(ABS((C23-C2)/C2),"####.00%")&amp;IF((C23-C2)&gt;0," increase over"," decrease from")&amp;" the current price"</f>
        <v xml:space="preserve"> which would be an 8.50% increase over the current price</v>
      </c>
    </row>
    <row r="7" spans="1:16" x14ac:dyDescent="0.3">
      <c r="A7" s="1">
        <v>0</v>
      </c>
      <c r="B7" t="s">
        <v>5</v>
      </c>
      <c r="C7" t="s">
        <v>3842</v>
      </c>
      <c r="K7" t="str">
        <f>"Earnings are expected to " &amp; IF(C28=D28, "remain constant over the next quarter", IF( D28&gt;C28,  "increase by " &amp; TEXT((D28-C28)/C28*100,"##.##") &amp; "% over last quarter", "decrease by " &amp; TEXT((D28-C28)/C28*-100,"##.##") &amp; "% from last quarter")) &amp; " based on the average of " &amp; $C$27 &amp; " analyst estimates (Yahoo Finance)"</f>
        <v>Earnings are expected to decrease by 2.33% from last quarter based on the average of 15 analyst estimates (Yahoo Finance)</v>
      </c>
    </row>
    <row r="8" spans="1:16" x14ac:dyDescent="0.3">
      <c r="A8" s="1">
        <v>1</v>
      </c>
      <c r="B8" t="s">
        <v>7</v>
      </c>
      <c r="C8" t="s">
        <v>3843</v>
      </c>
      <c r="K8" t="str">
        <f>IF(VALUE(C2)=D12, "The stock is trading at an all-time low",IF(VALUE(C2) =E12,"The stock is trading at an all-time high",IF(VALUE(C2)&lt;D12+(E12-D12)/3, "The stock is trading in the low end of its 52-week range",IF(VALUE(C2)&lt;D12+2*(E12-D12)/3, "The stock is trading near the middle of its 52 week range", "The stock is trading in the high end of its 52-week range"))) )</f>
        <v>The stock is trading in the high end of its 52-week range</v>
      </c>
    </row>
    <row r="9" spans="1:16" x14ac:dyDescent="0.3">
      <c r="A9" s="1">
        <v>2</v>
      </c>
      <c r="B9" t="s">
        <v>9</v>
      </c>
      <c r="C9" t="s">
        <v>10</v>
      </c>
      <c r="K9" t="str">
        <f>"Over the last 4 quarters, there" &amp; IF(4 - COUNTIF(C45:F45,"-*")=1, " has"," have") &amp; " been" &amp; IF(4 - COUNTIF(C45:F45,"-*")=1, " a,","") &amp; " positive earnings surprise" &amp; IF(4 - COUNTIF(C45:F45,"-*")=1, " ","s ") &amp; 4 -COUNTIF(C45:F45,"-*") &amp; IF(4 - COUNTIF(C45:F45,"-*")=1, " time,"," times,") &amp; " and a negative earnings surprise " &amp; COUNTIF(C45:F45,"-*") &amp; IF(COUNTIF(C45:F45,"-*")=1, " time", " times")</f>
        <v>Over the last 4 quarters, there have been positive earnings surprises 4 times, and a negative earnings surprise 0 times</v>
      </c>
    </row>
    <row r="10" spans="1:16" x14ac:dyDescent="0.3">
      <c r="A10" s="1">
        <v>3</v>
      </c>
      <c r="B10" t="s">
        <v>11</v>
      </c>
      <c r="C10" t="s">
        <v>10</v>
      </c>
      <c r="K10" t="str">
        <f>IF(F48=F52,"",IF(F48&gt;F52, "EPS estimates have increased by " &amp; TEXT(F48-F52,"$0.00") &amp; " in the 2 months leading up to the earnings report", "EPS estimates have decreased by " &amp; TEXT(ABS(F48-F52),"$0.00") &amp; " in the 2 months leading up to the earnings report"))</f>
        <v>EPS estimates have increased by $0.10 in the 2 months leading up to the earnings report</v>
      </c>
    </row>
    <row r="11" spans="1:16" x14ac:dyDescent="0.3">
      <c r="A11" s="1">
        <v>4</v>
      </c>
      <c r="B11" t="s">
        <v>12</v>
      </c>
      <c r="C11" t="s">
        <v>3844</v>
      </c>
      <c r="K11" t="str">
        <f>IF(B145="Interest Income",U42, K42)</f>
        <v>No positive trends</v>
      </c>
    </row>
    <row r="12" spans="1:16" x14ac:dyDescent="0.3">
      <c r="A12" s="1">
        <v>5</v>
      </c>
      <c r="B12" t="s">
        <v>14</v>
      </c>
      <c r="C12" t="s">
        <v>3845</v>
      </c>
      <c r="D12" t="str">
        <f>LEFT(C12,FIND("-",C12)-2)</f>
        <v>27.76</v>
      </c>
      <c r="E12" t="str">
        <f>TRIM(RIGHT(C12,FIND("-",C12)-1))</f>
        <v>42.50</v>
      </c>
      <c r="K12" t="str">
        <f ca="1">D78</f>
        <v>There are some indications that Colfax may be overvalued. The company has a higher peg ratio than the comparable average</v>
      </c>
    </row>
    <row r="13" spans="1:16" x14ac:dyDescent="0.3">
      <c r="A13" s="1">
        <v>6</v>
      </c>
      <c r="B13" t="s">
        <v>16</v>
      </c>
      <c r="C13" t="s">
        <v>3846</v>
      </c>
      <c r="K13" t="str">
        <f ca="1">D89</f>
        <v>There are some indications that Colfax may be undervalued. The company has a lower trailing p/e, forward p/e, price/sales, and price/book than the comparable average</v>
      </c>
    </row>
    <row r="14" spans="1:16" x14ac:dyDescent="0.3">
      <c r="A14" s="1">
        <v>7</v>
      </c>
      <c r="B14" t="s">
        <v>18</v>
      </c>
      <c r="C14" t="s">
        <v>3847</v>
      </c>
    </row>
    <row r="16" spans="1:16" x14ac:dyDescent="0.3">
      <c r="A16" s="1">
        <v>0</v>
      </c>
      <c r="B16" t="s">
        <v>20</v>
      </c>
      <c r="C16" t="s">
        <v>3848</v>
      </c>
    </row>
    <row r="17" spans="1:23" x14ac:dyDescent="0.3">
      <c r="A17" s="1">
        <v>1</v>
      </c>
      <c r="B17" t="s">
        <v>22</v>
      </c>
      <c r="C17" t="s">
        <v>3849</v>
      </c>
      <c r="K17" t="str">
        <f ca="1">K2 &amp; IF(J3=1, K3,IF(J3=2,L3,IF(J3=3,M3,IF(J3=4,N3,IF(J3=5,O3,IF(J3=6,P3)))))) &amp; ". " &amp; IF(J4=1,K4,IF(J4=2,L4)) &amp; ". " &amp; IF(J5=1,K5,IF(J5=2,L5)) &amp; K6 &amp; ". " &amp; K7 &amp; ". " &amp; K8 &amp; ". " &amp; K9 &amp; "."</f>
        <v>Colfax Corporation is going to report earnings on Jul 28, 2017. The current stock price is $40.83, down .29% after opening up a fraction over yesterday's closing price. Colfax is expected to be trading at $44.30, based on target estimates which would be an 8.50% increase over the current price. Earnings are expected to decrease by 2.33% from last quarter based on the average of 15 analyst estimates (Yahoo Finance). The stock is trading in the high end of its 52-week range. Over the last 4 quarters, there have been positive earnings surprises 4 times, and a negative earnings surprise 0 times.</v>
      </c>
    </row>
    <row r="18" spans="1:23" x14ac:dyDescent="0.3">
      <c r="A18" s="1">
        <v>2</v>
      </c>
      <c r="B18" t="s">
        <v>24</v>
      </c>
      <c r="C18" t="s">
        <v>3850</v>
      </c>
    </row>
    <row r="19" spans="1:23" x14ac:dyDescent="0.3">
      <c r="A19" s="1">
        <v>3</v>
      </c>
      <c r="B19" t="s">
        <v>26</v>
      </c>
      <c r="C19" t="s">
        <v>3458</v>
      </c>
    </row>
    <row r="20" spans="1:23" x14ac:dyDescent="0.3">
      <c r="A20" s="1">
        <v>4</v>
      </c>
      <c r="B20" t="s">
        <v>28</v>
      </c>
      <c r="C20" t="s">
        <v>29</v>
      </c>
    </row>
    <row r="21" spans="1:23" x14ac:dyDescent="0.3">
      <c r="A21" s="1">
        <v>5</v>
      </c>
      <c r="B21" t="s">
        <v>30</v>
      </c>
      <c r="C21" t="s">
        <v>3158</v>
      </c>
    </row>
    <row r="22" spans="1:23" x14ac:dyDescent="0.3">
      <c r="A22" s="1">
        <v>6</v>
      </c>
      <c r="B22" t="s">
        <v>32</v>
      </c>
      <c r="J22">
        <f>IF(K22 &lt;&gt; "",1, 0)</f>
        <v>0</v>
      </c>
      <c r="K22" t="str">
        <f>IF(I145="pos_trend","Revenue","")</f>
        <v/>
      </c>
      <c r="L22" t="str">
        <f t="shared" ref="L22:L38" si="0">IF(EXACT(K22,UPPER(K22)),K22,LOWER(K22))</f>
        <v/>
      </c>
      <c r="M22" t="str">
        <f>L22</f>
        <v/>
      </c>
      <c r="T22">
        <f>IF(U22 &lt;&gt; "",1, 0)</f>
        <v>0</v>
      </c>
      <c r="U22" t="str">
        <f>IF(AND(B145 = "Interest Income",I145="pos_trend"), "Interest Income","")</f>
        <v/>
      </c>
      <c r="V22" t="str">
        <f t="shared" ref="V22:V38" si="1">IF(EXACT(U22,UPPER(U22)),U22,LOWER(U22))</f>
        <v/>
      </c>
      <c r="W22" t="str">
        <f>V22</f>
        <v/>
      </c>
    </row>
    <row r="23" spans="1:23" x14ac:dyDescent="0.3">
      <c r="A23" s="1">
        <v>7</v>
      </c>
      <c r="B23" t="s">
        <v>34</v>
      </c>
      <c r="C23" t="s">
        <v>3851</v>
      </c>
      <c r="J23">
        <f>IF(K23 &lt;&gt; "",2, 0)</f>
        <v>0</v>
      </c>
      <c r="K23" t="str">
        <f>IF(I146="pos_trend",B146,"")</f>
        <v/>
      </c>
      <c r="L23" t="str">
        <f t="shared" si="0"/>
        <v/>
      </c>
      <c r="M23" t="str">
        <f t="shared" ref="M23:M39" si="2">IF(L23&lt;&gt;"", M22 &amp; ", " &amp; L23,M22)</f>
        <v/>
      </c>
      <c r="T23">
        <f>IF(U23 &lt;&gt; "",2, 0)</f>
        <v>0</v>
      </c>
      <c r="U23" t="str">
        <f>IF(I151="pos_trend",B151,"")</f>
        <v/>
      </c>
      <c r="V23" t="str">
        <f t="shared" si="1"/>
        <v/>
      </c>
      <c r="W23" t="str">
        <f t="shared" ref="W23:W39" si="3">IF(V23&lt;&gt;"", W22 &amp; ", " &amp; V23,W22)</f>
        <v/>
      </c>
    </row>
    <row r="24" spans="1:23" x14ac:dyDescent="0.3">
      <c r="J24">
        <f>IF(K24 &lt;&gt; "",3, 0)</f>
        <v>0</v>
      </c>
      <c r="K24" t="str">
        <f>IF(I153="pos_trend",B153,"")</f>
        <v/>
      </c>
      <c r="L24" t="str">
        <f t="shared" si="0"/>
        <v/>
      </c>
      <c r="M24" t="str">
        <f t="shared" si="2"/>
        <v/>
      </c>
      <c r="T24">
        <f>IF(U24 &lt;&gt; "",3, 0)</f>
        <v>0</v>
      </c>
      <c r="U24" t="str">
        <f>IF(I161="pos_trend",B161,"")</f>
        <v/>
      </c>
      <c r="V24" t="str">
        <f t="shared" si="1"/>
        <v/>
      </c>
      <c r="W24" t="str">
        <f t="shared" si="3"/>
        <v/>
      </c>
    </row>
    <row r="25" spans="1:23" x14ac:dyDescent="0.3">
      <c r="J25">
        <f>IF(K25 &lt;&gt; "",4, 0)</f>
        <v>0</v>
      </c>
      <c r="K25" t="str">
        <f>IF(I154="pos_trend",B154,"")</f>
        <v/>
      </c>
      <c r="L25" t="str">
        <f t="shared" si="0"/>
        <v/>
      </c>
      <c r="M25" t="str">
        <f t="shared" si="2"/>
        <v/>
      </c>
      <c r="T25">
        <f>IF(U25 &lt;&gt; "",4, 0)</f>
        <v>0</v>
      </c>
      <c r="U25" t="str">
        <f>IF(I162="pos_trend",B162,"")</f>
        <v/>
      </c>
      <c r="V25" t="str">
        <f t="shared" si="1"/>
        <v/>
      </c>
      <c r="W25" t="str">
        <f t="shared" si="3"/>
        <v/>
      </c>
    </row>
    <row r="26" spans="1:23" x14ac:dyDescent="0.3">
      <c r="B26" s="1" t="s">
        <v>36</v>
      </c>
      <c r="C26" s="1" t="s">
        <v>37</v>
      </c>
      <c r="D26" s="1" t="s">
        <v>38</v>
      </c>
      <c r="E26" s="1" t="s">
        <v>39</v>
      </c>
      <c r="F26" s="1" t="s">
        <v>40</v>
      </c>
      <c r="J26">
        <f>IF(K26 &lt;&gt; "",5, 0)</f>
        <v>0</v>
      </c>
      <c r="K26" t="str">
        <f>IF(I155="pos_trend",B155,"")</f>
        <v/>
      </c>
      <c r="L26" t="str">
        <f t="shared" si="0"/>
        <v/>
      </c>
      <c r="M26" t="str">
        <f t="shared" si="2"/>
        <v/>
      </c>
      <c r="T26">
        <f>IF(U26 &lt;&gt; "",5, 0)</f>
        <v>0</v>
      </c>
      <c r="U26" t="str">
        <f>IF(I167="pos_trend",B167,"")</f>
        <v/>
      </c>
      <c r="V26" t="str">
        <f t="shared" si="1"/>
        <v/>
      </c>
      <c r="W26" t="str">
        <f t="shared" si="3"/>
        <v/>
      </c>
    </row>
    <row r="27" spans="1:23" x14ac:dyDescent="0.3">
      <c r="A27" s="1">
        <v>0</v>
      </c>
      <c r="B27" t="s">
        <v>41</v>
      </c>
      <c r="C27">
        <v>15</v>
      </c>
      <c r="D27">
        <v>15</v>
      </c>
      <c r="E27">
        <v>17</v>
      </c>
      <c r="F27">
        <v>17</v>
      </c>
      <c r="J27">
        <f>IF(K27 &lt;&gt; "",6, 0)</f>
        <v>0</v>
      </c>
      <c r="K27" t="str">
        <f>IF(I172="pos_trend",B172,"")</f>
        <v/>
      </c>
      <c r="L27" t="str">
        <f t="shared" si="0"/>
        <v/>
      </c>
      <c r="M27" t="str">
        <f t="shared" si="2"/>
        <v/>
      </c>
      <c r="T27">
        <f>IF(U27 &lt;&gt; "",6, 0)</f>
        <v>0</v>
      </c>
      <c r="U27" t="str">
        <f>IF(I170="pos_trend",B170,"")</f>
        <v/>
      </c>
      <c r="V27" t="str">
        <f t="shared" si="1"/>
        <v/>
      </c>
      <c r="W27" t="str">
        <f t="shared" si="3"/>
        <v/>
      </c>
    </row>
    <row r="28" spans="1:23" x14ac:dyDescent="0.3">
      <c r="A28" s="1">
        <v>1</v>
      </c>
      <c r="B28" t="s">
        <v>42</v>
      </c>
      <c r="C28">
        <v>0.43</v>
      </c>
      <c r="D28">
        <v>0.42</v>
      </c>
      <c r="E28">
        <v>1.73</v>
      </c>
      <c r="F28">
        <v>2</v>
      </c>
      <c r="J28">
        <f>IF(K28 &lt;&gt; "",7, 0)</f>
        <v>0</v>
      </c>
      <c r="K28" t="str">
        <f>IF(I173="pos_trend",B173,"")</f>
        <v/>
      </c>
      <c r="L28" t="str">
        <f t="shared" si="0"/>
        <v/>
      </c>
      <c r="M28" t="str">
        <f t="shared" si="2"/>
        <v/>
      </c>
      <c r="T28">
        <f>IF(U28 &lt;&gt; "",7, 0)</f>
        <v>0</v>
      </c>
      <c r="U28" t="str">
        <f>IF(I171="pos_trend",B171,"")</f>
        <v/>
      </c>
      <c r="V28" t="str">
        <f t="shared" si="1"/>
        <v/>
      </c>
      <c r="W28" t="str">
        <f t="shared" si="3"/>
        <v/>
      </c>
    </row>
    <row r="29" spans="1:23" x14ac:dyDescent="0.3">
      <c r="A29" s="1">
        <v>2</v>
      </c>
      <c r="B29" t="s">
        <v>43</v>
      </c>
      <c r="C29">
        <v>0.41</v>
      </c>
      <c r="D29">
        <v>0.39</v>
      </c>
      <c r="E29">
        <v>1.65</v>
      </c>
      <c r="F29">
        <v>1.85</v>
      </c>
      <c r="J29">
        <f>IF(K29 &lt;&gt; "",8, 0)</f>
        <v>0</v>
      </c>
      <c r="K29" t="str">
        <f>IF(I174="pos_trend",B174,"")</f>
        <v/>
      </c>
      <c r="L29" t="str">
        <f t="shared" si="0"/>
        <v/>
      </c>
      <c r="M29" t="str">
        <f t="shared" si="2"/>
        <v/>
      </c>
      <c r="T29">
        <f>IF(U29 &lt;&gt; "",8, 0)</f>
        <v>0</v>
      </c>
      <c r="U29" t="str">
        <f>IF(I172="pos_trend",B172,"")</f>
        <v/>
      </c>
      <c r="V29" t="str">
        <f t="shared" si="1"/>
        <v/>
      </c>
      <c r="W29" t="str">
        <f t="shared" si="3"/>
        <v/>
      </c>
    </row>
    <row r="30" spans="1:23" x14ac:dyDescent="0.3">
      <c r="A30" s="1">
        <v>3</v>
      </c>
      <c r="B30" t="s">
        <v>44</v>
      </c>
      <c r="C30">
        <v>0.47</v>
      </c>
      <c r="D30">
        <v>0.47</v>
      </c>
      <c r="E30">
        <v>1.79</v>
      </c>
      <c r="F30">
        <v>2.1</v>
      </c>
      <c r="J30">
        <f>IF(K30 &lt;&gt; "",9, 0)</f>
        <v>0</v>
      </c>
      <c r="K30" t="str">
        <f>IF(I185="pos_trend",B185,"")</f>
        <v/>
      </c>
      <c r="L30" t="str">
        <f t="shared" si="0"/>
        <v/>
      </c>
      <c r="M30" t="str">
        <f t="shared" si="2"/>
        <v/>
      </c>
      <c r="T30">
        <f>IF(U30 &lt;&gt; "",9, 0)</f>
        <v>0</v>
      </c>
      <c r="U30" t="str">
        <f>IF(I178="pos_trend",B178,"")</f>
        <v/>
      </c>
      <c r="V30" t="str">
        <f t="shared" si="1"/>
        <v/>
      </c>
      <c r="W30" t="str">
        <f t="shared" si="3"/>
        <v/>
      </c>
    </row>
    <row r="31" spans="1:23" x14ac:dyDescent="0.3">
      <c r="A31" s="1">
        <v>4</v>
      </c>
      <c r="B31" t="s">
        <v>45</v>
      </c>
      <c r="C31">
        <v>0.41</v>
      </c>
      <c r="D31">
        <v>0.39</v>
      </c>
      <c r="E31">
        <v>1.56</v>
      </c>
      <c r="F31">
        <v>1.73</v>
      </c>
      <c r="J31">
        <f>IF(K31 &lt;&gt; "",10, 0)</f>
        <v>0</v>
      </c>
      <c r="K31" t="str">
        <f>IF(I186="pos_trend",B186,"")</f>
        <v/>
      </c>
      <c r="L31" t="str">
        <f t="shared" si="0"/>
        <v/>
      </c>
      <c r="M31" t="str">
        <f t="shared" si="2"/>
        <v/>
      </c>
      <c r="T31">
        <f>IF(U31 &lt;&gt; "",10, 0)</f>
        <v>0</v>
      </c>
      <c r="U31" t="str">
        <f>IF(I199="pos_trend",B199,"")</f>
        <v/>
      </c>
      <c r="V31" t="str">
        <f t="shared" si="1"/>
        <v/>
      </c>
      <c r="W31" t="str">
        <f t="shared" si="3"/>
        <v/>
      </c>
    </row>
    <row r="32" spans="1:23" x14ac:dyDescent="0.3">
      <c r="J32">
        <f>IF(K32 &lt;&gt; "",11, 0)</f>
        <v>0</v>
      </c>
      <c r="K32" t="str">
        <f>IF(I187="pos_trend",B187,"")</f>
        <v/>
      </c>
      <c r="L32" t="str">
        <f t="shared" si="0"/>
        <v/>
      </c>
      <c r="M32" t="str">
        <f t="shared" si="2"/>
        <v/>
      </c>
      <c r="T32">
        <f>IF(U32 &lt;&gt; "",11, 0)</f>
        <v>0</v>
      </c>
      <c r="U32" t="str">
        <f>IF(I209="pos_trend",B209,"")</f>
        <v/>
      </c>
      <c r="V32" t="str">
        <f t="shared" si="1"/>
        <v/>
      </c>
      <c r="W32" t="str">
        <f t="shared" si="3"/>
        <v/>
      </c>
    </row>
    <row r="33" spans="1:23" x14ac:dyDescent="0.3">
      <c r="B33" s="1" t="s">
        <v>46</v>
      </c>
      <c r="C33" s="1" t="s">
        <v>37</v>
      </c>
      <c r="D33" s="1" t="s">
        <v>38</v>
      </c>
      <c r="E33" s="1" t="s">
        <v>39</v>
      </c>
      <c r="F33" s="1" t="s">
        <v>40</v>
      </c>
      <c r="J33">
        <f>IF(K33 &lt;&gt; "",12, 0)</f>
        <v>0</v>
      </c>
      <c r="K33" t="str">
        <f>IF(I195="pos_trend",B195,"")</f>
        <v/>
      </c>
      <c r="L33" t="str">
        <f t="shared" si="0"/>
        <v/>
      </c>
      <c r="M33" t="str">
        <f t="shared" si="2"/>
        <v/>
      </c>
      <c r="T33">
        <f>IF(U33 &lt;&gt; "",12, 0)</f>
        <v>0</v>
      </c>
      <c r="U33" t="str">
        <f>IF(I231="pos_trend",B231,"")</f>
        <v/>
      </c>
      <c r="V33" t="str">
        <f t="shared" si="1"/>
        <v/>
      </c>
      <c r="W33" t="str">
        <f t="shared" si="3"/>
        <v/>
      </c>
    </row>
    <row r="34" spans="1:23" x14ac:dyDescent="0.3">
      <c r="A34" s="1">
        <v>0</v>
      </c>
      <c r="B34" t="s">
        <v>41</v>
      </c>
      <c r="C34" t="s">
        <v>3852</v>
      </c>
      <c r="D34" t="s">
        <v>3852</v>
      </c>
      <c r="E34" t="s">
        <v>3853</v>
      </c>
      <c r="F34" t="s">
        <v>3853</v>
      </c>
      <c r="J34">
        <f>IF(K34 &lt;&gt; "",13, 0)</f>
        <v>0</v>
      </c>
      <c r="K34" t="str">
        <f>IF(I196="pos_trend",B196,"")</f>
        <v/>
      </c>
      <c r="L34" t="str">
        <f t="shared" si="0"/>
        <v/>
      </c>
      <c r="M34" t="str">
        <f t="shared" si="2"/>
        <v/>
      </c>
      <c r="T34">
        <f>IF(U34 &lt;&gt; "",13, 0)</f>
        <v>0</v>
      </c>
      <c r="U34" t="str">
        <f>IF(I251="pos_trend",B251,"")</f>
        <v/>
      </c>
      <c r="V34" t="str">
        <f t="shared" si="1"/>
        <v/>
      </c>
      <c r="W34" t="str">
        <f t="shared" si="3"/>
        <v/>
      </c>
    </row>
    <row r="35" spans="1:23" x14ac:dyDescent="0.3">
      <c r="A35" s="1">
        <v>1</v>
      </c>
      <c r="B35" t="s">
        <v>42</v>
      </c>
      <c r="C35" t="s">
        <v>3854</v>
      </c>
      <c r="D35" t="s">
        <v>3855</v>
      </c>
      <c r="E35" t="s">
        <v>3856</v>
      </c>
      <c r="F35" t="s">
        <v>3857</v>
      </c>
      <c r="J35">
        <f>IF(K35 &lt;&gt; "",14, 0)</f>
        <v>0</v>
      </c>
      <c r="K35" t="str">
        <f>IF(I201="pos_trend",B201,"")</f>
        <v/>
      </c>
      <c r="L35" t="str">
        <f t="shared" si="0"/>
        <v/>
      </c>
      <c r="M35" t="str">
        <f t="shared" si="2"/>
        <v/>
      </c>
      <c r="T35">
        <f>IF(U35 &lt;&gt; "",14, 0)</f>
        <v>0</v>
      </c>
      <c r="U35" t="str">
        <f>IF(I279="pos_trend",B279,"")</f>
        <v/>
      </c>
      <c r="V35" t="str">
        <f t="shared" si="1"/>
        <v/>
      </c>
      <c r="W35" t="str">
        <f t="shared" si="3"/>
        <v/>
      </c>
    </row>
    <row r="36" spans="1:23" x14ac:dyDescent="0.3">
      <c r="A36" s="1">
        <v>2</v>
      </c>
      <c r="B36" t="s">
        <v>43</v>
      </c>
      <c r="C36" t="s">
        <v>3858</v>
      </c>
      <c r="D36" t="s">
        <v>3859</v>
      </c>
      <c r="E36" t="s">
        <v>60</v>
      </c>
      <c r="F36" t="s">
        <v>3860</v>
      </c>
      <c r="J36">
        <f>IF(K36 &lt;&gt; "",15, 0)</f>
        <v>0</v>
      </c>
      <c r="K36" t="str">
        <f>IF(I202="pos_trend",B202,"")</f>
        <v/>
      </c>
      <c r="L36" t="str">
        <f t="shared" si="0"/>
        <v/>
      </c>
      <c r="M36" t="str">
        <f t="shared" si="2"/>
        <v/>
      </c>
      <c r="T36">
        <f>IF(U36 &lt;&gt; "",15, 0)</f>
        <v>0</v>
      </c>
      <c r="U36" t="str">
        <f>IF(I336="pos_trend",B336,"")</f>
        <v/>
      </c>
      <c r="V36" t="str">
        <f t="shared" si="1"/>
        <v/>
      </c>
      <c r="W36" t="str">
        <f t="shared" si="3"/>
        <v/>
      </c>
    </row>
    <row r="37" spans="1:23" x14ac:dyDescent="0.3">
      <c r="A37" s="1">
        <v>3</v>
      </c>
      <c r="B37" t="s">
        <v>44</v>
      </c>
      <c r="C37" t="s">
        <v>3861</v>
      </c>
      <c r="D37" t="s">
        <v>3862</v>
      </c>
      <c r="E37" t="s">
        <v>3863</v>
      </c>
      <c r="F37" t="s">
        <v>3864</v>
      </c>
      <c r="J37">
        <f>IF(K37 &lt;&gt; "",16, 0)</f>
        <v>0</v>
      </c>
      <c r="K37" t="str">
        <f>IF(I203="pos_trend",B203,"")</f>
        <v/>
      </c>
      <c r="L37" t="str">
        <f t="shared" si="0"/>
        <v/>
      </c>
      <c r="M37" t="str">
        <f t="shared" si="2"/>
        <v/>
      </c>
      <c r="T37">
        <f>IF(U37 &lt;&gt; "",16, 0)</f>
        <v>0</v>
      </c>
      <c r="U37" t="str">
        <f>IF(I235="pos_trend",B235,"")</f>
        <v/>
      </c>
      <c r="V37" t="str">
        <f t="shared" si="1"/>
        <v/>
      </c>
      <c r="W37" t="str">
        <f t="shared" si="3"/>
        <v/>
      </c>
    </row>
    <row r="38" spans="1:23" x14ac:dyDescent="0.3">
      <c r="A38" s="1">
        <v>4</v>
      </c>
      <c r="B38" t="s">
        <v>61</v>
      </c>
      <c r="C38" t="s">
        <v>3865</v>
      </c>
      <c r="D38" t="s">
        <v>3866</v>
      </c>
      <c r="E38" t="s">
        <v>3867</v>
      </c>
      <c r="F38" t="s">
        <v>3856</v>
      </c>
      <c r="J38">
        <f>IF(K38 &lt;&gt; "",17, 0)</f>
        <v>0</v>
      </c>
      <c r="K38" t="str">
        <f>IF(I351="pos_trend",B351,"")</f>
        <v/>
      </c>
      <c r="L38" t="str">
        <f t="shared" si="0"/>
        <v/>
      </c>
      <c r="M38" t="str">
        <f t="shared" si="2"/>
        <v/>
      </c>
      <c r="T38">
        <f>IF(U38 &lt;&gt; "",17, 0)</f>
        <v>0</v>
      </c>
      <c r="U38" t="str">
        <f>IF(I236="pos_trend",B236,"")</f>
        <v/>
      </c>
      <c r="V38" t="str">
        <f t="shared" si="1"/>
        <v/>
      </c>
      <c r="W38" t="str">
        <f t="shared" si="3"/>
        <v/>
      </c>
    </row>
    <row r="39" spans="1:23" x14ac:dyDescent="0.3">
      <c r="A39" s="1">
        <v>5</v>
      </c>
      <c r="B39" t="s">
        <v>65</v>
      </c>
      <c r="C39" t="s">
        <v>3868</v>
      </c>
      <c r="D39" t="s">
        <v>3869</v>
      </c>
      <c r="E39" t="s">
        <v>2453</v>
      </c>
      <c r="F39" t="s">
        <v>1055</v>
      </c>
      <c r="K39" t="str">
        <f>IF(I352="pos_trend",B352,"")</f>
        <v/>
      </c>
      <c r="M39" t="str">
        <f t="shared" si="2"/>
        <v/>
      </c>
      <c r="W39" t="str">
        <f t="shared" si="3"/>
        <v/>
      </c>
    </row>
    <row r="40" spans="1:23" x14ac:dyDescent="0.3">
      <c r="J40">
        <f>MAX(J22:J39)</f>
        <v>0</v>
      </c>
      <c r="K40" t="str">
        <f>VLOOKUP(J40,J22:K39,2,FALSE)</f>
        <v/>
      </c>
      <c r="M40" t="str">
        <f>IF(IFERROR(FIND(",",M39),TRUE)=TRUE,M39,IF(NOT(EXACT(K40,UPPER(K40))),SUBSTITUTE(M39,LOWER(K40),"and "&amp;LOWER(K40)),SUBSTITUTE(M39,K40,"and "&amp;K40)))</f>
        <v/>
      </c>
      <c r="T40">
        <f>MAX(T22:T39)</f>
        <v>0</v>
      </c>
      <c r="U40" t="str">
        <f>VLOOKUP(T40,T22:U39,2,FALSE)</f>
        <v/>
      </c>
      <c r="W40" t="str">
        <f>IF(IFERROR(FIND(",",W39),TRUE)=TRUE,W39,IF(NOT(EXACT(U40,UPPER(U40))),SUBSTITUTE(W39,LOWER(U40),"and "&amp;LOWER(U40)),SUBSTITUTE(W39,U40,"and "&amp;U40)))</f>
        <v/>
      </c>
    </row>
    <row r="41" spans="1:23" x14ac:dyDescent="0.3">
      <c r="B41" s="1" t="s">
        <v>70</v>
      </c>
      <c r="C41" s="1" t="s">
        <v>71</v>
      </c>
      <c r="D41" s="1" t="s">
        <v>72</v>
      </c>
      <c r="E41" s="1" t="s">
        <v>73</v>
      </c>
      <c r="F41" s="1" t="s">
        <v>74</v>
      </c>
    </row>
    <row r="42" spans="1:23" x14ac:dyDescent="0.3">
      <c r="A42" s="1">
        <v>0</v>
      </c>
      <c r="B42" t="s">
        <v>75</v>
      </c>
      <c r="C42" t="s">
        <v>3870</v>
      </c>
      <c r="D42" t="s">
        <v>1676</v>
      </c>
      <c r="E42" t="s">
        <v>78</v>
      </c>
      <c r="F42" t="s">
        <v>3871</v>
      </c>
      <c r="K42" t="str">
        <f>SUBSTITUTE(IF(M40&lt;&gt;"", D1 &amp; " has managed to increase " &amp; M40 &amp; " each year since " &amp; C144, "No positive trends")," , "," ")</f>
        <v>No positive trends</v>
      </c>
      <c r="U42" t="str">
        <f>SUBSTITUTE(IF(W40&lt;&gt;"", D1 &amp; " has managed to increase " &amp; W40 &amp; " each year since " &amp; C144, "No positive trends")," , "," ")</f>
        <v>No positive trends</v>
      </c>
    </row>
    <row r="43" spans="1:23" x14ac:dyDescent="0.3">
      <c r="A43" s="1">
        <v>1</v>
      </c>
      <c r="B43" t="s">
        <v>80</v>
      </c>
      <c r="C43" t="s">
        <v>2525</v>
      </c>
      <c r="D43" t="s">
        <v>3870</v>
      </c>
      <c r="E43" t="s">
        <v>77</v>
      </c>
      <c r="F43" t="s">
        <v>1676</v>
      </c>
    </row>
    <row r="44" spans="1:23" x14ac:dyDescent="0.3">
      <c r="A44" s="1">
        <v>2</v>
      </c>
      <c r="B44" t="s">
        <v>84</v>
      </c>
      <c r="C44" t="s">
        <v>1722</v>
      </c>
      <c r="D44" t="s">
        <v>86</v>
      </c>
      <c r="E44" t="s">
        <v>1722</v>
      </c>
      <c r="F44" t="s">
        <v>3209</v>
      </c>
    </row>
    <row r="45" spans="1:23" x14ac:dyDescent="0.3">
      <c r="A45" s="1">
        <v>3</v>
      </c>
      <c r="B45" t="s">
        <v>89</v>
      </c>
      <c r="C45" t="s">
        <v>3872</v>
      </c>
      <c r="D45" t="s">
        <v>3873</v>
      </c>
      <c r="E45" t="s">
        <v>2437</v>
      </c>
      <c r="F45" t="s">
        <v>3874</v>
      </c>
    </row>
    <row r="47" spans="1:23" x14ac:dyDescent="0.3">
      <c r="B47" s="1" t="s">
        <v>94</v>
      </c>
      <c r="C47" s="1" t="s">
        <v>37</v>
      </c>
      <c r="D47" s="1" t="s">
        <v>38</v>
      </c>
      <c r="E47" s="1" t="s">
        <v>39</v>
      </c>
      <c r="F47" s="1" t="s">
        <v>40</v>
      </c>
    </row>
    <row r="48" spans="1:23" x14ac:dyDescent="0.3">
      <c r="A48" s="1">
        <v>0</v>
      </c>
      <c r="B48" t="s">
        <v>95</v>
      </c>
      <c r="C48">
        <v>0.43</v>
      </c>
      <c r="D48">
        <v>0.42</v>
      </c>
      <c r="E48">
        <v>1.73</v>
      </c>
      <c r="F48">
        <v>2</v>
      </c>
    </row>
    <row r="49" spans="1:14" x14ac:dyDescent="0.3">
      <c r="A49" s="1">
        <v>1</v>
      </c>
      <c r="B49" t="s">
        <v>96</v>
      </c>
      <c r="C49">
        <v>0.43</v>
      </c>
      <c r="D49">
        <v>0.42</v>
      </c>
      <c r="E49">
        <v>1.73</v>
      </c>
      <c r="F49">
        <v>2</v>
      </c>
    </row>
    <row r="50" spans="1:14" x14ac:dyDescent="0.3">
      <c r="A50" s="1">
        <v>2</v>
      </c>
      <c r="B50" t="s">
        <v>97</v>
      </c>
      <c r="C50">
        <v>0.43</v>
      </c>
      <c r="D50">
        <v>0.42</v>
      </c>
      <c r="E50">
        <v>1.72</v>
      </c>
      <c r="F50">
        <v>2</v>
      </c>
    </row>
    <row r="51" spans="1:14" x14ac:dyDescent="0.3">
      <c r="A51" s="1">
        <v>3</v>
      </c>
      <c r="B51" t="s">
        <v>98</v>
      </c>
      <c r="C51">
        <v>0.43</v>
      </c>
      <c r="D51">
        <v>0.41</v>
      </c>
      <c r="E51">
        <v>1.71</v>
      </c>
      <c r="F51">
        <v>1.98</v>
      </c>
    </row>
    <row r="52" spans="1:14" x14ac:dyDescent="0.3">
      <c r="A52" s="1">
        <v>4</v>
      </c>
      <c r="B52" t="s">
        <v>99</v>
      </c>
      <c r="C52">
        <v>0.42</v>
      </c>
      <c r="D52">
        <v>0.42</v>
      </c>
      <c r="E52">
        <v>1.66</v>
      </c>
      <c r="F52">
        <v>1.9</v>
      </c>
    </row>
    <row r="54" spans="1:14" x14ac:dyDescent="0.3">
      <c r="B54" s="1" t="s">
        <v>100</v>
      </c>
      <c r="C54" s="1" t="s">
        <v>37</v>
      </c>
      <c r="D54" s="1" t="s">
        <v>38</v>
      </c>
      <c r="E54" s="1" t="s">
        <v>39</v>
      </c>
      <c r="F54" s="1" t="s">
        <v>40</v>
      </c>
    </row>
    <row r="55" spans="1:14" x14ac:dyDescent="0.3">
      <c r="A55" s="1">
        <v>0</v>
      </c>
      <c r="B55" t="s">
        <v>101</v>
      </c>
      <c r="C55">
        <v>1</v>
      </c>
      <c r="D55">
        <v>2</v>
      </c>
      <c r="E55">
        <v>2</v>
      </c>
      <c r="F55">
        <v>1</v>
      </c>
    </row>
    <row r="56" spans="1:14" x14ac:dyDescent="0.3">
      <c r="A56" s="1">
        <v>1</v>
      </c>
      <c r="B56" t="s">
        <v>102</v>
      </c>
      <c r="C56">
        <v>3</v>
      </c>
      <c r="D56">
        <v>4</v>
      </c>
      <c r="E56">
        <v>4</v>
      </c>
      <c r="F56">
        <v>3</v>
      </c>
    </row>
    <row r="57" spans="1:14" x14ac:dyDescent="0.3">
      <c r="A57" s="1">
        <v>2</v>
      </c>
      <c r="B57" t="s">
        <v>103</v>
      </c>
      <c r="F57">
        <v>1</v>
      </c>
    </row>
    <row r="58" spans="1:14" x14ac:dyDescent="0.3">
      <c r="A58" s="1">
        <v>3</v>
      </c>
      <c r="B58" t="s">
        <v>104</v>
      </c>
    </row>
    <row r="60" spans="1:14" x14ac:dyDescent="0.3">
      <c r="B60" s="1" t="s">
        <v>105</v>
      </c>
      <c r="C60" s="1" t="s">
        <v>3875</v>
      </c>
      <c r="D60" s="1" t="s">
        <v>107</v>
      </c>
      <c r="E60" s="1" t="s">
        <v>108</v>
      </c>
      <c r="F60" s="1" t="s">
        <v>109</v>
      </c>
      <c r="I60" t="str">
        <f t="shared" ref="I60:I91" si="4">IF(AND(K60&gt; J60, L60&gt; K60, M60&gt; L60, N60&gt; M60), "pos_trend", IF(AND(K60&lt; J60, L60&lt; K60, M60&lt; L60, N60&lt; M60), "neg_trend", "N/A"))</f>
        <v>N/A</v>
      </c>
      <c r="J60" t="str">
        <f t="shared" ref="J60:J91" si="5">IFERROR(IF(TRIM(C60)="-", "N/A", IF(RIGHT(C60,1)=")",IF(RIGHT(C60,2)="T)",-1000000000000*VALUE(MID(C60,2,LEN(C60)-3)),IF(RIGHT(C60,2)="M)",-1000000*VALUE(MID(C60,2,LEN(C60)-3)),IF(RIGHT(C60,2)="B)",-1000000000*VALUE(MID(C60,2,LEN(C60)-3)),IF(RIGHT(C60,2)="k)",-1000*VALUE(MID(C60,2,LEN(C60)-3)),VALUE(SUBSTITUTE(C60,",","")))))),IF(RIGHT(C60,1)="T",1000000000000*VALUE(LEFT(C60,LEN(C60)-1)),IF(RIGHT(C60,1)="M",1000000*VALUE(LEFT(C60,LEN(C60)-1)),IF(RIGHT(C60,1)="B",1000000000*VALUE(LEFT(C60,LEN(C60)-1)),IF(RIGHT(C60,1)="%",0.01*VALUE(LEFT(C60,LEN(C60)-1)),IF(RIGHT(C60,1)="k",1000*VALUE(LEFT(C60,LEN(C60)-1)),VALUE(SUBSTITUTE(C60,",",""))))))))),"N/A")</f>
        <v>N/A</v>
      </c>
      <c r="K60" t="str">
        <f t="shared" ref="K60:K91" si="6">IFERROR(IF(TRIM(D60)="-", "N/A", IF(RIGHT(D60,1)=")",IF(RIGHT(D60,2)="T)",-1000000000000*VALUE(MID(D60,2,LEN(D60)-3)),IF(RIGHT(D60,2)="M)",-1000000*VALUE(MID(D60,2,LEN(D60)-3)),IF(RIGHT(D60,2)="B)",-1000000000*VALUE(MID(D60,2,LEN(D60)-3)),IF(RIGHT(D60,2)="k)",-1000*VALUE(MID(D60,2,LEN(D60)-3)),VALUE(SUBSTITUTE(D60,",","")))))),IF(RIGHT(D60,1)="T",1000000000000*VALUE(LEFT(D60,LEN(D60)-1)),IF(RIGHT(D60,1)="M",1000000*VALUE(LEFT(D60,LEN(D60)-1)),IF(RIGHT(D60,1)="B",1000000000*VALUE(LEFT(D60,LEN(D60)-1)),IF(RIGHT(D60,1)="%",0.01*VALUE(LEFT(D60,LEN(D60)-1)),IF(RIGHT(D60,1)="k",1000*VALUE(LEFT(D60,LEN(D60)-1)),VALUE(SUBSTITUTE(D60,",",""))))))))),"N/A")</f>
        <v>N/A</v>
      </c>
      <c r="L60" t="str">
        <f t="shared" ref="L60:L91" si="7">IFERROR(IF(TRIM(E60)="-", "N/A", IF(RIGHT(E60,1)=")",IF(RIGHT(E60,2)="T)",-1000000000000*VALUE(MID(E60,2,LEN(E60)-3)),IF(RIGHT(E60,2)="M)",-1000000*VALUE(MID(E60,2,LEN(E60)-3)),IF(RIGHT(E60,2)="B)",-1000000000*VALUE(MID(E60,2,LEN(E60)-3)),IF(RIGHT(E60,2)="k)",-1000*VALUE(MID(E60,2,LEN(E60)-3)),VALUE(SUBSTITUTE(E60,",","")))))),IF(RIGHT(E60,1)="T",1000000000000*VALUE(LEFT(E60,LEN(E60)-1)),IF(RIGHT(E60,1)="M",1000000*VALUE(LEFT(E60,LEN(E60)-1)),IF(RIGHT(E60,1)="B",1000000000*VALUE(LEFT(E60,LEN(E60)-1)),IF(RIGHT(E60,1)="%",0.01*VALUE(LEFT(E60,LEN(E60)-1)),IF(RIGHT(E60,1)="k",1000*VALUE(LEFT(E60,LEN(E60)-1)),VALUE(SUBSTITUTE(E60,",",""))))))))),"N/A")</f>
        <v>N/A</v>
      </c>
      <c r="M60" t="str">
        <f t="shared" ref="M60:M91" si="8">IFERROR(IF(TRIM(F60)="-", "N/A", IF(RIGHT(F60,1)=")",IF(RIGHT(F60,2)="T)",-1000000000000*VALUE(MID(F60,2,LEN(F60)-3)),IF(RIGHT(F60,2)="M)",-1000000*VALUE(MID(F60,2,LEN(F60)-3)),IF(RIGHT(F60,2)="B)",-1000000000*VALUE(MID(F60,2,LEN(F60)-3)),IF(RIGHT(F60,2)="k)",-1000*VALUE(MID(F60,2,LEN(F60)-3)),VALUE(SUBSTITUTE(F60,",","")))))),IF(RIGHT(F60,1)="T",1000000000000*VALUE(LEFT(F60,LEN(F60)-1)),IF(RIGHT(F60,1)="M",1000000*VALUE(LEFT(F60,LEN(F60)-1)),IF(RIGHT(F60,1)="B",1000000000*VALUE(LEFT(F60,LEN(F60)-1)),IF(RIGHT(F60,1)="%",0.01*VALUE(LEFT(F60,LEN(F60)-1)),IF(RIGHT(F60,1)="k",1000*VALUE(LEFT(F60,LEN(F60)-1)),VALUE(SUBSTITUTE(F60,",",""))))))))),"N/A")</f>
        <v>N/A</v>
      </c>
      <c r="N60" t="str">
        <f t="shared" ref="N60:N91" si="9">IFERROR(IF(TRIM(G60)="-", "N/A", IF(RIGHT(G60,1)=")",IF(RIGHT(G60,2)="T)",-1000000000000*VALUE(MID(G60,2,LEN(G60)-3)),IF(RIGHT(G60,2)="M)",-1000000*VALUE(MID(G60,2,LEN(G60)-3)),IF(RIGHT(G60,2)="B)",-1000000000*VALUE(MID(G60,2,LEN(G60)-3)),IF(RIGHT(G60,2)="k)",-1000*VALUE(MID(G60,2,LEN(G60)-3)),VALUE(SUBSTITUTE(G60,",","")))))),IF(RIGHT(G60,1)="T",1000000000000*VALUE(LEFT(G60,LEN(G60)-1)),IF(RIGHT(G60,1)="M",1000000*VALUE(LEFT(G60,LEN(G60)-1)),IF(RIGHT(G60,1)="B",1000000000*VALUE(LEFT(G60,LEN(G60)-1)),IF(RIGHT(G60,1)="%",0.01*VALUE(LEFT(G60,LEN(G60)-1)),IF(RIGHT(G60,1)="k",1000*VALUE(LEFT(G60,LEN(G60)-1)),VALUE(SUBSTITUTE(G60,",",""))))))))),"N/A")</f>
        <v>N/A</v>
      </c>
    </row>
    <row r="61" spans="1:14" x14ac:dyDescent="0.3">
      <c r="A61" s="1">
        <v>0</v>
      </c>
      <c r="B61" t="s">
        <v>110</v>
      </c>
      <c r="C61" t="s">
        <v>3876</v>
      </c>
      <c r="F61">
        <v>0.18</v>
      </c>
      <c r="I61" t="str">
        <f t="shared" si="4"/>
        <v>N/A</v>
      </c>
      <c r="J61">
        <f t="shared" si="5"/>
        <v>4.9000000000000002E-2</v>
      </c>
      <c r="K61" t="str">
        <f t="shared" si="6"/>
        <v>N/A</v>
      </c>
      <c r="L61" t="str">
        <f t="shared" si="7"/>
        <v>N/A</v>
      </c>
      <c r="M61">
        <f t="shared" si="8"/>
        <v>0.18</v>
      </c>
      <c r="N61" t="str">
        <f t="shared" si="9"/>
        <v>N/A</v>
      </c>
    </row>
    <row r="62" spans="1:14" x14ac:dyDescent="0.3">
      <c r="A62" s="1">
        <v>1</v>
      </c>
      <c r="B62" t="s">
        <v>112</v>
      </c>
      <c r="C62" t="s">
        <v>3203</v>
      </c>
      <c r="F62">
        <v>0.24</v>
      </c>
      <c r="I62" t="str">
        <f t="shared" si="4"/>
        <v>N/A</v>
      </c>
      <c r="J62">
        <f t="shared" si="5"/>
        <v>7.6999999999999999E-2</v>
      </c>
      <c r="K62" t="str">
        <f t="shared" si="6"/>
        <v>N/A</v>
      </c>
      <c r="L62" t="str">
        <f t="shared" si="7"/>
        <v>N/A</v>
      </c>
      <c r="M62">
        <f t="shared" si="8"/>
        <v>0.24</v>
      </c>
      <c r="N62" t="str">
        <f t="shared" si="9"/>
        <v>N/A</v>
      </c>
    </row>
    <row r="63" spans="1:14" x14ac:dyDescent="0.3">
      <c r="A63" s="1">
        <v>2</v>
      </c>
      <c r="B63" t="s">
        <v>114</v>
      </c>
      <c r="C63" t="s">
        <v>3877</v>
      </c>
      <c r="F63">
        <v>0.08</v>
      </c>
      <c r="I63" t="str">
        <f t="shared" si="4"/>
        <v>N/A</v>
      </c>
      <c r="J63">
        <f t="shared" si="5"/>
        <v>0.109</v>
      </c>
      <c r="K63" t="str">
        <f t="shared" si="6"/>
        <v>N/A</v>
      </c>
      <c r="L63" t="str">
        <f t="shared" si="7"/>
        <v>N/A</v>
      </c>
      <c r="M63">
        <f t="shared" si="8"/>
        <v>0.08</v>
      </c>
      <c r="N63" t="str">
        <f t="shared" si="9"/>
        <v>N/A</v>
      </c>
    </row>
    <row r="64" spans="1:14" x14ac:dyDescent="0.3">
      <c r="A64" s="1">
        <v>3</v>
      </c>
      <c r="B64" t="s">
        <v>116</v>
      </c>
      <c r="C64" t="s">
        <v>3878</v>
      </c>
      <c r="F64">
        <v>0.12</v>
      </c>
      <c r="I64" t="str">
        <f t="shared" si="4"/>
        <v>N/A</v>
      </c>
      <c r="J64">
        <f t="shared" si="5"/>
        <v>0.156</v>
      </c>
      <c r="K64" t="str">
        <f t="shared" si="6"/>
        <v>N/A</v>
      </c>
      <c r="L64" t="str">
        <f t="shared" si="7"/>
        <v>N/A</v>
      </c>
      <c r="M64">
        <f t="shared" si="8"/>
        <v>0.12</v>
      </c>
      <c r="N64" t="str">
        <f t="shared" si="9"/>
        <v>N/A</v>
      </c>
    </row>
    <row r="65" spans="1:14" x14ac:dyDescent="0.3">
      <c r="A65" s="1">
        <v>4</v>
      </c>
      <c r="B65" t="s">
        <v>118</v>
      </c>
      <c r="C65" t="s">
        <v>3879</v>
      </c>
      <c r="F65">
        <v>0.1</v>
      </c>
      <c r="I65" t="str">
        <f t="shared" si="4"/>
        <v>N/A</v>
      </c>
      <c r="J65">
        <f t="shared" si="5"/>
        <v>0.1191</v>
      </c>
      <c r="K65" t="str">
        <f t="shared" si="6"/>
        <v>N/A</v>
      </c>
      <c r="L65" t="str">
        <f t="shared" si="7"/>
        <v>N/A</v>
      </c>
      <c r="M65">
        <f t="shared" si="8"/>
        <v>0.1</v>
      </c>
      <c r="N65" t="str">
        <f t="shared" si="9"/>
        <v>N/A</v>
      </c>
    </row>
    <row r="66" spans="1:14" x14ac:dyDescent="0.3">
      <c r="A66" s="1">
        <v>5</v>
      </c>
      <c r="B66" t="s">
        <v>120</v>
      </c>
      <c r="C66" t="s">
        <v>3880</v>
      </c>
      <c r="I66" t="str">
        <f t="shared" si="4"/>
        <v>N/A</v>
      </c>
      <c r="J66">
        <f t="shared" si="5"/>
        <v>2.2499999999999999E-2</v>
      </c>
      <c r="K66" t="str">
        <f t="shared" si="6"/>
        <v>N/A</v>
      </c>
      <c r="L66" t="str">
        <f t="shared" si="7"/>
        <v>N/A</v>
      </c>
      <c r="M66" t="str">
        <f t="shared" si="8"/>
        <v>N/A</v>
      </c>
      <c r="N66" t="str">
        <f t="shared" si="9"/>
        <v>N/A</v>
      </c>
    </row>
    <row r="67" spans="1:14" x14ac:dyDescent="0.3">
      <c r="D67" t="s">
        <v>122</v>
      </c>
      <c r="E67" t="str">
        <f>C1</f>
        <v>Colfax Corporation (CFX)</v>
      </c>
      <c r="I67" t="str">
        <f t="shared" si="4"/>
        <v>N/A</v>
      </c>
      <c r="J67" t="str">
        <f t="shared" si="5"/>
        <v>N/A</v>
      </c>
      <c r="K67" t="str">
        <f t="shared" si="6"/>
        <v>N/A</v>
      </c>
      <c r="L67" t="str">
        <f t="shared" si="7"/>
        <v>N/A</v>
      </c>
      <c r="M67" t="str">
        <f t="shared" si="8"/>
        <v>N/A</v>
      </c>
      <c r="N67" t="str">
        <f t="shared" si="9"/>
        <v>N/A</v>
      </c>
    </row>
    <row r="68" spans="1:14" x14ac:dyDescent="0.3">
      <c r="A68" s="1">
        <v>0</v>
      </c>
      <c r="B68" t="s">
        <v>123</v>
      </c>
      <c r="C68" t="s">
        <v>3848</v>
      </c>
      <c r="D68">
        <f ca="1">IFERROR(AVERAGE(VALUE(INDIRECT("J"&amp;(MATCH(B68,B69:B500,0)+68))),VALUE(INDIRECT("J"&amp;(MATCH(B68,B69:B500,0)+79))),VALUE(INDIRECT("J"&amp;(MATCH(B68,B69:B500,0)+90))),VALUE(INDIRECT("J"&amp;(MATCH(B68,B69:B500,0)+101)))),"")</f>
        <v>7355000000</v>
      </c>
      <c r="E68" t="str">
        <f t="shared" ref="E68:E76" ca="1" si="10">IFERROR(IF(AND(C68&lt;&gt;"",D68&lt;&gt;0),IF(VALUE(J68)&gt;VALUE(K68),"above average","below average"),"no data"),"no data")</f>
        <v>below average</v>
      </c>
      <c r="I68" t="str">
        <f t="shared" ca="1" si="4"/>
        <v>N/A</v>
      </c>
      <c r="J68">
        <f t="shared" si="5"/>
        <v>5020000000</v>
      </c>
      <c r="K68">
        <f t="shared" ca="1" si="6"/>
        <v>7355000000</v>
      </c>
      <c r="L68" t="str">
        <f t="shared" ca="1" si="7"/>
        <v>N/A</v>
      </c>
      <c r="M68" t="str">
        <f t="shared" si="8"/>
        <v>N/A</v>
      </c>
      <c r="N68" t="str">
        <f t="shared" si="9"/>
        <v>N/A</v>
      </c>
    </row>
    <row r="69" spans="1:14" x14ac:dyDescent="0.3">
      <c r="A69" s="1">
        <v>1</v>
      </c>
      <c r="B69" t="s">
        <v>124</v>
      </c>
      <c r="D69" t="str">
        <f ca="1">IFERROR(AVERAGE(VALUE(INDIRECT("J"&amp;(MATCH(B69,B70:B501,0)+69))),VALUE(INDIRECT("J"&amp;(MATCH(B69,B70:B501,0)+80))),VALUE(INDIRECT("J"&amp;(MATCH(B69,B70:B501,0)+91))),VALUE(INDIRECT("J"&amp;(MATCH(B69,B70:B501,0)+102)))),"")</f>
        <v/>
      </c>
      <c r="E69" t="str">
        <f t="shared" ca="1" si="10"/>
        <v>no data</v>
      </c>
      <c r="I69" t="str">
        <f t="shared" ca="1" si="4"/>
        <v>N/A</v>
      </c>
      <c r="J69" t="str">
        <f t="shared" si="5"/>
        <v>N/A</v>
      </c>
      <c r="K69" t="str">
        <f t="shared" ca="1" si="6"/>
        <v>N/A</v>
      </c>
      <c r="L69" t="str">
        <f t="shared" ca="1" si="7"/>
        <v>N/A</v>
      </c>
      <c r="M69" t="str">
        <f t="shared" si="8"/>
        <v>N/A</v>
      </c>
      <c r="N69" t="str">
        <f t="shared" si="9"/>
        <v>N/A</v>
      </c>
    </row>
    <row r="70" spans="1:14" x14ac:dyDescent="0.3">
      <c r="A70" s="1">
        <v>2</v>
      </c>
      <c r="B70" t="s">
        <v>125</v>
      </c>
      <c r="C70" t="s">
        <v>3850</v>
      </c>
      <c r="D70">
        <f ca="1">IFERROR(AVERAGE(VALUE(INDIRECT("J"&amp;(MATCH(B70,B71:B502,0)+70))),VALUE(INDIRECT("J"&amp;(MATCH(B70,B71:B502,0)+81))),VALUE(INDIRECT("J"&amp;(MATCH(B70,B71:B502,0)+92))),VALUE(INDIRECT("J"&amp;(MATCH(B70,B71:B502,0)+103)))),"")</f>
        <v>53.357500000000002</v>
      </c>
      <c r="E70" t="str">
        <f t="shared" ca="1" si="10"/>
        <v>below average</v>
      </c>
      <c r="F70" t="str">
        <f t="shared" ref="F70:F76" ca="1" si="11">IF(E70="above average",LOWER(TRIM(IF(ISNUMBER(VALUE(RIGHT(B70,1))),REPLACE(B70,LEN(B70),1,""),B70))),"")</f>
        <v/>
      </c>
      <c r="G70" t="str">
        <f ca="1">IFERROR(LEFT(F70,FIND("(",F70) - 2),F70)</f>
        <v/>
      </c>
      <c r="I70" t="str">
        <f t="shared" ca="1" si="4"/>
        <v>N/A</v>
      </c>
      <c r="J70">
        <f t="shared" si="5"/>
        <v>34.9</v>
      </c>
      <c r="K70">
        <f t="shared" ca="1" si="6"/>
        <v>53.357500000000002</v>
      </c>
      <c r="L70" t="str">
        <f t="shared" ca="1" si="7"/>
        <v>N/A</v>
      </c>
      <c r="M70" t="str">
        <f t="shared" ca="1" si="8"/>
        <v>N/A</v>
      </c>
      <c r="N70" t="str">
        <f t="shared" ca="1" si="9"/>
        <v>N/A</v>
      </c>
    </row>
    <row r="71" spans="1:14" x14ac:dyDescent="0.3">
      <c r="A71" s="1">
        <v>3</v>
      </c>
      <c r="B71" t="s">
        <v>126</v>
      </c>
      <c r="C71" t="s">
        <v>3881</v>
      </c>
      <c r="D71">
        <f ca="1">IFERROR(AVERAGE(VALUE(INDIRECT("J"&amp;(MATCH(B71,B72:B503,0)+71))),VALUE(INDIRECT("J"&amp;(MATCH(B71,B72:B503,0)+82))),VALUE(INDIRECT("J"&amp;(MATCH(B71,B72:B503,0)+93))),VALUE(INDIRECT("J"&amp;(MATCH(B71,B72:B503,0)+104)))),"")</f>
        <v>22.302500000000002</v>
      </c>
      <c r="E71" t="str">
        <f t="shared" ca="1" si="10"/>
        <v>below average</v>
      </c>
      <c r="F71" t="str">
        <f t="shared" ca="1" si="11"/>
        <v/>
      </c>
      <c r="G71" t="str">
        <f t="shared" ref="G71:G76" ca="1" si="12">IF(F71&lt;&gt;"", G70 &amp; ", " &amp; IFERROR(LEFT(F71,FIND("(",F71) - 2),F71),G70)</f>
        <v/>
      </c>
      <c r="I71" t="str">
        <f t="shared" ca="1" si="4"/>
        <v>N/A</v>
      </c>
      <c r="J71">
        <f t="shared" si="5"/>
        <v>20.420000000000002</v>
      </c>
      <c r="K71">
        <f t="shared" ca="1" si="6"/>
        <v>22.302499999999998</v>
      </c>
      <c r="L71" t="str">
        <f t="shared" ca="1" si="7"/>
        <v>N/A</v>
      </c>
      <c r="M71" t="str">
        <f t="shared" ca="1" si="8"/>
        <v>N/A</v>
      </c>
      <c r="N71" t="str">
        <f t="shared" ca="1" si="9"/>
        <v>N/A</v>
      </c>
    </row>
    <row r="72" spans="1:14" x14ac:dyDescent="0.3">
      <c r="A72" s="1">
        <v>4</v>
      </c>
      <c r="B72" t="s">
        <v>128</v>
      </c>
      <c r="C72" t="s">
        <v>3882</v>
      </c>
      <c r="D72">
        <f ca="1">IFERROR(AVERAGE(VALUE(INDIRECT("J"&amp;(MATCH(B72,B73:B504,0)+72))),VALUE(INDIRECT("J"&amp;(MATCH(B72,B73:B504,0)+83))),VALUE(INDIRECT("J"&amp;(MATCH(B72,B73:B504,0)+94))),VALUE(INDIRECT("J"&amp;(MATCH(B72,B73:B504,0)+105)))),"")</f>
        <v>1.49</v>
      </c>
      <c r="E72" t="str">
        <f t="shared" ca="1" si="10"/>
        <v>above average</v>
      </c>
      <c r="F72" t="str">
        <f t="shared" ca="1" si="11"/>
        <v>peg ratio (5 yr expected)</v>
      </c>
      <c r="G72" t="str">
        <f t="shared" ca="1" si="12"/>
        <v>, peg ratio</v>
      </c>
      <c r="I72" t="str">
        <f t="shared" ca="1" si="4"/>
        <v>N/A</v>
      </c>
      <c r="J72">
        <f t="shared" si="5"/>
        <v>2.0299999999999998</v>
      </c>
      <c r="K72">
        <f t="shared" ca="1" si="6"/>
        <v>1.49</v>
      </c>
      <c r="L72" t="str">
        <f t="shared" ca="1" si="7"/>
        <v>N/A</v>
      </c>
      <c r="M72" t="str">
        <f t="shared" ca="1" si="8"/>
        <v>N/A</v>
      </c>
      <c r="N72" t="str">
        <f t="shared" ca="1" si="9"/>
        <v>N/A</v>
      </c>
    </row>
    <row r="73" spans="1:14" x14ac:dyDescent="0.3">
      <c r="A73" s="1">
        <v>5</v>
      </c>
      <c r="B73" t="s">
        <v>130</v>
      </c>
      <c r="C73" t="s">
        <v>3883</v>
      </c>
      <c r="D73">
        <f ca="1">IFERROR(AVERAGE(VALUE(INDIRECT("J"&amp;(MATCH(B73,B74:B505,0)+73))),VALUE(INDIRECT("J"&amp;(MATCH(B73,B74:B505,0)+84))),VALUE(INDIRECT("J"&amp;(MATCH(B73,B74:B505,0)+95))),VALUE(INDIRECT("J"&amp;(MATCH(B73,B74:B505,0)+106)))),"")</f>
        <v>2.58</v>
      </c>
      <c r="E73" t="str">
        <f t="shared" ca="1" si="10"/>
        <v>below average</v>
      </c>
      <c r="F73" t="str">
        <f t="shared" ca="1" si="11"/>
        <v/>
      </c>
      <c r="G73" t="str">
        <f t="shared" ca="1" si="12"/>
        <v>, peg ratio</v>
      </c>
      <c r="I73" t="str">
        <f t="shared" ca="1" si="4"/>
        <v>N/A</v>
      </c>
      <c r="J73">
        <f t="shared" si="5"/>
        <v>1.39</v>
      </c>
      <c r="K73">
        <f t="shared" ca="1" si="6"/>
        <v>2.58</v>
      </c>
      <c r="L73" t="str">
        <f t="shared" ca="1" si="7"/>
        <v>N/A</v>
      </c>
      <c r="M73" t="str">
        <f t="shared" ca="1" si="8"/>
        <v>N/A</v>
      </c>
      <c r="N73" t="str">
        <f t="shared" ca="1" si="9"/>
        <v>N/A</v>
      </c>
    </row>
    <row r="74" spans="1:14" x14ac:dyDescent="0.3">
      <c r="A74" s="1">
        <v>6</v>
      </c>
      <c r="B74" t="s">
        <v>132</v>
      </c>
      <c r="C74" t="s">
        <v>1235</v>
      </c>
      <c r="D74">
        <f ca="1">IFERROR(AVERAGE(VALUE(INDIRECT("J"&amp;(MATCH(B74,B75:B506,0)+74))),VALUE(INDIRECT("J"&amp;(MATCH(B74,B75:B506,0)+85))),VALUE(INDIRECT("J"&amp;(MATCH(B74,B75:B506,0)+96))),VALUE(INDIRECT("J"&amp;(MATCH(B74,B75:B506,0)+107)))),"")</f>
        <v>5.07</v>
      </c>
      <c r="E74" t="str">
        <f t="shared" ca="1" si="10"/>
        <v>below average</v>
      </c>
      <c r="F74" t="str">
        <f t="shared" ca="1" si="11"/>
        <v/>
      </c>
      <c r="G74" t="str">
        <f t="shared" ca="1" si="12"/>
        <v>, peg ratio</v>
      </c>
      <c r="I74" t="str">
        <f t="shared" ca="1" si="4"/>
        <v>N/A</v>
      </c>
      <c r="J74">
        <f t="shared" si="5"/>
        <v>1.67</v>
      </c>
      <c r="K74">
        <f t="shared" ca="1" si="6"/>
        <v>5.07</v>
      </c>
      <c r="L74" t="str">
        <f t="shared" ca="1" si="7"/>
        <v>N/A</v>
      </c>
      <c r="M74" t="str">
        <f t="shared" ca="1" si="8"/>
        <v>N/A</v>
      </c>
      <c r="N74" t="str">
        <f t="shared" ca="1" si="9"/>
        <v>N/A</v>
      </c>
    </row>
    <row r="75" spans="1:14" x14ac:dyDescent="0.3">
      <c r="A75" s="1">
        <v>7</v>
      </c>
      <c r="B75" t="s">
        <v>134</v>
      </c>
      <c r="D75" t="str">
        <f ca="1">IFERROR(AVERAGE(VALUE(INDIRECT("J"&amp;(MATCH(B75,B76:B507,0)+75))),VALUE(INDIRECT("J"&amp;(MATCH(B75,B76:B507,0)+86))),VALUE(INDIRECT("J"&amp;(MATCH(B75,B76:B507,0)+97))),VALUE(INDIRECT("J"&amp;(MATCH(B75,B76:B507,0)+108)))),"")</f>
        <v/>
      </c>
      <c r="E75" t="str">
        <f t="shared" ca="1" si="10"/>
        <v>no data</v>
      </c>
      <c r="F75" t="str">
        <f t="shared" ca="1" si="11"/>
        <v/>
      </c>
      <c r="G75" t="str">
        <f t="shared" ca="1" si="12"/>
        <v>, peg ratio</v>
      </c>
      <c r="I75" t="str">
        <f t="shared" ca="1" si="4"/>
        <v>N/A</v>
      </c>
      <c r="J75" t="str">
        <f t="shared" si="5"/>
        <v>N/A</v>
      </c>
      <c r="K75" t="str">
        <f t="shared" ca="1" si="6"/>
        <v>N/A</v>
      </c>
      <c r="L75" t="str">
        <f t="shared" ca="1" si="7"/>
        <v>N/A</v>
      </c>
      <c r="M75" t="str">
        <f t="shared" ca="1" si="8"/>
        <v>N/A</v>
      </c>
      <c r="N75" t="str">
        <f t="shared" ca="1" si="9"/>
        <v>N/A</v>
      </c>
    </row>
    <row r="76" spans="1:14" x14ac:dyDescent="0.3">
      <c r="A76" s="1">
        <v>8</v>
      </c>
      <c r="B76" t="s">
        <v>135</v>
      </c>
      <c r="D76" t="str">
        <f ca="1">IFERROR(AVERAGE(VALUE(INDIRECT("J"&amp;(MATCH(B76,B77:B508,0)+76))),VALUE(INDIRECT("J"&amp;(MATCH(B76,B77:B508,0)+87))),VALUE(INDIRECT("J"&amp;(MATCH(B76,B77:B508,0)+98))),VALUE(INDIRECT("J"&amp;(MATCH(B76,B77:B508,0)+109)))),"")</f>
        <v/>
      </c>
      <c r="E76" t="str">
        <f t="shared" ca="1" si="10"/>
        <v>no data</v>
      </c>
      <c r="F76" t="str">
        <f t="shared" ca="1" si="11"/>
        <v/>
      </c>
      <c r="G76" t="str">
        <f t="shared" ca="1" si="12"/>
        <v>, peg ratio</v>
      </c>
      <c r="I76" t="str">
        <f t="shared" ca="1" si="4"/>
        <v>N/A</v>
      </c>
      <c r="J76" t="str">
        <f t="shared" si="5"/>
        <v>N/A</v>
      </c>
      <c r="K76" t="str">
        <f t="shared" ca="1" si="6"/>
        <v>N/A</v>
      </c>
      <c r="L76" t="str">
        <f t="shared" ca="1" si="7"/>
        <v>N/A</v>
      </c>
      <c r="M76" t="str">
        <f t="shared" ca="1" si="8"/>
        <v>N/A</v>
      </c>
      <c r="N76" t="str">
        <f t="shared" ca="1" si="9"/>
        <v>N/A</v>
      </c>
    </row>
    <row r="77" spans="1:14" x14ac:dyDescent="0.3">
      <c r="F77" t="str">
        <f ca="1">IF(F76="",IF(F75="",IF(F74="",IF(F73="",IF(F72="",IF(F71="",IFERROR(LEFT(F70,FIND("(",F70) - 2),F70),IFERROR(LEFT(F71,FIND("(",F71) - 2),F71)),IFERROR(LEFT(F72,FIND("(",F72) - 2),F72)),IFERROR(LEFT(F73,FIND("(",F73) - 2),F73)),IFERROR(LEFT(F74,FIND("(",F74) - 2),F74)),IFERROR(LEFT(F75,FIND("(",F75) - 2),F75)),IFERROR(LEFT(F76,FIND("(",F76) - 2),F76))</f>
        <v>peg ratio</v>
      </c>
      <c r="G77" t="str">
        <f ca="1">TRIM(IF(LEFT(G76,1)=",",REPLACE(G76,1,1,""),SUBSTITUTE(G76,F77, "and " &amp; F77)))</f>
        <v>peg ratio</v>
      </c>
      <c r="I77" t="str">
        <f t="shared" ca="1" si="4"/>
        <v>N/A</v>
      </c>
      <c r="J77" t="str">
        <f t="shared" si="5"/>
        <v>N/A</v>
      </c>
      <c r="K77" t="str">
        <f t="shared" si="6"/>
        <v>N/A</v>
      </c>
      <c r="L77" t="str">
        <f t="shared" si="7"/>
        <v>N/A</v>
      </c>
      <c r="M77" t="str">
        <f t="shared" ca="1" si="8"/>
        <v>N/A</v>
      </c>
      <c r="N77" t="str">
        <f t="shared" ca="1" si="9"/>
        <v>N/A</v>
      </c>
    </row>
    <row r="78" spans="1:14" x14ac:dyDescent="0.3">
      <c r="A78" s="1">
        <v>0</v>
      </c>
      <c r="B78" t="s">
        <v>136</v>
      </c>
      <c r="C78" t="s">
        <v>137</v>
      </c>
      <c r="D78" t="str">
        <f ca="1">IF(COUNTIF(E70:E76,"=above average")&gt;0,"There are some indications that "&amp;D1&amp;" may be overvalued. The company has a higher " &amp; G77 &amp; " than the comparable average", "Inconclusive")</f>
        <v>There are some indications that Colfax may be overvalued. The company has a higher peg ratio than the comparable average</v>
      </c>
      <c r="I78" t="str">
        <f t="shared" ca="1" si="4"/>
        <v>N/A</v>
      </c>
      <c r="J78" t="str">
        <f t="shared" si="5"/>
        <v>N/A</v>
      </c>
      <c r="K78" t="str">
        <f t="shared" ca="1" si="6"/>
        <v>N/A</v>
      </c>
      <c r="L78" t="str">
        <f t="shared" si="7"/>
        <v>N/A</v>
      </c>
      <c r="M78" t="str">
        <f t="shared" si="8"/>
        <v>N/A</v>
      </c>
      <c r="N78" t="str">
        <f t="shared" si="9"/>
        <v>N/A</v>
      </c>
    </row>
    <row r="79" spans="1:14" x14ac:dyDescent="0.3">
      <c r="A79" s="1">
        <v>1</v>
      </c>
      <c r="B79" t="s">
        <v>138</v>
      </c>
      <c r="C79" t="s">
        <v>139</v>
      </c>
      <c r="I79" t="str">
        <f t="shared" si="4"/>
        <v>N/A</v>
      </c>
      <c r="J79" t="str">
        <f t="shared" si="5"/>
        <v>N/A</v>
      </c>
      <c r="K79" t="str">
        <f t="shared" si="6"/>
        <v>N/A</v>
      </c>
      <c r="L79" t="str">
        <f t="shared" si="7"/>
        <v>N/A</v>
      </c>
      <c r="M79" t="str">
        <f t="shared" si="8"/>
        <v>N/A</v>
      </c>
      <c r="N79" t="str">
        <f t="shared" si="9"/>
        <v>N/A</v>
      </c>
    </row>
    <row r="80" spans="1:14" x14ac:dyDescent="0.3">
      <c r="I80" t="str">
        <f t="shared" si="4"/>
        <v>N/A</v>
      </c>
      <c r="J80" t="str">
        <f t="shared" si="5"/>
        <v>N/A</v>
      </c>
      <c r="K80" t="str">
        <f t="shared" si="6"/>
        <v>N/A</v>
      </c>
      <c r="L80" t="str">
        <f t="shared" si="7"/>
        <v>N/A</v>
      </c>
      <c r="M80" t="str">
        <f t="shared" si="8"/>
        <v>N/A</v>
      </c>
      <c r="N80" t="str">
        <f t="shared" si="9"/>
        <v>N/A</v>
      </c>
    </row>
    <row r="81" spans="1:14" x14ac:dyDescent="0.3">
      <c r="A81" s="1">
        <v>0</v>
      </c>
      <c r="B81" t="s">
        <v>140</v>
      </c>
      <c r="C81" t="s">
        <v>3884</v>
      </c>
      <c r="F81" t="str">
        <f t="shared" ref="F81:F87" ca="1" si="13">IF(E70="below average",LOWER(TRIM(IF(ISNUMBER(VALUE(RIGHT(B70,1))),REPLACE(B70,LEN(B70),1,""),B70))),"")</f>
        <v>trailing p/e</v>
      </c>
      <c r="G81" t="str">
        <f ca="1">IFERROR(LEFT(F81,FIND("(",F81) - 2),F81)</f>
        <v>trailing p/e</v>
      </c>
      <c r="I81" t="str">
        <f t="shared" ca="1" si="4"/>
        <v>N/A</v>
      </c>
      <c r="J81">
        <f t="shared" si="5"/>
        <v>3.9800000000000002E-2</v>
      </c>
      <c r="K81" t="str">
        <f t="shared" si="6"/>
        <v>N/A</v>
      </c>
      <c r="L81" t="str">
        <f t="shared" si="7"/>
        <v>N/A</v>
      </c>
      <c r="M81" t="str">
        <f t="shared" ca="1" si="8"/>
        <v>N/A</v>
      </c>
      <c r="N81" t="str">
        <f t="shared" ca="1" si="9"/>
        <v>N/A</v>
      </c>
    </row>
    <row r="82" spans="1:14" x14ac:dyDescent="0.3">
      <c r="A82" s="1">
        <v>1</v>
      </c>
      <c r="B82" t="s">
        <v>142</v>
      </c>
      <c r="C82" t="s">
        <v>3885</v>
      </c>
      <c r="F82" t="str">
        <f t="shared" ca="1" si="13"/>
        <v>forward p/e</v>
      </c>
      <c r="G82" t="str">
        <f t="shared" ref="G82:G87" ca="1" si="14">IF(F82&lt;&gt;"", G81 &amp; ", " &amp; IFERROR(LEFT(F82,FIND("(",F82) - 2),F82),G81)</f>
        <v>trailing p/e, forward p/e</v>
      </c>
      <c r="I82" t="str">
        <f t="shared" ca="1" si="4"/>
        <v>N/A</v>
      </c>
      <c r="J82">
        <f t="shared" si="5"/>
        <v>9.0500000000000011E-2</v>
      </c>
      <c r="K82" t="str">
        <f t="shared" si="6"/>
        <v>N/A</v>
      </c>
      <c r="L82" t="str">
        <f t="shared" si="7"/>
        <v>N/A</v>
      </c>
      <c r="M82" t="str">
        <f t="shared" ca="1" si="8"/>
        <v>N/A</v>
      </c>
      <c r="N82" t="str">
        <f t="shared" ca="1" si="9"/>
        <v>N/A</v>
      </c>
    </row>
    <row r="83" spans="1:14" x14ac:dyDescent="0.3">
      <c r="F83" t="str">
        <f t="shared" ca="1" si="13"/>
        <v/>
      </c>
      <c r="G83" t="str">
        <f t="shared" ca="1" si="14"/>
        <v>trailing p/e, forward p/e</v>
      </c>
      <c r="I83" t="str">
        <f t="shared" ca="1" si="4"/>
        <v>N/A</v>
      </c>
      <c r="J83" t="str">
        <f t="shared" si="5"/>
        <v>N/A</v>
      </c>
      <c r="K83" t="str">
        <f t="shared" si="6"/>
        <v>N/A</v>
      </c>
      <c r="L83" t="str">
        <f t="shared" si="7"/>
        <v>N/A</v>
      </c>
      <c r="M83" t="str">
        <f t="shared" ca="1" si="8"/>
        <v>N/A</v>
      </c>
      <c r="N83" t="str">
        <f t="shared" ca="1" si="9"/>
        <v>N/A</v>
      </c>
    </row>
    <row r="84" spans="1:14" x14ac:dyDescent="0.3">
      <c r="A84" s="1">
        <v>0</v>
      </c>
      <c r="B84" t="s">
        <v>144</v>
      </c>
      <c r="C84" t="s">
        <v>1990</v>
      </c>
      <c r="F84" t="str">
        <f t="shared" ca="1" si="13"/>
        <v>price/sales (ttm)</v>
      </c>
      <c r="G84" t="str">
        <f t="shared" ca="1" si="14"/>
        <v>trailing p/e, forward p/e, price/sales</v>
      </c>
      <c r="I84" t="str">
        <f t="shared" ca="1" si="4"/>
        <v>N/A</v>
      </c>
      <c r="J84">
        <f t="shared" si="5"/>
        <v>3.1099999999999999E-2</v>
      </c>
      <c r="K84" t="str">
        <f t="shared" si="6"/>
        <v>N/A</v>
      </c>
      <c r="L84" t="str">
        <f t="shared" si="7"/>
        <v>N/A</v>
      </c>
      <c r="M84" t="str">
        <f t="shared" ca="1" si="8"/>
        <v>N/A</v>
      </c>
      <c r="N84" t="str">
        <f t="shared" ca="1" si="9"/>
        <v>N/A</v>
      </c>
    </row>
    <row r="85" spans="1:14" x14ac:dyDescent="0.3">
      <c r="A85" s="1">
        <v>1</v>
      </c>
      <c r="B85" t="s">
        <v>146</v>
      </c>
      <c r="C85" t="s">
        <v>3886</v>
      </c>
      <c r="F85" t="str">
        <f t="shared" ca="1" si="13"/>
        <v>price/book (mrq)</v>
      </c>
      <c r="G85" t="str">
        <f t="shared" ca="1" si="14"/>
        <v>trailing p/e, forward p/e, price/sales, price/book</v>
      </c>
      <c r="I85" t="str">
        <f t="shared" ca="1" si="4"/>
        <v>N/A</v>
      </c>
      <c r="J85">
        <f t="shared" si="5"/>
        <v>4.9800000000000004E-2</v>
      </c>
      <c r="K85" t="str">
        <f t="shared" si="6"/>
        <v>N/A</v>
      </c>
      <c r="L85" t="str">
        <f t="shared" si="7"/>
        <v>N/A</v>
      </c>
      <c r="M85" t="str">
        <f t="shared" ca="1" si="8"/>
        <v>N/A</v>
      </c>
      <c r="N85" t="str">
        <f t="shared" ca="1" si="9"/>
        <v>N/A</v>
      </c>
    </row>
    <row r="86" spans="1:14" x14ac:dyDescent="0.3">
      <c r="F86" t="str">
        <f t="shared" ca="1" si="13"/>
        <v/>
      </c>
      <c r="G86" t="str">
        <f t="shared" ca="1" si="14"/>
        <v>trailing p/e, forward p/e, price/sales, price/book</v>
      </c>
      <c r="I86" t="str">
        <f t="shared" ca="1" si="4"/>
        <v>N/A</v>
      </c>
      <c r="J86" t="str">
        <f t="shared" si="5"/>
        <v>N/A</v>
      </c>
      <c r="K86" t="str">
        <f t="shared" si="6"/>
        <v>N/A</v>
      </c>
      <c r="L86" t="str">
        <f t="shared" si="7"/>
        <v>N/A</v>
      </c>
      <c r="M86" t="str">
        <f t="shared" ca="1" si="8"/>
        <v>N/A</v>
      </c>
      <c r="N86" t="str">
        <f t="shared" ca="1" si="9"/>
        <v>N/A</v>
      </c>
    </row>
    <row r="87" spans="1:14" x14ac:dyDescent="0.3">
      <c r="A87" s="1">
        <v>0</v>
      </c>
      <c r="B87" t="s">
        <v>148</v>
      </c>
      <c r="C87" t="s">
        <v>3887</v>
      </c>
      <c r="F87" t="str">
        <f t="shared" ca="1" si="13"/>
        <v/>
      </c>
      <c r="G87" t="str">
        <f t="shared" ca="1" si="14"/>
        <v>trailing p/e, forward p/e, price/sales, price/book</v>
      </c>
      <c r="I87" t="str">
        <f t="shared" ca="1" si="4"/>
        <v>N/A</v>
      </c>
      <c r="J87">
        <f t="shared" si="5"/>
        <v>3620000000</v>
      </c>
      <c r="K87" t="str">
        <f t="shared" si="6"/>
        <v>N/A</v>
      </c>
      <c r="L87" t="str">
        <f t="shared" si="7"/>
        <v>N/A</v>
      </c>
      <c r="M87" t="str">
        <f t="shared" ca="1" si="8"/>
        <v>N/A</v>
      </c>
      <c r="N87" t="str">
        <f t="shared" ca="1" si="9"/>
        <v>N/A</v>
      </c>
    </row>
    <row r="88" spans="1:14" x14ac:dyDescent="0.3">
      <c r="A88" s="1">
        <v>1</v>
      </c>
      <c r="B88" t="s">
        <v>150</v>
      </c>
      <c r="C88" t="s">
        <v>3888</v>
      </c>
      <c r="F88" t="str">
        <f ca="1">IF(F87="",IF(F86="",IF(F85="",IF(F84="",IF(F83="",IF(F82="",IFERROR(LEFT(F81,FIND("(",F81) - 2),F81),IFERROR(LEFT(F82,FIND("(",F82) - 2),F82)),IFERROR(LEFT(F83,FIND("(",F83) - 2),F83)),IFERROR(LEFT(F84,FIND("(",F84) - 2),F84)),IFERROR(LEFT(F85,FIND("(",F85) - 2),F85)),IFERROR(LEFT(F86,FIND("(",F86) - 2),F86)),IFERROR(LEFT(F87,FIND("(",F87) - 2),F87))</f>
        <v>price/book</v>
      </c>
      <c r="G88" t="str">
        <f ca="1">TRIM(IF(LEFT(G87,1)=",",REPLACE(G87,1,1,""),SUBSTITUTE(G87,F88, "and " &amp; F88)))</f>
        <v>trailing p/e, forward p/e, price/sales, and price/book</v>
      </c>
      <c r="I88" t="str">
        <f t="shared" ca="1" si="4"/>
        <v>N/A</v>
      </c>
      <c r="J88">
        <f t="shared" si="5"/>
        <v>29.41</v>
      </c>
      <c r="K88" t="str">
        <f t="shared" si="6"/>
        <v>N/A</v>
      </c>
      <c r="L88" t="str">
        <f t="shared" si="7"/>
        <v>N/A</v>
      </c>
      <c r="M88" t="str">
        <f t="shared" ca="1" si="8"/>
        <v>N/A</v>
      </c>
      <c r="N88" t="str">
        <f t="shared" ca="1" si="9"/>
        <v>N/A</v>
      </c>
    </row>
    <row r="89" spans="1:14" x14ac:dyDescent="0.3">
      <c r="A89" s="1">
        <v>2</v>
      </c>
      <c r="B89" t="s">
        <v>152</v>
      </c>
      <c r="C89" t="s">
        <v>3889</v>
      </c>
      <c r="D89" t="str">
        <f ca="1">IF(COUNTIF(E70:E76,"=below average")&gt;0,"There are some indications that "&amp;D1&amp;" may be undervalued. The company has a lower " &amp; G88 &amp; " than the comparable average", "Inconclusive")</f>
        <v>There are some indications that Colfax may be undervalued. The company has a lower trailing p/e, forward p/e, price/sales, and price/book than the comparable average</v>
      </c>
      <c r="I89" t="str">
        <f t="shared" ca="1" si="4"/>
        <v>N/A</v>
      </c>
      <c r="J89">
        <f t="shared" si="5"/>
        <v>-3.6000000000000004E-2</v>
      </c>
      <c r="K89" t="str">
        <f t="shared" ca="1" si="6"/>
        <v>N/A</v>
      </c>
      <c r="L89" t="str">
        <f t="shared" si="7"/>
        <v>N/A</v>
      </c>
      <c r="M89" t="str">
        <f t="shared" si="8"/>
        <v>N/A</v>
      </c>
      <c r="N89" t="str">
        <f t="shared" si="9"/>
        <v>N/A</v>
      </c>
    </row>
    <row r="90" spans="1:14" x14ac:dyDescent="0.3">
      <c r="A90" s="1">
        <v>3</v>
      </c>
      <c r="B90" t="s">
        <v>154</v>
      </c>
      <c r="C90" t="s">
        <v>304</v>
      </c>
      <c r="I90" t="str">
        <f t="shared" si="4"/>
        <v>N/A</v>
      </c>
      <c r="J90">
        <f t="shared" si="5"/>
        <v>1150000000</v>
      </c>
      <c r="K90" t="str">
        <f t="shared" si="6"/>
        <v>N/A</v>
      </c>
      <c r="L90" t="str">
        <f t="shared" si="7"/>
        <v>N/A</v>
      </c>
      <c r="M90" t="str">
        <f t="shared" si="8"/>
        <v>N/A</v>
      </c>
      <c r="N90" t="str">
        <f t="shared" si="9"/>
        <v>N/A</v>
      </c>
    </row>
    <row r="91" spans="1:14" x14ac:dyDescent="0.3">
      <c r="A91" s="1">
        <v>4</v>
      </c>
      <c r="B91" t="s">
        <v>156</v>
      </c>
      <c r="C91" t="s">
        <v>3890</v>
      </c>
      <c r="I91" t="str">
        <f t="shared" si="4"/>
        <v>N/A</v>
      </c>
      <c r="J91">
        <f t="shared" si="5"/>
        <v>445210000</v>
      </c>
      <c r="K91" t="str">
        <f t="shared" si="6"/>
        <v>N/A</v>
      </c>
      <c r="L91" t="str">
        <f t="shared" si="7"/>
        <v>N/A</v>
      </c>
      <c r="M91" t="str">
        <f t="shared" si="8"/>
        <v>N/A</v>
      </c>
      <c r="N91" t="str">
        <f t="shared" si="9"/>
        <v>N/A</v>
      </c>
    </row>
    <row r="92" spans="1:14" x14ac:dyDescent="0.3">
      <c r="A92" s="1">
        <v>5</v>
      </c>
      <c r="B92" t="s">
        <v>158</v>
      </c>
      <c r="C92" t="s">
        <v>3891</v>
      </c>
      <c r="I92" t="str">
        <f t="shared" ref="I92:I123" si="15">IF(AND(K92&gt; J92, L92&gt; K92, M92&gt; L92, N92&gt; M92), "pos_trend", IF(AND(K92&lt; J92, L92&lt; K92, M92&lt; L92, N92&lt; M92), "neg_trend", "N/A"))</f>
        <v>N/A</v>
      </c>
      <c r="J92">
        <f t="shared" ref="J92:J123" si="16">IFERROR(IF(TRIM(C92)="-", "N/A", IF(RIGHT(C92,1)=")",IF(RIGHT(C92,2)="T)",-1000000000000*VALUE(MID(C92,2,LEN(C92)-3)),IF(RIGHT(C92,2)="M)",-1000000*VALUE(MID(C92,2,LEN(C92)-3)),IF(RIGHT(C92,2)="B)",-1000000000*VALUE(MID(C92,2,LEN(C92)-3)),IF(RIGHT(C92,2)="k)",-1000*VALUE(MID(C92,2,LEN(C92)-3)),VALUE(SUBSTITUTE(C92,",","")))))),IF(RIGHT(C92,1)="T",1000000000000*VALUE(LEFT(C92,LEN(C92)-1)),IF(RIGHT(C92,1)="M",1000000*VALUE(LEFT(C92,LEN(C92)-1)),IF(RIGHT(C92,1)="B",1000000000*VALUE(LEFT(C92,LEN(C92)-1)),IF(RIGHT(C92,1)="%",0.01*VALUE(LEFT(C92,LEN(C92)-1)),IF(RIGHT(C92,1)="k",1000*VALUE(LEFT(C92,LEN(C92)-1)),VALUE(SUBSTITUTE(C92,",",""))))))))),"N/A")</f>
        <v>144040000</v>
      </c>
      <c r="K92" t="str">
        <f t="shared" ref="K92:K123" si="17">IFERROR(IF(TRIM(D92)="-", "N/A", IF(RIGHT(D92,1)=")",IF(RIGHT(D92,2)="T)",-1000000000000*VALUE(MID(D92,2,LEN(D92)-3)),IF(RIGHT(D92,2)="M)",-1000000*VALUE(MID(D92,2,LEN(D92)-3)),IF(RIGHT(D92,2)="B)",-1000000000*VALUE(MID(D92,2,LEN(D92)-3)),IF(RIGHT(D92,2)="k)",-1000*VALUE(MID(D92,2,LEN(D92)-3)),VALUE(SUBSTITUTE(D92,",","")))))),IF(RIGHT(D92,1)="T",1000000000000*VALUE(LEFT(D92,LEN(D92)-1)),IF(RIGHT(D92,1)="M",1000000*VALUE(LEFT(D92,LEN(D92)-1)),IF(RIGHT(D92,1)="B",1000000000*VALUE(LEFT(D92,LEN(D92)-1)),IF(RIGHT(D92,1)="%",0.01*VALUE(LEFT(D92,LEN(D92)-1)),IF(RIGHT(D92,1)="k",1000*VALUE(LEFT(D92,LEN(D92)-1)),VALUE(SUBSTITUTE(D92,",",""))))))))),"N/A")</f>
        <v>N/A</v>
      </c>
      <c r="L92" t="str">
        <f t="shared" ref="L92:L123" si="18">IFERROR(IF(TRIM(E92)="-", "N/A", IF(RIGHT(E92,1)=")",IF(RIGHT(E92,2)="T)",-1000000000000*VALUE(MID(E92,2,LEN(E92)-3)),IF(RIGHT(E92,2)="M)",-1000000*VALUE(MID(E92,2,LEN(E92)-3)),IF(RIGHT(E92,2)="B)",-1000000000*VALUE(MID(E92,2,LEN(E92)-3)),IF(RIGHT(E92,2)="k)",-1000*VALUE(MID(E92,2,LEN(E92)-3)),VALUE(SUBSTITUTE(E92,",","")))))),IF(RIGHT(E92,1)="T",1000000000000*VALUE(LEFT(E92,LEN(E92)-1)),IF(RIGHT(E92,1)="M",1000000*VALUE(LEFT(E92,LEN(E92)-1)),IF(RIGHT(E92,1)="B",1000000000*VALUE(LEFT(E92,LEN(E92)-1)),IF(RIGHT(E92,1)="%",0.01*VALUE(LEFT(E92,LEN(E92)-1)),IF(RIGHT(E92,1)="k",1000*VALUE(LEFT(E92,LEN(E92)-1)),VALUE(SUBSTITUTE(E92,",",""))))))))),"N/A")</f>
        <v>N/A</v>
      </c>
      <c r="M92" t="str">
        <f t="shared" ref="M92:M123" si="19">IFERROR(IF(TRIM(F92)="-", "N/A", IF(RIGHT(F92,1)=")",IF(RIGHT(F92,2)="T)",-1000000000000*VALUE(MID(F92,2,LEN(F92)-3)),IF(RIGHT(F92,2)="M)",-1000000*VALUE(MID(F92,2,LEN(F92)-3)),IF(RIGHT(F92,2)="B)",-1000000000*VALUE(MID(F92,2,LEN(F92)-3)),IF(RIGHT(F92,2)="k)",-1000*VALUE(MID(F92,2,LEN(F92)-3)),VALUE(SUBSTITUTE(F92,",","")))))),IF(RIGHT(F92,1)="T",1000000000000*VALUE(LEFT(F92,LEN(F92)-1)),IF(RIGHT(F92,1)="M",1000000*VALUE(LEFT(F92,LEN(F92)-1)),IF(RIGHT(F92,1)="B",1000000000*VALUE(LEFT(F92,LEN(F92)-1)),IF(RIGHT(F92,1)="%",0.01*VALUE(LEFT(F92,LEN(F92)-1)),IF(RIGHT(F92,1)="k",1000*VALUE(LEFT(F92,LEN(F92)-1)),VALUE(SUBSTITUTE(F92,",",""))))))))),"N/A")</f>
        <v>N/A</v>
      </c>
      <c r="N92" t="str">
        <f t="shared" ref="N92:N123" si="20">IFERROR(IF(TRIM(G92)="-", "N/A", IF(RIGHT(G92,1)=")",IF(RIGHT(G92,2)="T)",-1000000000000*VALUE(MID(G92,2,LEN(G92)-3)),IF(RIGHT(G92,2)="M)",-1000000*VALUE(MID(G92,2,LEN(G92)-3)),IF(RIGHT(G92,2)="B)",-1000000000*VALUE(MID(G92,2,LEN(G92)-3)),IF(RIGHT(G92,2)="k)",-1000*VALUE(MID(G92,2,LEN(G92)-3)),VALUE(SUBSTITUTE(G92,",","")))))),IF(RIGHT(G92,1)="T",1000000000000*VALUE(LEFT(G92,LEN(G92)-1)),IF(RIGHT(G92,1)="M",1000000*VALUE(LEFT(G92,LEN(G92)-1)),IF(RIGHT(G92,1)="B",1000000000*VALUE(LEFT(G92,LEN(G92)-1)),IF(RIGHT(G92,1)="%",0.01*VALUE(LEFT(G92,LEN(G92)-1)),IF(RIGHT(G92,1)="k",1000*VALUE(LEFT(G92,LEN(G92)-1)),VALUE(SUBSTITUTE(G92,",",""))))))))),"N/A")</f>
        <v>N/A</v>
      </c>
    </row>
    <row r="93" spans="1:14" x14ac:dyDescent="0.3">
      <c r="A93" s="1">
        <v>6</v>
      </c>
      <c r="B93" t="s">
        <v>160</v>
      </c>
      <c r="C93" t="s">
        <v>3458</v>
      </c>
      <c r="I93" t="str">
        <f t="shared" si="15"/>
        <v>N/A</v>
      </c>
      <c r="J93">
        <f t="shared" si="16"/>
        <v>1.17</v>
      </c>
      <c r="K93" t="str">
        <f t="shared" si="17"/>
        <v>N/A</v>
      </c>
      <c r="L93" t="str">
        <f t="shared" si="18"/>
        <v>N/A</v>
      </c>
      <c r="M93" t="str">
        <f t="shared" si="19"/>
        <v>N/A</v>
      </c>
      <c r="N93" t="str">
        <f t="shared" si="20"/>
        <v>N/A</v>
      </c>
    </row>
    <row r="94" spans="1:14" x14ac:dyDescent="0.3">
      <c r="A94" s="1">
        <v>7</v>
      </c>
      <c r="B94" t="s">
        <v>161</v>
      </c>
      <c r="C94" t="s">
        <v>3892</v>
      </c>
      <c r="I94" t="str">
        <f t="shared" si="15"/>
        <v>N/A</v>
      </c>
      <c r="J94">
        <f t="shared" si="16"/>
        <v>0.70400000000000007</v>
      </c>
      <c r="K94" t="str">
        <f t="shared" si="17"/>
        <v>N/A</v>
      </c>
      <c r="L94" t="str">
        <f t="shared" si="18"/>
        <v>N/A</v>
      </c>
      <c r="M94" t="str">
        <f t="shared" si="19"/>
        <v>N/A</v>
      </c>
      <c r="N94" t="str">
        <f t="shared" si="20"/>
        <v>N/A</v>
      </c>
    </row>
    <row r="95" spans="1:14" x14ac:dyDescent="0.3">
      <c r="I95" t="str">
        <f t="shared" si="15"/>
        <v>N/A</v>
      </c>
      <c r="J95" t="str">
        <f t="shared" si="16"/>
        <v>N/A</v>
      </c>
      <c r="K95" t="str">
        <f t="shared" si="17"/>
        <v>N/A</v>
      </c>
      <c r="L95" t="str">
        <f t="shared" si="18"/>
        <v>N/A</v>
      </c>
      <c r="M95" t="str">
        <f t="shared" si="19"/>
        <v>N/A</v>
      </c>
      <c r="N95" t="str">
        <f t="shared" si="20"/>
        <v>N/A</v>
      </c>
    </row>
    <row r="96" spans="1:14" x14ac:dyDescent="0.3">
      <c r="A96" s="1">
        <v>0</v>
      </c>
      <c r="B96" t="s">
        <v>163</v>
      </c>
      <c r="C96" t="s">
        <v>3893</v>
      </c>
      <c r="I96" t="str">
        <f t="shared" si="15"/>
        <v>N/A</v>
      </c>
      <c r="J96">
        <f t="shared" si="16"/>
        <v>207840000</v>
      </c>
      <c r="K96" t="str">
        <f t="shared" si="17"/>
        <v>N/A</v>
      </c>
      <c r="L96" t="str">
        <f t="shared" si="18"/>
        <v>N/A</v>
      </c>
      <c r="M96" t="str">
        <f t="shared" si="19"/>
        <v>N/A</v>
      </c>
      <c r="N96" t="str">
        <f t="shared" si="20"/>
        <v>N/A</v>
      </c>
    </row>
    <row r="97" spans="1:14" x14ac:dyDescent="0.3">
      <c r="A97" s="1">
        <v>1</v>
      </c>
      <c r="B97" t="s">
        <v>165</v>
      </c>
      <c r="C97" t="s">
        <v>1224</v>
      </c>
      <c r="I97" t="str">
        <f t="shared" si="15"/>
        <v>N/A</v>
      </c>
      <c r="J97">
        <f t="shared" si="16"/>
        <v>1.69</v>
      </c>
      <c r="K97" t="str">
        <f t="shared" si="17"/>
        <v>N/A</v>
      </c>
      <c r="L97" t="str">
        <f t="shared" si="18"/>
        <v>N/A</v>
      </c>
      <c r="M97" t="str">
        <f t="shared" si="19"/>
        <v>N/A</v>
      </c>
      <c r="N97" t="str">
        <f t="shared" si="20"/>
        <v>N/A</v>
      </c>
    </row>
    <row r="98" spans="1:14" x14ac:dyDescent="0.3">
      <c r="A98" s="1">
        <v>2</v>
      </c>
      <c r="B98" t="s">
        <v>167</v>
      </c>
      <c r="C98" t="s">
        <v>542</v>
      </c>
      <c r="I98" t="str">
        <f t="shared" si="15"/>
        <v>N/A</v>
      </c>
      <c r="J98">
        <f t="shared" si="16"/>
        <v>1250000000</v>
      </c>
      <c r="K98" t="str">
        <f t="shared" si="17"/>
        <v>N/A</v>
      </c>
      <c r="L98" t="str">
        <f t="shared" si="18"/>
        <v>N/A</v>
      </c>
      <c r="M98" t="str">
        <f t="shared" si="19"/>
        <v>N/A</v>
      </c>
      <c r="N98" t="str">
        <f t="shared" si="20"/>
        <v>N/A</v>
      </c>
    </row>
    <row r="99" spans="1:14" x14ac:dyDescent="0.3">
      <c r="A99" s="1">
        <v>3</v>
      </c>
      <c r="B99" t="s">
        <v>169</v>
      </c>
      <c r="C99" t="s">
        <v>3894</v>
      </c>
      <c r="I99" t="str">
        <f t="shared" si="15"/>
        <v>N/A</v>
      </c>
      <c r="J99">
        <f t="shared" si="16"/>
        <v>38.950000000000003</v>
      </c>
      <c r="K99" t="str">
        <f t="shared" si="17"/>
        <v>N/A</v>
      </c>
      <c r="L99" t="str">
        <f t="shared" si="18"/>
        <v>N/A</v>
      </c>
      <c r="M99" t="str">
        <f t="shared" si="19"/>
        <v>N/A</v>
      </c>
      <c r="N99" t="str">
        <f t="shared" si="20"/>
        <v>N/A</v>
      </c>
    </row>
    <row r="100" spans="1:14" x14ac:dyDescent="0.3">
      <c r="A100" s="1">
        <v>4</v>
      </c>
      <c r="B100" t="s">
        <v>171</v>
      </c>
      <c r="C100" t="s">
        <v>3895</v>
      </c>
      <c r="I100" t="str">
        <f t="shared" si="15"/>
        <v>N/A</v>
      </c>
      <c r="J100">
        <f t="shared" si="16"/>
        <v>1.65</v>
      </c>
      <c r="K100" t="str">
        <f t="shared" si="17"/>
        <v>N/A</v>
      </c>
      <c r="L100" t="str">
        <f t="shared" si="18"/>
        <v>N/A</v>
      </c>
      <c r="M100" t="str">
        <f t="shared" si="19"/>
        <v>N/A</v>
      </c>
      <c r="N100" t="str">
        <f t="shared" si="20"/>
        <v>N/A</v>
      </c>
    </row>
    <row r="101" spans="1:14" x14ac:dyDescent="0.3">
      <c r="A101" s="1">
        <v>5</v>
      </c>
      <c r="B101" t="s">
        <v>173</v>
      </c>
      <c r="C101" t="s">
        <v>3896</v>
      </c>
      <c r="I101" t="str">
        <f t="shared" si="15"/>
        <v>N/A</v>
      </c>
      <c r="J101">
        <f t="shared" si="16"/>
        <v>24.48</v>
      </c>
      <c r="K101" t="str">
        <f t="shared" si="17"/>
        <v>N/A</v>
      </c>
      <c r="L101" t="str">
        <f t="shared" si="18"/>
        <v>N/A</v>
      </c>
      <c r="M101" t="str">
        <f t="shared" si="19"/>
        <v>N/A</v>
      </c>
      <c r="N101" t="str">
        <f t="shared" si="20"/>
        <v>N/A</v>
      </c>
    </row>
    <row r="102" spans="1:14" x14ac:dyDescent="0.3">
      <c r="I102" t="str">
        <f t="shared" si="15"/>
        <v>N/A</v>
      </c>
      <c r="J102" t="str">
        <f t="shared" si="16"/>
        <v>N/A</v>
      </c>
      <c r="K102" t="str">
        <f t="shared" si="17"/>
        <v>N/A</v>
      </c>
      <c r="L102" t="str">
        <f t="shared" si="18"/>
        <v>N/A</v>
      </c>
      <c r="M102" t="str">
        <f t="shared" si="19"/>
        <v>N/A</v>
      </c>
      <c r="N102" t="str">
        <f t="shared" si="20"/>
        <v>N/A</v>
      </c>
    </row>
    <row r="103" spans="1:14" x14ac:dyDescent="0.3">
      <c r="A103" s="1">
        <v>0</v>
      </c>
      <c r="B103" t="s">
        <v>175</v>
      </c>
      <c r="C103" t="s">
        <v>3897</v>
      </c>
      <c r="I103" t="str">
        <f t="shared" si="15"/>
        <v>N/A</v>
      </c>
      <c r="J103">
        <f t="shared" si="16"/>
        <v>271860000</v>
      </c>
      <c r="K103" t="str">
        <f t="shared" si="17"/>
        <v>N/A</v>
      </c>
      <c r="L103" t="str">
        <f t="shared" si="18"/>
        <v>N/A</v>
      </c>
      <c r="M103" t="str">
        <f t="shared" si="19"/>
        <v>N/A</v>
      </c>
      <c r="N103" t="str">
        <f t="shared" si="20"/>
        <v>N/A</v>
      </c>
    </row>
    <row r="104" spans="1:14" x14ac:dyDescent="0.3">
      <c r="A104" s="1">
        <v>1</v>
      </c>
      <c r="B104" t="s">
        <v>177</v>
      </c>
      <c r="C104" t="s">
        <v>3898</v>
      </c>
      <c r="I104" t="str">
        <f t="shared" si="15"/>
        <v>N/A</v>
      </c>
      <c r="J104">
        <f t="shared" si="16"/>
        <v>277510000</v>
      </c>
      <c r="K104" t="str">
        <f t="shared" si="17"/>
        <v>N/A</v>
      </c>
      <c r="L104" t="str">
        <f t="shared" si="18"/>
        <v>N/A</v>
      </c>
      <c r="M104" t="str">
        <f t="shared" si="19"/>
        <v>N/A</v>
      </c>
      <c r="N104" t="str">
        <f t="shared" si="20"/>
        <v>N/A</v>
      </c>
    </row>
    <row r="105" spans="1:14" x14ac:dyDescent="0.3">
      <c r="I105" t="str">
        <f t="shared" si="15"/>
        <v>N/A</v>
      </c>
      <c r="J105" t="str">
        <f t="shared" si="16"/>
        <v>N/A</v>
      </c>
      <c r="K105" t="str">
        <f t="shared" si="17"/>
        <v>N/A</v>
      </c>
      <c r="L105" t="str">
        <f t="shared" si="18"/>
        <v>N/A</v>
      </c>
      <c r="M105" t="str">
        <f t="shared" si="19"/>
        <v>N/A</v>
      </c>
      <c r="N105" t="str">
        <f t="shared" si="20"/>
        <v>N/A</v>
      </c>
    </row>
    <row r="106" spans="1:14" x14ac:dyDescent="0.3">
      <c r="A106" s="1">
        <v>0</v>
      </c>
      <c r="B106" t="s">
        <v>22</v>
      </c>
      <c r="C106" t="s">
        <v>3849</v>
      </c>
      <c r="I106" t="str">
        <f t="shared" si="15"/>
        <v>N/A</v>
      </c>
      <c r="J106">
        <f t="shared" si="16"/>
        <v>1.1399999999999999</v>
      </c>
      <c r="K106" t="str">
        <f t="shared" si="17"/>
        <v>N/A</v>
      </c>
      <c r="L106" t="str">
        <f t="shared" si="18"/>
        <v>N/A</v>
      </c>
      <c r="M106" t="str">
        <f t="shared" si="19"/>
        <v>N/A</v>
      </c>
      <c r="N106" t="str">
        <f t="shared" si="20"/>
        <v>N/A</v>
      </c>
    </row>
    <row r="107" spans="1:14" x14ac:dyDescent="0.3">
      <c r="A107" s="1">
        <v>1</v>
      </c>
      <c r="B107" t="s">
        <v>179</v>
      </c>
      <c r="C107" t="s">
        <v>3899</v>
      </c>
      <c r="I107" t="str">
        <f t="shared" si="15"/>
        <v>N/A</v>
      </c>
      <c r="J107">
        <f t="shared" si="16"/>
        <v>0.40240000000000004</v>
      </c>
      <c r="K107" t="str">
        <f t="shared" si="17"/>
        <v>N/A</v>
      </c>
      <c r="L107" t="str">
        <f t="shared" si="18"/>
        <v>N/A</v>
      </c>
      <c r="M107" t="str">
        <f t="shared" si="19"/>
        <v>N/A</v>
      </c>
      <c r="N107" t="str">
        <f t="shared" si="20"/>
        <v>N/A</v>
      </c>
    </row>
    <row r="108" spans="1:14" x14ac:dyDescent="0.3">
      <c r="A108" s="1">
        <v>2</v>
      </c>
      <c r="B108" t="s">
        <v>181</v>
      </c>
      <c r="C108" t="s">
        <v>182</v>
      </c>
      <c r="I108" t="str">
        <f t="shared" si="15"/>
        <v>N/A</v>
      </c>
      <c r="J108">
        <f t="shared" si="16"/>
        <v>0.14180000000000001</v>
      </c>
      <c r="K108" t="str">
        <f t="shared" si="17"/>
        <v>N/A</v>
      </c>
      <c r="L108" t="str">
        <f t="shared" si="18"/>
        <v>N/A</v>
      </c>
      <c r="M108" t="str">
        <f t="shared" si="19"/>
        <v>N/A</v>
      </c>
      <c r="N108" t="str">
        <f t="shared" si="20"/>
        <v>N/A</v>
      </c>
    </row>
    <row r="109" spans="1:14" x14ac:dyDescent="0.3">
      <c r="A109" s="1">
        <v>3</v>
      </c>
      <c r="B109" t="s">
        <v>183</v>
      </c>
      <c r="C109" t="s">
        <v>3900</v>
      </c>
      <c r="I109" t="str">
        <f t="shared" si="15"/>
        <v>N/A</v>
      </c>
      <c r="J109">
        <f t="shared" si="16"/>
        <v>42.5</v>
      </c>
      <c r="K109" t="str">
        <f t="shared" si="17"/>
        <v>N/A</v>
      </c>
      <c r="L109" t="str">
        <f t="shared" si="18"/>
        <v>N/A</v>
      </c>
      <c r="M109" t="str">
        <f t="shared" si="19"/>
        <v>N/A</v>
      </c>
      <c r="N109" t="str">
        <f t="shared" si="20"/>
        <v>N/A</v>
      </c>
    </row>
    <row r="110" spans="1:14" x14ac:dyDescent="0.3">
      <c r="A110" s="1">
        <v>4</v>
      </c>
      <c r="B110" t="s">
        <v>185</v>
      </c>
      <c r="C110" t="s">
        <v>3901</v>
      </c>
      <c r="I110" t="str">
        <f t="shared" si="15"/>
        <v>N/A</v>
      </c>
      <c r="J110">
        <f t="shared" si="16"/>
        <v>27.76</v>
      </c>
      <c r="K110" t="str">
        <f t="shared" si="17"/>
        <v>N/A</v>
      </c>
      <c r="L110" t="str">
        <f t="shared" si="18"/>
        <v>N/A</v>
      </c>
      <c r="M110" t="str">
        <f t="shared" si="19"/>
        <v>N/A</v>
      </c>
      <c r="N110" t="str">
        <f t="shared" si="20"/>
        <v>N/A</v>
      </c>
    </row>
    <row r="111" spans="1:14" x14ac:dyDescent="0.3">
      <c r="A111" s="1">
        <v>5</v>
      </c>
      <c r="B111" t="s">
        <v>187</v>
      </c>
      <c r="C111" t="s">
        <v>3902</v>
      </c>
      <c r="I111" t="str">
        <f t="shared" si="15"/>
        <v>N/A</v>
      </c>
      <c r="J111">
        <f t="shared" si="16"/>
        <v>39.83</v>
      </c>
      <c r="K111" t="str">
        <f t="shared" si="17"/>
        <v>N/A</v>
      </c>
      <c r="L111" t="str">
        <f t="shared" si="18"/>
        <v>N/A</v>
      </c>
      <c r="M111" t="str">
        <f t="shared" si="19"/>
        <v>N/A</v>
      </c>
      <c r="N111" t="str">
        <f t="shared" si="20"/>
        <v>N/A</v>
      </c>
    </row>
    <row r="112" spans="1:14" x14ac:dyDescent="0.3">
      <c r="A112" s="1">
        <v>6</v>
      </c>
      <c r="B112" t="s">
        <v>189</v>
      </c>
      <c r="C112" t="s">
        <v>3903</v>
      </c>
      <c r="I112" t="str">
        <f t="shared" si="15"/>
        <v>N/A</v>
      </c>
      <c r="J112">
        <f t="shared" si="16"/>
        <v>39.43</v>
      </c>
      <c r="K112" t="str">
        <f t="shared" si="17"/>
        <v>N/A</v>
      </c>
      <c r="L112" t="str">
        <f t="shared" si="18"/>
        <v>N/A</v>
      </c>
      <c r="M112" t="str">
        <f t="shared" si="19"/>
        <v>N/A</v>
      </c>
      <c r="N112" t="str">
        <f t="shared" si="20"/>
        <v>N/A</v>
      </c>
    </row>
    <row r="113" spans="1:14" x14ac:dyDescent="0.3">
      <c r="I113" t="str">
        <f t="shared" si="15"/>
        <v>N/A</v>
      </c>
      <c r="J113" t="str">
        <f t="shared" si="16"/>
        <v>N/A</v>
      </c>
      <c r="K113" t="str">
        <f t="shared" si="17"/>
        <v>N/A</v>
      </c>
      <c r="L113" t="str">
        <f t="shared" si="18"/>
        <v>N/A</v>
      </c>
      <c r="M113" t="str">
        <f t="shared" si="19"/>
        <v>N/A</v>
      </c>
      <c r="N113" t="str">
        <f t="shared" si="20"/>
        <v>N/A</v>
      </c>
    </row>
    <row r="114" spans="1:14" x14ac:dyDescent="0.3">
      <c r="A114" s="1">
        <v>0</v>
      </c>
      <c r="B114" t="s">
        <v>191</v>
      </c>
      <c r="C114" t="s">
        <v>3904</v>
      </c>
      <c r="I114" t="str">
        <f t="shared" si="15"/>
        <v>N/A</v>
      </c>
      <c r="J114">
        <f t="shared" si="16"/>
        <v>872770</v>
      </c>
      <c r="K114" t="str">
        <f t="shared" si="17"/>
        <v>N/A</v>
      </c>
      <c r="L114" t="str">
        <f t="shared" si="18"/>
        <v>N/A</v>
      </c>
      <c r="M114" t="str">
        <f t="shared" si="19"/>
        <v>N/A</v>
      </c>
      <c r="N114" t="str">
        <f t="shared" si="20"/>
        <v>N/A</v>
      </c>
    </row>
    <row r="115" spans="1:14" x14ac:dyDescent="0.3">
      <c r="A115" s="1">
        <v>1</v>
      </c>
      <c r="B115" t="s">
        <v>193</v>
      </c>
      <c r="C115" t="s">
        <v>3905</v>
      </c>
      <c r="I115" t="str">
        <f t="shared" si="15"/>
        <v>N/A</v>
      </c>
      <c r="J115">
        <f t="shared" si="16"/>
        <v>893140</v>
      </c>
      <c r="K115" t="str">
        <f t="shared" si="17"/>
        <v>N/A</v>
      </c>
      <c r="L115" t="str">
        <f t="shared" si="18"/>
        <v>N/A</v>
      </c>
      <c r="M115" t="str">
        <f t="shared" si="19"/>
        <v>N/A</v>
      </c>
      <c r="N115" t="str">
        <f t="shared" si="20"/>
        <v>N/A</v>
      </c>
    </row>
    <row r="116" spans="1:14" x14ac:dyDescent="0.3">
      <c r="A116" s="1">
        <v>2</v>
      </c>
      <c r="B116" t="s">
        <v>195</v>
      </c>
      <c r="C116" t="s">
        <v>3906</v>
      </c>
      <c r="I116" t="str">
        <f t="shared" si="15"/>
        <v>N/A</v>
      </c>
      <c r="J116">
        <f t="shared" si="16"/>
        <v>122990000</v>
      </c>
      <c r="K116" t="str">
        <f t="shared" si="17"/>
        <v>N/A</v>
      </c>
      <c r="L116" t="str">
        <f t="shared" si="18"/>
        <v>N/A</v>
      </c>
      <c r="M116" t="str">
        <f t="shared" si="19"/>
        <v>N/A</v>
      </c>
      <c r="N116" t="str">
        <f t="shared" si="20"/>
        <v>N/A</v>
      </c>
    </row>
    <row r="117" spans="1:14" x14ac:dyDescent="0.3">
      <c r="A117" s="1">
        <v>3</v>
      </c>
      <c r="B117" t="s">
        <v>197</v>
      </c>
      <c r="C117" t="s">
        <v>3907</v>
      </c>
      <c r="I117" t="str">
        <f t="shared" si="15"/>
        <v>N/A</v>
      </c>
      <c r="J117">
        <f t="shared" si="16"/>
        <v>98130000</v>
      </c>
      <c r="K117" t="str">
        <f t="shared" si="17"/>
        <v>N/A</v>
      </c>
      <c r="L117" t="str">
        <f t="shared" si="18"/>
        <v>N/A</v>
      </c>
      <c r="M117" t="str">
        <f t="shared" si="19"/>
        <v>N/A</v>
      </c>
      <c r="N117" t="str">
        <f t="shared" si="20"/>
        <v>N/A</v>
      </c>
    </row>
    <row r="118" spans="1:14" x14ac:dyDescent="0.3">
      <c r="A118" s="1">
        <v>4</v>
      </c>
      <c r="B118" t="s">
        <v>199</v>
      </c>
      <c r="C118" t="s">
        <v>3908</v>
      </c>
      <c r="I118" t="str">
        <f t="shared" si="15"/>
        <v>N/A</v>
      </c>
      <c r="J118">
        <f t="shared" si="16"/>
        <v>0.19070000000000001</v>
      </c>
      <c r="K118" t="str">
        <f t="shared" si="17"/>
        <v>N/A</v>
      </c>
      <c r="L118" t="str">
        <f t="shared" si="18"/>
        <v>N/A</v>
      </c>
      <c r="M118" t="str">
        <f t="shared" si="19"/>
        <v>N/A</v>
      </c>
      <c r="N118" t="str">
        <f t="shared" si="20"/>
        <v>N/A</v>
      </c>
    </row>
    <row r="119" spans="1:14" x14ac:dyDescent="0.3">
      <c r="A119" s="1">
        <v>5</v>
      </c>
      <c r="B119" t="s">
        <v>201</v>
      </c>
      <c r="C119" t="s">
        <v>3909</v>
      </c>
      <c r="I119" t="str">
        <f t="shared" si="15"/>
        <v>N/A</v>
      </c>
      <c r="J119">
        <f t="shared" si="16"/>
        <v>0.91</v>
      </c>
      <c r="K119" t="str">
        <f t="shared" si="17"/>
        <v>N/A</v>
      </c>
      <c r="L119" t="str">
        <f t="shared" si="18"/>
        <v>N/A</v>
      </c>
      <c r="M119" t="str">
        <f t="shared" si="19"/>
        <v>N/A</v>
      </c>
      <c r="N119" t="str">
        <f t="shared" si="20"/>
        <v>N/A</v>
      </c>
    </row>
    <row r="120" spans="1:14" x14ac:dyDescent="0.3">
      <c r="A120" s="1">
        <v>6</v>
      </c>
      <c r="B120" t="s">
        <v>203</v>
      </c>
      <c r="C120" t="s">
        <v>3910</v>
      </c>
      <c r="I120" t="str">
        <f t="shared" si="15"/>
        <v>N/A</v>
      </c>
      <c r="J120">
        <f t="shared" si="16"/>
        <v>1560000</v>
      </c>
      <c r="K120" t="str">
        <f t="shared" si="17"/>
        <v>N/A</v>
      </c>
      <c r="L120" t="str">
        <f t="shared" si="18"/>
        <v>N/A</v>
      </c>
      <c r="M120" t="str">
        <f t="shared" si="19"/>
        <v>N/A</v>
      </c>
      <c r="N120" t="str">
        <f t="shared" si="20"/>
        <v>N/A</v>
      </c>
    </row>
    <row r="121" spans="1:14" x14ac:dyDescent="0.3">
      <c r="A121" s="1">
        <v>7</v>
      </c>
      <c r="B121" t="s">
        <v>205</v>
      </c>
      <c r="C121" t="s">
        <v>3911</v>
      </c>
      <c r="I121" t="str">
        <f t="shared" si="15"/>
        <v>N/A</v>
      </c>
      <c r="J121">
        <f t="shared" si="16"/>
        <v>1.81</v>
      </c>
      <c r="K121" t="str">
        <f t="shared" si="17"/>
        <v>N/A</v>
      </c>
      <c r="L121" t="str">
        <f t="shared" si="18"/>
        <v>N/A</v>
      </c>
      <c r="M121" t="str">
        <f t="shared" si="19"/>
        <v>N/A</v>
      </c>
      <c r="N121" t="str">
        <f t="shared" si="20"/>
        <v>N/A</v>
      </c>
    </row>
    <row r="122" spans="1:14" x14ac:dyDescent="0.3">
      <c r="A122" s="1">
        <v>8</v>
      </c>
      <c r="B122" t="s">
        <v>207</v>
      </c>
      <c r="C122" t="s">
        <v>3912</v>
      </c>
      <c r="I122" t="str">
        <f t="shared" si="15"/>
        <v>N/A</v>
      </c>
      <c r="J122">
        <f t="shared" si="16"/>
        <v>1.7899999999999999E-2</v>
      </c>
      <c r="K122" t="str">
        <f t="shared" si="17"/>
        <v>N/A</v>
      </c>
      <c r="L122" t="str">
        <f t="shared" si="18"/>
        <v>N/A</v>
      </c>
      <c r="M122" t="str">
        <f t="shared" si="19"/>
        <v>N/A</v>
      </c>
      <c r="N122" t="str">
        <f t="shared" si="20"/>
        <v>N/A</v>
      </c>
    </row>
    <row r="123" spans="1:14" x14ac:dyDescent="0.3">
      <c r="A123" s="1">
        <v>9</v>
      </c>
      <c r="B123" t="s">
        <v>209</v>
      </c>
      <c r="C123" t="s">
        <v>1157</v>
      </c>
      <c r="I123" t="str">
        <f t="shared" si="15"/>
        <v>N/A</v>
      </c>
      <c r="J123">
        <f t="shared" si="16"/>
        <v>1280000</v>
      </c>
      <c r="K123" t="str">
        <f t="shared" si="17"/>
        <v>N/A</v>
      </c>
      <c r="L123" t="str">
        <f t="shared" si="18"/>
        <v>N/A</v>
      </c>
      <c r="M123" t="str">
        <f t="shared" si="19"/>
        <v>N/A</v>
      </c>
      <c r="N123" t="str">
        <f t="shared" si="20"/>
        <v>N/A</v>
      </c>
    </row>
    <row r="124" spans="1:14" x14ac:dyDescent="0.3">
      <c r="I124" t="str">
        <f t="shared" ref="I124:I155" si="21">IF(AND(K124&gt; J124, L124&gt; K124, M124&gt; L124, N124&gt; M124), "pos_trend", IF(AND(K124&lt; J124, L124&lt; K124, M124&lt; L124, N124&lt; M124), "neg_trend", "N/A"))</f>
        <v>N/A</v>
      </c>
      <c r="J124" t="str">
        <f t="shared" ref="J124:J156" si="22">IFERROR(IF(TRIM(C124)="-", "N/A", IF(RIGHT(C124,1)=")",IF(RIGHT(C124,2)="T)",-1000000000000*VALUE(MID(C124,2,LEN(C124)-3)),IF(RIGHT(C124,2)="M)",-1000000*VALUE(MID(C124,2,LEN(C124)-3)),IF(RIGHT(C124,2)="B)",-1000000000*VALUE(MID(C124,2,LEN(C124)-3)),IF(RIGHT(C124,2)="k)",-1000*VALUE(MID(C124,2,LEN(C124)-3)),VALUE(SUBSTITUTE(C124,",","")))))),IF(RIGHT(C124,1)="T",1000000000000*VALUE(LEFT(C124,LEN(C124)-1)),IF(RIGHT(C124,1)="M",1000000*VALUE(LEFT(C124,LEN(C124)-1)),IF(RIGHT(C124,1)="B",1000000000*VALUE(LEFT(C124,LEN(C124)-1)),IF(RIGHT(C124,1)="%",0.01*VALUE(LEFT(C124,LEN(C124)-1)),IF(RIGHT(C124,1)="k",1000*VALUE(LEFT(C124,LEN(C124)-1)),VALUE(SUBSTITUTE(C124,",",""))))))))),"N/A")</f>
        <v>N/A</v>
      </c>
      <c r="K124" t="str">
        <f t="shared" ref="K124:K156" si="23">IFERROR(IF(TRIM(D124)="-", "N/A", IF(RIGHT(D124,1)=")",IF(RIGHT(D124,2)="T)",-1000000000000*VALUE(MID(D124,2,LEN(D124)-3)),IF(RIGHT(D124,2)="M)",-1000000*VALUE(MID(D124,2,LEN(D124)-3)),IF(RIGHT(D124,2)="B)",-1000000000*VALUE(MID(D124,2,LEN(D124)-3)),IF(RIGHT(D124,2)="k)",-1000*VALUE(MID(D124,2,LEN(D124)-3)),VALUE(SUBSTITUTE(D124,",","")))))),IF(RIGHT(D124,1)="T",1000000000000*VALUE(LEFT(D124,LEN(D124)-1)),IF(RIGHT(D124,1)="M",1000000*VALUE(LEFT(D124,LEN(D124)-1)),IF(RIGHT(D124,1)="B",1000000000*VALUE(LEFT(D124,LEN(D124)-1)),IF(RIGHT(D124,1)="%",0.01*VALUE(LEFT(D124,LEN(D124)-1)),IF(RIGHT(D124,1)="k",1000*VALUE(LEFT(D124,LEN(D124)-1)),VALUE(SUBSTITUTE(D124,",",""))))))))),"N/A")</f>
        <v>N/A</v>
      </c>
      <c r="L124" t="str">
        <f t="shared" ref="L124:L156" si="24">IFERROR(IF(TRIM(E124)="-", "N/A", IF(RIGHT(E124,1)=")",IF(RIGHT(E124,2)="T)",-1000000000000*VALUE(MID(E124,2,LEN(E124)-3)),IF(RIGHT(E124,2)="M)",-1000000*VALUE(MID(E124,2,LEN(E124)-3)),IF(RIGHT(E124,2)="B)",-1000000000*VALUE(MID(E124,2,LEN(E124)-3)),IF(RIGHT(E124,2)="k)",-1000*VALUE(MID(E124,2,LEN(E124)-3)),VALUE(SUBSTITUTE(E124,",","")))))),IF(RIGHT(E124,1)="T",1000000000000*VALUE(LEFT(E124,LEN(E124)-1)),IF(RIGHT(E124,1)="M",1000000*VALUE(LEFT(E124,LEN(E124)-1)),IF(RIGHT(E124,1)="B",1000000000*VALUE(LEFT(E124,LEN(E124)-1)),IF(RIGHT(E124,1)="%",0.01*VALUE(LEFT(E124,LEN(E124)-1)),IF(RIGHT(E124,1)="k",1000*VALUE(LEFT(E124,LEN(E124)-1)),VALUE(SUBSTITUTE(E124,",",""))))))))),"N/A")</f>
        <v>N/A</v>
      </c>
      <c r="M124" t="str">
        <f t="shared" ref="M124:M156" si="25">IFERROR(IF(TRIM(F124)="-", "N/A", IF(RIGHT(F124,1)=")",IF(RIGHT(F124,2)="T)",-1000000000000*VALUE(MID(F124,2,LEN(F124)-3)),IF(RIGHT(F124,2)="M)",-1000000*VALUE(MID(F124,2,LEN(F124)-3)),IF(RIGHT(F124,2)="B)",-1000000000*VALUE(MID(F124,2,LEN(F124)-3)),IF(RIGHT(F124,2)="k)",-1000*VALUE(MID(F124,2,LEN(F124)-3)),VALUE(SUBSTITUTE(F124,",","")))))),IF(RIGHT(F124,1)="T",1000000000000*VALUE(LEFT(F124,LEN(F124)-1)),IF(RIGHT(F124,1)="M",1000000*VALUE(LEFT(F124,LEN(F124)-1)),IF(RIGHT(F124,1)="B",1000000000*VALUE(LEFT(F124,LEN(F124)-1)),IF(RIGHT(F124,1)="%",0.01*VALUE(LEFT(F124,LEN(F124)-1)),IF(RIGHT(F124,1)="k",1000*VALUE(LEFT(F124,LEN(F124)-1)),VALUE(SUBSTITUTE(F124,",",""))))))))),"N/A")</f>
        <v>N/A</v>
      </c>
      <c r="N124" t="str">
        <f t="shared" ref="N124:N156" si="26">IFERROR(IF(TRIM(G124)="-", "N/A", IF(RIGHT(G124,1)=")",IF(RIGHT(G124,2)="T)",-1000000000000*VALUE(MID(G124,2,LEN(G124)-3)),IF(RIGHT(G124,2)="M)",-1000000*VALUE(MID(G124,2,LEN(G124)-3)),IF(RIGHT(G124,2)="B)",-1000000000*VALUE(MID(G124,2,LEN(G124)-3)),IF(RIGHT(G124,2)="k)",-1000*VALUE(MID(G124,2,LEN(G124)-3)),VALUE(SUBSTITUTE(G124,",","")))))),IF(RIGHT(G124,1)="T",1000000000000*VALUE(LEFT(G124,LEN(G124)-1)),IF(RIGHT(G124,1)="M",1000000*VALUE(LEFT(G124,LEN(G124)-1)),IF(RIGHT(G124,1)="B",1000000000*VALUE(LEFT(G124,LEN(G124)-1)),IF(RIGHT(G124,1)="%",0.01*VALUE(LEFT(G124,LEN(G124)-1)),IF(RIGHT(G124,1)="k",1000*VALUE(LEFT(G124,LEN(G124)-1)),VALUE(SUBSTITUTE(G124,",",""))))))))),"N/A")</f>
        <v>N/A</v>
      </c>
    </row>
    <row r="125" spans="1:14" x14ac:dyDescent="0.3">
      <c r="A125" s="1">
        <v>0</v>
      </c>
      <c r="B125" t="s">
        <v>211</v>
      </c>
      <c r="I125" t="str">
        <f t="shared" si="21"/>
        <v>N/A</v>
      </c>
      <c r="J125" t="str">
        <f t="shared" si="22"/>
        <v>N/A</v>
      </c>
      <c r="K125" t="str">
        <f t="shared" si="23"/>
        <v>N/A</v>
      </c>
      <c r="L125" t="str">
        <f t="shared" si="24"/>
        <v>N/A</v>
      </c>
      <c r="M125" t="str">
        <f t="shared" si="25"/>
        <v>N/A</v>
      </c>
      <c r="N125" t="str">
        <f t="shared" si="26"/>
        <v>N/A</v>
      </c>
    </row>
    <row r="126" spans="1:14" x14ac:dyDescent="0.3">
      <c r="A126" s="1">
        <v>1</v>
      </c>
      <c r="B126" t="s">
        <v>213</v>
      </c>
      <c r="I126" t="str">
        <f t="shared" si="21"/>
        <v>N/A</v>
      </c>
      <c r="J126" t="str">
        <f t="shared" si="22"/>
        <v>N/A</v>
      </c>
      <c r="K126" t="str">
        <f t="shared" si="23"/>
        <v>N/A</v>
      </c>
      <c r="L126" t="str">
        <f t="shared" si="24"/>
        <v>N/A</v>
      </c>
      <c r="M126" t="str">
        <f t="shared" si="25"/>
        <v>N/A</v>
      </c>
      <c r="N126" t="str">
        <f t="shared" si="26"/>
        <v>N/A</v>
      </c>
    </row>
    <row r="127" spans="1:14" x14ac:dyDescent="0.3">
      <c r="A127" s="1">
        <v>2</v>
      </c>
      <c r="B127" t="s">
        <v>215</v>
      </c>
      <c r="I127" t="str">
        <f t="shared" si="21"/>
        <v>N/A</v>
      </c>
      <c r="J127" t="str">
        <f t="shared" si="22"/>
        <v>N/A</v>
      </c>
      <c r="K127" t="str">
        <f t="shared" si="23"/>
        <v>N/A</v>
      </c>
      <c r="L127" t="str">
        <f t="shared" si="24"/>
        <v>N/A</v>
      </c>
      <c r="M127" t="str">
        <f t="shared" si="25"/>
        <v>N/A</v>
      </c>
      <c r="N127" t="str">
        <f t="shared" si="26"/>
        <v>N/A</v>
      </c>
    </row>
    <row r="128" spans="1:14" x14ac:dyDescent="0.3">
      <c r="A128" s="1">
        <v>3</v>
      </c>
      <c r="B128" t="s">
        <v>217</v>
      </c>
      <c r="I128" t="str">
        <f t="shared" si="21"/>
        <v>N/A</v>
      </c>
      <c r="J128" t="str">
        <f t="shared" si="22"/>
        <v>N/A</v>
      </c>
      <c r="K128" t="str">
        <f t="shared" si="23"/>
        <v>N/A</v>
      </c>
      <c r="L128" t="str">
        <f t="shared" si="24"/>
        <v>N/A</v>
      </c>
      <c r="M128" t="str">
        <f t="shared" si="25"/>
        <v>N/A</v>
      </c>
      <c r="N128" t="str">
        <f t="shared" si="26"/>
        <v>N/A</v>
      </c>
    </row>
    <row r="129" spans="1:60" x14ac:dyDescent="0.3">
      <c r="A129" s="1">
        <v>4</v>
      </c>
      <c r="B129" t="s">
        <v>219</v>
      </c>
      <c r="I129" t="str">
        <f t="shared" si="21"/>
        <v>N/A</v>
      </c>
      <c r="J129" t="str">
        <f t="shared" si="22"/>
        <v>N/A</v>
      </c>
      <c r="K129" t="str">
        <f t="shared" si="23"/>
        <v>N/A</v>
      </c>
      <c r="L129" t="str">
        <f t="shared" si="24"/>
        <v>N/A</v>
      </c>
      <c r="M129" t="str">
        <f t="shared" si="25"/>
        <v>N/A</v>
      </c>
      <c r="N129" t="str">
        <f t="shared" si="26"/>
        <v>N/A</v>
      </c>
    </row>
    <row r="130" spans="1:60" x14ac:dyDescent="0.3">
      <c r="A130" s="1">
        <v>5</v>
      </c>
      <c r="B130" t="s">
        <v>221</v>
      </c>
      <c r="I130" t="str">
        <f t="shared" si="21"/>
        <v>N/A</v>
      </c>
      <c r="J130" t="str">
        <f t="shared" si="22"/>
        <v>N/A</v>
      </c>
      <c r="K130" t="str">
        <f t="shared" si="23"/>
        <v>N/A</v>
      </c>
      <c r="L130" t="str">
        <f t="shared" si="24"/>
        <v>N/A</v>
      </c>
      <c r="M130" t="str">
        <f t="shared" si="25"/>
        <v>N/A</v>
      </c>
      <c r="N130" t="str">
        <f t="shared" si="26"/>
        <v>N/A</v>
      </c>
    </row>
    <row r="131" spans="1:60" x14ac:dyDescent="0.3">
      <c r="A131" s="1">
        <v>6</v>
      </c>
      <c r="B131" t="s">
        <v>223</v>
      </c>
      <c r="I131" t="str">
        <f t="shared" si="21"/>
        <v>N/A</v>
      </c>
      <c r="J131" t="str">
        <f t="shared" si="22"/>
        <v>N/A</v>
      </c>
      <c r="K131" t="str">
        <f t="shared" si="23"/>
        <v>N/A</v>
      </c>
      <c r="L131" t="str">
        <f t="shared" si="24"/>
        <v>N/A</v>
      </c>
      <c r="M131" t="str">
        <f t="shared" si="25"/>
        <v>N/A</v>
      </c>
      <c r="N131" t="str">
        <f t="shared" si="26"/>
        <v>N/A</v>
      </c>
    </row>
    <row r="132" spans="1:60" x14ac:dyDescent="0.3">
      <c r="A132" s="1">
        <v>7</v>
      </c>
      <c r="B132" t="s">
        <v>225</v>
      </c>
      <c r="I132" t="str">
        <f t="shared" si="21"/>
        <v>N/A</v>
      </c>
      <c r="J132" t="str">
        <f t="shared" si="22"/>
        <v>N/A</v>
      </c>
      <c r="K132" t="str">
        <f t="shared" si="23"/>
        <v>N/A</v>
      </c>
      <c r="L132" t="str">
        <f t="shared" si="24"/>
        <v>N/A</v>
      </c>
      <c r="M132" t="str">
        <f t="shared" si="25"/>
        <v>N/A</v>
      </c>
      <c r="N132" t="str">
        <f t="shared" si="26"/>
        <v>N/A</v>
      </c>
    </row>
    <row r="133" spans="1:60" x14ac:dyDescent="0.3">
      <c r="A133" s="1">
        <v>8</v>
      </c>
      <c r="B133" t="s">
        <v>227</v>
      </c>
      <c r="I133" t="str">
        <f t="shared" si="21"/>
        <v>N/A</v>
      </c>
      <c r="J133" t="str">
        <f t="shared" si="22"/>
        <v>N/A</v>
      </c>
      <c r="K133" t="str">
        <f t="shared" si="23"/>
        <v>N/A</v>
      </c>
      <c r="L133" t="str">
        <f t="shared" si="24"/>
        <v>N/A</v>
      </c>
      <c r="M133" t="str">
        <f t="shared" si="25"/>
        <v>N/A</v>
      </c>
      <c r="N133" t="str">
        <f t="shared" si="26"/>
        <v>N/A</v>
      </c>
    </row>
    <row r="134" spans="1:60" x14ac:dyDescent="0.3">
      <c r="A134" s="1">
        <v>9</v>
      </c>
      <c r="B134" t="s">
        <v>229</v>
      </c>
      <c r="I134" t="str">
        <f t="shared" si="21"/>
        <v>N/A</v>
      </c>
      <c r="J134" t="str">
        <f t="shared" si="22"/>
        <v>N/A</v>
      </c>
      <c r="K134" t="str">
        <f t="shared" si="23"/>
        <v>N/A</v>
      </c>
      <c r="L134" t="str">
        <f t="shared" si="24"/>
        <v>N/A</v>
      </c>
      <c r="M134" t="str">
        <f t="shared" si="25"/>
        <v>N/A</v>
      </c>
      <c r="N134" t="str">
        <f t="shared" si="26"/>
        <v>N/A</v>
      </c>
    </row>
    <row r="135" spans="1:60" x14ac:dyDescent="0.3">
      <c r="I135" t="str">
        <f t="shared" si="21"/>
        <v>N/A</v>
      </c>
      <c r="J135" t="str">
        <f t="shared" si="22"/>
        <v>N/A</v>
      </c>
      <c r="K135" t="str">
        <f t="shared" si="23"/>
        <v>N/A</v>
      </c>
      <c r="L135" t="str">
        <f t="shared" si="24"/>
        <v>N/A</v>
      </c>
      <c r="M135" t="str">
        <f t="shared" si="25"/>
        <v>N/A</v>
      </c>
      <c r="N135" t="str">
        <f t="shared" si="26"/>
        <v>N/A</v>
      </c>
    </row>
    <row r="136" spans="1:60" x14ac:dyDescent="0.3">
      <c r="I136" t="str">
        <f t="shared" si="21"/>
        <v>N/A</v>
      </c>
      <c r="J136" t="str">
        <f t="shared" si="22"/>
        <v>N/A</v>
      </c>
      <c r="K136" t="str">
        <f t="shared" si="23"/>
        <v>N/A</v>
      </c>
      <c r="L136" t="str">
        <f t="shared" si="24"/>
        <v>N/A</v>
      </c>
      <c r="M136" t="str">
        <f t="shared" si="25"/>
        <v>N/A</v>
      </c>
      <c r="N136" t="str">
        <f t="shared" si="26"/>
        <v>N/A</v>
      </c>
    </row>
    <row r="137" spans="1:60" x14ac:dyDescent="0.3">
      <c r="B137" s="1" t="s">
        <v>231</v>
      </c>
      <c r="C137" s="1" t="s">
        <v>232</v>
      </c>
      <c r="D137" s="1" t="s">
        <v>233</v>
      </c>
      <c r="E137" s="1" t="s">
        <v>234</v>
      </c>
      <c r="F137" s="1" t="s">
        <v>235</v>
      </c>
      <c r="I137" t="str">
        <f t="shared" si="21"/>
        <v>N/A</v>
      </c>
      <c r="J137" t="str">
        <f t="shared" si="22"/>
        <v>N/A</v>
      </c>
      <c r="K137" t="str">
        <f t="shared" si="23"/>
        <v>N/A</v>
      </c>
      <c r="L137" t="str">
        <f t="shared" si="24"/>
        <v>N/A</v>
      </c>
      <c r="M137" t="str">
        <f t="shared" si="25"/>
        <v>N/A</v>
      </c>
      <c r="N137" t="str">
        <f t="shared" si="26"/>
        <v>N/A</v>
      </c>
    </row>
    <row r="138" spans="1:60" x14ac:dyDescent="0.3">
      <c r="A138" s="1">
        <v>0</v>
      </c>
      <c r="B138" t="s">
        <v>3913</v>
      </c>
      <c r="C138" t="s">
        <v>3914</v>
      </c>
      <c r="F138">
        <v>60</v>
      </c>
      <c r="I138" t="str">
        <f t="shared" si="21"/>
        <v>N/A</v>
      </c>
      <c r="J138" t="str">
        <f t="shared" si="22"/>
        <v>N/A</v>
      </c>
      <c r="K138" t="str">
        <f t="shared" si="23"/>
        <v>N/A</v>
      </c>
      <c r="L138" t="str">
        <f t="shared" si="24"/>
        <v>N/A</v>
      </c>
      <c r="M138">
        <f t="shared" si="25"/>
        <v>60</v>
      </c>
      <c r="N138" t="str">
        <f t="shared" si="26"/>
        <v>N/A</v>
      </c>
    </row>
    <row r="139" spans="1:60" x14ac:dyDescent="0.3">
      <c r="A139" s="1">
        <v>1</v>
      </c>
      <c r="B139" t="s">
        <v>3915</v>
      </c>
      <c r="C139" t="s">
        <v>3916</v>
      </c>
      <c r="D139" t="s">
        <v>3917</v>
      </c>
      <c r="F139">
        <v>50</v>
      </c>
      <c r="I139" t="str">
        <f t="shared" si="21"/>
        <v>N/A</v>
      </c>
      <c r="J139" t="str">
        <f t="shared" si="22"/>
        <v>N/A</v>
      </c>
      <c r="K139">
        <f t="shared" si="23"/>
        <v>3420000</v>
      </c>
      <c r="L139" t="str">
        <f t="shared" si="24"/>
        <v>N/A</v>
      </c>
      <c r="M139">
        <f t="shared" si="25"/>
        <v>50</v>
      </c>
      <c r="N139" t="str">
        <f t="shared" si="26"/>
        <v>N/A</v>
      </c>
    </row>
    <row r="140" spans="1:60" x14ac:dyDescent="0.3">
      <c r="A140" s="1">
        <v>2</v>
      </c>
      <c r="B140" t="s">
        <v>3918</v>
      </c>
      <c r="C140" t="s">
        <v>3919</v>
      </c>
      <c r="D140" t="s">
        <v>3920</v>
      </c>
      <c r="F140">
        <v>55</v>
      </c>
      <c r="I140" t="str">
        <f t="shared" si="21"/>
        <v>N/A</v>
      </c>
      <c r="J140" t="str">
        <f t="shared" si="22"/>
        <v>N/A</v>
      </c>
      <c r="K140">
        <f t="shared" si="23"/>
        <v>659530</v>
      </c>
      <c r="L140" t="str">
        <f t="shared" si="24"/>
        <v>N/A</v>
      </c>
      <c r="M140">
        <f t="shared" si="25"/>
        <v>55</v>
      </c>
      <c r="N140" t="str">
        <f t="shared" si="26"/>
        <v>N/A</v>
      </c>
    </row>
    <row r="141" spans="1:60" x14ac:dyDescent="0.3">
      <c r="A141" s="1">
        <v>3</v>
      </c>
      <c r="B141" t="s">
        <v>3921</v>
      </c>
      <c r="C141" t="s">
        <v>3922</v>
      </c>
      <c r="D141" t="s">
        <v>3923</v>
      </c>
      <c r="E141" t="s">
        <v>3924</v>
      </c>
      <c r="F141">
        <v>54</v>
      </c>
      <c r="I141" t="str">
        <f t="shared" si="21"/>
        <v>N/A</v>
      </c>
      <c r="J141" t="str">
        <f t="shared" si="22"/>
        <v>N/A</v>
      </c>
      <c r="K141">
        <f t="shared" si="23"/>
        <v>663460</v>
      </c>
      <c r="L141">
        <f t="shared" si="24"/>
        <v>481310</v>
      </c>
      <c r="M141">
        <f t="shared" si="25"/>
        <v>54</v>
      </c>
      <c r="N141" t="str">
        <f t="shared" si="26"/>
        <v>N/A</v>
      </c>
    </row>
    <row r="142" spans="1:60" x14ac:dyDescent="0.3">
      <c r="A142" s="1">
        <v>4</v>
      </c>
      <c r="B142" t="s">
        <v>3925</v>
      </c>
      <c r="C142" t="s">
        <v>3926</v>
      </c>
      <c r="D142" t="s">
        <v>3927</v>
      </c>
      <c r="F142">
        <v>59</v>
      </c>
      <c r="I142" t="str">
        <f t="shared" si="21"/>
        <v>N/A</v>
      </c>
      <c r="J142" t="str">
        <f t="shared" si="22"/>
        <v>N/A</v>
      </c>
      <c r="K142">
        <f t="shared" si="23"/>
        <v>634460</v>
      </c>
      <c r="L142" t="str">
        <f t="shared" si="24"/>
        <v>N/A</v>
      </c>
      <c r="M142">
        <f t="shared" si="25"/>
        <v>59</v>
      </c>
      <c r="N142" t="str">
        <f t="shared" si="26"/>
        <v>N/A</v>
      </c>
    </row>
    <row r="143" spans="1:60" x14ac:dyDescent="0.3">
      <c r="I143" t="str">
        <f t="shared" si="21"/>
        <v>N/A</v>
      </c>
      <c r="J143" t="str">
        <f t="shared" si="22"/>
        <v>N/A</v>
      </c>
      <c r="K143" t="str">
        <f t="shared" si="23"/>
        <v>N/A</v>
      </c>
      <c r="L143" t="str">
        <f t="shared" si="24"/>
        <v>N/A</v>
      </c>
      <c r="M143" t="str">
        <f t="shared" si="25"/>
        <v>N/A</v>
      </c>
      <c r="N143" t="str">
        <f t="shared" si="26"/>
        <v>N/A</v>
      </c>
      <c r="V143" t="str">
        <f>"z-score"</f>
        <v>z-score</v>
      </c>
    </row>
    <row r="144" spans="1:60" x14ac:dyDescent="0.3">
      <c r="B144" s="1" t="s">
        <v>251</v>
      </c>
      <c r="C144" s="1" t="s">
        <v>252</v>
      </c>
      <c r="D144" s="1" t="s">
        <v>253</v>
      </c>
      <c r="E144" s="1" t="s">
        <v>254</v>
      </c>
      <c r="F144" s="1" t="s">
        <v>255</v>
      </c>
      <c r="G144" s="1" t="s">
        <v>256</v>
      </c>
      <c r="H144" s="1" t="s">
        <v>257</v>
      </c>
      <c r="I144" t="str">
        <f t="shared" si="21"/>
        <v>pos_trend</v>
      </c>
      <c r="J144">
        <f t="shared" si="22"/>
        <v>2012</v>
      </c>
      <c r="K144">
        <f t="shared" si="23"/>
        <v>2013</v>
      </c>
      <c r="L144">
        <f t="shared" si="24"/>
        <v>2014</v>
      </c>
      <c r="M144">
        <f t="shared" si="25"/>
        <v>2015</v>
      </c>
      <c r="N144">
        <f t="shared" si="26"/>
        <v>2016</v>
      </c>
      <c r="P144" t="str">
        <f>"Max"</f>
        <v>Max</v>
      </c>
      <c r="Q144" t="str">
        <f>"Max Year"</f>
        <v>Max Year</v>
      </c>
      <c r="R144" t="str">
        <f>"Min"</f>
        <v>Min</v>
      </c>
      <c r="S144" t="str">
        <f>"Min Year"</f>
        <v>Min Year</v>
      </c>
      <c r="T144" t="str">
        <f>"Average"</f>
        <v>Average</v>
      </c>
      <c r="U144" t="str">
        <f>"SD"</f>
        <v>SD</v>
      </c>
      <c r="V144">
        <f>J144</f>
        <v>2012</v>
      </c>
      <c r="W144">
        <f>K144</f>
        <v>2013</v>
      </c>
      <c r="X144">
        <f>L144</f>
        <v>2014</v>
      </c>
      <c r="Y144">
        <f>M144</f>
        <v>2015</v>
      </c>
      <c r="Z144">
        <f>N144</f>
        <v>2016</v>
      </c>
      <c r="AA144" t="str">
        <f>"Max z"</f>
        <v>Max z</v>
      </c>
      <c r="AB144" t="str">
        <f>"Max z Year"</f>
        <v>Max z Year</v>
      </c>
      <c r="AC144" t="str">
        <f>"Direction"</f>
        <v>Direction</v>
      </c>
      <c r="AE144" t="str">
        <f>"Trendline"</f>
        <v>Trendline</v>
      </c>
      <c r="AF144" t="str">
        <f>"Correlation"</f>
        <v>Correlation</v>
      </c>
      <c r="AZ144" t="str">
        <f>"Max/Min inequality check"</f>
        <v>Max/Min inequality check</v>
      </c>
      <c r="BA144" t="str">
        <f>"If most recent year is max"</f>
        <v>If most recent year is max</v>
      </c>
      <c r="BC144" t="str">
        <f>"If most recent year is min"</f>
        <v>If most recent year is min</v>
      </c>
      <c r="BE144" t="str">
        <f>"Trend direction"</f>
        <v>Trend direction</v>
      </c>
      <c r="BF144" t="str">
        <f>"If trend matched by max or min in most recent year"</f>
        <v>If trend matched by max or min in most recent year</v>
      </c>
      <c r="BG144" t="str">
        <f>"If 5 years of increasing"</f>
        <v>If 5 years of increasing</v>
      </c>
      <c r="BH144" t="str">
        <f>"If correlation &gt; .8"</f>
        <v>If correlation &gt; .8</v>
      </c>
    </row>
    <row r="145" spans="1:60" x14ac:dyDescent="0.3">
      <c r="A145" s="1">
        <v>0</v>
      </c>
      <c r="B145" t="s">
        <v>258</v>
      </c>
      <c r="C145" t="s">
        <v>3928</v>
      </c>
      <c r="D145" t="s">
        <v>3929</v>
      </c>
      <c r="E145" t="s">
        <v>3930</v>
      </c>
      <c r="F145" t="s">
        <v>3931</v>
      </c>
      <c r="G145" t="s">
        <v>3867</v>
      </c>
      <c r="I145" t="str">
        <f t="shared" si="21"/>
        <v>N/A</v>
      </c>
      <c r="J145">
        <f t="shared" si="22"/>
        <v>3910000000</v>
      </c>
      <c r="K145">
        <f t="shared" si="23"/>
        <v>4210000000</v>
      </c>
      <c r="L145">
        <f t="shared" si="24"/>
        <v>4620000000</v>
      </c>
      <c r="M145">
        <f t="shared" si="25"/>
        <v>3970000000</v>
      </c>
      <c r="N145">
        <f t="shared" si="26"/>
        <v>3650000000</v>
      </c>
      <c r="P145">
        <f t="shared" ref="P145:P208" si="27">MAX(J145:N145)</f>
        <v>4620000000</v>
      </c>
      <c r="Q145">
        <f>IFERROR(J144+MATCH(P145,J145:N145,0)-1,"")</f>
        <v>2014</v>
      </c>
      <c r="R145">
        <f t="shared" ref="R145:R208" si="28">IF(Q145="","",MIN(J145:N145))</f>
        <v>3650000000</v>
      </c>
      <c r="S145">
        <f>IFERROR(J144+MATCH(R145,J145:N145,0)-1,"")</f>
        <v>2016</v>
      </c>
      <c r="T145">
        <f t="shared" ref="T145:T208" si="29">IFERROR(AVERAGE(J145:N145),"")</f>
        <v>4072000000</v>
      </c>
      <c r="U145">
        <f t="shared" ref="U145:U208" si="30">IFERROR(STDEV(J145:N145),"")</f>
        <v>365403886.13149697</v>
      </c>
      <c r="V145">
        <f t="shared" ref="V145:V208" si="31">IFERROR(IF(C145="-","",IF(ISBLANK(B145),"",IF(OR(ISNUMBER(FIND("Growth",B145)),ISNUMBER(FIND("Margin",B145))),"",(J145-T145)/U145))),"")</f>
        <v>-0.44334503859573476</v>
      </c>
      <c r="W145">
        <f t="shared" ref="W145:W208" si="32">IFERROR(IF(OR(D145="-",ISBLANK(D145)),"",(K145-T145)/U145),"")</f>
        <v>0.37766429213710739</v>
      </c>
      <c r="X145">
        <f t="shared" ref="X145:X208" si="33">IFERROR(IF(OR(E145="-",ISBLANK(E145)),"",(L145-T145)/U145),"")</f>
        <v>1.4997103774719918</v>
      </c>
      <c r="Y145">
        <f t="shared" ref="Y145:Y208" si="34">IFERROR(IF(OR(F145="-",ISBLANK(F145)),"",(M145-T145)/U145),"")</f>
        <v>-0.27914317244916637</v>
      </c>
      <c r="Z145">
        <f t="shared" ref="Z145:Z208" si="35">IFERROR(IF(OR(G145="-",ISBLANK(G145)),"",(N145-T145)/U145),"")</f>
        <v>-1.154886458564198</v>
      </c>
      <c r="AA145">
        <f t="shared" ref="AA145:AA208" si="36">IF(MAX(MAX(V145:Z145),ABS(MIN(V145:Z145)))=ABS(MIN(V145:Z145)),MIN(V145:Z145),MAX(V145:Z145))</f>
        <v>1.4997103774719918</v>
      </c>
      <c r="AB145">
        <f>IFERROR(V144+MATCH(AA145,V145:Z145,0)-1,"")</f>
        <v>2014</v>
      </c>
      <c r="AC145" t="str">
        <f t="shared" ref="AC145:AC208" si="37">IF(AB145&lt;&gt;"",IF(S145=AB145,"Low",IF(AB145=Q145,"High","")),"")</f>
        <v>High</v>
      </c>
      <c r="AE145">
        <f>IF(ISNUMBER(MATCH("N/A",J145:N145,0)),"",IFERROR((5 * SUMPRODUCT(J144:N144,J145:N145) - PRODUCT(SUM(J144:N144),SUM(J145:N145))) / ((5 * SUM((J144^2)+(K144^2)+(L144^2)+(M144^2)+(N144^2))) - SUM(J144:N144)^2),""))</f>
        <v>-76000000</v>
      </c>
      <c r="AF145">
        <f>IFERROR(CORREL(J144:N144,J145:N145),"")</f>
        <v>-0.3288595322797262</v>
      </c>
      <c r="AZ145">
        <f t="shared" ref="AZ145:AZ208" si="38">IF(Q145=S145,0,1)</f>
        <v>1</v>
      </c>
      <c r="BA145" t="str">
        <f>IF(AZ145=1,IF(Q145="","",IF(Q145=N144,"Yes","No")),"")</f>
        <v>No</v>
      </c>
      <c r="BB145" t="str">
        <f t="shared" ref="BB145:BB208" si="39">IF(BA145="Yes",P145,"")</f>
        <v/>
      </c>
      <c r="BC145" t="str">
        <f>IF(AZ145=1,IF(S145="","",IF(S145=N144,"Yes","No")),"")</f>
        <v>Yes</v>
      </c>
      <c r="BD145">
        <f t="shared" ref="BD145:BD208" si="40">IF(BC145="Yes",R145,"")</f>
        <v>3650000000</v>
      </c>
      <c r="BE145" t="str">
        <f t="shared" ref="BE145:BE208" si="41">IFERROR(IF(SIGN(AE145)=1,"Increasing",IF(SIGN(AE145)=-1,"Decreasing","")),"")</f>
        <v>Decreasing</v>
      </c>
      <c r="BF145" t="str">
        <f t="shared" ref="BF145:BF208" si="42">IF(OR(AND(BE145="Increasing",BA145="Yes"),AND(BE145="Decreasing",BC145="Yes")),"Yes","No")</f>
        <v>Yes</v>
      </c>
      <c r="BG145" t="str">
        <f t="shared" ref="BG145:BG208" si="43">IF(I145="pos_trend","Yes","No")</f>
        <v>No</v>
      </c>
      <c r="BH145" t="str">
        <f t="shared" ref="BH145:BH208" si="44">IF(AF145&lt;&gt;"",IF(ABS(AF145)&gt;0.8,"Yes","No"),"")</f>
        <v>No</v>
      </c>
    </row>
    <row r="146" spans="1:60" x14ac:dyDescent="0.3">
      <c r="A146" s="1">
        <v>1</v>
      </c>
      <c r="B146" t="s">
        <v>263</v>
      </c>
      <c r="C146" t="s">
        <v>264</v>
      </c>
      <c r="D146" t="s">
        <v>3932</v>
      </c>
      <c r="E146" t="s">
        <v>3933</v>
      </c>
      <c r="F146" t="s">
        <v>3934</v>
      </c>
      <c r="G146" t="s">
        <v>3935</v>
      </c>
      <c r="I146" t="str">
        <f t="shared" si="21"/>
        <v>N/A</v>
      </c>
      <c r="J146" t="str">
        <f t="shared" si="22"/>
        <v>N/A</v>
      </c>
      <c r="K146">
        <f t="shared" si="23"/>
        <v>7.4999999999999997E-2</v>
      </c>
      <c r="L146">
        <f t="shared" si="24"/>
        <v>9.9199999999999997E-2</v>
      </c>
      <c r="M146">
        <f t="shared" si="25"/>
        <v>-0.14220000000000002</v>
      </c>
      <c r="N146">
        <f t="shared" si="26"/>
        <v>-8.0700000000000008E-2</v>
      </c>
      <c r="P146">
        <f t="shared" si="27"/>
        <v>9.9199999999999997E-2</v>
      </c>
      <c r="Q146">
        <f>IFERROR(J144+MATCH(P146,J146:N146,0)-1,"")</f>
        <v>2014</v>
      </c>
      <c r="R146">
        <f t="shared" si="28"/>
        <v>-0.14220000000000002</v>
      </c>
      <c r="S146">
        <f>IFERROR(J144+MATCH(R146,J146:N146,0)-1,"")</f>
        <v>2015</v>
      </c>
      <c r="T146">
        <f t="shared" si="29"/>
        <v>-1.2175000000000009E-2</v>
      </c>
      <c r="U146">
        <f t="shared" si="30"/>
        <v>0.11776537054669341</v>
      </c>
      <c r="V146" t="str">
        <f t="shared" si="31"/>
        <v/>
      </c>
      <c r="W146">
        <f t="shared" si="32"/>
        <v>0.7402430748131984</v>
      </c>
      <c r="X146">
        <f t="shared" si="33"/>
        <v>0.94573642050266671</v>
      </c>
      <c r="Y146">
        <f t="shared" si="34"/>
        <v>-1.1041021600526082</v>
      </c>
      <c r="Z146">
        <f t="shared" si="35"/>
        <v>-0.58187733526325691</v>
      </c>
      <c r="AA146">
        <f t="shared" si="36"/>
        <v>-1.1041021600526082</v>
      </c>
      <c r="AB146">
        <f>IFERROR(V144+MATCH(AA146,V146:Z146,0)-1,"")</f>
        <v>2015</v>
      </c>
      <c r="AC146" t="str">
        <f t="shared" si="37"/>
        <v>Low</v>
      </c>
      <c r="AE146" t="str">
        <f>IF(ISNUMBER(MATCH("N/A",J146:N146,0)),"",IFERROR((5 * SUMPRODUCT(J144:N144,J146:N146) - PRODUCT(SUM(J144:N144),SUM(J146:N146))) / ((5 * SUM((J144^2)+(K144^2)+(L144^2)+(M144^2)+(N144^2))) - SUM(J144:N144)^2),""))</f>
        <v/>
      </c>
      <c r="AF146">
        <f>IFERROR(CORREL(J144:N144,J146:N146),"")</f>
        <v>-0.77668805582083777</v>
      </c>
      <c r="AZ146">
        <f t="shared" si="38"/>
        <v>1</v>
      </c>
      <c r="BA146" t="str">
        <f>IF(AZ146=1,IF(Q146="","",IF(Q146=N144,"Yes","No")),"")</f>
        <v>No</v>
      </c>
      <c r="BB146" t="str">
        <f t="shared" si="39"/>
        <v/>
      </c>
      <c r="BC146" t="str">
        <f>IF(AZ146=1,IF(S146="","",IF(S146=N144,"Yes","No")),"")</f>
        <v>No</v>
      </c>
      <c r="BD146" t="str">
        <f t="shared" si="40"/>
        <v/>
      </c>
      <c r="BE146" t="str">
        <f t="shared" si="41"/>
        <v/>
      </c>
      <c r="BF146" t="str">
        <f t="shared" si="42"/>
        <v>No</v>
      </c>
      <c r="BG146" t="str">
        <f t="shared" si="43"/>
        <v>No</v>
      </c>
      <c r="BH146" t="str">
        <f t="shared" si="44"/>
        <v>No</v>
      </c>
    </row>
    <row r="147" spans="1:60" x14ac:dyDescent="0.3">
      <c r="A147" s="1">
        <v>2</v>
      </c>
      <c r="B147" t="s">
        <v>269</v>
      </c>
      <c r="C147" t="s">
        <v>3936</v>
      </c>
      <c r="D147" t="s">
        <v>3937</v>
      </c>
      <c r="E147" t="s">
        <v>64</v>
      </c>
      <c r="F147" t="s">
        <v>3938</v>
      </c>
      <c r="G147" t="s">
        <v>1110</v>
      </c>
      <c r="I147" t="str">
        <f t="shared" si="21"/>
        <v>N/A</v>
      </c>
      <c r="J147">
        <f t="shared" si="22"/>
        <v>2850000000</v>
      </c>
      <c r="K147">
        <f t="shared" si="23"/>
        <v>2940000000</v>
      </c>
      <c r="L147">
        <f t="shared" si="24"/>
        <v>3210000000</v>
      </c>
      <c r="M147">
        <f t="shared" si="25"/>
        <v>2750000000</v>
      </c>
      <c r="N147">
        <f t="shared" si="26"/>
        <v>2540000000</v>
      </c>
      <c r="P147">
        <f t="shared" si="27"/>
        <v>3210000000</v>
      </c>
      <c r="Q147">
        <f>IFERROR(J144+MATCH(P147,J147:N147,0)-1,"")</f>
        <v>2014</v>
      </c>
      <c r="R147">
        <f t="shared" si="28"/>
        <v>2540000000</v>
      </c>
      <c r="S147">
        <f>IFERROR(J144+MATCH(R147,J147:N147,0)-1,"")</f>
        <v>2016</v>
      </c>
      <c r="T147">
        <f t="shared" si="29"/>
        <v>2858000000</v>
      </c>
      <c r="U147">
        <f t="shared" si="30"/>
        <v>246718463.0302321</v>
      </c>
      <c r="V147">
        <f t="shared" si="31"/>
        <v>-3.2425623529519575E-2</v>
      </c>
      <c r="W147">
        <f t="shared" si="32"/>
        <v>0.33236264117757569</v>
      </c>
      <c r="X147">
        <f t="shared" si="33"/>
        <v>1.4267274352988615</v>
      </c>
      <c r="Y147">
        <f t="shared" si="34"/>
        <v>-0.43774591764851428</v>
      </c>
      <c r="Z147">
        <f t="shared" si="35"/>
        <v>-1.2889185352984032</v>
      </c>
      <c r="AA147">
        <f t="shared" si="36"/>
        <v>1.4267274352988615</v>
      </c>
      <c r="AB147">
        <f>IFERROR(V144+MATCH(AA147,V147:Z147,0)-1,"")</f>
        <v>2014</v>
      </c>
      <c r="AC147" t="str">
        <f t="shared" si="37"/>
        <v>High</v>
      </c>
      <c r="AE147">
        <f>IF(ISNUMBER(MATCH("N/A",J147:N147,0)),"",IFERROR((5 * SUMPRODUCT(J144:N144,J147:N147) - PRODUCT(SUM(J144:N144),SUM(J147:N147))) / ((5 * SUM((J144^2)+(K144^2)+(L144^2)+(M144^2)+(N144^2))) - SUM(J144:N144)^2),""))</f>
        <v>-81000000</v>
      </c>
      <c r="AF147">
        <f>IFERROR(CORREL(J144:N144,J147:N147),"")</f>
        <v>-0.51910280107867646</v>
      </c>
      <c r="AZ147">
        <f t="shared" si="38"/>
        <v>1</v>
      </c>
      <c r="BA147" t="str">
        <f>IF(AZ147=1,IF(Q147="","",IF(Q147=N144,"Yes","No")),"")</f>
        <v>No</v>
      </c>
      <c r="BB147" t="str">
        <f t="shared" si="39"/>
        <v/>
      </c>
      <c r="BC147" t="str">
        <f>IF(AZ147=1,IF(S147="","",IF(S147=N144,"Yes","No")),"")</f>
        <v>Yes</v>
      </c>
      <c r="BD147">
        <f t="shared" si="40"/>
        <v>2540000000</v>
      </c>
      <c r="BE147" t="str">
        <f t="shared" si="41"/>
        <v>Decreasing</v>
      </c>
      <c r="BF147" t="str">
        <f t="shared" si="42"/>
        <v>Yes</v>
      </c>
      <c r="BG147" t="str">
        <f t="shared" si="43"/>
        <v>No</v>
      </c>
      <c r="BH147" t="str">
        <f t="shared" si="44"/>
        <v>No</v>
      </c>
    </row>
    <row r="148" spans="1:60" x14ac:dyDescent="0.3">
      <c r="A148" s="1">
        <v>3</v>
      </c>
      <c r="B148" t="s">
        <v>275</v>
      </c>
      <c r="C148" t="s">
        <v>3939</v>
      </c>
      <c r="D148" t="s">
        <v>3940</v>
      </c>
      <c r="E148" t="s">
        <v>3941</v>
      </c>
      <c r="F148" t="s">
        <v>3942</v>
      </c>
      <c r="G148" t="s">
        <v>981</v>
      </c>
      <c r="I148" t="str">
        <f t="shared" si="21"/>
        <v>N/A</v>
      </c>
      <c r="J148">
        <f t="shared" si="22"/>
        <v>2650000000</v>
      </c>
      <c r="K148">
        <f t="shared" si="23"/>
        <v>2820000000</v>
      </c>
      <c r="L148">
        <f t="shared" si="24"/>
        <v>3040000000</v>
      </c>
      <c r="M148">
        <f t="shared" si="25"/>
        <v>2600000000</v>
      </c>
      <c r="N148">
        <f t="shared" si="26"/>
        <v>2400000000</v>
      </c>
      <c r="P148">
        <f t="shared" si="27"/>
        <v>3040000000</v>
      </c>
      <c r="Q148">
        <f>IFERROR(J144+MATCH(P148,J148:N148,0)-1,"")</f>
        <v>2014</v>
      </c>
      <c r="R148">
        <f t="shared" si="28"/>
        <v>2400000000</v>
      </c>
      <c r="S148">
        <f>IFERROR(J144+MATCH(R148,J148:N148,0)-1,"")</f>
        <v>2016</v>
      </c>
      <c r="T148">
        <f t="shared" si="29"/>
        <v>2702000000</v>
      </c>
      <c r="U148">
        <f t="shared" si="30"/>
        <v>241080899.2848666</v>
      </c>
      <c r="V148">
        <f t="shared" si="31"/>
        <v>-0.21569522991763704</v>
      </c>
      <c r="W148">
        <f t="shared" si="32"/>
        <v>0.48946225250540715</v>
      </c>
      <c r="X148">
        <f t="shared" si="33"/>
        <v>1.4020189944646408</v>
      </c>
      <c r="Y148">
        <f t="shared" si="34"/>
        <v>-0.42309448945382649</v>
      </c>
      <c r="Z148">
        <f t="shared" si="35"/>
        <v>-1.2526915275985844</v>
      </c>
      <c r="AA148">
        <f t="shared" si="36"/>
        <v>1.4020189944646408</v>
      </c>
      <c r="AB148">
        <f>IFERROR(V144+MATCH(AA148,V148:Z148,0)-1,"")</f>
        <v>2014</v>
      </c>
      <c r="AC148" t="str">
        <f t="shared" si="37"/>
        <v>High</v>
      </c>
      <c r="AE148">
        <f>IF(ISNUMBER(MATCH("N/A",J148:N148,0)),"",IFERROR((5 * SUMPRODUCT(J144:N144,J148:N148) - PRODUCT(SUM(J144:N144),SUM(J148:N148))) / ((5 * SUM((J144^2)+(K144^2)+(L144^2)+(M144^2)+(N144^2))) - SUM(J144:N144)^2),""))</f>
        <v>-72000000</v>
      </c>
      <c r="AF148">
        <f>IFERROR(CORREL(J144:N144,J148:N148),"")</f>
        <v>-0.47221491252006398</v>
      </c>
      <c r="AZ148">
        <f t="shared" si="38"/>
        <v>1</v>
      </c>
      <c r="BA148" t="str">
        <f>IF(AZ148=1,IF(Q148="","",IF(Q148=N144,"Yes","No")),"")</f>
        <v>No</v>
      </c>
      <c r="BB148" t="str">
        <f t="shared" si="39"/>
        <v/>
      </c>
      <c r="BC148" t="str">
        <f>IF(AZ148=1,IF(S148="","",IF(S148=N144,"Yes","No")),"")</f>
        <v>Yes</v>
      </c>
      <c r="BD148">
        <f t="shared" si="40"/>
        <v>2400000000</v>
      </c>
      <c r="BE148" t="str">
        <f t="shared" si="41"/>
        <v>Decreasing</v>
      </c>
      <c r="BF148" t="str">
        <f t="shared" si="42"/>
        <v>Yes</v>
      </c>
      <c r="BG148" t="str">
        <f t="shared" si="43"/>
        <v>No</v>
      </c>
      <c r="BH148" t="str">
        <f t="shared" si="44"/>
        <v>No</v>
      </c>
    </row>
    <row r="149" spans="1:60" x14ac:dyDescent="0.3">
      <c r="A149" s="1">
        <v>4</v>
      </c>
      <c r="B149" t="s">
        <v>281</v>
      </c>
      <c r="C149" t="s">
        <v>3943</v>
      </c>
      <c r="D149" t="s">
        <v>3944</v>
      </c>
      <c r="E149" t="s">
        <v>3945</v>
      </c>
      <c r="F149" t="s">
        <v>3946</v>
      </c>
      <c r="G149" t="s">
        <v>3947</v>
      </c>
      <c r="I149" t="str">
        <f t="shared" si="21"/>
        <v>N/A</v>
      </c>
      <c r="J149">
        <f t="shared" si="22"/>
        <v>200400000</v>
      </c>
      <c r="K149">
        <f t="shared" si="23"/>
        <v>119260000</v>
      </c>
      <c r="L149">
        <f t="shared" si="24"/>
        <v>170120000</v>
      </c>
      <c r="M149">
        <f t="shared" si="25"/>
        <v>154540000</v>
      </c>
      <c r="N149">
        <f t="shared" si="26"/>
        <v>143260000</v>
      </c>
      <c r="P149">
        <f t="shared" si="27"/>
        <v>200400000</v>
      </c>
      <c r="Q149">
        <f>IFERROR(J144+MATCH(P149,J149:N149,0)-1,"")</f>
        <v>2012</v>
      </c>
      <c r="R149">
        <f t="shared" si="28"/>
        <v>119260000</v>
      </c>
      <c r="S149">
        <f>IFERROR(J144+MATCH(R149,J149:N149,0)-1,"")</f>
        <v>2013</v>
      </c>
      <c r="T149">
        <f t="shared" si="29"/>
        <v>157516000</v>
      </c>
      <c r="U149">
        <f t="shared" si="30"/>
        <v>30304743.523085624</v>
      </c>
      <c r="V149">
        <f t="shared" si="31"/>
        <v>1.4150919959884074</v>
      </c>
      <c r="W149">
        <f t="shared" si="32"/>
        <v>-1.2623766299443269</v>
      </c>
      <c r="X149">
        <f t="shared" si="33"/>
        <v>0.41590848608893499</v>
      </c>
      <c r="Y149">
        <f t="shared" si="34"/>
        <v>-9.820244800068792E-2</v>
      </c>
      <c r="Z149">
        <f t="shared" si="35"/>
        <v>-0.47042140413232764</v>
      </c>
      <c r="AA149">
        <f t="shared" si="36"/>
        <v>1.4150919959884074</v>
      </c>
      <c r="AB149">
        <f>IFERROR(V144+MATCH(AA149,V149:Z149,0)-1,"")</f>
        <v>2012</v>
      </c>
      <c r="AC149" t="str">
        <f t="shared" si="37"/>
        <v>High</v>
      </c>
      <c r="AE149">
        <f>IF(ISNUMBER(MATCH("N/A",J149:N149,0)),"",IFERROR((5 * SUMPRODUCT(J144:N144,J149:N149) - PRODUCT(SUM(J144:N144),SUM(J149:N149))) / ((5 * SUM((J144^2)+(K144^2)+(L144^2)+(M144^2)+(N144^2))) - SUM(J144:N144)^2),""))</f>
        <v>-7900000</v>
      </c>
      <c r="AF149">
        <f>IFERROR(CORREL(J144:N144,J149:N149),"")</f>
        <v>-0.41217958990973391</v>
      </c>
      <c r="AZ149">
        <f t="shared" si="38"/>
        <v>1</v>
      </c>
      <c r="BA149" t="str">
        <f>IF(AZ149=1,IF(Q149="","",IF(Q149=N144,"Yes","No")),"")</f>
        <v>No</v>
      </c>
      <c r="BB149" t="str">
        <f t="shared" si="39"/>
        <v/>
      </c>
      <c r="BC149" t="str">
        <f>IF(AZ149=1,IF(S149="","",IF(S149=N144,"Yes","No")),"")</f>
        <v>No</v>
      </c>
      <c r="BD149" t="str">
        <f t="shared" si="40"/>
        <v/>
      </c>
      <c r="BE149" t="str">
        <f t="shared" si="41"/>
        <v>Decreasing</v>
      </c>
      <c r="BF149" t="str">
        <f t="shared" si="42"/>
        <v>No</v>
      </c>
      <c r="BG149" t="str">
        <f t="shared" si="43"/>
        <v>No</v>
      </c>
      <c r="BH149" t="str">
        <f t="shared" si="44"/>
        <v>No</v>
      </c>
    </row>
    <row r="150" spans="1:60" x14ac:dyDescent="0.3">
      <c r="A150" s="1">
        <v>5</v>
      </c>
      <c r="B150" t="s">
        <v>287</v>
      </c>
      <c r="C150" t="s">
        <v>3948</v>
      </c>
      <c r="D150" t="s">
        <v>3949</v>
      </c>
      <c r="E150" t="s">
        <v>3950</v>
      </c>
      <c r="F150" t="s">
        <v>3951</v>
      </c>
      <c r="G150" t="s">
        <v>3952</v>
      </c>
      <c r="I150" t="str">
        <f t="shared" si="21"/>
        <v>N/A</v>
      </c>
      <c r="J150">
        <f t="shared" si="22"/>
        <v>115290000</v>
      </c>
      <c r="K150">
        <f t="shared" si="23"/>
        <v>78090000</v>
      </c>
      <c r="L150">
        <f t="shared" si="24"/>
        <v>103070000</v>
      </c>
      <c r="M150">
        <f t="shared" si="25"/>
        <v>93910000</v>
      </c>
      <c r="N150">
        <f t="shared" si="26"/>
        <v>82640000</v>
      </c>
      <c r="P150">
        <f t="shared" si="27"/>
        <v>115290000</v>
      </c>
      <c r="Q150">
        <f>IFERROR(J144+MATCH(P150,J150:N150,0)-1,"")</f>
        <v>2012</v>
      </c>
      <c r="R150">
        <f t="shared" si="28"/>
        <v>78090000</v>
      </c>
      <c r="S150">
        <f>IFERROR(J144+MATCH(R150,J150:N150,0)-1,"")</f>
        <v>2013</v>
      </c>
      <c r="T150">
        <f t="shared" si="29"/>
        <v>94600000</v>
      </c>
      <c r="U150">
        <f t="shared" si="30"/>
        <v>15132042.162246311</v>
      </c>
      <c r="V150">
        <f t="shared" si="31"/>
        <v>1.3672972740996265</v>
      </c>
      <c r="W150">
        <f t="shared" si="32"/>
        <v>-1.0910622520727324</v>
      </c>
      <c r="X150">
        <f t="shared" si="33"/>
        <v>0.55973938673870649</v>
      </c>
      <c r="Y150">
        <f t="shared" si="34"/>
        <v>-4.5598604114487302E-2</v>
      </c>
      <c r="Z150">
        <f t="shared" si="35"/>
        <v>-0.79037580465111323</v>
      </c>
      <c r="AA150">
        <f t="shared" si="36"/>
        <v>1.3672972740996265</v>
      </c>
      <c r="AB150">
        <f>IFERROR(V144+MATCH(AA150,V150:Z150,0)-1,"")</f>
        <v>2012</v>
      </c>
      <c r="AC150" t="str">
        <f t="shared" si="37"/>
        <v>High</v>
      </c>
      <c r="AE150">
        <f>IF(ISNUMBER(MATCH("N/A",J150:N150,0)),"",IFERROR((5 * SUMPRODUCT(J144:N144,J150:N150) - PRODUCT(SUM(J144:N144),SUM(J150:N150))) / ((5 * SUM((J144^2)+(K144^2)+(L144^2)+(M144^2)+(N144^2))) - SUM(J144:N144)^2),""))</f>
        <v>-4948000</v>
      </c>
      <c r="AF150">
        <f>IFERROR(CORREL(J144:N144,J150:N150),"")</f>
        <v>-0.5170138205651944</v>
      </c>
      <c r="AZ150">
        <f t="shared" si="38"/>
        <v>1</v>
      </c>
      <c r="BA150" t="str">
        <f>IF(AZ150=1,IF(Q150="","",IF(Q150=N144,"Yes","No")),"")</f>
        <v>No</v>
      </c>
      <c r="BB150" t="str">
        <f t="shared" si="39"/>
        <v/>
      </c>
      <c r="BC150" t="str">
        <f>IF(AZ150=1,IF(S150="","",IF(S150=N144,"Yes","No")),"")</f>
        <v>No</v>
      </c>
      <c r="BD150" t="str">
        <f t="shared" si="40"/>
        <v/>
      </c>
      <c r="BE150" t="str">
        <f t="shared" si="41"/>
        <v>Decreasing</v>
      </c>
      <c r="BF150" t="str">
        <f t="shared" si="42"/>
        <v>No</v>
      </c>
      <c r="BG150" t="str">
        <f t="shared" si="43"/>
        <v>No</v>
      </c>
      <c r="BH150" t="str">
        <f t="shared" si="44"/>
        <v>No</v>
      </c>
    </row>
    <row r="151" spans="1:60" x14ac:dyDescent="0.3">
      <c r="A151" s="1">
        <v>6</v>
      </c>
      <c r="B151" t="s">
        <v>293</v>
      </c>
      <c r="C151" t="s">
        <v>3953</v>
      </c>
      <c r="D151" t="s">
        <v>3954</v>
      </c>
      <c r="E151" t="s">
        <v>3955</v>
      </c>
      <c r="F151" t="s">
        <v>3956</v>
      </c>
      <c r="G151" t="s">
        <v>3957</v>
      </c>
      <c r="I151" t="str">
        <f t="shared" si="21"/>
        <v>N/A</v>
      </c>
      <c r="J151">
        <f t="shared" si="22"/>
        <v>85110000</v>
      </c>
      <c r="K151">
        <f t="shared" si="23"/>
        <v>41170000</v>
      </c>
      <c r="L151">
        <f t="shared" si="24"/>
        <v>67050000</v>
      </c>
      <c r="M151">
        <f t="shared" si="25"/>
        <v>60630000</v>
      </c>
      <c r="N151">
        <f t="shared" si="26"/>
        <v>60620000</v>
      </c>
      <c r="P151">
        <f t="shared" si="27"/>
        <v>85110000</v>
      </c>
      <c r="Q151">
        <f>IFERROR(J144+MATCH(P151,J151:N151,0)-1,"")</f>
        <v>2012</v>
      </c>
      <c r="R151">
        <f t="shared" si="28"/>
        <v>41170000</v>
      </c>
      <c r="S151">
        <f>IFERROR(J144+MATCH(R151,J151:N151,0)-1,"")</f>
        <v>2013</v>
      </c>
      <c r="T151">
        <f t="shared" si="29"/>
        <v>62916000</v>
      </c>
      <c r="U151">
        <f t="shared" si="30"/>
        <v>15756344.119115956</v>
      </c>
      <c r="V151">
        <f t="shared" si="31"/>
        <v>1.4085754812294138</v>
      </c>
      <c r="W151">
        <f t="shared" si="32"/>
        <v>-1.3801424896284955</v>
      </c>
      <c r="X151">
        <f t="shared" si="33"/>
        <v>0.26237050731740091</v>
      </c>
      <c r="Y151">
        <f t="shared" si="34"/>
        <v>-0.14508441696361357</v>
      </c>
      <c r="Z151">
        <f t="shared" si="35"/>
        <v>-0.14571908195470551</v>
      </c>
      <c r="AA151">
        <f t="shared" si="36"/>
        <v>1.4085754812294138</v>
      </c>
      <c r="AB151">
        <f>IFERROR(V144+MATCH(AA151,V151:Z151,0)-1,"")</f>
        <v>2012</v>
      </c>
      <c r="AC151" t="str">
        <f t="shared" si="37"/>
        <v>High</v>
      </c>
      <c r="AE151">
        <f>IF(ISNUMBER(MATCH("N/A",J151:N151,0)),"",IFERROR((5 * SUMPRODUCT(J144:N144,J151:N151) - PRODUCT(SUM(J144:N144),SUM(J151:N151))) / ((5 * SUM((J144^2)+(K144^2)+(L144^2)+(M144^2)+(N144^2))) - SUM(J144:N144)^2),""))</f>
        <v>-2952000</v>
      </c>
      <c r="AF151">
        <f>IFERROR(CORREL(J144:N144,J151:N151),"")</f>
        <v>-0.29623126983789239</v>
      </c>
      <c r="AZ151">
        <f t="shared" si="38"/>
        <v>1</v>
      </c>
      <c r="BA151" t="str">
        <f>IF(AZ151=1,IF(Q151="","",IF(Q151=N144,"Yes","No")),"")</f>
        <v>No</v>
      </c>
      <c r="BB151" t="str">
        <f t="shared" si="39"/>
        <v/>
      </c>
      <c r="BC151" t="str">
        <f>IF(AZ151=1,IF(S151="","",IF(S151=N144,"Yes","No")),"")</f>
        <v>No</v>
      </c>
      <c r="BD151" t="str">
        <f t="shared" si="40"/>
        <v/>
      </c>
      <c r="BE151" t="str">
        <f t="shared" si="41"/>
        <v>Decreasing</v>
      </c>
      <c r="BF151" t="str">
        <f t="shared" si="42"/>
        <v>No</v>
      </c>
      <c r="BG151" t="str">
        <f t="shared" si="43"/>
        <v>No</v>
      </c>
      <c r="BH151" t="str">
        <f t="shared" si="44"/>
        <v>No</v>
      </c>
    </row>
    <row r="152" spans="1:60" x14ac:dyDescent="0.3">
      <c r="A152" s="1">
        <v>7</v>
      </c>
      <c r="B152" t="s">
        <v>298</v>
      </c>
      <c r="C152" t="s">
        <v>264</v>
      </c>
      <c r="D152" t="s">
        <v>3958</v>
      </c>
      <c r="E152" t="s">
        <v>3959</v>
      </c>
      <c r="F152" t="s">
        <v>3960</v>
      </c>
      <c r="G152" t="s">
        <v>3961</v>
      </c>
      <c r="I152" t="str">
        <f t="shared" si="21"/>
        <v>N/A</v>
      </c>
      <c r="J152" t="str">
        <f t="shared" si="22"/>
        <v>N/A</v>
      </c>
      <c r="K152">
        <f t="shared" si="23"/>
        <v>3.3500000000000002E-2</v>
      </c>
      <c r="L152">
        <f t="shared" si="24"/>
        <v>9.0399999999999994E-2</v>
      </c>
      <c r="M152">
        <f t="shared" si="25"/>
        <v>-0.14130000000000001</v>
      </c>
      <c r="N152">
        <f t="shared" si="26"/>
        <v>-7.7100000000000002E-2</v>
      </c>
      <c r="P152">
        <f t="shared" si="27"/>
        <v>9.0399999999999994E-2</v>
      </c>
      <c r="Q152">
        <f>IFERROR(J144+MATCH(P152,J152:N152,0)-1,"")</f>
        <v>2014</v>
      </c>
      <c r="R152">
        <f t="shared" si="28"/>
        <v>-0.14130000000000001</v>
      </c>
      <c r="S152">
        <f>IFERROR(J144+MATCH(R152,J152:N152,0)-1,"")</f>
        <v>2015</v>
      </c>
      <c r="T152">
        <f t="shared" si="29"/>
        <v>-2.3625000000000004E-2</v>
      </c>
      <c r="U152">
        <f t="shared" si="30"/>
        <v>0.10483629699043488</v>
      </c>
      <c r="V152" t="str">
        <f t="shared" si="31"/>
        <v/>
      </c>
      <c r="W152">
        <f t="shared" si="32"/>
        <v>0.54489715527830995</v>
      </c>
      <c r="X152">
        <f t="shared" si="33"/>
        <v>1.0876481073191997</v>
      </c>
      <c r="Y152">
        <f t="shared" si="34"/>
        <v>-1.1224642931706803</v>
      </c>
      <c r="Z152">
        <f t="shared" si="35"/>
        <v>-0.51008096942682912</v>
      </c>
      <c r="AA152">
        <f t="shared" si="36"/>
        <v>-1.1224642931706803</v>
      </c>
      <c r="AB152">
        <f>IFERROR(V144+MATCH(AA152,V152:Z152,0)-1,"")</f>
        <v>2015</v>
      </c>
      <c r="AC152" t="str">
        <f t="shared" si="37"/>
        <v>Low</v>
      </c>
      <c r="AE152" t="str">
        <f>IF(ISNUMBER(MATCH("N/A",J152:N152,0)),"",IFERROR((5 * SUMPRODUCT(J144:N144,J152:N152) - PRODUCT(SUM(J144:N144),SUM(J152:N152))) / ((5 * SUM((J144^2)+(K144^2)+(L144^2)+(M144^2)+(N144^2))) - SUM(J144:N144)^2),""))</f>
        <v/>
      </c>
      <c r="AF152">
        <f>IFERROR(CORREL(J144:N144,J152:N152),"")</f>
        <v>-0.69391555477107358</v>
      </c>
      <c r="AZ152">
        <f t="shared" si="38"/>
        <v>1</v>
      </c>
      <c r="BA152" t="str">
        <f>IF(AZ152=1,IF(Q152="","",IF(Q152=N144,"Yes","No")),"")</f>
        <v>No</v>
      </c>
      <c r="BB152" t="str">
        <f t="shared" si="39"/>
        <v/>
      </c>
      <c r="BC152" t="str">
        <f>IF(AZ152=1,IF(S152="","",IF(S152=N144,"Yes","No")),"")</f>
        <v>No</v>
      </c>
      <c r="BD152" t="str">
        <f t="shared" si="40"/>
        <v/>
      </c>
      <c r="BE152" t="str">
        <f t="shared" si="41"/>
        <v/>
      </c>
      <c r="BF152" t="str">
        <f t="shared" si="42"/>
        <v>No</v>
      </c>
      <c r="BG152" t="str">
        <f t="shared" si="43"/>
        <v>No</v>
      </c>
      <c r="BH152" t="str">
        <f t="shared" si="44"/>
        <v>No</v>
      </c>
    </row>
    <row r="153" spans="1:60" x14ac:dyDescent="0.3">
      <c r="A153" s="1">
        <v>8</v>
      </c>
      <c r="B153" t="s">
        <v>303</v>
      </c>
      <c r="C153" t="s">
        <v>270</v>
      </c>
      <c r="D153" t="s">
        <v>722</v>
      </c>
      <c r="E153" t="s">
        <v>2454</v>
      </c>
      <c r="F153" t="s">
        <v>3962</v>
      </c>
      <c r="G153" t="s">
        <v>2458</v>
      </c>
      <c r="I153" t="str">
        <f t="shared" si="21"/>
        <v>N/A</v>
      </c>
      <c r="J153">
        <f t="shared" si="22"/>
        <v>1070000000.0000001</v>
      </c>
      <c r="K153">
        <f t="shared" si="23"/>
        <v>1270000000</v>
      </c>
      <c r="L153">
        <f t="shared" si="24"/>
        <v>1420000000</v>
      </c>
      <c r="M153">
        <f t="shared" si="25"/>
        <v>1210000000</v>
      </c>
      <c r="N153">
        <f t="shared" si="26"/>
        <v>1100000000</v>
      </c>
      <c r="P153">
        <f t="shared" si="27"/>
        <v>1420000000</v>
      </c>
      <c r="Q153">
        <f>IFERROR(J144+MATCH(P153,J153:N153,0)-1,"")</f>
        <v>2014</v>
      </c>
      <c r="R153">
        <f t="shared" si="28"/>
        <v>1070000000.0000001</v>
      </c>
      <c r="S153">
        <f>IFERROR(J144+MATCH(R153,J153:N153,0)-1,"")</f>
        <v>2012</v>
      </c>
      <c r="T153">
        <f t="shared" si="29"/>
        <v>1214000000</v>
      </c>
      <c r="U153">
        <f t="shared" si="30"/>
        <v>140819032.80451828</v>
      </c>
      <c r="V153">
        <f t="shared" si="31"/>
        <v>-1.0225890430585285</v>
      </c>
      <c r="W153">
        <f t="shared" si="32"/>
        <v>0.39767351674498364</v>
      </c>
      <c r="X153">
        <f t="shared" si="33"/>
        <v>1.4628704365976184</v>
      </c>
      <c r="Y153">
        <f t="shared" si="34"/>
        <v>-2.840525119607026E-2</v>
      </c>
      <c r="Z153">
        <f t="shared" si="35"/>
        <v>-0.80954965908800236</v>
      </c>
      <c r="AA153">
        <f t="shared" si="36"/>
        <v>1.4628704365976184</v>
      </c>
      <c r="AB153">
        <f>IFERROR(V144+MATCH(AA153,V153:Z153,0)-1,"")</f>
        <v>2014</v>
      </c>
      <c r="AC153" t="str">
        <f t="shared" si="37"/>
        <v>High</v>
      </c>
      <c r="AE153">
        <f>IF(ISNUMBER(MATCH("N/A",J153:N153,0)),"",IFERROR((5 * SUMPRODUCT(J144:N144,J153:N153) - PRODUCT(SUM(J144:N144),SUM(J153:N153))) / ((5 * SUM((J144^2)+(K144^2)+(L144^2)+(M144^2)+(N144^2))) - SUM(J144:N144)^2),""))</f>
        <v>0</v>
      </c>
      <c r="AF153">
        <f>IFERROR(CORREL(J144:N144,J153:N153),"")</f>
        <v>-2.67700228955758E-16</v>
      </c>
      <c r="AZ153">
        <f t="shared" si="38"/>
        <v>1</v>
      </c>
      <c r="BA153" t="str">
        <f>IF(AZ153=1,IF(Q153="","",IF(Q153=N144,"Yes","No")),"")</f>
        <v>No</v>
      </c>
      <c r="BB153" t="str">
        <f t="shared" si="39"/>
        <v/>
      </c>
      <c r="BC153" t="str">
        <f>IF(AZ153=1,IF(S153="","",IF(S153=N144,"Yes","No")),"")</f>
        <v>No</v>
      </c>
      <c r="BD153" t="str">
        <f t="shared" si="40"/>
        <v/>
      </c>
      <c r="BE153" t="str">
        <f t="shared" si="41"/>
        <v/>
      </c>
      <c r="BF153" t="str">
        <f t="shared" si="42"/>
        <v>No</v>
      </c>
      <c r="BG153" t="str">
        <f t="shared" si="43"/>
        <v>No</v>
      </c>
      <c r="BH153" t="str">
        <f t="shared" si="44"/>
        <v>No</v>
      </c>
    </row>
    <row r="154" spans="1:60" x14ac:dyDescent="0.3">
      <c r="A154" s="1">
        <v>9</v>
      </c>
      <c r="B154" t="s">
        <v>309</v>
      </c>
      <c r="C154" t="s">
        <v>264</v>
      </c>
      <c r="D154" t="s">
        <v>3963</v>
      </c>
      <c r="E154" t="s">
        <v>3964</v>
      </c>
      <c r="F154" t="s">
        <v>3965</v>
      </c>
      <c r="G154" t="s">
        <v>3966</v>
      </c>
      <c r="I154" t="str">
        <f t="shared" si="21"/>
        <v>N/A</v>
      </c>
      <c r="J154" t="str">
        <f t="shared" si="22"/>
        <v>N/A</v>
      </c>
      <c r="K154">
        <f t="shared" si="23"/>
        <v>0.18559999999999999</v>
      </c>
      <c r="L154">
        <f t="shared" si="24"/>
        <v>0.11960000000000001</v>
      </c>
      <c r="M154">
        <f t="shared" si="25"/>
        <v>-0.14410000000000001</v>
      </c>
      <c r="N154">
        <f t="shared" si="26"/>
        <v>-8.8699999999999987E-2</v>
      </c>
      <c r="P154">
        <f t="shared" si="27"/>
        <v>0.18559999999999999</v>
      </c>
      <c r="Q154">
        <f>IFERROR(J144+MATCH(P154,J154:N154,0)-1,"")</f>
        <v>2013</v>
      </c>
      <c r="R154">
        <f t="shared" si="28"/>
        <v>-0.14410000000000001</v>
      </c>
      <c r="S154">
        <f>IFERROR(J144+MATCH(R154,J154:N154,0)-1,"")</f>
        <v>2015</v>
      </c>
      <c r="T154">
        <f t="shared" si="29"/>
        <v>1.8100000000000008E-2</v>
      </c>
      <c r="U154">
        <f t="shared" si="30"/>
        <v>0.15924151468759645</v>
      </c>
      <c r="V154" t="str">
        <f t="shared" si="31"/>
        <v/>
      </c>
      <c r="W154">
        <f t="shared" si="32"/>
        <v>1.0518613838144231</v>
      </c>
      <c r="X154">
        <f t="shared" si="33"/>
        <v>0.63739659974426244</v>
      </c>
      <c r="Y154">
        <f t="shared" si="34"/>
        <v>-1.0185786056996982</v>
      </c>
      <c r="Z154">
        <f t="shared" si="35"/>
        <v>-0.67067937785898735</v>
      </c>
      <c r="AA154">
        <f t="shared" si="36"/>
        <v>1.0518613838144231</v>
      </c>
      <c r="AB154">
        <f>IFERROR(V144+MATCH(AA154,V154:Z154,0)-1,"")</f>
        <v>2013</v>
      </c>
      <c r="AC154" t="str">
        <f t="shared" si="37"/>
        <v>High</v>
      </c>
      <c r="AE154" t="str">
        <f>IF(ISNUMBER(MATCH("N/A",J154:N154,0)),"",IFERROR((5 * SUMPRODUCT(J144:N144,J154:N154) - PRODUCT(SUM(J144:N144),SUM(J154:N154))) / ((5 * SUM((J144^2)+(K144^2)+(L144^2)+(M144^2)+(N144^2))) - SUM(J144:N144)^2),""))</f>
        <v/>
      </c>
      <c r="AF154">
        <f>IFERROR(CORREL(J144:N144,J154:N154),"")</f>
        <v>-0.88092264805968457</v>
      </c>
      <c r="AZ154">
        <f t="shared" si="38"/>
        <v>1</v>
      </c>
      <c r="BA154" t="str">
        <f>IF(AZ154=1,IF(Q154="","",IF(Q154=N144,"Yes","No")),"")</f>
        <v>No</v>
      </c>
      <c r="BB154" t="str">
        <f t="shared" si="39"/>
        <v/>
      </c>
      <c r="BC154" t="str">
        <f>IF(AZ154=1,IF(S154="","",IF(S154=N144,"Yes","No")),"")</f>
        <v>No</v>
      </c>
      <c r="BD154" t="str">
        <f t="shared" si="40"/>
        <v/>
      </c>
      <c r="BE154" t="str">
        <f t="shared" si="41"/>
        <v/>
      </c>
      <c r="BF154" t="str">
        <f t="shared" si="42"/>
        <v>No</v>
      </c>
      <c r="BG154" t="str">
        <f t="shared" si="43"/>
        <v>No</v>
      </c>
      <c r="BH154" t="str">
        <f t="shared" si="44"/>
        <v>Yes</v>
      </c>
    </row>
    <row r="155" spans="1:60" x14ac:dyDescent="0.3">
      <c r="A155" s="1">
        <v>10</v>
      </c>
      <c r="B155" t="s">
        <v>314</v>
      </c>
      <c r="C155" t="s">
        <v>264</v>
      </c>
      <c r="D155" t="s">
        <v>264</v>
      </c>
      <c r="E155" t="s">
        <v>264</v>
      </c>
      <c r="F155" t="s">
        <v>264</v>
      </c>
      <c r="G155" t="s">
        <v>3967</v>
      </c>
      <c r="I155" t="str">
        <f t="shared" si="21"/>
        <v>N/A</v>
      </c>
      <c r="J155" t="str">
        <f t="shared" si="22"/>
        <v>N/A</v>
      </c>
      <c r="K155" t="str">
        <f t="shared" si="23"/>
        <v>N/A</v>
      </c>
      <c r="L155" t="str">
        <f t="shared" si="24"/>
        <v>N/A</v>
      </c>
      <c r="M155" t="str">
        <f t="shared" si="25"/>
        <v>N/A</v>
      </c>
      <c r="N155">
        <f t="shared" si="26"/>
        <v>0.3029</v>
      </c>
      <c r="P155">
        <f t="shared" si="27"/>
        <v>0.3029</v>
      </c>
      <c r="Q155">
        <f>IFERROR(J144+MATCH(P155,J155:N155,0)-1,"")</f>
        <v>2016</v>
      </c>
      <c r="R155">
        <f t="shared" si="28"/>
        <v>0.3029</v>
      </c>
      <c r="S155">
        <f>IFERROR(J144+MATCH(R155,J155:N155,0)-1,"")</f>
        <v>2016</v>
      </c>
      <c r="T155">
        <f t="shared" si="29"/>
        <v>0.3029</v>
      </c>
      <c r="U155" t="str">
        <f t="shared" si="30"/>
        <v/>
      </c>
      <c r="V155" t="str">
        <f t="shared" si="31"/>
        <v/>
      </c>
      <c r="W155" t="str">
        <f t="shared" si="32"/>
        <v/>
      </c>
      <c r="X155" t="str">
        <f t="shared" si="33"/>
        <v/>
      </c>
      <c r="Y155" t="str">
        <f t="shared" si="34"/>
        <v/>
      </c>
      <c r="Z155" t="str">
        <f t="shared" si="35"/>
        <v/>
      </c>
      <c r="AA155">
        <f t="shared" si="36"/>
        <v>0</v>
      </c>
      <c r="AB155" t="str">
        <f>IFERROR(V144+MATCH(AA155,V155:Z155,0)-1,"")</f>
        <v/>
      </c>
      <c r="AC155" t="str">
        <f t="shared" si="37"/>
        <v/>
      </c>
      <c r="AE155" t="str">
        <f>IF(ISNUMBER(MATCH("N/A",J155:N155,0)),"",IFERROR((5 * SUMPRODUCT(J144:N144,J155:N155) - PRODUCT(SUM(J144:N144),SUM(J155:N155))) / ((5 * SUM((J144^2)+(K144^2)+(L144^2)+(M144^2)+(N144^2))) - SUM(J144:N144)^2),""))</f>
        <v/>
      </c>
      <c r="AF155" t="str">
        <f>IFERROR(CORREL(J144:N144,J155:N155),"")</f>
        <v/>
      </c>
      <c r="AZ155">
        <f t="shared" si="38"/>
        <v>0</v>
      </c>
      <c r="BA155" t="str">
        <f>IF(AZ155=1,IF(Q155="","",IF(Q155=N144,"Yes","No")),"")</f>
        <v/>
      </c>
      <c r="BB155" t="str">
        <f t="shared" si="39"/>
        <v/>
      </c>
      <c r="BC155" t="str">
        <f>IF(AZ155=1,IF(S155="","",IF(S155=N144,"Yes","No")),"")</f>
        <v/>
      </c>
      <c r="BD155" t="str">
        <f t="shared" si="40"/>
        <v/>
      </c>
      <c r="BE155" t="str">
        <f t="shared" si="41"/>
        <v/>
      </c>
      <c r="BF155" t="str">
        <f t="shared" si="42"/>
        <v>No</v>
      </c>
      <c r="BG155" t="str">
        <f t="shared" si="43"/>
        <v>No</v>
      </c>
      <c r="BH155" t="str">
        <f t="shared" si="44"/>
        <v/>
      </c>
    </row>
    <row r="156" spans="1:60" x14ac:dyDescent="0.3">
      <c r="I156" t="str">
        <f t="shared" ref="I156:I187" si="45">IF(AND(K156&gt; J156, L156&gt; K156, M156&gt; L156, N156&gt; M156), "pos_trend", IF(AND(K156&lt; J156, L156&lt; K156, M156&lt; L156, N156&lt; M156), "neg_trend", "N/A"))</f>
        <v>N/A</v>
      </c>
      <c r="J156" t="str">
        <f t="shared" si="22"/>
        <v>N/A</v>
      </c>
      <c r="K156" t="str">
        <f t="shared" si="23"/>
        <v>N/A</v>
      </c>
      <c r="L156" t="str">
        <f t="shared" si="24"/>
        <v>N/A</v>
      </c>
      <c r="M156" t="str">
        <f t="shared" si="25"/>
        <v>N/A</v>
      </c>
      <c r="N156" t="str">
        <f t="shared" si="26"/>
        <v>N/A</v>
      </c>
      <c r="P156">
        <f t="shared" si="27"/>
        <v>0</v>
      </c>
      <c r="Q156" t="str">
        <f>IFERROR(J144+MATCH(P156,J156:N156,0)-1,"")</f>
        <v/>
      </c>
      <c r="R156" t="str">
        <f t="shared" si="28"/>
        <v/>
      </c>
      <c r="S156" t="str">
        <f>IFERROR(J144+MATCH(R156,J156:N156,0)-1,"")</f>
        <v/>
      </c>
      <c r="T156" t="str">
        <f t="shared" si="29"/>
        <v/>
      </c>
      <c r="U156" t="str">
        <f t="shared" si="30"/>
        <v/>
      </c>
      <c r="V156" t="str">
        <f t="shared" si="31"/>
        <v/>
      </c>
      <c r="W156" t="str">
        <f t="shared" si="32"/>
        <v/>
      </c>
      <c r="X156" t="str">
        <f t="shared" si="33"/>
        <v/>
      </c>
      <c r="Y156" t="str">
        <f t="shared" si="34"/>
        <v/>
      </c>
      <c r="Z156" t="str">
        <f t="shared" si="35"/>
        <v/>
      </c>
      <c r="AA156">
        <f t="shared" si="36"/>
        <v>0</v>
      </c>
      <c r="AB156" t="str">
        <f>IFERROR(V144+MATCH(AA156,V156:Z156,0)-1,"")</f>
        <v/>
      </c>
      <c r="AC156" t="str">
        <f t="shared" si="37"/>
        <v/>
      </c>
      <c r="AE156" t="str">
        <f>IF(ISNUMBER(MATCH("N/A",J156:N156,0)),"",IFERROR((5 * SUMPRODUCT(J144:N144,J156:N156) - PRODUCT(SUM(J144:N144),SUM(J156:N156))) / ((5 * SUM((J144^2)+(K144^2)+(L144^2)+(M144^2)+(N144^2))) - SUM(J144:N144)^2),""))</f>
        <v/>
      </c>
      <c r="AF156" t="str">
        <f>IFERROR(CORREL(J144:N144,J156:N156),"")</f>
        <v/>
      </c>
      <c r="AZ156">
        <f t="shared" si="38"/>
        <v>0</v>
      </c>
      <c r="BA156" t="str">
        <f>IF(AZ156=1,IF(Q156="","",IF(Q156=N144,"Yes","No")),"")</f>
        <v/>
      </c>
      <c r="BB156" t="str">
        <f t="shared" si="39"/>
        <v/>
      </c>
      <c r="BC156" t="str">
        <f>IF(AZ156=1,IF(S156="","",IF(S156=N144,"Yes","No")),"")</f>
        <v/>
      </c>
      <c r="BD156" t="str">
        <f t="shared" si="40"/>
        <v/>
      </c>
      <c r="BE156" t="str">
        <f t="shared" si="41"/>
        <v/>
      </c>
      <c r="BF156" t="str">
        <f t="shared" si="42"/>
        <v>No</v>
      </c>
      <c r="BG156" t="str">
        <f t="shared" si="43"/>
        <v>No</v>
      </c>
      <c r="BH156" t="str">
        <f t="shared" si="44"/>
        <v/>
      </c>
    </row>
    <row r="157" spans="1:60" x14ac:dyDescent="0.3">
      <c r="B157" s="1" t="s">
        <v>316</v>
      </c>
      <c r="C157" s="1" t="s">
        <v>252</v>
      </c>
      <c r="D157" s="1" t="s">
        <v>253</v>
      </c>
      <c r="E157" s="1" t="s">
        <v>254</v>
      </c>
      <c r="F157" s="1" t="s">
        <v>255</v>
      </c>
      <c r="G157" s="1" t="s">
        <v>256</v>
      </c>
      <c r="H157" s="1" t="s">
        <v>257</v>
      </c>
      <c r="P157">
        <f t="shared" si="27"/>
        <v>0</v>
      </c>
      <c r="Q157" t="str">
        <f>IFERROR(J144+MATCH(P157,J157:N157,0)-1,"")</f>
        <v/>
      </c>
      <c r="R157" t="str">
        <f t="shared" si="28"/>
        <v/>
      </c>
      <c r="S157" t="str">
        <f>IFERROR(J144+MATCH(R157,J157:N157,0)-1,"")</f>
        <v/>
      </c>
      <c r="T157" t="str">
        <f t="shared" si="29"/>
        <v/>
      </c>
      <c r="U157" t="str">
        <f t="shared" si="30"/>
        <v/>
      </c>
      <c r="V157" t="str">
        <f t="shared" si="31"/>
        <v/>
      </c>
      <c r="W157" t="str">
        <f t="shared" si="32"/>
        <v/>
      </c>
      <c r="X157" t="str">
        <f t="shared" si="33"/>
        <v/>
      </c>
      <c r="Y157" t="str">
        <f t="shared" si="34"/>
        <v/>
      </c>
      <c r="Z157" t="str">
        <f t="shared" si="35"/>
        <v/>
      </c>
      <c r="AA157">
        <f t="shared" si="36"/>
        <v>0</v>
      </c>
      <c r="AB157" t="str">
        <f>IFERROR(V144+MATCH(AA157,V157:Z157,0)-1,"")</f>
        <v/>
      </c>
      <c r="AC157" t="str">
        <f t="shared" si="37"/>
        <v/>
      </c>
      <c r="AE157">
        <f>IF(ISNUMBER(MATCH("N/A",J157:N157,0)),"",IFERROR((5 * SUMPRODUCT(J144:N144,J157:N157) - PRODUCT(SUM(J144:N144),SUM(J157:N157))) / ((5 * SUM((J144^2)+(K144^2)+(L144^2)+(M144^2)+(N144^2))) - SUM(J144:N144)^2),""))</f>
        <v>0</v>
      </c>
      <c r="AF157" t="str">
        <f>IFERROR(CORREL(J144:N144,J157:N157),"")</f>
        <v/>
      </c>
      <c r="AZ157">
        <f t="shared" si="38"/>
        <v>0</v>
      </c>
      <c r="BA157" t="str">
        <f>IF(AZ157=1,IF(Q157="","",IF(Q157=N144,"Yes","No")),"")</f>
        <v/>
      </c>
      <c r="BB157" t="str">
        <f t="shared" si="39"/>
        <v/>
      </c>
      <c r="BC157" t="str">
        <f>IF(AZ157=1,IF(S157="","",IF(S157=N144,"Yes","No")),"")</f>
        <v/>
      </c>
      <c r="BD157" t="str">
        <f t="shared" si="40"/>
        <v/>
      </c>
      <c r="BE157" t="str">
        <f t="shared" si="41"/>
        <v/>
      </c>
      <c r="BF157" t="str">
        <f t="shared" si="42"/>
        <v>No</v>
      </c>
      <c r="BG157" t="str">
        <f t="shared" si="43"/>
        <v>No</v>
      </c>
      <c r="BH157" t="str">
        <f t="shared" si="44"/>
        <v/>
      </c>
    </row>
    <row r="158" spans="1:60" x14ac:dyDescent="0.3">
      <c r="A158" s="1">
        <v>0</v>
      </c>
      <c r="B158" t="s">
        <v>317</v>
      </c>
      <c r="C158" t="s">
        <v>3968</v>
      </c>
      <c r="D158" t="s">
        <v>3969</v>
      </c>
      <c r="E158" t="s">
        <v>3970</v>
      </c>
      <c r="F158" t="s">
        <v>3971</v>
      </c>
      <c r="G158" t="s">
        <v>3972</v>
      </c>
      <c r="I158" t="str">
        <f t="shared" ref="I158:I204" si="46">IF(AND(K158&gt; J158, L158&gt; K158, M158&gt; L158, N158&gt; M158), "pos_trend", IF(AND(K158&lt; J158, L158&lt; K158, M158&lt; L158, N158&lt; M158), "neg_trend", "N/A"))</f>
        <v>N/A</v>
      </c>
      <c r="J158">
        <f>IFERROR(IF(TRIM(C158)="-", "0", IF(RIGHT(C158,1)=")",IF(RIGHT(C158,2)="T)",-1000000000000*VALUE(MID(C158,2,LEN(C158)-3)),IF(RIGHT(C158,2)="M)",-1000000*VALUE(MID(C158,2,LEN(C158)-3)),IF(RIGHT(C158,2)="B)",-1000000000*VALUE(MID(C158,2,LEN(C158)-3)),IF(RIGHT(C158,2)="k)",-1000*VALUE(MID(C158,2,LEN(C158)-3)),VALUE(SUBSTITUTE(C158,",","")))))),IF(RIGHT(C158,1)="T",1000000000000*VALUE(LEFT(C158,LEN(C158)-1)),IF(RIGHT(C158,1)="M",1000000*VALUE(LEFT(C158,LEN(C158)-1)),IF(RIGHT(C158,1)="B",1000000000*VALUE(LEFT(C158,LEN(C158)-1)),IF(RIGHT(C158,1)="%",0.01*VALUE(LEFT(C158,LEN(C158)-1)),IF(RIGHT(C158,1)="k",1000*VALUE(LEFT(C158,LEN(C158)-1)),VALUE(SUBSTITUTE(C158,",",""))))))))),"N/A")</f>
        <v>819210000</v>
      </c>
      <c r="K158">
        <f>IFERROR(IF(TRIM(D158)="-", "0", IF(RIGHT(D158,1)=")",IF(RIGHT(D158,2)="T)",-1000000000000*VALUE(MID(D158,2,LEN(D158)-3)),IF(RIGHT(D158,2)="M)",-1000000*VALUE(MID(D158,2,LEN(D158)-3)),IF(RIGHT(D158,2)="B)",-1000000000*VALUE(MID(D158,2,LEN(D158)-3)),IF(RIGHT(D158,2)="k)",-1000*VALUE(MID(D158,2,LEN(D158)-3)),VALUE(SUBSTITUTE(D158,",","")))))),IF(RIGHT(D158,1)="T",1000000000000*VALUE(LEFT(D158,LEN(D158)-1)),IF(RIGHT(D158,1)="M",1000000*VALUE(LEFT(D158,LEN(D158)-1)),IF(RIGHT(D158,1)="B",1000000000*VALUE(LEFT(D158,LEN(D158)-1)),IF(RIGHT(D158,1)="%",0.01*VALUE(LEFT(D158,LEN(D158)-1)),IF(RIGHT(D158,1)="k",1000*VALUE(LEFT(D158,LEN(D158)-1)),VALUE(SUBSTITUTE(D158,",",""))))))))),"N/A")</f>
        <v>794310000</v>
      </c>
      <c r="L158">
        <f>IFERROR(IF(TRIM(E158)="-", "0", IF(RIGHT(E158,1)=")",IF(RIGHT(E158,2)="T)",-1000000000000*VALUE(MID(E158,2,LEN(E158)-3)),IF(RIGHT(E158,2)="M)",-1000000*VALUE(MID(E158,2,LEN(E158)-3)),IF(RIGHT(E158,2)="B)",-1000000000*VALUE(MID(E158,2,LEN(E158)-3)),IF(RIGHT(E158,2)="k)",-1000*VALUE(MID(E158,2,LEN(E158)-3)),VALUE(SUBSTITUTE(E158,",","")))))),IF(RIGHT(E158,1)="T",1000000000000*VALUE(LEFT(E158,LEN(E158)-1)),IF(RIGHT(E158,1)="M",1000000*VALUE(LEFT(E158,LEN(E158)-1)),IF(RIGHT(E158,1)="B",1000000000*VALUE(LEFT(E158,LEN(E158)-1)),IF(RIGHT(E158,1)="%",0.01*VALUE(LEFT(E158,LEN(E158)-1)),IF(RIGHT(E158,1)="k",1000*VALUE(LEFT(E158,LEN(E158)-1)),VALUE(SUBSTITUTE(E158,",",""))))))))),"N/A")</f>
        <v>930200000</v>
      </c>
      <c r="M158">
        <f>IFERROR(IF(TRIM(F158)="-", "0", IF(RIGHT(F158,1)=")",IF(RIGHT(F158,2)="T)",-1000000000000*VALUE(MID(F158,2,LEN(F158)-3)),IF(RIGHT(F158,2)="M)",-1000000*VALUE(MID(F158,2,LEN(F158)-3)),IF(RIGHT(F158,2)="B)",-1000000000*VALUE(MID(F158,2,LEN(F158)-3)),IF(RIGHT(F158,2)="k)",-1000*VALUE(MID(F158,2,LEN(F158)-3)),VALUE(SUBSTITUTE(F158,",","")))))),IF(RIGHT(F158,1)="T",1000000000000*VALUE(LEFT(F158,LEN(F158)-1)),IF(RIGHT(F158,1)="M",1000000*VALUE(LEFT(F158,LEN(F158)-1)),IF(RIGHT(F158,1)="B",1000000000*VALUE(LEFT(F158,LEN(F158)-1)),IF(RIGHT(F158,1)="%",0.01*VALUE(LEFT(F158,LEN(F158)-1)),IF(RIGHT(F158,1)="k",1000*VALUE(LEFT(F158,LEN(F158)-1)),VALUE(SUBSTITUTE(F158,",",""))))))))),"N/A")</f>
        <v>840460000</v>
      </c>
      <c r="N158">
        <f>IFERROR(IF(TRIM(G158)="-", "0", IF(RIGHT(G158,1)=")",IF(RIGHT(G158,2)="T)",-1000000000000*VALUE(MID(G158,2,LEN(G158)-3)),IF(RIGHT(G158,2)="M)",-1000000*VALUE(MID(G158,2,LEN(G158)-3)),IF(RIGHT(G158,2)="B)",-1000000000*VALUE(MID(G158,2,LEN(G158)-3)),IF(RIGHT(G158,2)="k)",-1000*VALUE(MID(G158,2,LEN(G158)-3)),VALUE(SUBSTITUTE(G158,",","")))))),IF(RIGHT(G158,1)="T",1000000000000*VALUE(LEFT(G158,LEN(G158)-1)),IF(RIGHT(G158,1)="M",1000000*VALUE(LEFT(G158,LEN(G158)-1)),IF(RIGHT(G158,1)="B",1000000000*VALUE(LEFT(G158,LEN(G158)-1)),IF(RIGHT(G158,1)="%",0.01*VALUE(LEFT(G158,LEN(G158)-1)),IF(RIGHT(G158,1)="k",1000*VALUE(LEFT(G158,LEN(G158)-1)),VALUE(SUBSTITUTE(G158,",",""))))))))),"N/A")</f>
        <v>771350000</v>
      </c>
      <c r="P158">
        <f t="shared" si="27"/>
        <v>930200000</v>
      </c>
      <c r="Q158">
        <f>IFERROR(J144+MATCH(P158,J158:N158,0)-1,"")</f>
        <v>2014</v>
      </c>
      <c r="R158">
        <f t="shared" si="28"/>
        <v>771350000</v>
      </c>
      <c r="S158">
        <f>IFERROR(J144+MATCH(R158,J158:N158,0)-1,"")</f>
        <v>2016</v>
      </c>
      <c r="T158">
        <f t="shared" si="29"/>
        <v>831106000</v>
      </c>
      <c r="U158">
        <f t="shared" si="30"/>
        <v>61182836.89074903</v>
      </c>
      <c r="V158">
        <f t="shared" si="31"/>
        <v>-0.19443361250544922</v>
      </c>
      <c r="W158">
        <f t="shared" si="32"/>
        <v>-0.6014104914047167</v>
      </c>
      <c r="X158">
        <f t="shared" si="33"/>
        <v>1.6196372223953417</v>
      </c>
      <c r="Y158">
        <f t="shared" si="34"/>
        <v>0.15288601306119468</v>
      </c>
      <c r="Z158">
        <f t="shared" si="35"/>
        <v>-0.97667913154637043</v>
      </c>
      <c r="AA158">
        <f t="shared" si="36"/>
        <v>1.6196372223953417</v>
      </c>
      <c r="AB158">
        <f>IFERROR(V144+MATCH(AA158,V158:Z158,0)-1,"")</f>
        <v>2014</v>
      </c>
      <c r="AC158" t="str">
        <f t="shared" si="37"/>
        <v>High</v>
      </c>
      <c r="AE158">
        <f>IF(ISNUMBER(MATCH("N/A",J158:N158,0)),"",IFERROR((5 * SUMPRODUCT(J144:N144,J158:N158) - PRODUCT(SUM(J144:N144),SUM(J158:N158))) / ((5 * SUM((J144^2)+(K144^2)+(L144^2)+(M144^2)+(N144^2))) - SUM(J144:N144)^2),""))</f>
        <v>-4957000</v>
      </c>
      <c r="AF158">
        <f>IFERROR(CORREL(J144:N144,J158:N158),"")</f>
        <v>-0.12810300370220992</v>
      </c>
      <c r="AZ158">
        <f t="shared" si="38"/>
        <v>1</v>
      </c>
      <c r="BA158" t="str">
        <f>IF(AZ158=1,IF(Q158="","",IF(Q158=N144,"Yes","No")),"")</f>
        <v>No</v>
      </c>
      <c r="BB158" t="str">
        <f t="shared" si="39"/>
        <v/>
      </c>
      <c r="BC158" t="str">
        <f>IF(AZ158=1,IF(S158="","",IF(S158=N144,"Yes","No")),"")</f>
        <v>Yes</v>
      </c>
      <c r="BD158">
        <f t="shared" si="40"/>
        <v>771350000</v>
      </c>
      <c r="BE158" t="str">
        <f t="shared" si="41"/>
        <v>Decreasing</v>
      </c>
      <c r="BF158" t="str">
        <f t="shared" si="42"/>
        <v>Yes</v>
      </c>
      <c r="BG158" t="str">
        <f t="shared" si="43"/>
        <v>No</v>
      </c>
      <c r="BH158" t="str">
        <f t="shared" si="44"/>
        <v>No</v>
      </c>
    </row>
    <row r="159" spans="1:60" x14ac:dyDescent="0.3">
      <c r="A159" s="1">
        <v>1</v>
      </c>
      <c r="B159" t="s">
        <v>321</v>
      </c>
      <c r="C159" t="s">
        <v>3973</v>
      </c>
      <c r="D159" t="s">
        <v>3974</v>
      </c>
      <c r="E159" t="s">
        <v>3975</v>
      </c>
      <c r="F159" t="s">
        <v>3976</v>
      </c>
      <c r="G159" t="s">
        <v>3977</v>
      </c>
      <c r="I159" t="str">
        <f t="shared" si="46"/>
        <v>N/A</v>
      </c>
      <c r="J159">
        <f t="shared" ref="J159:J204" si="47">IFERROR(IF(TRIM(C159)="-", "N/A", IF(RIGHT(C159,1)=")",IF(RIGHT(C159,2)="T)",-1000000000000*VALUE(MID(C159,2,LEN(C159)-3)),IF(RIGHT(C159,2)="M)",-1000000*VALUE(MID(C159,2,LEN(C159)-3)),IF(RIGHT(C159,2)="B)",-1000000000*VALUE(MID(C159,2,LEN(C159)-3)),IF(RIGHT(C159,2)="k)",-1000*VALUE(MID(C159,2,LEN(C159)-3)),VALUE(SUBSTITUTE(C159,",","")))))),IF(RIGHT(C159,1)="T",1000000000000*VALUE(LEFT(C159,LEN(C159)-1)),IF(RIGHT(C159,1)="M",1000000*VALUE(LEFT(C159,LEN(C159)-1)),IF(RIGHT(C159,1)="B",1000000000*VALUE(LEFT(C159,LEN(C159)-1)),IF(RIGHT(C159,1)="%",0.01*VALUE(LEFT(C159,LEN(C159)-1)),IF(RIGHT(C159,1)="k",1000*VALUE(LEFT(C159,LEN(C159)-1)),VALUE(SUBSTITUTE(C159,",",""))))))))),"N/A")</f>
        <v>19400000</v>
      </c>
      <c r="K159">
        <f t="shared" ref="K159:K204" si="48">IFERROR(IF(TRIM(D159)="-", "N/A", IF(RIGHT(D159,1)=")",IF(RIGHT(D159,2)="T)",-1000000000000*VALUE(MID(D159,2,LEN(D159)-3)),IF(RIGHT(D159,2)="M)",-1000000*VALUE(MID(D159,2,LEN(D159)-3)),IF(RIGHT(D159,2)="B)",-1000000000*VALUE(MID(D159,2,LEN(D159)-3)),IF(RIGHT(D159,2)="k)",-1000*VALUE(MID(D159,2,LEN(D159)-3)),VALUE(SUBSTITUTE(D159,",","")))))),IF(RIGHT(D159,1)="T",1000000000000*VALUE(LEFT(D159,LEN(D159)-1)),IF(RIGHT(D159,1)="M",1000000*VALUE(LEFT(D159,LEN(D159)-1)),IF(RIGHT(D159,1)="B",1000000000*VALUE(LEFT(D159,LEN(D159)-1)),IF(RIGHT(D159,1)="%",0.01*VALUE(LEFT(D159,LEN(D159)-1)),IF(RIGHT(D159,1)="k",1000*VALUE(LEFT(D159,LEN(D159)-1)),VALUE(SUBSTITUTE(D159,",",""))))))))),"N/A")</f>
        <v>27400000</v>
      </c>
      <c r="L159">
        <f t="shared" ref="L159:L204" si="49">IFERROR(IF(TRIM(E159)="-", "N/A", IF(RIGHT(E159,1)=")",IF(RIGHT(E159,2)="T)",-1000000000000*VALUE(MID(E159,2,LEN(E159)-3)),IF(RIGHT(E159,2)="M)",-1000000*VALUE(MID(E159,2,LEN(E159)-3)),IF(RIGHT(E159,2)="B)",-1000000000*VALUE(MID(E159,2,LEN(E159)-3)),IF(RIGHT(E159,2)="k)",-1000*VALUE(MID(E159,2,LEN(E159)-3)),VALUE(SUBSTITUTE(E159,",","")))))),IF(RIGHT(E159,1)="T",1000000000000*VALUE(LEFT(E159,LEN(E159)-1)),IF(RIGHT(E159,1)="M",1000000*VALUE(LEFT(E159,LEN(E159)-1)),IF(RIGHT(E159,1)="B",1000000000*VALUE(LEFT(E159,LEN(E159)-1)),IF(RIGHT(E159,1)="%",0.01*VALUE(LEFT(E159,LEN(E159)-1)),IF(RIGHT(E159,1)="k",1000*VALUE(LEFT(E159,LEN(E159)-1)),VALUE(SUBSTITUTE(E159,",",""))))))))),"N/A")</f>
        <v>43000000</v>
      </c>
      <c r="M159">
        <f t="shared" ref="M159:M204" si="50">IFERROR(IF(TRIM(F159)="-", "N/A", IF(RIGHT(F159,1)=")",IF(RIGHT(F159,2)="T)",-1000000000000*VALUE(MID(F159,2,LEN(F159)-3)),IF(RIGHT(F159,2)="M)",-1000000*VALUE(MID(F159,2,LEN(F159)-3)),IF(RIGHT(F159,2)="B)",-1000000000*VALUE(MID(F159,2,LEN(F159)-3)),IF(RIGHT(F159,2)="k)",-1000*VALUE(MID(F159,2,LEN(F159)-3)),VALUE(SUBSTITUTE(F159,",","")))))),IF(RIGHT(F159,1)="T",1000000000000*VALUE(LEFT(F159,LEN(F159)-1)),IF(RIGHT(F159,1)="M",1000000*VALUE(LEFT(F159,LEN(F159)-1)),IF(RIGHT(F159,1)="B",1000000000*VALUE(LEFT(F159,LEN(F159)-1)),IF(RIGHT(F159,1)="%",0.01*VALUE(LEFT(F159,LEN(F159)-1)),IF(RIGHT(F159,1)="k",1000*VALUE(LEFT(F159,LEN(F159)-1)),VALUE(SUBSTITUTE(F159,",",""))))))))),"N/A")</f>
        <v>41500000</v>
      </c>
      <c r="N159">
        <f t="shared" ref="N159:N204" si="51">IFERROR(IF(TRIM(G159)="-", "N/A", IF(RIGHT(G159,1)=")",IF(RIGHT(G159,2)="T)",-1000000000000*VALUE(MID(G159,2,LEN(G159)-3)),IF(RIGHT(G159,2)="M)",-1000000*VALUE(MID(G159,2,LEN(G159)-3)),IF(RIGHT(G159,2)="B)",-1000000000*VALUE(MID(G159,2,LEN(G159)-3)),IF(RIGHT(G159,2)="k)",-1000*VALUE(MID(G159,2,LEN(G159)-3)),VALUE(SUBSTITUTE(G159,",","")))))),IF(RIGHT(G159,1)="T",1000000000000*VALUE(LEFT(G159,LEN(G159)-1)),IF(RIGHT(G159,1)="M",1000000*VALUE(LEFT(G159,LEN(G159)-1)),IF(RIGHT(G159,1)="B",1000000000*VALUE(LEFT(G159,LEN(G159)-1)),IF(RIGHT(G159,1)="%",0.01*VALUE(LEFT(G159,LEN(G159)-1)),IF(RIGHT(G159,1)="k",1000*VALUE(LEFT(G159,LEN(G159)-1)),VALUE(SUBSTITUTE(G159,",",""))))))))),"N/A")</f>
        <v>41900000</v>
      </c>
      <c r="P159">
        <f t="shared" si="27"/>
        <v>43000000</v>
      </c>
      <c r="Q159">
        <f>IFERROR(J144+MATCH(P159,J159:N159,0)-1,"")</f>
        <v>2014</v>
      </c>
      <c r="R159">
        <f t="shared" si="28"/>
        <v>19400000</v>
      </c>
      <c r="S159">
        <f>IFERROR(J144+MATCH(R159,J159:N159,0)-1,"")</f>
        <v>2012</v>
      </c>
      <c r="T159">
        <f t="shared" si="29"/>
        <v>34640000</v>
      </c>
      <c r="U159">
        <f t="shared" si="30"/>
        <v>10657532.547452061</v>
      </c>
      <c r="V159">
        <f t="shared" si="31"/>
        <v>-1.4299745210389705</v>
      </c>
      <c r="W159">
        <f t="shared" si="32"/>
        <v>-0.6793317278426606</v>
      </c>
      <c r="X159">
        <f t="shared" si="33"/>
        <v>0.784421718890144</v>
      </c>
      <c r="Y159">
        <f t="shared" si="34"/>
        <v>0.64367619516583585</v>
      </c>
      <c r="Z159">
        <f t="shared" si="35"/>
        <v>0.68120833482565135</v>
      </c>
      <c r="AA159">
        <f t="shared" si="36"/>
        <v>-1.4299745210389705</v>
      </c>
      <c r="AB159">
        <f>IFERROR(V144+MATCH(AA159,V159:Z159,0)-1,"")</f>
        <v>2012</v>
      </c>
      <c r="AC159" t="str">
        <f t="shared" si="37"/>
        <v>Low</v>
      </c>
      <c r="AE159">
        <f>IF(ISNUMBER(MATCH("N/A",J159:N159,0)),"",IFERROR((5 * SUMPRODUCT(J144:N144,J159:N159) - PRODUCT(SUM(J144:N144),SUM(J159:N159))) / ((5 * SUM((J144^2)+(K144^2)+(L144^2)+(M144^2)+(N144^2))) - SUM(J144:N144)^2),""))</f>
        <v>5910000</v>
      </c>
      <c r="AF159">
        <f>IFERROR(CORREL(J144:N144,J159:N159),"")</f>
        <v>0.87680055812089408</v>
      </c>
      <c r="AZ159">
        <f t="shared" si="38"/>
        <v>1</v>
      </c>
      <c r="BA159" t="str">
        <f>IF(AZ159=1,IF(Q159="","",IF(Q159=N144,"Yes","No")),"")</f>
        <v>No</v>
      </c>
      <c r="BB159" t="str">
        <f t="shared" si="39"/>
        <v/>
      </c>
      <c r="BC159" t="str">
        <f>IF(AZ159=1,IF(S159="","",IF(S159=N144,"Yes","No")),"")</f>
        <v>No</v>
      </c>
      <c r="BD159" t="str">
        <f t="shared" si="40"/>
        <v/>
      </c>
      <c r="BE159" t="str">
        <f t="shared" si="41"/>
        <v>Increasing</v>
      </c>
      <c r="BF159" t="str">
        <f t="shared" si="42"/>
        <v>No</v>
      </c>
      <c r="BG159" t="str">
        <f t="shared" si="43"/>
        <v>No</v>
      </c>
      <c r="BH159" t="str">
        <f t="shared" si="44"/>
        <v>Yes</v>
      </c>
    </row>
    <row r="160" spans="1:60" x14ac:dyDescent="0.3">
      <c r="A160" s="1">
        <v>2</v>
      </c>
      <c r="B160" t="s">
        <v>322</v>
      </c>
      <c r="C160" t="s">
        <v>3978</v>
      </c>
      <c r="D160" t="s">
        <v>3979</v>
      </c>
      <c r="E160" t="s">
        <v>3980</v>
      </c>
      <c r="F160" t="s">
        <v>3981</v>
      </c>
      <c r="G160" t="s">
        <v>3982</v>
      </c>
      <c r="I160" t="str">
        <f t="shared" si="46"/>
        <v>N/A</v>
      </c>
      <c r="J160">
        <f t="shared" si="47"/>
        <v>799810000</v>
      </c>
      <c r="K160">
        <f t="shared" si="48"/>
        <v>766910000</v>
      </c>
      <c r="L160">
        <f t="shared" si="49"/>
        <v>887200000</v>
      </c>
      <c r="M160">
        <f t="shared" si="50"/>
        <v>798960000</v>
      </c>
      <c r="N160">
        <f t="shared" si="51"/>
        <v>729450000</v>
      </c>
      <c r="P160">
        <f t="shared" si="27"/>
        <v>887200000</v>
      </c>
      <c r="Q160">
        <f>IFERROR(J144+MATCH(P160,J160:N160,0)-1,"")</f>
        <v>2014</v>
      </c>
      <c r="R160">
        <f t="shared" si="28"/>
        <v>729450000</v>
      </c>
      <c r="S160">
        <f>IFERROR(J144+MATCH(R160,J160:N160,0)-1,"")</f>
        <v>2016</v>
      </c>
      <c r="T160">
        <f t="shared" si="29"/>
        <v>796466000</v>
      </c>
      <c r="U160">
        <f t="shared" si="30"/>
        <v>58341157.256262921</v>
      </c>
      <c r="V160">
        <f t="shared" si="31"/>
        <v>5.7318026540192114E-2</v>
      </c>
      <c r="W160">
        <f t="shared" si="32"/>
        <v>-0.50660633744674588</v>
      </c>
      <c r="X160">
        <f t="shared" si="33"/>
        <v>1.5552314055316363</v>
      </c>
      <c r="Y160">
        <f t="shared" si="34"/>
        <v>4.2748552090681562E-2</v>
      </c>
      <c r="Z160">
        <f t="shared" si="35"/>
        <v>-1.148691646715764</v>
      </c>
      <c r="AA160">
        <f t="shared" si="36"/>
        <v>1.5552314055316363</v>
      </c>
      <c r="AB160">
        <f>IFERROR(V144+MATCH(AA160,V160:Z160,0)-1,"")</f>
        <v>2014</v>
      </c>
      <c r="AC160" t="str">
        <f t="shared" si="37"/>
        <v>High</v>
      </c>
      <c r="AE160">
        <f>IF(ISNUMBER(MATCH("N/A",J160:N160,0)),"",IFERROR((5 * SUMPRODUCT(J144:N144,J160:N160) - PRODUCT(SUM(J144:N144),SUM(J160:N160))) / ((5 * SUM((J144^2)+(K144^2)+(L144^2)+(M144^2)+(N144^2))) - SUM(J144:N144)^2),""))</f>
        <v>-10867000</v>
      </c>
      <c r="AF160">
        <f>IFERROR(CORREL(J144:N144,J160:N160),"")</f>
        <v>-0.29451311003400393</v>
      </c>
      <c r="AZ160">
        <f t="shared" si="38"/>
        <v>1</v>
      </c>
      <c r="BA160" t="str">
        <f>IF(AZ160=1,IF(Q160="","",IF(Q160=N144,"Yes","No")),"")</f>
        <v>No</v>
      </c>
      <c r="BB160" t="str">
        <f t="shared" si="39"/>
        <v/>
      </c>
      <c r="BC160" t="str">
        <f>IF(AZ160=1,IF(S160="","",IF(S160=N144,"Yes","No")),"")</f>
        <v>Yes</v>
      </c>
      <c r="BD160">
        <f t="shared" si="40"/>
        <v>729450000</v>
      </c>
      <c r="BE160" t="str">
        <f t="shared" si="41"/>
        <v>Decreasing</v>
      </c>
      <c r="BF160" t="str">
        <f t="shared" si="42"/>
        <v>Yes</v>
      </c>
      <c r="BG160" t="str">
        <f t="shared" si="43"/>
        <v>No</v>
      </c>
      <c r="BH160" t="str">
        <f t="shared" si="44"/>
        <v>No</v>
      </c>
    </row>
    <row r="161" spans="1:60" x14ac:dyDescent="0.3">
      <c r="A161" s="1">
        <v>3</v>
      </c>
      <c r="B161" t="s">
        <v>323</v>
      </c>
      <c r="C161" t="s">
        <v>264</v>
      </c>
      <c r="D161" t="s">
        <v>3983</v>
      </c>
      <c r="E161" t="s">
        <v>3984</v>
      </c>
      <c r="F161" t="s">
        <v>3985</v>
      </c>
      <c r="G161" t="s">
        <v>3986</v>
      </c>
      <c r="I161" t="str">
        <f t="shared" si="46"/>
        <v>N/A</v>
      </c>
      <c r="J161" t="str">
        <f t="shared" si="47"/>
        <v>N/A</v>
      </c>
      <c r="K161">
        <f t="shared" si="48"/>
        <v>-3.04E-2</v>
      </c>
      <c r="L161">
        <f t="shared" si="49"/>
        <v>0.1711</v>
      </c>
      <c r="M161">
        <f t="shared" si="50"/>
        <v>-9.6500000000000002E-2</v>
      </c>
      <c r="N161">
        <f t="shared" si="51"/>
        <v>-8.2200000000000009E-2</v>
      </c>
      <c r="P161">
        <f t="shared" si="27"/>
        <v>0.1711</v>
      </c>
      <c r="Q161">
        <f>IFERROR(J144+MATCH(P161,J161:N161,0)-1,"")</f>
        <v>2014</v>
      </c>
      <c r="R161">
        <f t="shared" si="28"/>
        <v>-9.6500000000000002E-2</v>
      </c>
      <c r="S161">
        <f>IFERROR(J144+MATCH(R161,J161:N161,0)-1,"")</f>
        <v>2015</v>
      </c>
      <c r="T161">
        <f t="shared" si="29"/>
        <v>-9.500000000000005E-3</v>
      </c>
      <c r="U161">
        <f t="shared" si="30"/>
        <v>0.12370322011437966</v>
      </c>
      <c r="V161" t="str">
        <f t="shared" si="31"/>
        <v/>
      </c>
      <c r="W161">
        <f t="shared" si="32"/>
        <v>-0.16895275628779297</v>
      </c>
      <c r="X161">
        <f t="shared" si="33"/>
        <v>1.4599458270610248</v>
      </c>
      <c r="Y161">
        <f t="shared" si="34"/>
        <v>-0.70329616253770288</v>
      </c>
      <c r="Z161">
        <f t="shared" si="35"/>
        <v>-0.58769690823552878</v>
      </c>
      <c r="AA161">
        <f t="shared" si="36"/>
        <v>1.4599458270610248</v>
      </c>
      <c r="AB161">
        <f>IFERROR(V144+MATCH(AA161,V161:Z161,0)-1,"")</f>
        <v>2014</v>
      </c>
      <c r="AC161" t="str">
        <f t="shared" si="37"/>
        <v>High</v>
      </c>
      <c r="AE161" t="str">
        <f>IF(ISNUMBER(MATCH("N/A",J161:N161,0)),"",IFERROR((5 * SUMPRODUCT(J144:N144,J161:N161) - PRODUCT(SUM(J144:N144),SUM(J161:N161))) / ((5 * SUM((J144^2)+(K144^2)+(L144^2)+(M144^2)+(N144^2))) - SUM(J144:N144)^2),""))</f>
        <v/>
      </c>
      <c r="AF161">
        <f>IFERROR(CORREL(J144:N144,J161:N161),"")</f>
        <v>-0.44145225266594851</v>
      </c>
      <c r="AZ161">
        <f t="shared" si="38"/>
        <v>1</v>
      </c>
      <c r="BA161" t="str">
        <f>IF(AZ161=1,IF(Q161="","",IF(Q161=N144,"Yes","No")),"")</f>
        <v>No</v>
      </c>
      <c r="BB161" t="str">
        <f t="shared" si="39"/>
        <v/>
      </c>
      <c r="BC161" t="str">
        <f>IF(AZ161=1,IF(S161="","",IF(S161=N144,"Yes","No")),"")</f>
        <v>No</v>
      </c>
      <c r="BD161" t="str">
        <f t="shared" si="40"/>
        <v/>
      </c>
      <c r="BE161" t="str">
        <f t="shared" si="41"/>
        <v/>
      </c>
      <c r="BF161" t="str">
        <f t="shared" si="42"/>
        <v>No</v>
      </c>
      <c r="BG161" t="str">
        <f t="shared" si="43"/>
        <v>No</v>
      </c>
      <c r="BH161" t="str">
        <f t="shared" si="44"/>
        <v>No</v>
      </c>
    </row>
    <row r="162" spans="1:60" x14ac:dyDescent="0.3">
      <c r="A162" s="1">
        <v>4</v>
      </c>
      <c r="B162" t="s">
        <v>328</v>
      </c>
      <c r="C162" t="s">
        <v>264</v>
      </c>
      <c r="D162" t="s">
        <v>264</v>
      </c>
      <c r="E162" t="s">
        <v>264</v>
      </c>
      <c r="F162" t="s">
        <v>3987</v>
      </c>
      <c r="G162" t="s">
        <v>3988</v>
      </c>
      <c r="I162" t="str">
        <f t="shared" si="46"/>
        <v>N/A</v>
      </c>
      <c r="J162" t="str">
        <f t="shared" si="47"/>
        <v>N/A</v>
      </c>
      <c r="K162" t="str">
        <f t="shared" si="48"/>
        <v>N/A</v>
      </c>
      <c r="L162" t="str">
        <f t="shared" si="49"/>
        <v>N/A</v>
      </c>
      <c r="M162">
        <f t="shared" si="50"/>
        <v>21090000</v>
      </c>
      <c r="N162">
        <f t="shared" si="51"/>
        <v>19670000</v>
      </c>
      <c r="P162">
        <f t="shared" si="27"/>
        <v>21090000</v>
      </c>
      <c r="Q162">
        <f>IFERROR(J144+MATCH(P162,J162:N162,0)-1,"")</f>
        <v>2015</v>
      </c>
      <c r="R162">
        <f t="shared" si="28"/>
        <v>19670000</v>
      </c>
      <c r="S162">
        <f>IFERROR(J144+MATCH(R162,J162:N162,0)-1,"")</f>
        <v>2016</v>
      </c>
      <c r="T162">
        <f t="shared" si="29"/>
        <v>20380000</v>
      </c>
      <c r="U162">
        <f t="shared" si="30"/>
        <v>1004091.6292848975</v>
      </c>
      <c r="V162" t="str">
        <f t="shared" si="31"/>
        <v/>
      </c>
      <c r="W162" t="str">
        <f t="shared" si="32"/>
        <v/>
      </c>
      <c r="X162" t="str">
        <f t="shared" si="33"/>
        <v/>
      </c>
      <c r="Y162">
        <f t="shared" si="34"/>
        <v>0.70710678118654757</v>
      </c>
      <c r="Z162">
        <f t="shared" si="35"/>
        <v>-0.70710678118654757</v>
      </c>
      <c r="AA162">
        <f t="shared" si="36"/>
        <v>-0.70710678118654757</v>
      </c>
      <c r="AB162">
        <f>IFERROR(V144+MATCH(AA162,V162:Z162,0)-1,"")</f>
        <v>2016</v>
      </c>
      <c r="AC162" t="str">
        <f t="shared" si="37"/>
        <v>Low</v>
      </c>
      <c r="AE162" t="str">
        <f>IF(ISNUMBER(MATCH("N/A",J162:N162,0)),"",IFERROR((5 * SUMPRODUCT(J144:N144,J162:N162) - PRODUCT(SUM(J144:N144),SUM(J162:N162))) / ((5 * SUM((J144^2)+(K144^2)+(L144^2)+(M144^2)+(N144^2))) - SUM(J144:N144)^2),""))</f>
        <v/>
      </c>
      <c r="AF162">
        <f>IFERROR(CORREL(J144:N144,J162:N162),"")</f>
        <v>-1</v>
      </c>
      <c r="AZ162">
        <f t="shared" si="38"/>
        <v>1</v>
      </c>
      <c r="BA162" t="str">
        <f>IF(AZ162=1,IF(Q162="","",IF(Q162=N144,"Yes","No")),"")</f>
        <v>No</v>
      </c>
      <c r="BB162" t="str">
        <f t="shared" si="39"/>
        <v/>
      </c>
      <c r="BC162" t="str">
        <f>IF(AZ162=1,IF(S162="","",IF(S162=N144,"Yes","No")),"")</f>
        <v>Yes</v>
      </c>
      <c r="BD162">
        <f t="shared" si="40"/>
        <v>19670000</v>
      </c>
      <c r="BE162" t="str">
        <f t="shared" si="41"/>
        <v/>
      </c>
      <c r="BF162" t="str">
        <f t="shared" si="42"/>
        <v>No</v>
      </c>
      <c r="BG162" t="str">
        <f t="shared" si="43"/>
        <v>No</v>
      </c>
      <c r="BH162" t="str">
        <f t="shared" si="44"/>
        <v>Yes</v>
      </c>
    </row>
    <row r="163" spans="1:60" x14ac:dyDescent="0.3">
      <c r="A163" s="1">
        <v>5</v>
      </c>
      <c r="B163" t="s">
        <v>331</v>
      </c>
      <c r="C163" t="s">
        <v>3989</v>
      </c>
      <c r="D163" t="s">
        <v>3990</v>
      </c>
      <c r="E163" t="s">
        <v>3991</v>
      </c>
      <c r="F163" t="s">
        <v>3992</v>
      </c>
      <c r="G163" t="s">
        <v>3993</v>
      </c>
      <c r="I163" t="str">
        <f t="shared" si="46"/>
        <v>N/A</v>
      </c>
      <c r="J163">
        <f t="shared" si="47"/>
        <v>113550000</v>
      </c>
      <c r="K163">
        <f t="shared" si="48"/>
        <v>91370000</v>
      </c>
      <c r="L163">
        <f t="shared" si="49"/>
        <v>61770000</v>
      </c>
      <c r="M163">
        <f t="shared" si="50"/>
        <v>68610000</v>
      </c>
      <c r="N163">
        <f t="shared" si="51"/>
        <v>77510000</v>
      </c>
      <c r="P163">
        <f t="shared" si="27"/>
        <v>113550000</v>
      </c>
      <c r="Q163">
        <f>IFERROR(J144+MATCH(P163,J163:N163,0)-1,"")</f>
        <v>2012</v>
      </c>
      <c r="R163">
        <f t="shared" si="28"/>
        <v>61770000</v>
      </c>
      <c r="S163">
        <f>IFERROR(J144+MATCH(R163,J163:N163,0)-1,"")</f>
        <v>2014</v>
      </c>
      <c r="T163">
        <f t="shared" si="29"/>
        <v>82562000</v>
      </c>
      <c r="U163">
        <f t="shared" si="30"/>
        <v>20556782.822221965</v>
      </c>
      <c r="V163">
        <f t="shared" si="31"/>
        <v>1.5074343231617862</v>
      </c>
      <c r="W163">
        <f t="shared" si="32"/>
        <v>0.4284717154514332</v>
      </c>
      <c r="X163">
        <f t="shared" si="33"/>
        <v>-1.011442314675999</v>
      </c>
      <c r="Y163">
        <f t="shared" si="34"/>
        <v>-0.67870542393033562</v>
      </c>
      <c r="Z163">
        <f t="shared" si="35"/>
        <v>-0.24575830000688473</v>
      </c>
      <c r="AA163">
        <f t="shared" si="36"/>
        <v>1.5074343231617862</v>
      </c>
      <c r="AB163">
        <f>IFERROR(V144+MATCH(AA163,V163:Z163,0)-1,"")</f>
        <v>2012</v>
      </c>
      <c r="AC163" t="str">
        <f t="shared" si="37"/>
        <v>High</v>
      </c>
      <c r="AE163">
        <f>IF(ISNUMBER(MATCH("N/A",J163:N163,0)),"",IFERROR((5 * SUMPRODUCT(J144:N144,J163:N163) - PRODUCT(SUM(J144:N144),SUM(J163:N163))) / ((5 * SUM((J144^2)+(K144^2)+(L144^2)+(M144^2)+(N144^2))) - SUM(J144:N144)^2),""))</f>
        <v>-9484000</v>
      </c>
      <c r="AF163">
        <f>IFERROR(CORREL(J144:N144,J163:N163),"")</f>
        <v>-0.7294682633076337</v>
      </c>
      <c r="AZ163">
        <f t="shared" si="38"/>
        <v>1</v>
      </c>
      <c r="BA163" t="str">
        <f>IF(AZ163=1,IF(Q163="","",IF(Q163=N144,"Yes","No")),"")</f>
        <v>No</v>
      </c>
      <c r="BB163" t="str">
        <f t="shared" si="39"/>
        <v/>
      </c>
      <c r="BC163" t="str">
        <f>IF(AZ163=1,IF(S163="","",IF(S163=N144,"Yes","No")),"")</f>
        <v>No</v>
      </c>
      <c r="BD163" t="str">
        <f t="shared" si="40"/>
        <v/>
      </c>
      <c r="BE163" t="str">
        <f t="shared" si="41"/>
        <v>Decreasing</v>
      </c>
      <c r="BF163" t="str">
        <f t="shared" si="42"/>
        <v>No</v>
      </c>
      <c r="BG163" t="str">
        <f t="shared" si="43"/>
        <v>No</v>
      </c>
      <c r="BH163" t="str">
        <f t="shared" si="44"/>
        <v>No</v>
      </c>
    </row>
    <row r="164" spans="1:60" x14ac:dyDescent="0.3">
      <c r="A164" s="1">
        <v>6</v>
      </c>
      <c r="B164" t="s">
        <v>336</v>
      </c>
      <c r="C164" t="s">
        <v>3994</v>
      </c>
      <c r="D164" t="s">
        <v>3995</v>
      </c>
      <c r="E164" t="s">
        <v>3996</v>
      </c>
      <c r="F164" t="s">
        <v>3997</v>
      </c>
      <c r="G164" t="s">
        <v>3998</v>
      </c>
      <c r="I164" t="str">
        <f t="shared" si="46"/>
        <v>N/A</v>
      </c>
      <c r="J164">
        <f t="shared" si="47"/>
        <v>134260000</v>
      </c>
      <c r="K164">
        <f t="shared" si="48"/>
        <v>379370000</v>
      </c>
      <c r="L164">
        <f t="shared" si="49"/>
        <v>424430000</v>
      </c>
      <c r="M164">
        <f t="shared" si="50"/>
        <v>282080000</v>
      </c>
      <c r="N164">
        <f t="shared" si="51"/>
        <v>236180000</v>
      </c>
      <c r="P164">
        <f t="shared" si="27"/>
        <v>424430000</v>
      </c>
      <c r="Q164">
        <f>IFERROR(J144+MATCH(P164,J164:N164,0)-1,"")</f>
        <v>2014</v>
      </c>
      <c r="R164">
        <f t="shared" si="28"/>
        <v>134260000</v>
      </c>
      <c r="S164">
        <f>IFERROR(J144+MATCH(R164,J164:N164,0)-1,"")</f>
        <v>2012</v>
      </c>
      <c r="T164">
        <f t="shared" si="29"/>
        <v>291264000</v>
      </c>
      <c r="U164">
        <f t="shared" si="30"/>
        <v>115395731.85347888</v>
      </c>
      <c r="V164">
        <f t="shared" si="31"/>
        <v>-1.3605702522806673</v>
      </c>
      <c r="W164">
        <f t="shared" si="32"/>
        <v>0.76351177452447372</v>
      </c>
      <c r="X164">
        <f t="shared" si="33"/>
        <v>1.1539941543859222</v>
      </c>
      <c r="Y164">
        <f t="shared" si="34"/>
        <v>-7.9586999037894887E-2</v>
      </c>
      <c r="Z164">
        <f t="shared" si="35"/>
        <v>-0.47734867759183386</v>
      </c>
      <c r="AA164">
        <f t="shared" si="36"/>
        <v>-1.3605702522806673</v>
      </c>
      <c r="AB164">
        <f>IFERROR(V144+MATCH(AA164,V164:Z164,0)-1,"")</f>
        <v>2012</v>
      </c>
      <c r="AC164" t="str">
        <f t="shared" si="37"/>
        <v>Low</v>
      </c>
      <c r="AE164">
        <f>IF(ISNUMBER(MATCH("N/A",J164:N164,0)),"",IFERROR((5 * SUMPRODUCT(J144:N144,J164:N164) - PRODUCT(SUM(J144:N144),SUM(J164:N164))) / ((5 * SUM((J144^2)+(K144^2)+(L144^2)+(M144^2)+(N144^2))) - SUM(J144:N144)^2),""))</f>
        <v>10655000</v>
      </c>
      <c r="AF164">
        <f>IFERROR(CORREL(J144:N144,J164:N164),"")</f>
        <v>0.14599356461414173</v>
      </c>
      <c r="AZ164">
        <f t="shared" si="38"/>
        <v>1</v>
      </c>
      <c r="BA164" t="str">
        <f>IF(AZ164=1,IF(Q164="","",IF(Q164=N144,"Yes","No")),"")</f>
        <v>No</v>
      </c>
      <c r="BB164" t="str">
        <f t="shared" si="39"/>
        <v/>
      </c>
      <c r="BC164" t="str">
        <f>IF(AZ164=1,IF(S164="","",IF(S164=N144,"Yes","No")),"")</f>
        <v>No</v>
      </c>
      <c r="BD164" t="str">
        <f t="shared" si="40"/>
        <v/>
      </c>
      <c r="BE164" t="str">
        <f t="shared" si="41"/>
        <v>Increasing</v>
      </c>
      <c r="BF164" t="str">
        <f t="shared" si="42"/>
        <v>No</v>
      </c>
      <c r="BG164" t="str">
        <f t="shared" si="43"/>
        <v>No</v>
      </c>
      <c r="BH164" t="str">
        <f t="shared" si="44"/>
        <v>No</v>
      </c>
    </row>
    <row r="165" spans="1:60" x14ac:dyDescent="0.3">
      <c r="A165" s="1">
        <v>7</v>
      </c>
      <c r="B165" t="s">
        <v>341</v>
      </c>
      <c r="C165" t="s">
        <v>3999</v>
      </c>
      <c r="D165" t="s">
        <v>4000</v>
      </c>
      <c r="E165" t="s">
        <v>4001</v>
      </c>
      <c r="F165" t="s">
        <v>4002</v>
      </c>
      <c r="G165" t="s">
        <v>1132</v>
      </c>
      <c r="I165" t="str">
        <f t="shared" si="46"/>
        <v>N/A</v>
      </c>
      <c r="J165">
        <f t="shared" si="47"/>
        <v>4250000</v>
      </c>
      <c r="K165">
        <f t="shared" si="48"/>
        <v>-6470000</v>
      </c>
      <c r="L165">
        <f t="shared" si="49"/>
        <v>-19980000</v>
      </c>
      <c r="M165">
        <f t="shared" si="50"/>
        <v>-6040000</v>
      </c>
      <c r="N165">
        <f t="shared" si="51"/>
        <v>4240000</v>
      </c>
      <c r="P165">
        <f t="shared" si="27"/>
        <v>4250000</v>
      </c>
      <c r="Q165">
        <f>IFERROR(J144+MATCH(P165,J165:N165,0)-1,"")</f>
        <v>2012</v>
      </c>
      <c r="R165">
        <f t="shared" si="28"/>
        <v>-19980000</v>
      </c>
      <c r="S165">
        <f>IFERROR(J144+MATCH(R165,J165:N165,0)-1,"")</f>
        <v>2014</v>
      </c>
      <c r="T165">
        <f t="shared" si="29"/>
        <v>-4800000</v>
      </c>
      <c r="U165">
        <f t="shared" si="30"/>
        <v>9979767.0313489791</v>
      </c>
      <c r="V165">
        <f t="shared" si="31"/>
        <v>0.90683479599991212</v>
      </c>
      <c r="W165">
        <f t="shared" si="32"/>
        <v>-0.1673385756154534</v>
      </c>
      <c r="X165">
        <f t="shared" si="33"/>
        <v>-1.5210775915225045</v>
      </c>
      <c r="Y165">
        <f t="shared" si="34"/>
        <v>-0.12425139746297138</v>
      </c>
      <c r="Z165">
        <f t="shared" si="35"/>
        <v>0.90583276860101714</v>
      </c>
      <c r="AA165">
        <f t="shared" si="36"/>
        <v>-1.5210775915225045</v>
      </c>
      <c r="AB165">
        <f>IFERROR(V144+MATCH(AA165,V165:Z165,0)-1,"")</f>
        <v>2014</v>
      </c>
      <c r="AC165" t="str">
        <f t="shared" si="37"/>
        <v>Low</v>
      </c>
      <c r="AE165">
        <f>IF(ISNUMBER(MATCH("N/A",J165:N165,0)),"",IFERROR((5 * SUMPRODUCT(J144:N144,J165:N165) - PRODUCT(SUM(J144:N144),SUM(J165:N165))) / ((5 * SUM((J144^2)+(K144^2)+(L144^2)+(M144^2)+(N144^2))) - SUM(J144:N144)^2),""))</f>
        <v>41000</v>
      </c>
      <c r="AF165">
        <f>IFERROR(CORREL(J144:N144,J165:N165),"")</f>
        <v>6.4958121597242392E-3</v>
      </c>
      <c r="AZ165">
        <f t="shared" si="38"/>
        <v>1</v>
      </c>
      <c r="BA165" t="str">
        <f>IF(AZ165=1,IF(Q165="","",IF(Q165=N144,"Yes","No")),"")</f>
        <v>No</v>
      </c>
      <c r="BB165" t="str">
        <f t="shared" si="39"/>
        <v/>
      </c>
      <c r="BC165" t="str">
        <f>IF(AZ165=1,IF(S165="","",IF(S165=N144,"Yes","No")),"")</f>
        <v>No</v>
      </c>
      <c r="BD165" t="str">
        <f t="shared" si="40"/>
        <v/>
      </c>
      <c r="BE165" t="str">
        <f t="shared" si="41"/>
        <v>Increasing</v>
      </c>
      <c r="BF165" t="str">
        <f t="shared" si="42"/>
        <v>No</v>
      </c>
      <c r="BG165" t="str">
        <f t="shared" si="43"/>
        <v>No</v>
      </c>
      <c r="BH165" t="str">
        <f t="shared" si="44"/>
        <v>No</v>
      </c>
    </row>
    <row r="166" spans="1:60" x14ac:dyDescent="0.3">
      <c r="A166" s="1">
        <v>8</v>
      </c>
      <c r="B166" t="s">
        <v>347</v>
      </c>
      <c r="C166" t="s">
        <v>264</v>
      </c>
      <c r="D166" t="s">
        <v>264</v>
      </c>
      <c r="E166" t="s">
        <v>264</v>
      </c>
      <c r="F166" t="s">
        <v>264</v>
      </c>
      <c r="G166" t="s">
        <v>264</v>
      </c>
      <c r="I166" t="str">
        <f t="shared" si="46"/>
        <v>N/A</v>
      </c>
      <c r="J166" t="str">
        <f t="shared" si="47"/>
        <v>N/A</v>
      </c>
      <c r="K166" t="str">
        <f t="shared" si="48"/>
        <v>N/A</v>
      </c>
      <c r="L166" t="str">
        <f t="shared" si="49"/>
        <v>N/A</v>
      </c>
      <c r="M166" t="str">
        <f t="shared" si="50"/>
        <v>N/A</v>
      </c>
      <c r="N166" t="str">
        <f t="shared" si="51"/>
        <v>N/A</v>
      </c>
      <c r="P166">
        <f t="shared" si="27"/>
        <v>0</v>
      </c>
      <c r="Q166" t="str">
        <f>IFERROR(J144+MATCH(P166,J166:N166,0)-1,"")</f>
        <v/>
      </c>
      <c r="R166" t="str">
        <f t="shared" si="28"/>
        <v/>
      </c>
      <c r="S166" t="str">
        <f>IFERROR(J144+MATCH(R166,J166:N166,0)-1,"")</f>
        <v/>
      </c>
      <c r="T166" t="str">
        <f t="shared" si="29"/>
        <v/>
      </c>
      <c r="U166" t="str">
        <f t="shared" si="30"/>
        <v/>
      </c>
      <c r="V166" t="str">
        <f t="shared" si="31"/>
        <v/>
      </c>
      <c r="W166" t="str">
        <f t="shared" si="32"/>
        <v/>
      </c>
      <c r="X166" t="str">
        <f t="shared" si="33"/>
        <v/>
      </c>
      <c r="Y166" t="str">
        <f t="shared" si="34"/>
        <v/>
      </c>
      <c r="Z166" t="str">
        <f t="shared" si="35"/>
        <v/>
      </c>
      <c r="AA166">
        <f t="shared" si="36"/>
        <v>0</v>
      </c>
      <c r="AB166" t="str">
        <f>IFERROR(V144+MATCH(AA166,V166:Z166,0)-1,"")</f>
        <v/>
      </c>
      <c r="AC166" t="str">
        <f t="shared" si="37"/>
        <v/>
      </c>
      <c r="AE166" t="str">
        <f>IF(ISNUMBER(MATCH("N/A",J166:N166,0)),"",IFERROR((5 * SUMPRODUCT(J144:N144,J166:N166) - PRODUCT(SUM(J144:N144),SUM(J166:N166))) / ((5 * SUM((J144^2)+(K144^2)+(L144^2)+(M144^2)+(N144^2))) - SUM(J144:N144)^2),""))</f>
        <v/>
      </c>
      <c r="AF166" t="str">
        <f>IFERROR(CORREL(J144:N144,J166:N166),"")</f>
        <v/>
      </c>
      <c r="AZ166">
        <f t="shared" si="38"/>
        <v>0</v>
      </c>
      <c r="BA166" t="str">
        <f>IF(AZ166=1,IF(Q166="","",IF(Q166=N144,"Yes","No")),"")</f>
        <v/>
      </c>
      <c r="BB166" t="str">
        <f t="shared" si="39"/>
        <v/>
      </c>
      <c r="BC166" t="str">
        <f>IF(AZ166=1,IF(S166="","",IF(S166=N144,"Yes","No")),"")</f>
        <v/>
      </c>
      <c r="BD166" t="str">
        <f t="shared" si="40"/>
        <v/>
      </c>
      <c r="BE166" t="str">
        <f t="shared" si="41"/>
        <v/>
      </c>
      <c r="BF166" t="str">
        <f t="shared" si="42"/>
        <v>No</v>
      </c>
      <c r="BG166" t="str">
        <f t="shared" si="43"/>
        <v>No</v>
      </c>
      <c r="BH166" t="str">
        <f t="shared" si="44"/>
        <v/>
      </c>
    </row>
    <row r="167" spans="1:60" x14ac:dyDescent="0.3">
      <c r="A167" s="1">
        <v>9</v>
      </c>
      <c r="B167" t="s">
        <v>353</v>
      </c>
      <c r="C167" t="s">
        <v>264</v>
      </c>
      <c r="D167" t="s">
        <v>264</v>
      </c>
      <c r="E167" t="s">
        <v>264</v>
      </c>
      <c r="F167" t="s">
        <v>264</v>
      </c>
      <c r="G167" t="s">
        <v>264</v>
      </c>
      <c r="I167" t="str">
        <f t="shared" si="46"/>
        <v>N/A</v>
      </c>
      <c r="J167" t="str">
        <f t="shared" si="47"/>
        <v>N/A</v>
      </c>
      <c r="K167" t="str">
        <f t="shared" si="48"/>
        <v>N/A</v>
      </c>
      <c r="L167" t="str">
        <f t="shared" si="49"/>
        <v>N/A</v>
      </c>
      <c r="M167" t="str">
        <f t="shared" si="50"/>
        <v>N/A</v>
      </c>
      <c r="N167" t="str">
        <f t="shared" si="51"/>
        <v>N/A</v>
      </c>
      <c r="P167">
        <f t="shared" si="27"/>
        <v>0</v>
      </c>
      <c r="Q167" t="str">
        <f>IFERROR(J144+MATCH(P167,J167:N167,0)-1,"")</f>
        <v/>
      </c>
      <c r="R167" t="str">
        <f t="shared" si="28"/>
        <v/>
      </c>
      <c r="S167" t="str">
        <f>IFERROR(J144+MATCH(R167,J167:N167,0)-1,"")</f>
        <v/>
      </c>
      <c r="T167" t="str">
        <f t="shared" si="29"/>
        <v/>
      </c>
      <c r="U167" t="str">
        <f t="shared" si="30"/>
        <v/>
      </c>
      <c r="V167" t="str">
        <f t="shared" si="31"/>
        <v/>
      </c>
      <c r="W167" t="str">
        <f t="shared" si="32"/>
        <v/>
      </c>
      <c r="X167" t="str">
        <f t="shared" si="33"/>
        <v/>
      </c>
      <c r="Y167" t="str">
        <f t="shared" si="34"/>
        <v/>
      </c>
      <c r="Z167" t="str">
        <f t="shared" si="35"/>
        <v/>
      </c>
      <c r="AA167">
        <f t="shared" si="36"/>
        <v>0</v>
      </c>
      <c r="AB167" t="str">
        <f>IFERROR(V144+MATCH(AA167,V167:Z167,0)-1,"")</f>
        <v/>
      </c>
      <c r="AC167" t="str">
        <f t="shared" si="37"/>
        <v/>
      </c>
      <c r="AE167" t="str">
        <f>IF(ISNUMBER(MATCH("N/A",J167:N167,0)),"",IFERROR((5 * SUMPRODUCT(J144:N144,J167:N167) - PRODUCT(SUM(J144:N144),SUM(J167:N167))) / ((5 * SUM((J144^2)+(K144^2)+(L144^2)+(M144^2)+(N144^2))) - SUM(J144:N144)^2),""))</f>
        <v/>
      </c>
      <c r="AF167" t="str">
        <f>IFERROR(CORREL(J144:N144,J167:N167),"")</f>
        <v/>
      </c>
      <c r="AZ167">
        <f t="shared" si="38"/>
        <v>0</v>
      </c>
      <c r="BA167" t="str">
        <f>IF(AZ167=1,IF(Q167="","",IF(Q167=N144,"Yes","No")),"")</f>
        <v/>
      </c>
      <c r="BB167" t="str">
        <f t="shared" si="39"/>
        <v/>
      </c>
      <c r="BC167" t="str">
        <f>IF(AZ167=1,IF(S167="","",IF(S167=N144,"Yes","No")),"")</f>
        <v/>
      </c>
      <c r="BD167" t="str">
        <f t="shared" si="40"/>
        <v/>
      </c>
      <c r="BE167" t="str">
        <f t="shared" si="41"/>
        <v/>
      </c>
      <c r="BF167" t="str">
        <f t="shared" si="42"/>
        <v>No</v>
      </c>
      <c r="BG167" t="str">
        <f t="shared" si="43"/>
        <v>No</v>
      </c>
      <c r="BH167" t="str">
        <f t="shared" si="44"/>
        <v/>
      </c>
    </row>
    <row r="168" spans="1:60" x14ac:dyDescent="0.3">
      <c r="A168" s="1">
        <v>10</v>
      </c>
      <c r="B168" t="s">
        <v>354</v>
      </c>
      <c r="C168" t="s">
        <v>4003</v>
      </c>
      <c r="D168" t="s">
        <v>4004</v>
      </c>
      <c r="E168" t="s">
        <v>4005</v>
      </c>
      <c r="F168" t="s">
        <v>4006</v>
      </c>
      <c r="G168" t="s">
        <v>4007</v>
      </c>
      <c r="I168" t="str">
        <f t="shared" si="46"/>
        <v>neg_trend</v>
      </c>
      <c r="J168">
        <f t="shared" si="47"/>
        <v>90070000</v>
      </c>
      <c r="K168">
        <f t="shared" si="48"/>
        <v>70100000</v>
      </c>
      <c r="L168">
        <f t="shared" si="49"/>
        <v>46210000</v>
      </c>
      <c r="M168">
        <f t="shared" si="50"/>
        <v>39140000</v>
      </c>
      <c r="N168">
        <f t="shared" si="51"/>
        <v>32420000</v>
      </c>
      <c r="P168">
        <f t="shared" si="27"/>
        <v>90070000</v>
      </c>
      <c r="Q168">
        <f>IFERROR(J144+MATCH(P168,J168:N168,0)-1,"")</f>
        <v>2012</v>
      </c>
      <c r="R168">
        <f t="shared" si="28"/>
        <v>32420000</v>
      </c>
      <c r="S168">
        <f>IFERROR(J144+MATCH(R168,J168:N168,0)-1,"")</f>
        <v>2016</v>
      </c>
      <c r="T168">
        <f t="shared" si="29"/>
        <v>55588000</v>
      </c>
      <c r="U168">
        <f t="shared" si="30"/>
        <v>23952276.927256834</v>
      </c>
      <c r="V168">
        <f t="shared" si="31"/>
        <v>1.4396126140626204</v>
      </c>
      <c r="W168">
        <f t="shared" si="32"/>
        <v>0.60587141857423432</v>
      </c>
      <c r="X168">
        <f t="shared" si="33"/>
        <v>-0.39152853937356458</v>
      </c>
      <c r="Y168">
        <f t="shared" si="34"/>
        <v>-0.68669880738071987</v>
      </c>
      <c r="Z168">
        <f t="shared" si="35"/>
        <v>-0.9672566858825703</v>
      </c>
      <c r="AA168">
        <f t="shared" si="36"/>
        <v>1.4396126140626204</v>
      </c>
      <c r="AB168">
        <f>IFERROR(V144+MATCH(AA168,V168:Z168,0)-1,"")</f>
        <v>2012</v>
      </c>
      <c r="AC168" t="str">
        <f t="shared" si="37"/>
        <v>High</v>
      </c>
      <c r="AE168">
        <f>IF(ISNUMBER(MATCH("N/A",J168:N168,0)),"",IFERROR((5 * SUMPRODUCT(J144:N144,J168:N168) - PRODUCT(SUM(J144:N144),SUM(J168:N168))) / ((5 * SUM((J144^2)+(K144^2)+(L144^2)+(M144^2)+(N144^2))) - SUM(J144:N144)^2),""))</f>
        <v>-14626000</v>
      </c>
      <c r="AF168">
        <f>IFERROR(CORREL(J144:N144,J168:N168),"")</f>
        <v>-0.96549219930298558</v>
      </c>
      <c r="AZ168">
        <f t="shared" si="38"/>
        <v>1</v>
      </c>
      <c r="BA168" t="str">
        <f>IF(AZ168=1,IF(Q168="","",IF(Q168=N144,"Yes","No")),"")</f>
        <v>No</v>
      </c>
      <c r="BB168" t="str">
        <f t="shared" si="39"/>
        <v/>
      </c>
      <c r="BC168" t="str">
        <f>IF(AZ168=1,IF(S168="","",IF(S168=N144,"Yes","No")),"")</f>
        <v>Yes</v>
      </c>
      <c r="BD168">
        <f t="shared" si="40"/>
        <v>32420000</v>
      </c>
      <c r="BE168" t="str">
        <f t="shared" si="41"/>
        <v>Decreasing</v>
      </c>
      <c r="BF168" t="str">
        <f t="shared" si="42"/>
        <v>Yes</v>
      </c>
      <c r="BG168" t="str">
        <f t="shared" si="43"/>
        <v>No</v>
      </c>
      <c r="BH168" t="str">
        <f t="shared" si="44"/>
        <v>Yes</v>
      </c>
    </row>
    <row r="169" spans="1:60" x14ac:dyDescent="0.3">
      <c r="A169" s="1">
        <v>11</v>
      </c>
      <c r="B169" t="s">
        <v>360</v>
      </c>
      <c r="C169" t="s">
        <v>264</v>
      </c>
      <c r="D169" t="s">
        <v>4008</v>
      </c>
      <c r="E169" t="s">
        <v>4009</v>
      </c>
      <c r="F169" t="s">
        <v>4010</v>
      </c>
      <c r="G169" t="s">
        <v>4011</v>
      </c>
      <c r="I169" t="str">
        <f t="shared" si="46"/>
        <v>N/A</v>
      </c>
      <c r="J169" t="str">
        <f t="shared" si="47"/>
        <v>N/A</v>
      </c>
      <c r="K169">
        <f t="shared" si="48"/>
        <v>-0.22170000000000001</v>
      </c>
      <c r="L169">
        <f t="shared" si="49"/>
        <v>-0.34079999999999999</v>
      </c>
      <c r="M169">
        <f t="shared" si="50"/>
        <v>-0.15279999999999999</v>
      </c>
      <c r="N169">
        <f t="shared" si="51"/>
        <v>-0.17190000000000003</v>
      </c>
      <c r="P169">
        <f t="shared" si="27"/>
        <v>-0.15279999999999999</v>
      </c>
      <c r="Q169">
        <f>IFERROR(J144+MATCH(P169,J169:N169,0)-1,"")</f>
        <v>2015</v>
      </c>
      <c r="R169">
        <f t="shared" si="28"/>
        <v>-0.34079999999999999</v>
      </c>
      <c r="S169">
        <f>IFERROR(J144+MATCH(R169,J169:N169,0)-1,"")</f>
        <v>2014</v>
      </c>
      <c r="T169">
        <f t="shared" si="29"/>
        <v>-0.22180000000000002</v>
      </c>
      <c r="U169">
        <f t="shared" si="30"/>
        <v>8.4482779310342246E-2</v>
      </c>
      <c r="V169" t="str">
        <f t="shared" si="31"/>
        <v/>
      </c>
      <c r="W169">
        <f t="shared" si="32"/>
        <v>1.1836731795088434E-3</v>
      </c>
      <c r="X169">
        <f t="shared" si="33"/>
        <v>-1.4085710836152874</v>
      </c>
      <c r="Y169">
        <f t="shared" si="34"/>
        <v>0.81673449386096564</v>
      </c>
      <c r="Z169">
        <f t="shared" si="35"/>
        <v>0.590652916574814</v>
      </c>
      <c r="AA169">
        <f t="shared" si="36"/>
        <v>-1.4085710836152874</v>
      </c>
      <c r="AB169">
        <f>IFERROR(V144+MATCH(AA169,V169:Z169,0)-1,"")</f>
        <v>2014</v>
      </c>
      <c r="AC169" t="str">
        <f t="shared" si="37"/>
        <v>Low</v>
      </c>
      <c r="AE169" t="str">
        <f>IF(ISNUMBER(MATCH("N/A",J169:N169,0)),"",IFERROR((5 * SUMPRODUCT(J144:N144,J169:N169) - PRODUCT(SUM(J144:N144),SUM(J169:N169))) / ((5 * SUM((J144^2)+(K144^2)+(L144^2)+(M144^2)+(N144^2))) - SUM(J144:N144)^2),""))</f>
        <v/>
      </c>
      <c r="AF169">
        <f>IFERROR(CORREL(J144:N144,J169:N169),"")</f>
        <v>0.51558617100341686</v>
      </c>
      <c r="AZ169">
        <f t="shared" si="38"/>
        <v>1</v>
      </c>
      <c r="BA169" t="str">
        <f>IF(AZ169=1,IF(Q169="","",IF(Q169=N144,"Yes","No")),"")</f>
        <v>No</v>
      </c>
      <c r="BB169" t="str">
        <f t="shared" si="39"/>
        <v/>
      </c>
      <c r="BC169" t="str">
        <f>IF(AZ169=1,IF(S169="","",IF(S169=N144,"Yes","No")),"")</f>
        <v>No</v>
      </c>
      <c r="BD169" t="str">
        <f t="shared" si="40"/>
        <v/>
      </c>
      <c r="BE169" t="str">
        <f t="shared" si="41"/>
        <v/>
      </c>
      <c r="BF169" t="str">
        <f t="shared" si="42"/>
        <v>No</v>
      </c>
      <c r="BG169" t="str">
        <f t="shared" si="43"/>
        <v>No</v>
      </c>
      <c r="BH169" t="str">
        <f t="shared" si="44"/>
        <v>No</v>
      </c>
    </row>
    <row r="170" spans="1:60" x14ac:dyDescent="0.3">
      <c r="A170" s="1">
        <v>12</v>
      </c>
      <c r="B170" t="s">
        <v>365</v>
      </c>
      <c r="C170" t="s">
        <v>4003</v>
      </c>
      <c r="D170" t="s">
        <v>4004</v>
      </c>
      <c r="E170" t="s">
        <v>4005</v>
      </c>
      <c r="F170" t="s">
        <v>4006</v>
      </c>
      <c r="G170" t="s">
        <v>4007</v>
      </c>
      <c r="I170" t="str">
        <f t="shared" si="46"/>
        <v>neg_trend</v>
      </c>
      <c r="J170">
        <f t="shared" si="47"/>
        <v>90070000</v>
      </c>
      <c r="K170">
        <f t="shared" si="48"/>
        <v>70100000</v>
      </c>
      <c r="L170">
        <f t="shared" si="49"/>
        <v>46210000</v>
      </c>
      <c r="M170">
        <f t="shared" si="50"/>
        <v>39140000</v>
      </c>
      <c r="N170">
        <f t="shared" si="51"/>
        <v>32420000</v>
      </c>
      <c r="P170">
        <f t="shared" si="27"/>
        <v>90070000</v>
      </c>
      <c r="Q170">
        <f>IFERROR(J144+MATCH(P170,J170:N170,0)-1,"")</f>
        <v>2012</v>
      </c>
      <c r="R170">
        <f t="shared" si="28"/>
        <v>32420000</v>
      </c>
      <c r="S170">
        <f>IFERROR(J144+MATCH(R170,J170:N170,0)-1,"")</f>
        <v>2016</v>
      </c>
      <c r="T170">
        <f t="shared" si="29"/>
        <v>55588000</v>
      </c>
      <c r="U170">
        <f t="shared" si="30"/>
        <v>23952276.927256834</v>
      </c>
      <c r="V170">
        <f t="shared" si="31"/>
        <v>1.4396126140626204</v>
      </c>
      <c r="W170">
        <f t="shared" si="32"/>
        <v>0.60587141857423432</v>
      </c>
      <c r="X170">
        <f t="shared" si="33"/>
        <v>-0.39152853937356458</v>
      </c>
      <c r="Y170">
        <f t="shared" si="34"/>
        <v>-0.68669880738071987</v>
      </c>
      <c r="Z170">
        <f t="shared" si="35"/>
        <v>-0.9672566858825703</v>
      </c>
      <c r="AA170">
        <f t="shared" si="36"/>
        <v>1.4396126140626204</v>
      </c>
      <c r="AB170">
        <f>IFERROR(V144+MATCH(AA170,V170:Z170,0)-1,"")</f>
        <v>2012</v>
      </c>
      <c r="AC170" t="str">
        <f t="shared" si="37"/>
        <v>High</v>
      </c>
      <c r="AE170">
        <f>IF(ISNUMBER(MATCH("N/A",J170:N170,0)),"",IFERROR((5 * SUMPRODUCT(J144:N144,J170:N170) - PRODUCT(SUM(J144:N144),SUM(J170:N170))) / ((5 * SUM((J144^2)+(K144^2)+(L144^2)+(M144^2)+(N144^2))) - SUM(J144:N144)^2),""))</f>
        <v>-14626000</v>
      </c>
      <c r="AF170">
        <f>IFERROR(CORREL(J144:N144,J170:N170),"")</f>
        <v>-0.96549219930298558</v>
      </c>
      <c r="AZ170">
        <f t="shared" si="38"/>
        <v>1</v>
      </c>
      <c r="BA170" t="str">
        <f>IF(AZ170=1,IF(Q170="","",IF(Q170=N144,"Yes","No")),"")</f>
        <v>No</v>
      </c>
      <c r="BB170" t="str">
        <f t="shared" si="39"/>
        <v/>
      </c>
      <c r="BC170" t="str">
        <f>IF(AZ170=1,IF(S170="","",IF(S170=N144,"Yes","No")),"")</f>
        <v>Yes</v>
      </c>
      <c r="BD170">
        <f t="shared" si="40"/>
        <v>32420000</v>
      </c>
      <c r="BE170" t="str">
        <f t="shared" si="41"/>
        <v>Decreasing</v>
      </c>
      <c r="BF170" t="str">
        <f t="shared" si="42"/>
        <v>Yes</v>
      </c>
      <c r="BG170" t="str">
        <f t="shared" si="43"/>
        <v>No</v>
      </c>
      <c r="BH170" t="str">
        <f t="shared" si="44"/>
        <v>Yes</v>
      </c>
    </row>
    <row r="171" spans="1:60" x14ac:dyDescent="0.3">
      <c r="A171" s="1">
        <v>13</v>
      </c>
      <c r="B171" t="s">
        <v>366</v>
      </c>
      <c r="C171" t="s">
        <v>264</v>
      </c>
      <c r="D171" t="s">
        <v>264</v>
      </c>
      <c r="E171" t="s">
        <v>264</v>
      </c>
      <c r="F171" t="s">
        <v>264</v>
      </c>
      <c r="G171" t="s">
        <v>264</v>
      </c>
      <c r="I171" t="str">
        <f t="shared" si="46"/>
        <v>N/A</v>
      </c>
      <c r="J171" t="str">
        <f t="shared" si="47"/>
        <v>N/A</v>
      </c>
      <c r="K171" t="str">
        <f t="shared" si="48"/>
        <v>N/A</v>
      </c>
      <c r="L171" t="str">
        <f t="shared" si="49"/>
        <v>N/A</v>
      </c>
      <c r="M171" t="str">
        <f t="shared" si="50"/>
        <v>N/A</v>
      </c>
      <c r="N171" t="str">
        <f t="shared" si="51"/>
        <v>N/A</v>
      </c>
      <c r="P171">
        <f t="shared" si="27"/>
        <v>0</v>
      </c>
      <c r="Q171" t="str">
        <f>IFERROR(J144+MATCH(P171,J171:N171,0)-1,"")</f>
        <v/>
      </c>
      <c r="R171" t="str">
        <f t="shared" si="28"/>
        <v/>
      </c>
      <c r="S171" t="str">
        <f>IFERROR(J144+MATCH(R171,J171:N171,0)-1,"")</f>
        <v/>
      </c>
      <c r="T171" t="str">
        <f t="shared" si="29"/>
        <v/>
      </c>
      <c r="U171" t="str">
        <f t="shared" si="30"/>
        <v/>
      </c>
      <c r="V171" t="str">
        <f t="shared" si="31"/>
        <v/>
      </c>
      <c r="W171" t="str">
        <f t="shared" si="32"/>
        <v/>
      </c>
      <c r="X171" t="str">
        <f t="shared" si="33"/>
        <v/>
      </c>
      <c r="Y171" t="str">
        <f t="shared" si="34"/>
        <v/>
      </c>
      <c r="Z171" t="str">
        <f t="shared" si="35"/>
        <v/>
      </c>
      <c r="AA171">
        <f t="shared" si="36"/>
        <v>0</v>
      </c>
      <c r="AB171" t="str">
        <f>IFERROR(V144+MATCH(AA171,V171:Z171,0)-1,"")</f>
        <v/>
      </c>
      <c r="AC171" t="str">
        <f t="shared" si="37"/>
        <v/>
      </c>
      <c r="AE171" t="str">
        <f>IF(ISNUMBER(MATCH("N/A",J171:N171,0)),"",IFERROR((5 * SUMPRODUCT(J144:N144,J171:N171) - PRODUCT(SUM(J144:N144),SUM(J171:N171))) / ((5 * SUM((J144^2)+(K144^2)+(L144^2)+(M144^2)+(N144^2))) - SUM(J144:N144)^2),""))</f>
        <v/>
      </c>
      <c r="AF171" t="str">
        <f>IFERROR(CORREL(J144:N144,J171:N171),"")</f>
        <v/>
      </c>
      <c r="AZ171">
        <f t="shared" si="38"/>
        <v>0</v>
      </c>
      <c r="BA171" t="str">
        <f>IF(AZ171=1,IF(Q171="","",IF(Q171=N144,"Yes","No")),"")</f>
        <v/>
      </c>
      <c r="BB171" t="str">
        <f t="shared" si="39"/>
        <v/>
      </c>
      <c r="BC171" t="str">
        <f>IF(AZ171=1,IF(S171="","",IF(S171=N144,"Yes","No")),"")</f>
        <v/>
      </c>
      <c r="BD171" t="str">
        <f t="shared" si="40"/>
        <v/>
      </c>
      <c r="BE171" t="str">
        <f t="shared" si="41"/>
        <v/>
      </c>
      <c r="BF171" t="str">
        <f t="shared" si="42"/>
        <v>No</v>
      </c>
      <c r="BG171" t="str">
        <f t="shared" si="43"/>
        <v>No</v>
      </c>
      <c r="BH171" t="str">
        <f t="shared" si="44"/>
        <v/>
      </c>
    </row>
    <row r="172" spans="1:60" x14ac:dyDescent="0.3">
      <c r="A172" s="1">
        <v>14</v>
      </c>
      <c r="B172" t="s">
        <v>367</v>
      </c>
      <c r="C172" t="s">
        <v>4012</v>
      </c>
      <c r="D172" t="s">
        <v>4013</v>
      </c>
      <c r="E172" t="s">
        <v>4014</v>
      </c>
      <c r="F172" t="s">
        <v>4015</v>
      </c>
      <c r="G172" t="s">
        <v>4016</v>
      </c>
      <c r="I172" t="str">
        <f t="shared" si="46"/>
        <v>N/A</v>
      </c>
      <c r="J172">
        <f t="shared" si="47"/>
        <v>48440000</v>
      </c>
      <c r="K172">
        <f t="shared" si="48"/>
        <v>302800000</v>
      </c>
      <c r="L172">
        <f t="shared" si="49"/>
        <v>358250000</v>
      </c>
      <c r="M172">
        <f t="shared" si="50"/>
        <v>236900000</v>
      </c>
      <c r="N172">
        <f t="shared" si="51"/>
        <v>208000000</v>
      </c>
      <c r="P172">
        <f t="shared" si="27"/>
        <v>358250000</v>
      </c>
      <c r="Q172">
        <f>IFERROR(J144+MATCH(P172,J172:N172,0)-1,"")</f>
        <v>2014</v>
      </c>
      <c r="R172">
        <f t="shared" si="28"/>
        <v>48440000</v>
      </c>
      <c r="S172">
        <f>IFERROR(J144+MATCH(R172,J172:N172,0)-1,"")</f>
        <v>2012</v>
      </c>
      <c r="T172">
        <f t="shared" si="29"/>
        <v>230878000</v>
      </c>
      <c r="U172">
        <f t="shared" si="30"/>
        <v>117515628.40745907</v>
      </c>
      <c r="V172">
        <f t="shared" si="31"/>
        <v>-1.5524573409711702</v>
      </c>
      <c r="W172">
        <f t="shared" si="32"/>
        <v>0.6120207241765887</v>
      </c>
      <c r="X172">
        <f t="shared" si="33"/>
        <v>1.0838728578156955</v>
      </c>
      <c r="Y172">
        <f t="shared" si="34"/>
        <v>5.1244247949047819E-2</v>
      </c>
      <c r="Z172">
        <f t="shared" si="35"/>
        <v>-0.19468048897016207</v>
      </c>
      <c r="AA172">
        <f t="shared" si="36"/>
        <v>-1.5524573409711702</v>
      </c>
      <c r="AB172">
        <f>IFERROR(V144+MATCH(AA172,V172:Z172,0)-1,"")</f>
        <v>2012</v>
      </c>
      <c r="AC172" t="str">
        <f t="shared" si="37"/>
        <v>Low</v>
      </c>
      <c r="AE172">
        <f>IF(ISNUMBER(MATCH("N/A",J172:N172,0)),"",IFERROR((5 * SUMPRODUCT(J144:N144,J172:N172) - PRODUCT(SUM(J144:N144),SUM(J172:N172))) / ((5 * SUM((J144^2)+(K144^2)+(L144^2)+(M144^2)+(N144^2))) - SUM(J144:N144)^2),""))</f>
        <v>25322000</v>
      </c>
      <c r="AF172">
        <f>IFERROR(CORREL(J144:N144,J172:N172),"")</f>
        <v>0.34070019450153871</v>
      </c>
      <c r="AZ172">
        <f t="shared" si="38"/>
        <v>1</v>
      </c>
      <c r="BA172" t="str">
        <f>IF(AZ172=1,IF(Q172="","",IF(Q172=N144,"Yes","No")),"")</f>
        <v>No</v>
      </c>
      <c r="BB172" t="str">
        <f t="shared" si="39"/>
        <v/>
      </c>
      <c r="BC172" t="str">
        <f>IF(AZ172=1,IF(S172="","",IF(S172=N144,"Yes","No")),"")</f>
        <v>No</v>
      </c>
      <c r="BD172" t="str">
        <f t="shared" si="40"/>
        <v/>
      </c>
      <c r="BE172" t="str">
        <f t="shared" si="41"/>
        <v>Increasing</v>
      </c>
      <c r="BF172" t="str">
        <f t="shared" si="42"/>
        <v>No</v>
      </c>
      <c r="BG172" t="str">
        <f t="shared" si="43"/>
        <v>No</v>
      </c>
      <c r="BH172" t="str">
        <f t="shared" si="44"/>
        <v>No</v>
      </c>
    </row>
    <row r="173" spans="1:60" x14ac:dyDescent="0.3">
      <c r="A173" s="1">
        <v>15</v>
      </c>
      <c r="B173" t="s">
        <v>373</v>
      </c>
      <c r="C173" t="s">
        <v>264</v>
      </c>
      <c r="D173" t="s">
        <v>4017</v>
      </c>
      <c r="E173" t="s">
        <v>4018</v>
      </c>
      <c r="F173" t="s">
        <v>4019</v>
      </c>
      <c r="G173" t="s">
        <v>4020</v>
      </c>
      <c r="I173" t="str">
        <f t="shared" si="46"/>
        <v>N/A</v>
      </c>
      <c r="J173" t="str">
        <f t="shared" si="47"/>
        <v>N/A</v>
      </c>
      <c r="K173">
        <f t="shared" si="48"/>
        <v>5.2511000000000001</v>
      </c>
      <c r="L173">
        <f t="shared" si="49"/>
        <v>0.18309999999999998</v>
      </c>
      <c r="M173">
        <f t="shared" si="50"/>
        <v>-0.3387</v>
      </c>
      <c r="N173">
        <f t="shared" si="51"/>
        <v>-0.122</v>
      </c>
      <c r="P173">
        <f t="shared" si="27"/>
        <v>5.2511000000000001</v>
      </c>
      <c r="Q173">
        <f>IFERROR(J144+MATCH(P173,J173:N173,0)-1,"")</f>
        <v>2013</v>
      </c>
      <c r="R173">
        <f t="shared" si="28"/>
        <v>-0.3387</v>
      </c>
      <c r="S173">
        <f>IFERROR(J144+MATCH(R173,J173:N173,0)-1,"")</f>
        <v>2015</v>
      </c>
      <c r="T173">
        <f t="shared" si="29"/>
        <v>1.2433749999999999</v>
      </c>
      <c r="U173">
        <f t="shared" si="30"/>
        <v>2.6803764006509732</v>
      </c>
      <c r="V173" t="str">
        <f t="shared" si="31"/>
        <v/>
      </c>
      <c r="W173">
        <f t="shared" si="32"/>
        <v>1.4952097768905364</v>
      </c>
      <c r="X173">
        <f t="shared" si="33"/>
        <v>-0.39556944306124125</v>
      </c>
      <c r="Y173">
        <f t="shared" si="34"/>
        <v>-0.59024359400260618</v>
      </c>
      <c r="Z173">
        <f t="shared" si="35"/>
        <v>-0.50939673982668854</v>
      </c>
      <c r="AA173">
        <f t="shared" si="36"/>
        <v>1.4952097768905364</v>
      </c>
      <c r="AB173">
        <f>IFERROR(V144+MATCH(AA173,V173:Z173,0)-1,"")</f>
        <v>2013</v>
      </c>
      <c r="AC173" t="str">
        <f t="shared" si="37"/>
        <v>High</v>
      </c>
      <c r="AE173" t="str">
        <f>IF(ISNUMBER(MATCH("N/A",J173:N173,0)),"",IFERROR((5 * SUMPRODUCT(J144:N144,J173:N173) - PRODUCT(SUM(J144:N144),SUM(J173:N173))) / ((5 * SUM((J144^2)+(K144^2)+(L144^2)+(M144^2)+(N144^2))) - SUM(J144:N144)^2),""))</f>
        <v/>
      </c>
      <c r="AF173">
        <f>IFERROR(CORREL(J144:N144,J173:N173),"")</f>
        <v>-0.80151309031223295</v>
      </c>
      <c r="AZ173">
        <f t="shared" si="38"/>
        <v>1</v>
      </c>
      <c r="BA173" t="str">
        <f>IF(AZ173=1,IF(Q173="","",IF(Q173=N144,"Yes","No")),"")</f>
        <v>No</v>
      </c>
      <c r="BB173" t="str">
        <f t="shared" si="39"/>
        <v/>
      </c>
      <c r="BC173" t="str">
        <f>IF(AZ173=1,IF(S173="","",IF(S173=N144,"Yes","No")),"")</f>
        <v>No</v>
      </c>
      <c r="BD173" t="str">
        <f t="shared" si="40"/>
        <v/>
      </c>
      <c r="BE173" t="str">
        <f t="shared" si="41"/>
        <v/>
      </c>
      <c r="BF173" t="str">
        <f t="shared" si="42"/>
        <v>No</v>
      </c>
      <c r="BG173" t="str">
        <f t="shared" si="43"/>
        <v>No</v>
      </c>
      <c r="BH173" t="str">
        <f t="shared" si="44"/>
        <v>Yes</v>
      </c>
    </row>
    <row r="174" spans="1:60" x14ac:dyDescent="0.3">
      <c r="A174" s="1">
        <v>16</v>
      </c>
      <c r="B174" t="s">
        <v>378</v>
      </c>
      <c r="C174" t="s">
        <v>264</v>
      </c>
      <c r="D174" t="s">
        <v>264</v>
      </c>
      <c r="E174" t="s">
        <v>264</v>
      </c>
      <c r="F174" t="s">
        <v>264</v>
      </c>
      <c r="G174" t="s">
        <v>4021</v>
      </c>
      <c r="I174" t="str">
        <f t="shared" si="46"/>
        <v>N/A</v>
      </c>
      <c r="J174" t="str">
        <f t="shared" si="47"/>
        <v>N/A</v>
      </c>
      <c r="K174" t="str">
        <f t="shared" si="48"/>
        <v>N/A</v>
      </c>
      <c r="L174" t="str">
        <f t="shared" si="49"/>
        <v>N/A</v>
      </c>
      <c r="M174" t="str">
        <f t="shared" si="50"/>
        <v>N/A</v>
      </c>
      <c r="N174">
        <f t="shared" si="51"/>
        <v>5.7000000000000002E-2</v>
      </c>
      <c r="P174">
        <f t="shared" si="27"/>
        <v>5.7000000000000002E-2</v>
      </c>
      <c r="Q174">
        <f>IFERROR(J144+MATCH(P174,J174:N174,0)-1,"")</f>
        <v>2016</v>
      </c>
      <c r="R174">
        <f t="shared" si="28"/>
        <v>5.7000000000000002E-2</v>
      </c>
      <c r="S174">
        <f>IFERROR(J144+MATCH(R174,J174:N174,0)-1,"")</f>
        <v>2016</v>
      </c>
      <c r="T174">
        <f t="shared" si="29"/>
        <v>5.7000000000000002E-2</v>
      </c>
      <c r="U174" t="str">
        <f t="shared" si="30"/>
        <v/>
      </c>
      <c r="V174" t="str">
        <f t="shared" si="31"/>
        <v/>
      </c>
      <c r="W174" t="str">
        <f t="shared" si="32"/>
        <v/>
      </c>
      <c r="X174" t="str">
        <f t="shared" si="33"/>
        <v/>
      </c>
      <c r="Y174" t="str">
        <f t="shared" si="34"/>
        <v/>
      </c>
      <c r="Z174" t="str">
        <f t="shared" si="35"/>
        <v/>
      </c>
      <c r="AA174">
        <f t="shared" si="36"/>
        <v>0</v>
      </c>
      <c r="AB174" t="str">
        <f>IFERROR(V144+MATCH(AA174,V174:Z174,0)-1,"")</f>
        <v/>
      </c>
      <c r="AC174" t="str">
        <f t="shared" si="37"/>
        <v/>
      </c>
      <c r="AE174" t="str">
        <f>IF(ISNUMBER(MATCH("N/A",J174:N174,0)),"",IFERROR((5 * SUMPRODUCT(J144:N144,J174:N174) - PRODUCT(SUM(J144:N144),SUM(J174:N174))) / ((5 * SUM((J144^2)+(K144^2)+(L144^2)+(M144^2)+(N144^2))) - SUM(J144:N144)^2),""))</f>
        <v/>
      </c>
      <c r="AF174" t="str">
        <f>IFERROR(CORREL(J144:N144,J174:N174),"")</f>
        <v/>
      </c>
      <c r="AZ174">
        <f t="shared" si="38"/>
        <v>0</v>
      </c>
      <c r="BA174" t="str">
        <f>IF(AZ174=1,IF(Q174="","",IF(Q174=N144,"Yes","No")),"")</f>
        <v/>
      </c>
      <c r="BB174" t="str">
        <f t="shared" si="39"/>
        <v/>
      </c>
      <c r="BC174" t="str">
        <f>IF(AZ174=1,IF(S174="","",IF(S174=N144,"Yes","No")),"")</f>
        <v/>
      </c>
      <c r="BD174" t="str">
        <f t="shared" si="40"/>
        <v/>
      </c>
      <c r="BE174" t="str">
        <f t="shared" si="41"/>
        <v/>
      </c>
      <c r="BF174" t="str">
        <f t="shared" si="42"/>
        <v>No</v>
      </c>
      <c r="BG174" t="str">
        <f t="shared" si="43"/>
        <v>No</v>
      </c>
      <c r="BH174" t="str">
        <f t="shared" si="44"/>
        <v/>
      </c>
    </row>
    <row r="175" spans="1:60" x14ac:dyDescent="0.3">
      <c r="A175" s="1">
        <v>17</v>
      </c>
      <c r="B175" t="s">
        <v>380</v>
      </c>
      <c r="C175" t="s">
        <v>4022</v>
      </c>
      <c r="D175" t="s">
        <v>4023</v>
      </c>
      <c r="E175" t="s">
        <v>4024</v>
      </c>
      <c r="F175" t="s">
        <v>4025</v>
      </c>
      <c r="G175" t="s">
        <v>4026</v>
      </c>
      <c r="I175" t="str">
        <f t="shared" si="46"/>
        <v>N/A</v>
      </c>
      <c r="J175">
        <f t="shared" si="47"/>
        <v>90700000</v>
      </c>
      <c r="K175">
        <f t="shared" si="48"/>
        <v>93650000</v>
      </c>
      <c r="L175">
        <f t="shared" si="49"/>
        <v>-62030000</v>
      </c>
      <c r="M175">
        <f t="shared" si="50"/>
        <v>49720000</v>
      </c>
      <c r="N175">
        <f t="shared" si="51"/>
        <v>62810000</v>
      </c>
      <c r="P175">
        <f t="shared" si="27"/>
        <v>93650000</v>
      </c>
      <c r="Q175">
        <f>IFERROR(J144+MATCH(P175,J175:N175,0)-1,"")</f>
        <v>2013</v>
      </c>
      <c r="R175">
        <f t="shared" si="28"/>
        <v>-62030000</v>
      </c>
      <c r="S175">
        <f>IFERROR(J144+MATCH(R175,J175:N175,0)-1,"")</f>
        <v>2014</v>
      </c>
      <c r="T175">
        <f t="shared" si="29"/>
        <v>46970000</v>
      </c>
      <c r="U175">
        <f t="shared" si="30"/>
        <v>63700085.164778233</v>
      </c>
      <c r="V175">
        <f t="shared" si="31"/>
        <v>0.68649829724528666</v>
      </c>
      <c r="W175">
        <f t="shared" si="32"/>
        <v>0.73280906735444729</v>
      </c>
      <c r="X175">
        <f t="shared" si="33"/>
        <v>-1.7111437091181396</v>
      </c>
      <c r="Y175">
        <f t="shared" si="34"/>
        <v>4.3171056881420949E-2</v>
      </c>
      <c r="Z175">
        <f t="shared" si="35"/>
        <v>0.24866528763698467</v>
      </c>
      <c r="AA175">
        <f t="shared" si="36"/>
        <v>-1.7111437091181396</v>
      </c>
      <c r="AB175">
        <f>IFERROR(V144+MATCH(AA175,V175:Z175,0)-1,"")</f>
        <v>2014</v>
      </c>
      <c r="AC175" t="str">
        <f t="shared" si="37"/>
        <v>Low</v>
      </c>
      <c r="AE175">
        <f>IF(ISNUMBER(MATCH("N/A",J175:N175,0)),"",IFERROR((5 * SUMPRODUCT(J144:N144,J175:N175) - PRODUCT(SUM(J144:N144),SUM(J175:N175))) / ((5 * SUM((J144^2)+(K144^2)+(L144^2)+(M144^2)+(N144^2))) - SUM(J144:N144)^2),""))</f>
        <v>-9971000</v>
      </c>
      <c r="AF175">
        <f>IFERROR(CORREL(J144:N144,J175:N175),"")</f>
        <v>-0.24749629822295297</v>
      </c>
      <c r="AZ175">
        <f t="shared" si="38"/>
        <v>1</v>
      </c>
      <c r="BA175" t="str">
        <f>IF(AZ175=1,IF(Q175="","",IF(Q175=N144,"Yes","No")),"")</f>
        <v>No</v>
      </c>
      <c r="BB175" t="str">
        <f t="shared" si="39"/>
        <v/>
      </c>
      <c r="BC175" t="str">
        <f>IF(AZ175=1,IF(S175="","",IF(S175=N144,"Yes","No")),"")</f>
        <v>No</v>
      </c>
      <c r="BD175" t="str">
        <f t="shared" si="40"/>
        <v/>
      </c>
      <c r="BE175" t="str">
        <f t="shared" si="41"/>
        <v>Decreasing</v>
      </c>
      <c r="BF175" t="str">
        <f t="shared" si="42"/>
        <v>No</v>
      </c>
      <c r="BG175" t="str">
        <f t="shared" si="43"/>
        <v>No</v>
      </c>
      <c r="BH175" t="str">
        <f t="shared" si="44"/>
        <v>No</v>
      </c>
    </row>
    <row r="176" spans="1:60" x14ac:dyDescent="0.3">
      <c r="A176" s="1">
        <v>18</v>
      </c>
      <c r="B176" t="s">
        <v>386</v>
      </c>
      <c r="C176" t="s">
        <v>4027</v>
      </c>
      <c r="D176" t="s">
        <v>4028</v>
      </c>
      <c r="E176" t="s">
        <v>4029</v>
      </c>
      <c r="F176" t="s">
        <v>4030</v>
      </c>
      <c r="G176" t="s">
        <v>4031</v>
      </c>
      <c r="I176" t="str">
        <f t="shared" si="46"/>
        <v>N/A</v>
      </c>
      <c r="J176">
        <f t="shared" si="47"/>
        <v>362000</v>
      </c>
      <c r="K176">
        <f t="shared" si="48"/>
        <v>407000</v>
      </c>
      <c r="L176">
        <f t="shared" si="49"/>
        <v>2850000</v>
      </c>
      <c r="M176">
        <f t="shared" si="50"/>
        <v>1540000</v>
      </c>
      <c r="N176">
        <f t="shared" si="51"/>
        <v>133000</v>
      </c>
      <c r="P176">
        <f t="shared" si="27"/>
        <v>2850000</v>
      </c>
      <c r="Q176">
        <f>IFERROR(J144+MATCH(P176,J176:N176,0)-1,"")</f>
        <v>2014</v>
      </c>
      <c r="R176">
        <f t="shared" si="28"/>
        <v>133000</v>
      </c>
      <c r="S176">
        <f>IFERROR(J144+MATCH(R176,J176:N176,0)-1,"")</f>
        <v>2016</v>
      </c>
      <c r="T176">
        <f t="shared" si="29"/>
        <v>1058400</v>
      </c>
      <c r="U176">
        <f t="shared" si="30"/>
        <v>1140989.6143260901</v>
      </c>
      <c r="V176">
        <f t="shared" si="31"/>
        <v>-0.61034736097165887</v>
      </c>
      <c r="W176">
        <f t="shared" si="32"/>
        <v>-0.57090791346487457</v>
      </c>
      <c r="X176">
        <f t="shared" si="33"/>
        <v>1.5702158700701092</v>
      </c>
      <c r="Y176">
        <f t="shared" si="34"/>
        <v>0.42208973153927476</v>
      </c>
      <c r="Z176">
        <f t="shared" si="35"/>
        <v>-0.81105032717285064</v>
      </c>
      <c r="AA176">
        <f t="shared" si="36"/>
        <v>1.5702158700701092</v>
      </c>
      <c r="AB176">
        <f>IFERROR(V144+MATCH(AA176,V176:Z176,0)-1,"")</f>
        <v>2014</v>
      </c>
      <c r="AC176" t="str">
        <f t="shared" si="37"/>
        <v>High</v>
      </c>
      <c r="AE176">
        <f>IF(ISNUMBER(MATCH("N/A",J176:N176,0)),"",IFERROR((5 * SUMPRODUCT(J144:N144,J176:N176) - PRODUCT(SUM(J144:N144),SUM(J176:N176))) / ((5 * SUM((J144^2)+(K144^2)+(L144^2)+(M144^2)+(N144^2))) - SUM(J144:N144)^2),""))</f>
        <v>67500</v>
      </c>
      <c r="AF176">
        <f>IFERROR(CORREL(J144:N144,J176:N176),"")</f>
        <v>9.3538862835065822E-2</v>
      </c>
      <c r="AZ176">
        <f t="shared" si="38"/>
        <v>1</v>
      </c>
      <c r="BA176" t="str">
        <f>IF(AZ176=1,IF(Q176="","",IF(Q176=N144,"Yes","No")),"")</f>
        <v>No</v>
      </c>
      <c r="BB176" t="str">
        <f t="shared" si="39"/>
        <v/>
      </c>
      <c r="BC176" t="str">
        <f>IF(AZ176=1,IF(S176="","",IF(S176=N144,"Yes","No")),"")</f>
        <v>Yes</v>
      </c>
      <c r="BD176">
        <f t="shared" si="40"/>
        <v>133000</v>
      </c>
      <c r="BE176" t="str">
        <f t="shared" si="41"/>
        <v>Increasing</v>
      </c>
      <c r="BF176" t="str">
        <f t="shared" si="42"/>
        <v>No</v>
      </c>
      <c r="BG176" t="str">
        <f t="shared" si="43"/>
        <v>No</v>
      </c>
      <c r="BH176" t="str">
        <f t="shared" si="44"/>
        <v>No</v>
      </c>
    </row>
    <row r="177" spans="1:60" x14ac:dyDescent="0.3">
      <c r="A177" s="1">
        <v>19</v>
      </c>
      <c r="B177" t="s">
        <v>391</v>
      </c>
      <c r="C177" t="s">
        <v>4032</v>
      </c>
      <c r="D177" t="s">
        <v>4033</v>
      </c>
      <c r="E177" t="s">
        <v>4034</v>
      </c>
      <c r="F177" t="s">
        <v>4035</v>
      </c>
      <c r="G177" t="s">
        <v>4036</v>
      </c>
      <c r="I177" t="str">
        <f t="shared" si="46"/>
        <v>N/A</v>
      </c>
      <c r="J177">
        <f t="shared" si="47"/>
        <v>83120000</v>
      </c>
      <c r="K177">
        <f t="shared" si="48"/>
        <v>83300000</v>
      </c>
      <c r="L177">
        <f t="shared" si="49"/>
        <v>74620000</v>
      </c>
      <c r="M177">
        <f t="shared" si="50"/>
        <v>70900000</v>
      </c>
      <c r="N177">
        <f t="shared" si="51"/>
        <v>64360000</v>
      </c>
      <c r="P177">
        <f t="shared" si="27"/>
        <v>83300000</v>
      </c>
      <c r="Q177">
        <f>IFERROR(J144+MATCH(P177,J177:N177,0)-1,"")</f>
        <v>2013</v>
      </c>
      <c r="R177">
        <f t="shared" si="28"/>
        <v>64360000</v>
      </c>
      <c r="S177">
        <f>IFERROR(J144+MATCH(R177,J177:N177,0)-1,"")</f>
        <v>2016</v>
      </c>
      <c r="T177">
        <f t="shared" si="29"/>
        <v>75260000</v>
      </c>
      <c r="U177">
        <f t="shared" si="30"/>
        <v>8134039.5868227733</v>
      </c>
      <c r="V177">
        <f t="shared" si="31"/>
        <v>0.96630953367048766</v>
      </c>
      <c r="W177">
        <f t="shared" si="32"/>
        <v>0.98843875963240724</v>
      </c>
      <c r="X177">
        <f t="shared" si="33"/>
        <v>-7.8681692309047341E-2</v>
      </c>
      <c r="Y177">
        <f t="shared" si="34"/>
        <v>-0.53601902885538499</v>
      </c>
      <c r="Z177">
        <f t="shared" si="35"/>
        <v>-1.3400475721384626</v>
      </c>
      <c r="AA177">
        <f t="shared" si="36"/>
        <v>-1.3400475721384626</v>
      </c>
      <c r="AB177">
        <f>IFERROR(V144+MATCH(AA177,V177:Z177,0)-1,"")</f>
        <v>2016</v>
      </c>
      <c r="AC177" t="str">
        <f t="shared" si="37"/>
        <v>Low</v>
      </c>
      <c r="AE177">
        <f>IF(ISNUMBER(MATCH("N/A",J177:N177,0)),"",IFERROR((5 * SUMPRODUCT(J144:N144,J177:N177) - PRODUCT(SUM(J144:N144),SUM(J177:N177))) / ((5 * SUM((J144^2)+(K144^2)+(L144^2)+(M144^2)+(N144^2))) - SUM(J144:N144)^2),""))</f>
        <v>-4992000</v>
      </c>
      <c r="AF177">
        <f>IFERROR(CORREL(J144:N144,J177:N177),"")</f>
        <v>-0.9703720956272559</v>
      </c>
      <c r="AZ177">
        <f t="shared" si="38"/>
        <v>1</v>
      </c>
      <c r="BA177" t="str">
        <f>IF(AZ177=1,IF(Q177="","",IF(Q177=N144,"Yes","No")),"")</f>
        <v>No</v>
      </c>
      <c r="BB177" t="str">
        <f t="shared" si="39"/>
        <v/>
      </c>
      <c r="BC177" t="str">
        <f>IF(AZ177=1,IF(S177="","",IF(S177=N144,"Yes","No")),"")</f>
        <v>Yes</v>
      </c>
      <c r="BD177">
        <f t="shared" si="40"/>
        <v>64360000</v>
      </c>
      <c r="BE177" t="str">
        <f t="shared" si="41"/>
        <v>Decreasing</v>
      </c>
      <c r="BF177" t="str">
        <f t="shared" si="42"/>
        <v>Yes</v>
      </c>
      <c r="BG177" t="str">
        <f t="shared" si="43"/>
        <v>No</v>
      </c>
      <c r="BH177" t="str">
        <f t="shared" si="44"/>
        <v>Yes</v>
      </c>
    </row>
    <row r="178" spans="1:60" x14ac:dyDescent="0.3">
      <c r="A178" s="1">
        <v>20</v>
      </c>
      <c r="B178" t="s">
        <v>392</v>
      </c>
      <c r="C178" t="s">
        <v>4037</v>
      </c>
      <c r="D178" t="s">
        <v>4038</v>
      </c>
      <c r="E178" t="s">
        <v>4039</v>
      </c>
      <c r="F178" t="s">
        <v>4040</v>
      </c>
      <c r="G178" t="s">
        <v>4041</v>
      </c>
      <c r="I178" t="str">
        <f t="shared" si="46"/>
        <v>N/A</v>
      </c>
      <c r="J178">
        <f t="shared" si="47"/>
        <v>50340000</v>
      </c>
      <c r="K178">
        <f t="shared" si="48"/>
        <v>11600000</v>
      </c>
      <c r="L178">
        <f t="shared" si="49"/>
        <v>-127110000</v>
      </c>
      <c r="M178">
        <f t="shared" si="50"/>
        <v>-1230000</v>
      </c>
      <c r="N178">
        <f t="shared" si="51"/>
        <v>3720000</v>
      </c>
      <c r="P178">
        <f t="shared" si="27"/>
        <v>50340000</v>
      </c>
      <c r="Q178">
        <f>IFERROR(J144+MATCH(P178,J178:N178,0)-1,"")</f>
        <v>2012</v>
      </c>
      <c r="R178">
        <f t="shared" si="28"/>
        <v>-127110000</v>
      </c>
      <c r="S178">
        <f>IFERROR(J144+MATCH(R178,J178:N178,0)-1,"")</f>
        <v>2014</v>
      </c>
      <c r="T178">
        <f t="shared" si="29"/>
        <v>-12536000</v>
      </c>
      <c r="U178">
        <f t="shared" si="30"/>
        <v>67184861.613312855</v>
      </c>
      <c r="V178">
        <f t="shared" si="31"/>
        <v>0.93586558772550865</v>
      </c>
      <c r="W178">
        <f t="shared" si="32"/>
        <v>0.35924759566993569</v>
      </c>
      <c r="X178">
        <f t="shared" si="33"/>
        <v>-1.7053544094417969</v>
      </c>
      <c r="Y178">
        <f t="shared" si="34"/>
        <v>0.16828195710326041</v>
      </c>
      <c r="Z178">
        <f t="shared" si="35"/>
        <v>0.24195926894309225</v>
      </c>
      <c r="AA178">
        <f t="shared" si="36"/>
        <v>-1.7053544094417969</v>
      </c>
      <c r="AB178">
        <f>IFERROR(V144+MATCH(AA178,V178:Z178,0)-1,"")</f>
        <v>2014</v>
      </c>
      <c r="AC178" t="str">
        <f t="shared" si="37"/>
        <v>Low</v>
      </c>
      <c r="AE178">
        <f>IF(ISNUMBER(MATCH("N/A",J178:N178,0)),"",IFERROR((5 * SUMPRODUCT(J144:N144,J178:N178) - PRODUCT(SUM(J144:N144),SUM(J178:N178))) / ((5 * SUM((J144^2)+(K144^2)+(L144^2)+(M144^2)+(N144^2))) - SUM(J144:N144)^2),""))</f>
        <v>-10607000</v>
      </c>
      <c r="AF178">
        <f>IFERROR(CORREL(J144:N144,J178:N178),"")</f>
        <v>-0.2496267636484906</v>
      </c>
      <c r="AZ178">
        <f t="shared" si="38"/>
        <v>1</v>
      </c>
      <c r="BA178" t="str">
        <f>IF(AZ178=1,IF(Q178="","",IF(Q178=N144,"Yes","No")),"")</f>
        <v>No</v>
      </c>
      <c r="BB178" t="str">
        <f t="shared" si="39"/>
        <v/>
      </c>
      <c r="BC178" t="str">
        <f>IF(AZ178=1,IF(S178="","",IF(S178=N144,"Yes","No")),"")</f>
        <v>No</v>
      </c>
      <c r="BD178" t="str">
        <f t="shared" si="40"/>
        <v/>
      </c>
      <c r="BE178" t="str">
        <f t="shared" si="41"/>
        <v>Decreasing</v>
      </c>
      <c r="BF178" t="str">
        <f t="shared" si="42"/>
        <v>No</v>
      </c>
      <c r="BG178" t="str">
        <f t="shared" si="43"/>
        <v>No</v>
      </c>
      <c r="BH178" t="str">
        <f t="shared" si="44"/>
        <v>No</v>
      </c>
    </row>
    <row r="179" spans="1:60" x14ac:dyDescent="0.3">
      <c r="A179" s="1">
        <v>21</v>
      </c>
      <c r="B179" t="s">
        <v>397</v>
      </c>
      <c r="C179" t="s">
        <v>4042</v>
      </c>
      <c r="D179" t="s">
        <v>4043</v>
      </c>
      <c r="E179" t="s">
        <v>4044</v>
      </c>
      <c r="F179" t="s">
        <v>4045</v>
      </c>
      <c r="G179" t="s">
        <v>4046</v>
      </c>
      <c r="I179" t="str">
        <f t="shared" si="46"/>
        <v>N/A</v>
      </c>
      <c r="J179">
        <f t="shared" si="47"/>
        <v>-43120000</v>
      </c>
      <c r="K179">
        <f t="shared" si="48"/>
        <v>-1660000</v>
      </c>
      <c r="L179">
        <f t="shared" si="49"/>
        <v>-12370000</v>
      </c>
      <c r="M179">
        <f t="shared" si="50"/>
        <v>-21490000</v>
      </c>
      <c r="N179">
        <f t="shared" si="51"/>
        <v>-5410000</v>
      </c>
      <c r="P179">
        <f t="shared" si="27"/>
        <v>-1660000</v>
      </c>
      <c r="Q179">
        <f>IFERROR(J144+MATCH(P179,J179:N179,0)-1,"")</f>
        <v>2013</v>
      </c>
      <c r="R179">
        <f t="shared" si="28"/>
        <v>-43120000</v>
      </c>
      <c r="S179">
        <f>IFERROR(J144+MATCH(R179,J179:N179,0)-1,"")</f>
        <v>2012</v>
      </c>
      <c r="T179">
        <f t="shared" si="29"/>
        <v>-16810000</v>
      </c>
      <c r="U179">
        <f t="shared" si="30"/>
        <v>16532654.051905883</v>
      </c>
      <c r="V179">
        <f t="shared" si="31"/>
        <v>-1.5913960285745521</v>
      </c>
      <c r="W179">
        <f t="shared" si="32"/>
        <v>0.9163682946751982</v>
      </c>
      <c r="X179">
        <f t="shared" si="33"/>
        <v>0.26855942101372143</v>
      </c>
      <c r="Y179">
        <f t="shared" si="34"/>
        <v>-0.2830761464739226</v>
      </c>
      <c r="Z179">
        <f t="shared" si="35"/>
        <v>0.68954445935955511</v>
      </c>
      <c r="AA179">
        <f t="shared" si="36"/>
        <v>-1.5913960285745521</v>
      </c>
      <c r="AB179">
        <f>IFERROR(V144+MATCH(AA179,V179:Z179,0)-1,"")</f>
        <v>2012</v>
      </c>
      <c r="AC179" t="str">
        <f t="shared" si="37"/>
        <v>Low</v>
      </c>
      <c r="AE179">
        <f>IF(ISNUMBER(MATCH("N/A",J179:N179,0)),"",IFERROR((5 * SUMPRODUCT(J144:N144,J179:N179) - PRODUCT(SUM(J144:N144),SUM(J179:N179))) / ((5 * SUM((J144^2)+(K144^2)+(L144^2)+(M144^2)+(N144^2))) - SUM(J144:N144)^2),""))</f>
        <v>5559000</v>
      </c>
      <c r="AF179">
        <f>IFERROR(CORREL(J144:N144,J179:N179),"")</f>
        <v>0.53164789687380842</v>
      </c>
      <c r="AZ179">
        <f t="shared" si="38"/>
        <v>1</v>
      </c>
      <c r="BA179" t="str">
        <f>IF(AZ179=1,IF(Q179="","",IF(Q179=N144,"Yes","No")),"")</f>
        <v>No</v>
      </c>
      <c r="BB179" t="str">
        <f t="shared" si="39"/>
        <v/>
      </c>
      <c r="BC179" t="str">
        <f>IF(AZ179=1,IF(S179="","",IF(S179=N144,"Yes","No")),"")</f>
        <v>No</v>
      </c>
      <c r="BD179" t="str">
        <f t="shared" si="40"/>
        <v/>
      </c>
      <c r="BE179" t="str">
        <f t="shared" si="41"/>
        <v>Increasing</v>
      </c>
      <c r="BF179" t="str">
        <f t="shared" si="42"/>
        <v>No</v>
      </c>
      <c r="BG179" t="str">
        <f t="shared" si="43"/>
        <v>No</v>
      </c>
      <c r="BH179" t="str">
        <f t="shared" si="44"/>
        <v>No</v>
      </c>
    </row>
    <row r="180" spans="1:60" x14ac:dyDescent="0.3">
      <c r="A180" s="1">
        <v>22</v>
      </c>
      <c r="B180" t="s">
        <v>398</v>
      </c>
      <c r="C180" t="s">
        <v>264</v>
      </c>
      <c r="D180" t="s">
        <v>264</v>
      </c>
      <c r="E180" t="s">
        <v>264</v>
      </c>
      <c r="F180" t="s">
        <v>264</v>
      </c>
      <c r="G180" t="s">
        <v>264</v>
      </c>
      <c r="I180" t="str">
        <f t="shared" si="46"/>
        <v>N/A</v>
      </c>
      <c r="J180" t="str">
        <f t="shared" si="47"/>
        <v>N/A</v>
      </c>
      <c r="K180" t="str">
        <f t="shared" si="48"/>
        <v>N/A</v>
      </c>
      <c r="L180" t="str">
        <f t="shared" si="49"/>
        <v>N/A</v>
      </c>
      <c r="M180" t="str">
        <f t="shared" si="50"/>
        <v>N/A</v>
      </c>
      <c r="N180" t="str">
        <f t="shared" si="51"/>
        <v>N/A</v>
      </c>
      <c r="P180">
        <f t="shared" si="27"/>
        <v>0</v>
      </c>
      <c r="Q180" t="str">
        <f>IFERROR(J144+MATCH(P180,J180:N180,0)-1,"")</f>
        <v/>
      </c>
      <c r="R180" t="str">
        <f t="shared" si="28"/>
        <v/>
      </c>
      <c r="S180" t="str">
        <f>IFERROR(J144+MATCH(R180,J180:N180,0)-1,"")</f>
        <v/>
      </c>
      <c r="T180" t="str">
        <f t="shared" si="29"/>
        <v/>
      </c>
      <c r="U180" t="str">
        <f t="shared" si="30"/>
        <v/>
      </c>
      <c r="V180" t="str">
        <f t="shared" si="31"/>
        <v/>
      </c>
      <c r="W180" t="str">
        <f t="shared" si="32"/>
        <v/>
      </c>
      <c r="X180" t="str">
        <f t="shared" si="33"/>
        <v/>
      </c>
      <c r="Y180" t="str">
        <f t="shared" si="34"/>
        <v/>
      </c>
      <c r="Z180" t="str">
        <f t="shared" si="35"/>
        <v/>
      </c>
      <c r="AA180">
        <f t="shared" si="36"/>
        <v>0</v>
      </c>
      <c r="AB180" t="str">
        <f>IFERROR(V144+MATCH(AA180,V180:Z180,0)-1,"")</f>
        <v/>
      </c>
      <c r="AC180" t="str">
        <f t="shared" si="37"/>
        <v/>
      </c>
      <c r="AE180" t="str">
        <f>IF(ISNUMBER(MATCH("N/A",J180:N180,0)),"",IFERROR((5 * SUMPRODUCT(J144:N144,J180:N180) - PRODUCT(SUM(J144:N144),SUM(J180:N180))) / ((5 * SUM((J144^2)+(K144^2)+(L144^2)+(M144^2)+(N144^2))) - SUM(J144:N144)^2),""))</f>
        <v/>
      </c>
      <c r="AF180" t="str">
        <f>IFERROR(CORREL(J144:N144,J180:N180),"")</f>
        <v/>
      </c>
      <c r="AZ180">
        <f t="shared" si="38"/>
        <v>0</v>
      </c>
      <c r="BA180" t="str">
        <f>IF(AZ180=1,IF(Q180="","",IF(Q180=N144,"Yes","No")),"")</f>
        <v/>
      </c>
      <c r="BB180" t="str">
        <f t="shared" si="39"/>
        <v/>
      </c>
      <c r="BC180" t="str">
        <f>IF(AZ180=1,IF(S180="","",IF(S180=N144,"Yes","No")),"")</f>
        <v/>
      </c>
      <c r="BD180" t="str">
        <f t="shared" si="40"/>
        <v/>
      </c>
      <c r="BE180" t="str">
        <f t="shared" si="41"/>
        <v/>
      </c>
      <c r="BF180" t="str">
        <f t="shared" si="42"/>
        <v>No</v>
      </c>
      <c r="BG180" t="str">
        <f t="shared" si="43"/>
        <v>No</v>
      </c>
      <c r="BH180" t="str">
        <f t="shared" si="44"/>
        <v/>
      </c>
    </row>
    <row r="181" spans="1:60" x14ac:dyDescent="0.3">
      <c r="A181" s="1">
        <v>23</v>
      </c>
      <c r="B181" t="s">
        <v>399</v>
      </c>
      <c r="C181" t="s">
        <v>264</v>
      </c>
      <c r="D181" t="s">
        <v>264</v>
      </c>
      <c r="E181" t="s">
        <v>264</v>
      </c>
      <c r="F181" t="s">
        <v>264</v>
      </c>
      <c r="G181" t="s">
        <v>264</v>
      </c>
      <c r="I181" t="str">
        <f t="shared" si="46"/>
        <v>N/A</v>
      </c>
      <c r="J181" t="str">
        <f t="shared" si="47"/>
        <v>N/A</v>
      </c>
      <c r="K181" t="str">
        <f t="shared" si="48"/>
        <v>N/A</v>
      </c>
      <c r="L181" t="str">
        <f t="shared" si="49"/>
        <v>N/A</v>
      </c>
      <c r="M181" t="str">
        <f t="shared" si="50"/>
        <v>N/A</v>
      </c>
      <c r="N181" t="str">
        <f t="shared" si="51"/>
        <v>N/A</v>
      </c>
      <c r="P181">
        <f t="shared" si="27"/>
        <v>0</v>
      </c>
      <c r="Q181" t="str">
        <f>IFERROR(J144+MATCH(P181,J181:N181,0)-1,"")</f>
        <v/>
      </c>
      <c r="R181" t="str">
        <f t="shared" si="28"/>
        <v/>
      </c>
      <c r="S181" t="str">
        <f>IFERROR(J144+MATCH(R181,J181:N181,0)-1,"")</f>
        <v/>
      </c>
      <c r="T181" t="str">
        <f t="shared" si="29"/>
        <v/>
      </c>
      <c r="U181" t="str">
        <f t="shared" si="30"/>
        <v/>
      </c>
      <c r="V181" t="str">
        <f t="shared" si="31"/>
        <v/>
      </c>
      <c r="W181" t="str">
        <f t="shared" si="32"/>
        <v/>
      </c>
      <c r="X181" t="str">
        <f t="shared" si="33"/>
        <v/>
      </c>
      <c r="Y181" t="str">
        <f t="shared" si="34"/>
        <v/>
      </c>
      <c r="Z181" t="str">
        <f t="shared" si="35"/>
        <v/>
      </c>
      <c r="AA181">
        <f t="shared" si="36"/>
        <v>0</v>
      </c>
      <c r="AB181" t="str">
        <f>IFERROR(V144+MATCH(AA181,V181:Z181,0)-1,"")</f>
        <v/>
      </c>
      <c r="AC181" t="str">
        <f t="shared" si="37"/>
        <v/>
      </c>
      <c r="AE181" t="str">
        <f>IF(ISNUMBER(MATCH("N/A",J181:N181,0)),"",IFERROR((5 * SUMPRODUCT(J144:N144,J181:N181) - PRODUCT(SUM(J144:N144),SUM(J181:N181))) / ((5 * SUM((J144^2)+(K144^2)+(L144^2)+(M144^2)+(N144^2))) - SUM(J144:N144)^2),""))</f>
        <v/>
      </c>
      <c r="AF181" t="str">
        <f>IFERROR(CORREL(J144:N144,J181:N181),"")</f>
        <v/>
      </c>
      <c r="AZ181">
        <f t="shared" si="38"/>
        <v>0</v>
      </c>
      <c r="BA181" t="str">
        <f>IF(AZ181=1,IF(Q181="","",IF(Q181=N144,"Yes","No")),"")</f>
        <v/>
      </c>
      <c r="BB181" t="str">
        <f t="shared" si="39"/>
        <v/>
      </c>
      <c r="BC181" t="str">
        <f>IF(AZ181=1,IF(S181="","",IF(S181=N144,"Yes","No")),"")</f>
        <v/>
      </c>
      <c r="BD181" t="str">
        <f t="shared" si="40"/>
        <v/>
      </c>
      <c r="BE181" t="str">
        <f t="shared" si="41"/>
        <v/>
      </c>
      <c r="BF181" t="str">
        <f t="shared" si="42"/>
        <v>No</v>
      </c>
      <c r="BG181" t="str">
        <f t="shared" si="43"/>
        <v>No</v>
      </c>
      <c r="BH181" t="str">
        <f t="shared" si="44"/>
        <v/>
      </c>
    </row>
    <row r="182" spans="1:60" x14ac:dyDescent="0.3">
      <c r="A182" s="1">
        <v>24</v>
      </c>
      <c r="B182" t="s">
        <v>400</v>
      </c>
      <c r="C182" t="s">
        <v>264</v>
      </c>
      <c r="D182" t="s">
        <v>4047</v>
      </c>
      <c r="E182" t="s">
        <v>264</v>
      </c>
      <c r="F182" t="s">
        <v>264</v>
      </c>
      <c r="G182" t="s">
        <v>264</v>
      </c>
      <c r="I182" t="str">
        <f t="shared" si="46"/>
        <v>N/A</v>
      </c>
      <c r="J182" t="str">
        <f t="shared" si="47"/>
        <v>N/A</v>
      </c>
      <c r="K182">
        <f t="shared" si="48"/>
        <v>-3740000</v>
      </c>
      <c r="L182" t="str">
        <f t="shared" si="49"/>
        <v>N/A</v>
      </c>
      <c r="M182" t="str">
        <f t="shared" si="50"/>
        <v>N/A</v>
      </c>
      <c r="N182" t="str">
        <f t="shared" si="51"/>
        <v>N/A</v>
      </c>
      <c r="P182">
        <f t="shared" si="27"/>
        <v>-3740000</v>
      </c>
      <c r="Q182">
        <f>IFERROR(J144+MATCH(P182,J182:N182,0)-1,"")</f>
        <v>2013</v>
      </c>
      <c r="R182">
        <f t="shared" si="28"/>
        <v>-3740000</v>
      </c>
      <c r="S182">
        <f>IFERROR(J144+MATCH(R182,J182:N182,0)-1,"")</f>
        <v>2013</v>
      </c>
      <c r="T182">
        <f t="shared" si="29"/>
        <v>-3740000</v>
      </c>
      <c r="U182" t="str">
        <f t="shared" si="30"/>
        <v/>
      </c>
      <c r="V182" t="str">
        <f t="shared" si="31"/>
        <v/>
      </c>
      <c r="W182" t="str">
        <f t="shared" si="32"/>
        <v/>
      </c>
      <c r="X182" t="str">
        <f t="shared" si="33"/>
        <v/>
      </c>
      <c r="Y182" t="str">
        <f t="shared" si="34"/>
        <v/>
      </c>
      <c r="Z182" t="str">
        <f t="shared" si="35"/>
        <v/>
      </c>
      <c r="AA182">
        <f t="shared" si="36"/>
        <v>0</v>
      </c>
      <c r="AB182" t="str">
        <f>IFERROR(V144+MATCH(AA182,V182:Z182,0)-1,"")</f>
        <v/>
      </c>
      <c r="AC182" t="str">
        <f t="shared" si="37"/>
        <v/>
      </c>
      <c r="AE182" t="str">
        <f>IF(ISNUMBER(MATCH("N/A",J182:N182,0)),"",IFERROR((5 * SUMPRODUCT(J144:N144,J182:N182) - PRODUCT(SUM(J144:N144),SUM(J182:N182))) / ((5 * SUM((J144^2)+(K144^2)+(L144^2)+(M144^2)+(N144^2))) - SUM(J144:N144)^2),""))</f>
        <v/>
      </c>
      <c r="AF182" t="str">
        <f>IFERROR(CORREL(J144:N144,J182:N182),"")</f>
        <v/>
      </c>
      <c r="AZ182">
        <f t="shared" si="38"/>
        <v>0</v>
      </c>
      <c r="BA182" t="str">
        <f>IF(AZ182=1,IF(Q182="","",IF(Q182=N144,"Yes","No")),"")</f>
        <v/>
      </c>
      <c r="BB182" t="str">
        <f t="shared" si="39"/>
        <v/>
      </c>
      <c r="BC182" t="str">
        <f>IF(AZ182=1,IF(S182="","",IF(S182=N144,"Yes","No")),"")</f>
        <v/>
      </c>
      <c r="BD182" t="str">
        <f t="shared" si="40"/>
        <v/>
      </c>
      <c r="BE182" t="str">
        <f t="shared" si="41"/>
        <v/>
      </c>
      <c r="BF182" t="str">
        <f t="shared" si="42"/>
        <v>No</v>
      </c>
      <c r="BG182" t="str">
        <f t="shared" si="43"/>
        <v>No</v>
      </c>
      <c r="BH182" t="str">
        <f t="shared" si="44"/>
        <v/>
      </c>
    </row>
    <row r="183" spans="1:60" x14ac:dyDescent="0.3">
      <c r="A183" s="1">
        <v>25</v>
      </c>
      <c r="B183" t="s">
        <v>401</v>
      </c>
      <c r="C183" t="s">
        <v>4048</v>
      </c>
      <c r="D183" t="s">
        <v>4049</v>
      </c>
      <c r="E183" t="s">
        <v>4050</v>
      </c>
      <c r="F183" t="s">
        <v>4051</v>
      </c>
      <c r="G183" t="s">
        <v>4052</v>
      </c>
      <c r="I183" t="str">
        <f t="shared" si="46"/>
        <v>N/A</v>
      </c>
      <c r="J183">
        <f t="shared" si="47"/>
        <v>-42260000</v>
      </c>
      <c r="K183">
        <f t="shared" si="48"/>
        <v>205400000</v>
      </c>
      <c r="L183">
        <f t="shared" si="49"/>
        <v>420270000</v>
      </c>
      <c r="M183">
        <f t="shared" si="50"/>
        <v>187180000</v>
      </c>
      <c r="N183">
        <f t="shared" si="51"/>
        <v>145190000</v>
      </c>
      <c r="P183">
        <f t="shared" si="27"/>
        <v>420270000</v>
      </c>
      <c r="Q183">
        <f>IFERROR(J144+MATCH(P183,J183:N183,0)-1,"")</f>
        <v>2014</v>
      </c>
      <c r="R183">
        <f t="shared" si="28"/>
        <v>-42260000</v>
      </c>
      <c r="S183">
        <f>IFERROR(J144+MATCH(R183,J183:N183,0)-1,"")</f>
        <v>2012</v>
      </c>
      <c r="T183">
        <f t="shared" si="29"/>
        <v>183156000</v>
      </c>
      <c r="U183">
        <f t="shared" si="30"/>
        <v>165066522.43868229</v>
      </c>
      <c r="V183">
        <f t="shared" si="31"/>
        <v>-1.3656070090392551</v>
      </c>
      <c r="W183">
        <f t="shared" si="32"/>
        <v>0.13475779141262906</v>
      </c>
      <c r="X183">
        <f t="shared" si="33"/>
        <v>1.4364754069867884</v>
      </c>
      <c r="Y183">
        <f t="shared" si="34"/>
        <v>2.4378050379626835E-2</v>
      </c>
      <c r="Z183">
        <f t="shared" si="35"/>
        <v>-0.23000423973978937</v>
      </c>
      <c r="AA183">
        <f t="shared" si="36"/>
        <v>1.4364754069867884</v>
      </c>
      <c r="AB183">
        <f>IFERROR(V144+MATCH(AA183,V183:Z183,0)-1,"")</f>
        <v>2014</v>
      </c>
      <c r="AC183" t="str">
        <f t="shared" si="37"/>
        <v>High</v>
      </c>
      <c r="AE183">
        <f>IF(ISNUMBER(MATCH("N/A",J183:N183,0)),"",IFERROR((5 * SUMPRODUCT(J144:N144,J183:N183) - PRODUCT(SUM(J144:N144),SUM(J183:N183))) / ((5 * SUM((J144^2)+(K144^2)+(L144^2)+(M144^2)+(N144^2))) - SUM(J144:N144)^2),""))</f>
        <v>35668000</v>
      </c>
      <c r="AF183">
        <f>IFERROR(CORREL(J144:N144,J183:N183),"")</f>
        <v>0.34165655735791289</v>
      </c>
      <c r="AZ183">
        <f t="shared" si="38"/>
        <v>1</v>
      </c>
      <c r="BA183" t="str">
        <f>IF(AZ183=1,IF(Q183="","",IF(Q183=N144,"Yes","No")),"")</f>
        <v>No</v>
      </c>
      <c r="BB183" t="str">
        <f t="shared" si="39"/>
        <v/>
      </c>
      <c r="BC183" t="str">
        <f>IF(AZ183=1,IF(S183="","",IF(S183=N144,"Yes","No")),"")</f>
        <v>No</v>
      </c>
      <c r="BD183" t="str">
        <f t="shared" si="40"/>
        <v/>
      </c>
      <c r="BE183" t="str">
        <f t="shared" si="41"/>
        <v>Increasing</v>
      </c>
      <c r="BF183" t="str">
        <f t="shared" si="42"/>
        <v>No</v>
      </c>
      <c r="BG183" t="str">
        <f t="shared" si="43"/>
        <v>No</v>
      </c>
      <c r="BH183" t="str">
        <f t="shared" si="44"/>
        <v>No</v>
      </c>
    </row>
    <row r="184" spans="1:60" x14ac:dyDescent="0.3">
      <c r="A184" s="1">
        <v>26</v>
      </c>
      <c r="B184" t="s">
        <v>407</v>
      </c>
      <c r="C184" t="s">
        <v>4053</v>
      </c>
      <c r="D184" t="s">
        <v>4054</v>
      </c>
      <c r="E184" t="s">
        <v>4055</v>
      </c>
      <c r="F184" t="s">
        <v>4056</v>
      </c>
      <c r="G184" t="s">
        <v>4057</v>
      </c>
      <c r="I184" t="str">
        <f t="shared" si="46"/>
        <v>N/A</v>
      </c>
      <c r="J184">
        <f t="shared" si="47"/>
        <v>22140000</v>
      </c>
      <c r="K184">
        <f t="shared" si="48"/>
        <v>30520000</v>
      </c>
      <c r="L184">
        <f t="shared" si="49"/>
        <v>28180000</v>
      </c>
      <c r="M184">
        <f t="shared" si="50"/>
        <v>19440000</v>
      </c>
      <c r="N184">
        <f t="shared" si="51"/>
        <v>17080000</v>
      </c>
      <c r="P184">
        <f t="shared" si="27"/>
        <v>30520000</v>
      </c>
      <c r="Q184">
        <f>IFERROR(J144+MATCH(P184,J184:N184,0)-1,"")</f>
        <v>2013</v>
      </c>
      <c r="R184">
        <f t="shared" si="28"/>
        <v>17080000</v>
      </c>
      <c r="S184">
        <f>IFERROR(J144+MATCH(R184,J184:N184,0)-1,"")</f>
        <v>2016</v>
      </c>
      <c r="T184">
        <f t="shared" si="29"/>
        <v>23472000</v>
      </c>
      <c r="U184">
        <f t="shared" si="30"/>
        <v>5716827.791704067</v>
      </c>
      <c r="V184">
        <f t="shared" si="31"/>
        <v>-0.23299634841772252</v>
      </c>
      <c r="W184">
        <f t="shared" si="32"/>
        <v>1.2328515492853667</v>
      </c>
      <c r="X184">
        <f t="shared" si="33"/>
        <v>0.82353363990288109</v>
      </c>
      <c r="Y184">
        <f t="shared" si="34"/>
        <v>-0.70528624385905192</v>
      </c>
      <c r="Z184">
        <f t="shared" si="35"/>
        <v>-1.1181025969114733</v>
      </c>
      <c r="AA184">
        <f t="shared" si="36"/>
        <v>1.2328515492853667</v>
      </c>
      <c r="AB184">
        <f>IFERROR(V144+MATCH(AA184,V184:Z184,0)-1,"")</f>
        <v>2013</v>
      </c>
      <c r="AC184" t="str">
        <f t="shared" si="37"/>
        <v>High</v>
      </c>
      <c r="AE184">
        <f>IF(ISNUMBER(MATCH("N/A",J184:N184,0)),"",IFERROR((5 * SUMPRODUCT(J144:N144,J184:N184) - PRODUCT(SUM(J144:N144),SUM(J184:N184))) / ((5 * SUM((J144^2)+(K144^2)+(L144^2)+(M144^2)+(N144^2))) - SUM(J144:N144)^2),""))</f>
        <v>-2120000</v>
      </c>
      <c r="AF184">
        <f>IFERROR(CORREL(J144:N144,J184:N184),"")</f>
        <v>-0.5863416639281549</v>
      </c>
      <c r="AZ184">
        <f t="shared" si="38"/>
        <v>1</v>
      </c>
      <c r="BA184" t="str">
        <f>IF(AZ184=1,IF(Q184="","",IF(Q184=N144,"Yes","No")),"")</f>
        <v>No</v>
      </c>
      <c r="BB184" t="str">
        <f t="shared" si="39"/>
        <v/>
      </c>
      <c r="BC184" t="str">
        <f>IF(AZ184=1,IF(S184="","",IF(S184=N144,"Yes","No")),"")</f>
        <v>Yes</v>
      </c>
      <c r="BD184">
        <f t="shared" si="40"/>
        <v>17080000</v>
      </c>
      <c r="BE184" t="str">
        <f t="shared" si="41"/>
        <v>Decreasing</v>
      </c>
      <c r="BF184" t="str">
        <f t="shared" si="42"/>
        <v>Yes</v>
      </c>
      <c r="BG184" t="str">
        <f t="shared" si="43"/>
        <v>No</v>
      </c>
      <c r="BH184" t="str">
        <f t="shared" si="44"/>
        <v>No</v>
      </c>
    </row>
    <row r="185" spans="1:60" x14ac:dyDescent="0.3">
      <c r="A185" s="1">
        <v>27</v>
      </c>
      <c r="B185" t="s">
        <v>408</v>
      </c>
      <c r="C185" t="s">
        <v>4058</v>
      </c>
      <c r="D185" t="s">
        <v>4059</v>
      </c>
      <c r="E185" t="s">
        <v>4060</v>
      </c>
      <c r="F185" t="s">
        <v>4061</v>
      </c>
      <c r="G185" t="s">
        <v>4062</v>
      </c>
      <c r="I185" t="str">
        <f t="shared" si="46"/>
        <v>N/A</v>
      </c>
      <c r="J185">
        <f t="shared" si="47"/>
        <v>-64400000.000000007</v>
      </c>
      <c r="K185">
        <f t="shared" si="48"/>
        <v>174890000</v>
      </c>
      <c r="L185">
        <f t="shared" si="49"/>
        <v>392100000</v>
      </c>
      <c r="M185">
        <f t="shared" si="50"/>
        <v>167740000</v>
      </c>
      <c r="N185">
        <f t="shared" si="51"/>
        <v>128110000.00000001</v>
      </c>
      <c r="P185">
        <f t="shared" si="27"/>
        <v>392100000</v>
      </c>
      <c r="Q185">
        <f>IFERROR(J144+MATCH(P185,J185:N185,0)-1,"")</f>
        <v>2014</v>
      </c>
      <c r="R185">
        <f t="shared" si="28"/>
        <v>-64400000.000000007</v>
      </c>
      <c r="S185">
        <f>IFERROR(J144+MATCH(R185,J185:N185,0)-1,"")</f>
        <v>2012</v>
      </c>
      <c r="T185">
        <f t="shared" si="29"/>
        <v>159688000</v>
      </c>
      <c r="U185">
        <f t="shared" si="30"/>
        <v>162422192.97251222</v>
      </c>
      <c r="V185">
        <f t="shared" si="31"/>
        <v>-1.3796636771055288</v>
      </c>
      <c r="W185">
        <f t="shared" si="32"/>
        <v>9.3595583964149132E-2</v>
      </c>
      <c r="X185">
        <f t="shared" si="33"/>
        <v>1.4309128312245645</v>
      </c>
      <c r="Y185">
        <f t="shared" si="34"/>
        <v>4.9574506122834414E-2</v>
      </c>
      <c r="Z185">
        <f t="shared" si="35"/>
        <v>-0.19441924420601894</v>
      </c>
      <c r="AA185">
        <f t="shared" si="36"/>
        <v>1.4309128312245645</v>
      </c>
      <c r="AB185">
        <f>IFERROR(V144+MATCH(AA185,V185:Z185,0)-1,"")</f>
        <v>2014</v>
      </c>
      <c r="AC185" t="str">
        <f t="shared" si="37"/>
        <v>High</v>
      </c>
      <c r="AE185">
        <f>IF(ISNUMBER(MATCH("N/A",J185:N185,0)),"",IFERROR((5 * SUMPRODUCT(J144:N144,J185:N185) - PRODUCT(SUM(J144:N144),SUM(J185:N185))) / ((5 * SUM((J144^2)+(K144^2)+(L144^2)+(M144^2)+(N144^2))) - SUM(J144:N144)^2),""))</f>
        <v>37787000</v>
      </c>
      <c r="AF185">
        <f>IFERROR(CORREL(J144:N144,J185:N185),"")</f>
        <v>0.36784685564799979</v>
      </c>
      <c r="AZ185">
        <f t="shared" si="38"/>
        <v>1</v>
      </c>
      <c r="BA185" t="str">
        <f>IF(AZ185=1,IF(Q185="","",IF(Q185=N144,"Yes","No")),"")</f>
        <v>No</v>
      </c>
      <c r="BB185" t="str">
        <f t="shared" si="39"/>
        <v/>
      </c>
      <c r="BC185" t="str">
        <f>IF(AZ185=1,IF(S185="","",IF(S185=N144,"Yes","No")),"")</f>
        <v>No</v>
      </c>
      <c r="BD185" t="str">
        <f t="shared" si="40"/>
        <v/>
      </c>
      <c r="BE185" t="str">
        <f t="shared" si="41"/>
        <v>Increasing</v>
      </c>
      <c r="BF185" t="str">
        <f t="shared" si="42"/>
        <v>No</v>
      </c>
      <c r="BG185" t="str">
        <f t="shared" si="43"/>
        <v>No</v>
      </c>
      <c r="BH185" t="str">
        <f t="shared" si="44"/>
        <v>No</v>
      </c>
    </row>
    <row r="186" spans="1:60" x14ac:dyDescent="0.3">
      <c r="A186" s="1">
        <v>28</v>
      </c>
      <c r="B186" t="s">
        <v>409</v>
      </c>
      <c r="C186" t="s">
        <v>264</v>
      </c>
      <c r="D186" t="s">
        <v>4063</v>
      </c>
      <c r="E186" t="s">
        <v>4064</v>
      </c>
      <c r="F186" t="s">
        <v>4065</v>
      </c>
      <c r="G186" t="s">
        <v>4066</v>
      </c>
      <c r="I186" t="str">
        <f t="shared" si="46"/>
        <v>N/A</v>
      </c>
      <c r="J186" t="str">
        <f t="shared" si="47"/>
        <v>N/A</v>
      </c>
      <c r="K186">
        <f t="shared" si="48"/>
        <v>3.7156000000000002</v>
      </c>
      <c r="L186">
        <f t="shared" si="49"/>
        <v>1.242</v>
      </c>
      <c r="M186">
        <f t="shared" si="50"/>
        <v>-0.57220000000000004</v>
      </c>
      <c r="N186">
        <f t="shared" si="51"/>
        <v>-0.23620000000000002</v>
      </c>
      <c r="P186">
        <f t="shared" si="27"/>
        <v>3.7156000000000002</v>
      </c>
      <c r="Q186">
        <f>IFERROR(J144+MATCH(P186,J186:N186,0)-1,"")</f>
        <v>2013</v>
      </c>
      <c r="R186">
        <f t="shared" si="28"/>
        <v>-0.57220000000000004</v>
      </c>
      <c r="S186">
        <f>IFERROR(J144+MATCH(R186,J186:N186,0)-1,"")</f>
        <v>2015</v>
      </c>
      <c r="T186">
        <f t="shared" si="29"/>
        <v>1.0373000000000001</v>
      </c>
      <c r="U186">
        <f t="shared" si="30"/>
        <v>1.9517074131812553</v>
      </c>
      <c r="V186" t="str">
        <f t="shared" si="31"/>
        <v/>
      </c>
      <c r="W186">
        <f t="shared" si="32"/>
        <v>1.3722856110047814</v>
      </c>
      <c r="X186">
        <f t="shared" si="33"/>
        <v>0.10488252420291923</v>
      </c>
      <c r="Y186">
        <f t="shared" si="34"/>
        <v>-0.82466254374498582</v>
      </c>
      <c r="Z186">
        <f t="shared" si="35"/>
        <v>-0.65250559146271481</v>
      </c>
      <c r="AA186">
        <f t="shared" si="36"/>
        <v>1.3722856110047814</v>
      </c>
      <c r="AB186">
        <f>IFERROR(V144+MATCH(AA186,V186:Z186,0)-1,"")</f>
        <v>2013</v>
      </c>
      <c r="AC186" t="str">
        <f t="shared" si="37"/>
        <v>High</v>
      </c>
      <c r="AE186" t="str">
        <f>IF(ISNUMBER(MATCH("N/A",J186:N186,0)),"",IFERROR((5 * SUMPRODUCT(J144:N144,J186:N186) - PRODUCT(SUM(J144:N144),SUM(J186:N186))) / ((5 * SUM((J144^2)+(K144^2)+(L144^2)+(M144^2)+(N144^2))) - SUM(J144:N144)^2),""))</f>
        <v/>
      </c>
      <c r="AF186">
        <f>IFERROR(CORREL(J144:N144,J186:N186),"")</f>
        <v>-0.90420201292743929</v>
      </c>
      <c r="AZ186">
        <f t="shared" si="38"/>
        <v>1</v>
      </c>
      <c r="BA186" t="str">
        <f>IF(AZ186=1,IF(Q186="","",IF(Q186=N144,"Yes","No")),"")</f>
        <v>No</v>
      </c>
      <c r="BB186" t="str">
        <f t="shared" si="39"/>
        <v/>
      </c>
      <c r="BC186" t="str">
        <f>IF(AZ186=1,IF(S186="","",IF(S186=N144,"Yes","No")),"")</f>
        <v>No</v>
      </c>
      <c r="BD186" t="str">
        <f t="shared" si="40"/>
        <v/>
      </c>
      <c r="BE186" t="str">
        <f t="shared" si="41"/>
        <v/>
      </c>
      <c r="BF186" t="str">
        <f t="shared" si="42"/>
        <v>No</v>
      </c>
      <c r="BG186" t="str">
        <f t="shared" si="43"/>
        <v>No</v>
      </c>
      <c r="BH186" t="str">
        <f t="shared" si="44"/>
        <v>Yes</v>
      </c>
    </row>
    <row r="187" spans="1:60" x14ac:dyDescent="0.3">
      <c r="A187" s="1">
        <v>29</v>
      </c>
      <c r="B187" t="s">
        <v>414</v>
      </c>
      <c r="C187" t="s">
        <v>264</v>
      </c>
      <c r="D187" t="s">
        <v>264</v>
      </c>
      <c r="E187" t="s">
        <v>264</v>
      </c>
      <c r="F187" t="s">
        <v>264</v>
      </c>
      <c r="G187" t="s">
        <v>4067</v>
      </c>
      <c r="I187" t="str">
        <f t="shared" si="46"/>
        <v>N/A</v>
      </c>
      <c r="J187" t="str">
        <f t="shared" si="47"/>
        <v>N/A</v>
      </c>
      <c r="K187" t="str">
        <f t="shared" si="48"/>
        <v>N/A</v>
      </c>
      <c r="L187" t="str">
        <f t="shared" si="49"/>
        <v>N/A</v>
      </c>
      <c r="M187" t="str">
        <f t="shared" si="50"/>
        <v>N/A</v>
      </c>
      <c r="N187">
        <f t="shared" si="51"/>
        <v>3.5099999999999999E-2</v>
      </c>
      <c r="P187">
        <f t="shared" si="27"/>
        <v>3.5099999999999999E-2</v>
      </c>
      <c r="Q187">
        <f>IFERROR(J144+MATCH(P187,J187:N187,0)-1,"")</f>
        <v>2016</v>
      </c>
      <c r="R187">
        <f t="shared" si="28"/>
        <v>3.5099999999999999E-2</v>
      </c>
      <c r="S187">
        <f>IFERROR(J144+MATCH(R187,J187:N187,0)-1,"")</f>
        <v>2016</v>
      </c>
      <c r="T187">
        <f t="shared" si="29"/>
        <v>3.5099999999999999E-2</v>
      </c>
      <c r="U187" t="str">
        <f t="shared" si="30"/>
        <v/>
      </c>
      <c r="V187" t="str">
        <f t="shared" si="31"/>
        <v/>
      </c>
      <c r="W187" t="str">
        <f t="shared" si="32"/>
        <v/>
      </c>
      <c r="X187" t="str">
        <f t="shared" si="33"/>
        <v/>
      </c>
      <c r="Y187" t="str">
        <f t="shared" si="34"/>
        <v/>
      </c>
      <c r="Z187" t="str">
        <f t="shared" si="35"/>
        <v/>
      </c>
      <c r="AA187">
        <f t="shared" si="36"/>
        <v>0</v>
      </c>
      <c r="AB187" t="str">
        <f>IFERROR(V144+MATCH(AA187,V187:Z187,0)-1,"")</f>
        <v/>
      </c>
      <c r="AC187" t="str">
        <f t="shared" si="37"/>
        <v/>
      </c>
      <c r="AE187" t="str">
        <f>IF(ISNUMBER(MATCH("N/A",J187:N187,0)),"",IFERROR((5 * SUMPRODUCT(J144:N144,J187:N187) - PRODUCT(SUM(J144:N144),SUM(J187:N187))) / ((5 * SUM((J144^2)+(K144^2)+(L144^2)+(M144^2)+(N144^2))) - SUM(J144:N144)^2),""))</f>
        <v/>
      </c>
      <c r="AF187" t="str">
        <f>IFERROR(CORREL(J144:N144,J187:N187),"")</f>
        <v/>
      </c>
      <c r="AZ187">
        <f t="shared" si="38"/>
        <v>0</v>
      </c>
      <c r="BA187" t="str">
        <f>IF(AZ187=1,IF(Q187="","",IF(Q187=N144,"Yes","No")),"")</f>
        <v/>
      </c>
      <c r="BB187" t="str">
        <f t="shared" si="39"/>
        <v/>
      </c>
      <c r="BC187" t="str">
        <f>IF(AZ187=1,IF(S187="","",IF(S187=N144,"Yes","No")),"")</f>
        <v/>
      </c>
      <c r="BD187" t="str">
        <f t="shared" si="40"/>
        <v/>
      </c>
      <c r="BE187" t="str">
        <f t="shared" si="41"/>
        <v/>
      </c>
      <c r="BF187" t="str">
        <f t="shared" si="42"/>
        <v>No</v>
      </c>
      <c r="BG187" t="str">
        <f t="shared" si="43"/>
        <v>No</v>
      </c>
      <c r="BH187" t="str">
        <f t="shared" si="44"/>
        <v/>
      </c>
    </row>
    <row r="188" spans="1:60" x14ac:dyDescent="0.3">
      <c r="A188" s="1">
        <v>30</v>
      </c>
      <c r="B188" t="s">
        <v>416</v>
      </c>
      <c r="C188" t="s">
        <v>264</v>
      </c>
      <c r="D188" t="s">
        <v>264</v>
      </c>
      <c r="E188" t="s">
        <v>4068</v>
      </c>
      <c r="F188" t="s">
        <v>264</v>
      </c>
      <c r="G188" t="s">
        <v>264</v>
      </c>
      <c r="I188" t="str">
        <f t="shared" si="46"/>
        <v>N/A</v>
      </c>
      <c r="J188" t="str">
        <f t="shared" si="47"/>
        <v>N/A</v>
      </c>
      <c r="K188" t="str">
        <f t="shared" si="48"/>
        <v>N/A</v>
      </c>
      <c r="L188">
        <f t="shared" si="49"/>
        <v>-19570000</v>
      </c>
      <c r="M188" t="str">
        <f t="shared" si="50"/>
        <v>N/A</v>
      </c>
      <c r="N188" t="str">
        <f t="shared" si="51"/>
        <v>N/A</v>
      </c>
      <c r="P188">
        <f t="shared" si="27"/>
        <v>-19570000</v>
      </c>
      <c r="Q188">
        <f>IFERROR(J144+MATCH(P188,J188:N188,0)-1,"")</f>
        <v>2014</v>
      </c>
      <c r="R188">
        <f t="shared" si="28"/>
        <v>-19570000</v>
      </c>
      <c r="S188">
        <f>IFERROR(J144+MATCH(R188,J188:N188,0)-1,"")</f>
        <v>2014</v>
      </c>
      <c r="T188">
        <f t="shared" si="29"/>
        <v>-19570000</v>
      </c>
      <c r="U188" t="str">
        <f t="shared" si="30"/>
        <v/>
      </c>
      <c r="V188" t="str">
        <f t="shared" si="31"/>
        <v/>
      </c>
      <c r="W188" t="str">
        <f t="shared" si="32"/>
        <v/>
      </c>
      <c r="X188" t="str">
        <f t="shared" si="33"/>
        <v/>
      </c>
      <c r="Y188" t="str">
        <f t="shared" si="34"/>
        <v/>
      </c>
      <c r="Z188" t="str">
        <f t="shared" si="35"/>
        <v/>
      </c>
      <c r="AA188">
        <f t="shared" si="36"/>
        <v>0</v>
      </c>
      <c r="AB188" t="str">
        <f>IFERROR(V144+MATCH(AA188,V188:Z188,0)-1,"")</f>
        <v/>
      </c>
      <c r="AC188" t="str">
        <f t="shared" si="37"/>
        <v/>
      </c>
      <c r="AE188" t="str">
        <f>IF(ISNUMBER(MATCH("N/A",J188:N188,0)),"",IFERROR((5 * SUMPRODUCT(J144:N144,J188:N188) - PRODUCT(SUM(J144:N144),SUM(J188:N188))) / ((5 * SUM((J144^2)+(K144^2)+(L144^2)+(M144^2)+(N144^2))) - SUM(J144:N144)^2),""))</f>
        <v/>
      </c>
      <c r="AF188" t="str">
        <f>IFERROR(CORREL(J144:N144,J188:N188),"")</f>
        <v/>
      </c>
      <c r="AZ188">
        <f t="shared" si="38"/>
        <v>0</v>
      </c>
      <c r="BA188" t="str">
        <f>IF(AZ188=1,IF(Q188="","",IF(Q188=N144,"Yes","No")),"")</f>
        <v/>
      </c>
      <c r="BB188" t="str">
        <f t="shared" si="39"/>
        <v/>
      </c>
      <c r="BC188" t="str">
        <f>IF(AZ188=1,IF(S188="","",IF(S188=N144,"Yes","No")),"")</f>
        <v/>
      </c>
      <c r="BD188" t="str">
        <f t="shared" si="40"/>
        <v/>
      </c>
      <c r="BE188" t="str">
        <f t="shared" si="41"/>
        <v/>
      </c>
      <c r="BF188" t="str">
        <f t="shared" si="42"/>
        <v>No</v>
      </c>
      <c r="BG188" t="str">
        <f t="shared" si="43"/>
        <v>No</v>
      </c>
      <c r="BH188" t="str">
        <f t="shared" si="44"/>
        <v/>
      </c>
    </row>
    <row r="189" spans="1:60" x14ac:dyDescent="0.3">
      <c r="A189" s="1">
        <v>31</v>
      </c>
      <c r="B189" t="s">
        <v>417</v>
      </c>
      <c r="C189" t="s">
        <v>264</v>
      </c>
      <c r="D189" t="s">
        <v>264</v>
      </c>
      <c r="E189" t="s">
        <v>4068</v>
      </c>
      <c r="F189" t="s">
        <v>264</v>
      </c>
      <c r="G189" t="s">
        <v>264</v>
      </c>
      <c r="I189" t="str">
        <f t="shared" si="46"/>
        <v>N/A</v>
      </c>
      <c r="J189" t="str">
        <f t="shared" si="47"/>
        <v>N/A</v>
      </c>
      <c r="K189" t="str">
        <f t="shared" si="48"/>
        <v>N/A</v>
      </c>
      <c r="L189">
        <f t="shared" si="49"/>
        <v>-19570000</v>
      </c>
      <c r="M189" t="str">
        <f t="shared" si="50"/>
        <v>N/A</v>
      </c>
      <c r="N189" t="str">
        <f t="shared" si="51"/>
        <v>N/A</v>
      </c>
      <c r="P189">
        <f t="shared" si="27"/>
        <v>-19570000</v>
      </c>
      <c r="Q189">
        <f>IFERROR(J144+MATCH(P189,J189:N189,0)-1,"")</f>
        <v>2014</v>
      </c>
      <c r="R189">
        <f t="shared" si="28"/>
        <v>-19570000</v>
      </c>
      <c r="S189">
        <f>IFERROR(J144+MATCH(R189,J189:N189,0)-1,"")</f>
        <v>2014</v>
      </c>
      <c r="T189">
        <f t="shared" si="29"/>
        <v>-19570000</v>
      </c>
      <c r="U189" t="str">
        <f t="shared" si="30"/>
        <v/>
      </c>
      <c r="V189" t="str">
        <f t="shared" si="31"/>
        <v/>
      </c>
      <c r="W189" t="str">
        <f t="shared" si="32"/>
        <v/>
      </c>
      <c r="X189" t="str">
        <f t="shared" si="33"/>
        <v/>
      </c>
      <c r="Y189" t="str">
        <f t="shared" si="34"/>
        <v/>
      </c>
      <c r="Z189" t="str">
        <f t="shared" si="35"/>
        <v/>
      </c>
      <c r="AA189">
        <f t="shared" si="36"/>
        <v>0</v>
      </c>
      <c r="AB189" t="str">
        <f>IFERROR(V144+MATCH(AA189,V189:Z189,0)-1,"")</f>
        <v/>
      </c>
      <c r="AC189" t="str">
        <f t="shared" si="37"/>
        <v/>
      </c>
      <c r="AE189" t="str">
        <f>IF(ISNUMBER(MATCH("N/A",J189:N189,0)),"",IFERROR((5 * SUMPRODUCT(J144:N144,J189:N189) - PRODUCT(SUM(J144:N144),SUM(J189:N189))) / ((5 * SUM((J144^2)+(K144^2)+(L144^2)+(M144^2)+(N144^2))) - SUM(J144:N144)^2),""))</f>
        <v/>
      </c>
      <c r="AF189" t="str">
        <f>IFERROR(CORREL(J144:N144,J189:N189),"")</f>
        <v/>
      </c>
      <c r="AZ189">
        <f t="shared" si="38"/>
        <v>0</v>
      </c>
      <c r="BA189" t="str">
        <f>IF(AZ189=1,IF(Q189="","",IF(Q189=N144,"Yes","No")),"")</f>
        <v/>
      </c>
      <c r="BB189" t="str">
        <f t="shared" si="39"/>
        <v/>
      </c>
      <c r="BC189" t="str">
        <f>IF(AZ189=1,IF(S189="","",IF(S189=N144,"Yes","No")),"")</f>
        <v/>
      </c>
      <c r="BD189" t="str">
        <f t="shared" si="40"/>
        <v/>
      </c>
      <c r="BE189" t="str">
        <f t="shared" si="41"/>
        <v/>
      </c>
      <c r="BF189" t="str">
        <f t="shared" si="42"/>
        <v>No</v>
      </c>
      <c r="BG189" t="str">
        <f t="shared" si="43"/>
        <v>No</v>
      </c>
      <c r="BH189" t="str">
        <f t="shared" si="44"/>
        <v/>
      </c>
    </row>
    <row r="190" spans="1:60" x14ac:dyDescent="0.3">
      <c r="A190" s="1">
        <v>32</v>
      </c>
      <c r="B190" t="s">
        <v>418</v>
      </c>
      <c r="C190" t="s">
        <v>264</v>
      </c>
      <c r="D190" t="s">
        <v>264</v>
      </c>
      <c r="E190" t="s">
        <v>264</v>
      </c>
      <c r="F190" t="s">
        <v>264</v>
      </c>
      <c r="G190" t="s">
        <v>264</v>
      </c>
      <c r="I190" t="str">
        <f t="shared" si="46"/>
        <v>N/A</v>
      </c>
      <c r="J190" t="str">
        <f t="shared" si="47"/>
        <v>N/A</v>
      </c>
      <c r="K190" t="str">
        <f t="shared" si="48"/>
        <v>N/A</v>
      </c>
      <c r="L190" t="str">
        <f t="shared" si="49"/>
        <v>N/A</v>
      </c>
      <c r="M190" t="str">
        <f t="shared" si="50"/>
        <v>N/A</v>
      </c>
      <c r="N190" t="str">
        <f t="shared" si="51"/>
        <v>N/A</v>
      </c>
      <c r="P190">
        <f t="shared" si="27"/>
        <v>0</v>
      </c>
      <c r="Q190" t="str">
        <f>IFERROR(J144+MATCH(P190,J190:N190,0)-1,"")</f>
        <v/>
      </c>
      <c r="R190" t="str">
        <f t="shared" si="28"/>
        <v/>
      </c>
      <c r="S190" t="str">
        <f>IFERROR(J144+MATCH(R190,J190:N190,0)-1,"")</f>
        <v/>
      </c>
      <c r="T190" t="str">
        <f t="shared" si="29"/>
        <v/>
      </c>
      <c r="U190" t="str">
        <f t="shared" si="30"/>
        <v/>
      </c>
      <c r="V190" t="str">
        <f t="shared" si="31"/>
        <v/>
      </c>
      <c r="W190" t="str">
        <f t="shared" si="32"/>
        <v/>
      </c>
      <c r="X190" t="str">
        <f t="shared" si="33"/>
        <v/>
      </c>
      <c r="Y190" t="str">
        <f t="shared" si="34"/>
        <v/>
      </c>
      <c r="Z190" t="str">
        <f t="shared" si="35"/>
        <v/>
      </c>
      <c r="AA190">
        <f t="shared" si="36"/>
        <v>0</v>
      </c>
      <c r="AB190" t="str">
        <f>IFERROR(V144+MATCH(AA190,V190:Z190,0)-1,"")</f>
        <v/>
      </c>
      <c r="AC190" t="str">
        <f t="shared" si="37"/>
        <v/>
      </c>
      <c r="AE190" t="str">
        <f>IF(ISNUMBER(MATCH("N/A",J190:N190,0)),"",IFERROR((5 * SUMPRODUCT(J144:N144,J190:N190) - PRODUCT(SUM(J144:N144),SUM(J190:N190))) / ((5 * SUM((J144^2)+(K144^2)+(L144^2)+(M144^2)+(N144^2))) - SUM(J144:N144)^2),""))</f>
        <v/>
      </c>
      <c r="AF190" t="str">
        <f>IFERROR(CORREL(J144:N144,J190:N190),"")</f>
        <v/>
      </c>
      <c r="AZ190">
        <f t="shared" si="38"/>
        <v>0</v>
      </c>
      <c r="BA190" t="str">
        <f>IF(AZ190=1,IF(Q190="","",IF(Q190=N144,"Yes","No")),"")</f>
        <v/>
      </c>
      <c r="BB190" t="str">
        <f t="shared" si="39"/>
        <v/>
      </c>
      <c r="BC190" t="str">
        <f>IF(AZ190=1,IF(S190="","",IF(S190=N144,"Yes","No")),"")</f>
        <v/>
      </c>
      <c r="BD190" t="str">
        <f t="shared" si="40"/>
        <v/>
      </c>
      <c r="BE190" t="str">
        <f t="shared" si="41"/>
        <v/>
      </c>
      <c r="BF190" t="str">
        <f t="shared" si="42"/>
        <v>No</v>
      </c>
      <c r="BG190" t="str">
        <f t="shared" si="43"/>
        <v>No</v>
      </c>
      <c r="BH190" t="str">
        <f t="shared" si="44"/>
        <v/>
      </c>
    </row>
    <row r="191" spans="1:60" x14ac:dyDescent="0.3">
      <c r="A191" s="1">
        <v>33</v>
      </c>
      <c r="B191" t="s">
        <v>419</v>
      </c>
      <c r="C191" t="s">
        <v>264</v>
      </c>
      <c r="D191" t="s">
        <v>264</v>
      </c>
      <c r="E191" t="s">
        <v>264</v>
      </c>
      <c r="F191" t="s">
        <v>264</v>
      </c>
      <c r="G191" t="s">
        <v>264</v>
      </c>
      <c r="I191" t="str">
        <f t="shared" si="46"/>
        <v>N/A</v>
      </c>
      <c r="J191" t="str">
        <f t="shared" si="47"/>
        <v>N/A</v>
      </c>
      <c r="K191" t="str">
        <f t="shared" si="48"/>
        <v>N/A</v>
      </c>
      <c r="L191" t="str">
        <f t="shared" si="49"/>
        <v>N/A</v>
      </c>
      <c r="M191" t="str">
        <f t="shared" si="50"/>
        <v>N/A</v>
      </c>
      <c r="N191" t="str">
        <f t="shared" si="51"/>
        <v>N/A</v>
      </c>
      <c r="P191">
        <f t="shared" si="27"/>
        <v>0</v>
      </c>
      <c r="Q191" t="str">
        <f>IFERROR(J144+MATCH(P191,J191:N191,0)-1,"")</f>
        <v/>
      </c>
      <c r="R191" t="str">
        <f t="shared" si="28"/>
        <v/>
      </c>
      <c r="S191" t="str">
        <f>IFERROR(J144+MATCH(R191,J191:N191,0)-1,"")</f>
        <v/>
      </c>
      <c r="T191" t="str">
        <f t="shared" si="29"/>
        <v/>
      </c>
      <c r="U191" t="str">
        <f t="shared" si="30"/>
        <v/>
      </c>
      <c r="V191" t="str">
        <f t="shared" si="31"/>
        <v/>
      </c>
      <c r="W191" t="str">
        <f t="shared" si="32"/>
        <v/>
      </c>
      <c r="X191" t="str">
        <f t="shared" si="33"/>
        <v/>
      </c>
      <c r="Y191" t="str">
        <f t="shared" si="34"/>
        <v/>
      </c>
      <c r="Z191" t="str">
        <f t="shared" si="35"/>
        <v/>
      </c>
      <c r="AA191">
        <f t="shared" si="36"/>
        <v>0</v>
      </c>
      <c r="AB191" t="str">
        <f>IFERROR(V144+MATCH(AA191,V191:Z191,0)-1,"")</f>
        <v/>
      </c>
      <c r="AC191" t="str">
        <f t="shared" si="37"/>
        <v/>
      </c>
      <c r="AE191" t="str">
        <f>IF(ISNUMBER(MATCH("N/A",J191:N191,0)),"",IFERROR((5 * SUMPRODUCT(J144:N144,J191:N191) - PRODUCT(SUM(J144:N144),SUM(J191:N191))) / ((5 * SUM((J144^2)+(K144^2)+(L144^2)+(M144^2)+(N144^2))) - SUM(J144:N144)^2),""))</f>
        <v/>
      </c>
      <c r="AF191" t="str">
        <f>IFERROR(CORREL(J144:N144,J191:N191),"")</f>
        <v/>
      </c>
      <c r="AZ191">
        <f t="shared" si="38"/>
        <v>0</v>
      </c>
      <c r="BA191" t="str">
        <f>IF(AZ191=1,IF(Q191="","",IF(Q191=N144,"Yes","No")),"")</f>
        <v/>
      </c>
      <c r="BB191" t="str">
        <f t="shared" si="39"/>
        <v/>
      </c>
      <c r="BC191" t="str">
        <f>IF(AZ191=1,IF(S191="","",IF(S191=N144,"Yes","No")),"")</f>
        <v/>
      </c>
      <c r="BD191" t="str">
        <f t="shared" si="40"/>
        <v/>
      </c>
      <c r="BE191" t="str">
        <f t="shared" si="41"/>
        <v/>
      </c>
      <c r="BF191" t="str">
        <f t="shared" si="42"/>
        <v>No</v>
      </c>
      <c r="BG191" t="str">
        <f t="shared" si="43"/>
        <v>No</v>
      </c>
      <c r="BH191" t="str">
        <f t="shared" si="44"/>
        <v/>
      </c>
    </row>
    <row r="192" spans="1:60" x14ac:dyDescent="0.3">
      <c r="A192" s="1">
        <v>34</v>
      </c>
      <c r="B192" t="s">
        <v>420</v>
      </c>
      <c r="C192" t="s">
        <v>4058</v>
      </c>
      <c r="D192" t="s">
        <v>4059</v>
      </c>
      <c r="E192" t="s">
        <v>4069</v>
      </c>
      <c r="F192" t="s">
        <v>4061</v>
      </c>
      <c r="G192" t="s">
        <v>4062</v>
      </c>
      <c r="I192" t="str">
        <f t="shared" si="46"/>
        <v>N/A</v>
      </c>
      <c r="J192">
        <f t="shared" si="47"/>
        <v>-64400000.000000007</v>
      </c>
      <c r="K192">
        <f t="shared" si="48"/>
        <v>174890000</v>
      </c>
      <c r="L192">
        <f t="shared" si="49"/>
        <v>372530000</v>
      </c>
      <c r="M192">
        <f t="shared" si="50"/>
        <v>167740000</v>
      </c>
      <c r="N192">
        <f t="shared" si="51"/>
        <v>128110000.00000001</v>
      </c>
      <c r="P192">
        <f t="shared" si="27"/>
        <v>372530000</v>
      </c>
      <c r="Q192">
        <f>IFERROR(J144+MATCH(P192,J192:N192,0)-1,"")</f>
        <v>2014</v>
      </c>
      <c r="R192">
        <f t="shared" si="28"/>
        <v>-64400000.000000007</v>
      </c>
      <c r="S192">
        <f>IFERROR(J144+MATCH(R192,J192:N192,0)-1,"")</f>
        <v>2012</v>
      </c>
      <c r="T192">
        <f t="shared" si="29"/>
        <v>155774000</v>
      </c>
      <c r="U192">
        <f t="shared" si="30"/>
        <v>155510174.36167961</v>
      </c>
      <c r="V192">
        <f t="shared" si="31"/>
        <v>-1.4158173309479272</v>
      </c>
      <c r="W192">
        <f t="shared" si="32"/>
        <v>0.12292443294122184</v>
      </c>
      <c r="X192">
        <f t="shared" si="33"/>
        <v>1.3938380616555492</v>
      </c>
      <c r="Y192">
        <f t="shared" si="34"/>
        <v>7.6946733865592198E-2</v>
      </c>
      <c r="Z192">
        <f t="shared" si="35"/>
        <v>-0.17789189751443601</v>
      </c>
      <c r="AA192">
        <f t="shared" si="36"/>
        <v>-1.4158173309479272</v>
      </c>
      <c r="AB192">
        <f>IFERROR(V144+MATCH(AA192,V192:Z192,0)-1,"")</f>
        <v>2012</v>
      </c>
      <c r="AC192" t="str">
        <f t="shared" si="37"/>
        <v>Low</v>
      </c>
      <c r="AE192">
        <f>IF(ISNUMBER(MATCH("N/A",J192:N192,0)),"",IFERROR((5 * SUMPRODUCT(J144:N144,J192:N192) - PRODUCT(SUM(J144:N144),SUM(J192:N192))) / ((5 * SUM((J144^2)+(K144^2)+(L144^2)+(M144^2)+(N144^2))) - SUM(J144:N144)^2),""))</f>
        <v>37787000</v>
      </c>
      <c r="AF192">
        <f>IFERROR(CORREL(J144:N144,J192:N192),"")</f>
        <v>0.38419668177745825</v>
      </c>
      <c r="AZ192">
        <f t="shared" si="38"/>
        <v>1</v>
      </c>
      <c r="BA192" t="str">
        <f>IF(AZ192=1,IF(Q192="","",IF(Q192=N144,"Yes","No")),"")</f>
        <v>No</v>
      </c>
      <c r="BB192" t="str">
        <f t="shared" si="39"/>
        <v/>
      </c>
      <c r="BC192" t="str">
        <f>IF(AZ192=1,IF(S192="","",IF(S192=N144,"Yes","No")),"")</f>
        <v>No</v>
      </c>
      <c r="BD192" t="str">
        <f t="shared" si="40"/>
        <v/>
      </c>
      <c r="BE192" t="str">
        <f t="shared" si="41"/>
        <v>Increasing</v>
      </c>
      <c r="BF192" t="str">
        <f t="shared" si="42"/>
        <v>No</v>
      </c>
      <c r="BG192" t="str">
        <f t="shared" si="43"/>
        <v>No</v>
      </c>
      <c r="BH192" t="str">
        <f t="shared" si="44"/>
        <v>No</v>
      </c>
    </row>
    <row r="193" spans="1:60" x14ac:dyDescent="0.3">
      <c r="A193" s="1">
        <v>35</v>
      </c>
      <c r="B193" t="s">
        <v>421</v>
      </c>
      <c r="C193" t="s">
        <v>3659</v>
      </c>
      <c r="D193" t="s">
        <v>4070</v>
      </c>
      <c r="E193" t="s">
        <v>4071</v>
      </c>
      <c r="F193" t="s">
        <v>264</v>
      </c>
      <c r="G193" t="s">
        <v>264</v>
      </c>
      <c r="I193" t="str">
        <f t="shared" si="46"/>
        <v>N/A</v>
      </c>
      <c r="J193">
        <f t="shared" si="47"/>
        <v>18950000</v>
      </c>
      <c r="K193">
        <f t="shared" si="48"/>
        <v>20400000</v>
      </c>
      <c r="L193">
        <f t="shared" si="49"/>
        <v>2350000</v>
      </c>
      <c r="M193" t="str">
        <f t="shared" si="50"/>
        <v>N/A</v>
      </c>
      <c r="N193" t="str">
        <f t="shared" si="51"/>
        <v>N/A</v>
      </c>
      <c r="P193">
        <f t="shared" si="27"/>
        <v>20400000</v>
      </c>
      <c r="Q193">
        <f>IFERROR(J144+MATCH(P193,J193:N193,0)-1,"")</f>
        <v>2013</v>
      </c>
      <c r="R193">
        <f t="shared" si="28"/>
        <v>2350000</v>
      </c>
      <c r="S193">
        <f>IFERROR(J144+MATCH(R193,J193:N193,0)-1,"")</f>
        <v>2014</v>
      </c>
      <c r="T193">
        <f t="shared" si="29"/>
        <v>13900000</v>
      </c>
      <c r="U193">
        <f t="shared" si="30"/>
        <v>10028833.431660933</v>
      </c>
      <c r="V193">
        <f t="shared" si="31"/>
        <v>0.50354809803273803</v>
      </c>
      <c r="W193">
        <f t="shared" si="32"/>
        <v>0.64813121528966278</v>
      </c>
      <c r="X193">
        <f t="shared" si="33"/>
        <v>-1.1516793133224008</v>
      </c>
      <c r="Y193" t="str">
        <f t="shared" si="34"/>
        <v/>
      </c>
      <c r="Z193" t="str">
        <f t="shared" si="35"/>
        <v/>
      </c>
      <c r="AA193">
        <f t="shared" si="36"/>
        <v>-1.1516793133224008</v>
      </c>
      <c r="AB193">
        <f>IFERROR(V144+MATCH(AA193,V193:Z193,0)-1,"")</f>
        <v>2014</v>
      </c>
      <c r="AC193" t="str">
        <f t="shared" si="37"/>
        <v>Low</v>
      </c>
      <c r="AE193" t="str">
        <f>IF(ISNUMBER(MATCH("N/A",J193:N193,0)),"",IFERROR((5 * SUMPRODUCT(J144:N144,J193:N193) - PRODUCT(SUM(J144:N144),SUM(J193:N193))) / ((5 * SUM((J144^2)+(K144^2)+(L144^2)+(M144^2)+(N144^2))) - SUM(J144:N144)^2),""))</f>
        <v/>
      </c>
      <c r="AF193">
        <f>IFERROR(CORREL(J144:N144,J193:N193),"")</f>
        <v>-0.82761370567756942</v>
      </c>
      <c r="AZ193">
        <f t="shared" si="38"/>
        <v>1</v>
      </c>
      <c r="BA193" t="str">
        <f>IF(AZ193=1,IF(Q193="","",IF(Q193=N144,"Yes","No")),"")</f>
        <v>No</v>
      </c>
      <c r="BB193" t="str">
        <f t="shared" si="39"/>
        <v/>
      </c>
      <c r="BC193" t="str">
        <f>IF(AZ193=1,IF(S193="","",IF(S193=N144,"Yes","No")),"")</f>
        <v>No</v>
      </c>
      <c r="BD193" t="str">
        <f t="shared" si="40"/>
        <v/>
      </c>
      <c r="BE193" t="str">
        <f t="shared" si="41"/>
        <v/>
      </c>
      <c r="BF193" t="str">
        <f t="shared" si="42"/>
        <v>No</v>
      </c>
      <c r="BG193" t="str">
        <f t="shared" si="43"/>
        <v>No</v>
      </c>
      <c r="BH193" t="str">
        <f t="shared" si="44"/>
        <v>Yes</v>
      </c>
    </row>
    <row r="194" spans="1:60" x14ac:dyDescent="0.3">
      <c r="A194" s="1">
        <v>36</v>
      </c>
      <c r="B194" t="s">
        <v>422</v>
      </c>
      <c r="C194" t="s">
        <v>4072</v>
      </c>
      <c r="D194" t="s">
        <v>4073</v>
      </c>
      <c r="E194" t="s">
        <v>4074</v>
      </c>
      <c r="F194" t="s">
        <v>4061</v>
      </c>
      <c r="G194" t="s">
        <v>4062</v>
      </c>
      <c r="I194" t="str">
        <f t="shared" si="46"/>
        <v>N/A</v>
      </c>
      <c r="J194">
        <f t="shared" si="47"/>
        <v>-83350000</v>
      </c>
      <c r="K194">
        <f t="shared" si="48"/>
        <v>154490000</v>
      </c>
      <c r="L194">
        <f t="shared" si="49"/>
        <v>389750000</v>
      </c>
      <c r="M194">
        <f t="shared" si="50"/>
        <v>167740000</v>
      </c>
      <c r="N194">
        <f t="shared" si="51"/>
        <v>128110000.00000001</v>
      </c>
      <c r="P194">
        <f t="shared" si="27"/>
        <v>389750000</v>
      </c>
      <c r="Q194">
        <f>IFERROR(J144+MATCH(P194,J194:N194,0)-1,"")</f>
        <v>2014</v>
      </c>
      <c r="R194">
        <f t="shared" si="28"/>
        <v>-83350000</v>
      </c>
      <c r="S194">
        <f>IFERROR(J144+MATCH(R194,J194:N194,0)-1,"")</f>
        <v>2012</v>
      </c>
      <c r="T194">
        <f t="shared" si="29"/>
        <v>151348000</v>
      </c>
      <c r="U194">
        <f t="shared" si="30"/>
        <v>167881832.90636304</v>
      </c>
      <c r="V194">
        <f t="shared" si="31"/>
        <v>-1.3979952204292647</v>
      </c>
      <c r="W194">
        <f t="shared" si="32"/>
        <v>1.8715545009283206E-2</v>
      </c>
      <c r="X194">
        <f t="shared" si="33"/>
        <v>1.4200583581486743</v>
      </c>
      <c r="Y194">
        <f t="shared" si="34"/>
        <v>9.7640106235572982E-2</v>
      </c>
      <c r="Z194">
        <f t="shared" si="35"/>
        <v>-0.13841878896426571</v>
      </c>
      <c r="AA194">
        <f t="shared" si="36"/>
        <v>1.4200583581486743</v>
      </c>
      <c r="AB194">
        <f>IFERROR(V144+MATCH(AA194,V194:Z194,0)-1,"")</f>
        <v>2014</v>
      </c>
      <c r="AC194" t="str">
        <f t="shared" si="37"/>
        <v>High</v>
      </c>
      <c r="AE194">
        <f>IF(ISNUMBER(MATCH("N/A",J194:N194,0)),"",IFERROR((5 * SUMPRODUCT(J144:N144,J194:N194) - PRODUCT(SUM(J144:N144),SUM(J194:N194))) / ((5 * SUM((J144^2)+(K144^2)+(L144^2)+(M144^2)+(N144^2))) - SUM(J144:N144)^2),""))</f>
        <v>43617000</v>
      </c>
      <c r="AF194">
        <f>IFERROR(CORREL(J144:N144,J194:N194),"")</f>
        <v>0.41079210988986181</v>
      </c>
      <c r="AZ194">
        <f t="shared" si="38"/>
        <v>1</v>
      </c>
      <c r="BA194" t="str">
        <f>IF(AZ194=1,IF(Q194="","",IF(Q194=N144,"Yes","No")),"")</f>
        <v>No</v>
      </c>
      <c r="BB194" t="str">
        <f t="shared" si="39"/>
        <v/>
      </c>
      <c r="BC194" t="str">
        <f>IF(AZ194=1,IF(S194="","",IF(S194=N144,"Yes","No")),"")</f>
        <v>No</v>
      </c>
      <c r="BD194" t="str">
        <f t="shared" si="40"/>
        <v/>
      </c>
      <c r="BE194" t="str">
        <f t="shared" si="41"/>
        <v>Increasing</v>
      </c>
      <c r="BF194" t="str">
        <f t="shared" si="42"/>
        <v>No</v>
      </c>
      <c r="BG194" t="str">
        <f t="shared" si="43"/>
        <v>No</v>
      </c>
      <c r="BH194" t="str">
        <f t="shared" si="44"/>
        <v>No</v>
      </c>
    </row>
    <row r="195" spans="1:60" x14ac:dyDescent="0.3">
      <c r="A195" s="1">
        <v>37</v>
      </c>
      <c r="B195" t="s">
        <v>423</v>
      </c>
      <c r="C195" t="s">
        <v>4075</v>
      </c>
      <c r="D195" t="s">
        <v>4076</v>
      </c>
      <c r="E195" t="s">
        <v>4077</v>
      </c>
      <c r="F195" t="s">
        <v>4078</v>
      </c>
      <c r="G195" t="s">
        <v>4079</v>
      </c>
      <c r="I195" t="str">
        <f t="shared" si="46"/>
        <v>N/A</v>
      </c>
      <c r="J195">
        <f t="shared" si="47"/>
        <v>-0.92</v>
      </c>
      <c r="K195">
        <f t="shared" si="48"/>
        <v>1.56</v>
      </c>
      <c r="L195">
        <f t="shared" si="49"/>
        <v>3.22</v>
      </c>
      <c r="M195">
        <f t="shared" si="50"/>
        <v>1.35</v>
      </c>
      <c r="N195">
        <f t="shared" si="51"/>
        <v>1.04</v>
      </c>
      <c r="P195">
        <f t="shared" si="27"/>
        <v>3.22</v>
      </c>
      <c r="Q195">
        <f>IFERROR(J144+MATCH(P195,J195:N195,0)-1,"")</f>
        <v>2014</v>
      </c>
      <c r="R195">
        <f t="shared" si="28"/>
        <v>-0.92</v>
      </c>
      <c r="S195">
        <f>IFERROR(J144+MATCH(R195,J195:N195,0)-1,"")</f>
        <v>2012</v>
      </c>
      <c r="T195">
        <f t="shared" si="29"/>
        <v>1.2500000000000002</v>
      </c>
      <c r="U195">
        <f t="shared" si="30"/>
        <v>1.4781745499094481</v>
      </c>
      <c r="V195">
        <f t="shared" si="31"/>
        <v>-1.4680268985370726</v>
      </c>
      <c r="W195">
        <f t="shared" si="32"/>
        <v>0.2097181283624388</v>
      </c>
      <c r="X195">
        <f t="shared" si="33"/>
        <v>1.3327248802387246</v>
      </c>
      <c r="Y195">
        <f t="shared" si="34"/>
        <v>6.7651009149173755E-2</v>
      </c>
      <c r="Z195">
        <f t="shared" si="35"/>
        <v>-0.1420671192132652</v>
      </c>
      <c r="AA195">
        <f t="shared" si="36"/>
        <v>-1.4680268985370726</v>
      </c>
      <c r="AB195">
        <f>IFERROR(V144+MATCH(AA195,V195:Z195,0)-1,"")</f>
        <v>2012</v>
      </c>
      <c r="AC195" t="str">
        <f t="shared" si="37"/>
        <v>Low</v>
      </c>
      <c r="AE195">
        <f>IF(ISNUMBER(MATCH("N/A",J195:N195,0)),"",IFERROR((5 * SUMPRODUCT(J144:N144,J195:N195) - PRODUCT(SUM(J144:N144),SUM(J195:N195))) / ((5 * SUM((J144^2)+(K144^2)+(L144^2)+(M144^2)+(N144^2))) - SUM(J144:N144)^2),""))</f>
        <v>0.37099999999976718</v>
      </c>
      <c r="AF195">
        <f>IFERROR(CORREL(J144:N144,J195:N195),"")</f>
        <v>0.39684251497711764</v>
      </c>
      <c r="AZ195">
        <f t="shared" si="38"/>
        <v>1</v>
      </c>
      <c r="BA195" t="str">
        <f>IF(AZ195=1,IF(Q195="","",IF(Q195=N144,"Yes","No")),"")</f>
        <v>No</v>
      </c>
      <c r="BB195" t="str">
        <f t="shared" si="39"/>
        <v/>
      </c>
      <c r="BC195" t="str">
        <f>IF(AZ195=1,IF(S195="","",IF(S195=N144,"Yes","No")),"")</f>
        <v>No</v>
      </c>
      <c r="BD195" t="str">
        <f t="shared" si="40"/>
        <v/>
      </c>
      <c r="BE195" t="str">
        <f t="shared" si="41"/>
        <v>Increasing</v>
      </c>
      <c r="BF195" t="str">
        <f t="shared" si="42"/>
        <v>No</v>
      </c>
      <c r="BG195" t="str">
        <f t="shared" si="43"/>
        <v>No</v>
      </c>
      <c r="BH195" t="str">
        <f t="shared" si="44"/>
        <v>No</v>
      </c>
    </row>
    <row r="196" spans="1:60" x14ac:dyDescent="0.3">
      <c r="A196" s="1">
        <v>38</v>
      </c>
      <c r="B196" t="s">
        <v>429</v>
      </c>
      <c r="C196" t="s">
        <v>264</v>
      </c>
      <c r="D196" t="s">
        <v>4080</v>
      </c>
      <c r="E196" t="s">
        <v>4081</v>
      </c>
      <c r="F196" t="s">
        <v>4082</v>
      </c>
      <c r="G196" t="s">
        <v>4083</v>
      </c>
      <c r="I196" t="str">
        <f t="shared" si="46"/>
        <v>N/A</v>
      </c>
      <c r="J196" t="str">
        <f t="shared" si="47"/>
        <v>N/A</v>
      </c>
      <c r="K196">
        <f t="shared" si="48"/>
        <v>2.6957</v>
      </c>
      <c r="L196">
        <f t="shared" si="49"/>
        <v>1.0623</v>
      </c>
      <c r="M196">
        <f t="shared" si="50"/>
        <v>-0.58040000000000003</v>
      </c>
      <c r="N196">
        <f t="shared" si="51"/>
        <v>-0.22960000000000003</v>
      </c>
      <c r="P196">
        <f t="shared" si="27"/>
        <v>2.6957</v>
      </c>
      <c r="Q196">
        <f>IFERROR(J144+MATCH(P196,J196:N196,0)-1,"")</f>
        <v>2013</v>
      </c>
      <c r="R196">
        <f t="shared" si="28"/>
        <v>-0.58040000000000003</v>
      </c>
      <c r="S196">
        <f>IFERROR(J144+MATCH(R196,J196:N196,0)-1,"")</f>
        <v>2015</v>
      </c>
      <c r="T196">
        <f t="shared" si="29"/>
        <v>0.73699999999999999</v>
      </c>
      <c r="U196">
        <f t="shared" si="30"/>
        <v>1.4846081525664159</v>
      </c>
      <c r="V196" t="str">
        <f t="shared" si="31"/>
        <v/>
      </c>
      <c r="W196">
        <f t="shared" si="32"/>
        <v>1.3193380331463422</v>
      </c>
      <c r="X196">
        <f t="shared" si="33"/>
        <v>0.21911505701868852</v>
      </c>
      <c r="Y196">
        <f t="shared" si="34"/>
        <v>-0.88737219832898939</v>
      </c>
      <c r="Z196">
        <f t="shared" si="35"/>
        <v>-0.65108089183604145</v>
      </c>
      <c r="AA196">
        <f t="shared" si="36"/>
        <v>1.3193380331463422</v>
      </c>
      <c r="AB196">
        <f>IFERROR(V144+MATCH(AA196,V196:Z196,0)-1,"")</f>
        <v>2013</v>
      </c>
      <c r="AC196" t="str">
        <f t="shared" si="37"/>
        <v>High</v>
      </c>
      <c r="AE196" t="str">
        <f>IF(ISNUMBER(MATCH("N/A",J196:N196,0)),"",IFERROR((5 * SUMPRODUCT(J144:N144,J196:N196) - PRODUCT(SUM(J144:N144),SUM(J196:N196))) / ((5 * SUM((J144^2)+(K144^2)+(L144^2)+(M144^2)+(N144^2))) - SUM(J144:N144)^2),""))</f>
        <v/>
      </c>
      <c r="AF196">
        <f>IFERROR(CORREL(J144:N144,J196:N196),"")</f>
        <v>-0.9059868585759463</v>
      </c>
      <c r="AZ196">
        <f t="shared" si="38"/>
        <v>1</v>
      </c>
      <c r="BA196" t="str">
        <f>IF(AZ196=1,IF(Q196="","",IF(Q196=N144,"Yes","No")),"")</f>
        <v>No</v>
      </c>
      <c r="BB196" t="str">
        <f t="shared" si="39"/>
        <v/>
      </c>
      <c r="BC196" t="str">
        <f>IF(AZ196=1,IF(S196="","",IF(S196=N144,"Yes","No")),"")</f>
        <v>No</v>
      </c>
      <c r="BD196" t="str">
        <f t="shared" si="40"/>
        <v/>
      </c>
      <c r="BE196" t="str">
        <f t="shared" si="41"/>
        <v/>
      </c>
      <c r="BF196" t="str">
        <f t="shared" si="42"/>
        <v>No</v>
      </c>
      <c r="BG196" t="str">
        <f t="shared" si="43"/>
        <v>No</v>
      </c>
      <c r="BH196" t="str">
        <f t="shared" si="44"/>
        <v>Yes</v>
      </c>
    </row>
    <row r="197" spans="1:60" x14ac:dyDescent="0.3">
      <c r="A197" s="1">
        <v>39</v>
      </c>
      <c r="B197" t="s">
        <v>434</v>
      </c>
      <c r="C197" t="s">
        <v>4084</v>
      </c>
      <c r="D197" t="s">
        <v>4085</v>
      </c>
      <c r="E197" t="s">
        <v>4086</v>
      </c>
      <c r="F197" t="s">
        <v>4087</v>
      </c>
      <c r="G197" t="s">
        <v>4088</v>
      </c>
      <c r="I197" t="str">
        <f t="shared" si="46"/>
        <v>N/A</v>
      </c>
      <c r="J197">
        <f t="shared" si="47"/>
        <v>91070000</v>
      </c>
      <c r="K197">
        <f t="shared" si="48"/>
        <v>99200000</v>
      </c>
      <c r="L197">
        <f t="shared" si="49"/>
        <v>121140000</v>
      </c>
      <c r="M197">
        <f t="shared" si="50"/>
        <v>124100000</v>
      </c>
      <c r="N197">
        <f t="shared" si="51"/>
        <v>122910000</v>
      </c>
      <c r="P197">
        <f t="shared" si="27"/>
        <v>124100000</v>
      </c>
      <c r="Q197">
        <f>IFERROR(J144+MATCH(P197,J197:N197,0)-1,"")</f>
        <v>2015</v>
      </c>
      <c r="R197">
        <f t="shared" si="28"/>
        <v>91070000</v>
      </c>
      <c r="S197">
        <f>IFERROR(J144+MATCH(R197,J197:N197,0)-1,"")</f>
        <v>2012</v>
      </c>
      <c r="T197">
        <f t="shared" si="29"/>
        <v>111684000</v>
      </c>
      <c r="U197">
        <f t="shared" si="30"/>
        <v>15414143.829613112</v>
      </c>
      <c r="V197">
        <f t="shared" si="31"/>
        <v>-1.3373431718210069</v>
      </c>
      <c r="W197">
        <f t="shared" si="32"/>
        <v>-0.80990550873258216</v>
      </c>
      <c r="X197">
        <f t="shared" si="33"/>
        <v>0.6134625513117028</v>
      </c>
      <c r="Y197">
        <f t="shared" si="34"/>
        <v>0.80549397600318329</v>
      </c>
      <c r="Z197">
        <f t="shared" si="35"/>
        <v>0.728292153238703</v>
      </c>
      <c r="AA197">
        <f t="shared" si="36"/>
        <v>-1.3373431718210069</v>
      </c>
      <c r="AB197">
        <f>IFERROR(V144+MATCH(AA197,V197:Z197,0)-1,"")</f>
        <v>2012</v>
      </c>
      <c r="AC197" t="str">
        <f t="shared" si="37"/>
        <v>Low</v>
      </c>
      <c r="AE197">
        <f>IF(ISNUMBER(MATCH("N/A",J197:N197,0)),"",IFERROR((5 * SUMPRODUCT(J144:N144,J197:N197) - PRODUCT(SUM(J144:N144),SUM(J197:N197))) / ((5 * SUM((J144^2)+(K144^2)+(L144^2)+(M144^2)+(N144^2))) - SUM(J144:N144)^2),""))</f>
        <v>8858000</v>
      </c>
      <c r="AF197">
        <f>IFERROR(CORREL(J144:N144,J197:N197),"")</f>
        <v>0.90862832939046789</v>
      </c>
      <c r="AZ197">
        <f t="shared" si="38"/>
        <v>1</v>
      </c>
      <c r="BA197" t="str">
        <f>IF(AZ197=1,IF(Q197="","",IF(Q197=N144,"Yes","No")),"")</f>
        <v>No</v>
      </c>
      <c r="BB197" t="str">
        <f t="shared" si="39"/>
        <v/>
      </c>
      <c r="BC197" t="str">
        <f>IF(AZ197=1,IF(S197="","",IF(S197=N144,"Yes","No")),"")</f>
        <v>No</v>
      </c>
      <c r="BD197" t="str">
        <f t="shared" si="40"/>
        <v/>
      </c>
      <c r="BE197" t="str">
        <f t="shared" si="41"/>
        <v>Increasing</v>
      </c>
      <c r="BF197" t="str">
        <f t="shared" si="42"/>
        <v>No</v>
      </c>
      <c r="BG197" t="str">
        <f t="shared" si="43"/>
        <v>No</v>
      </c>
      <c r="BH197" t="str">
        <f t="shared" si="44"/>
        <v>Yes</v>
      </c>
    </row>
    <row r="198" spans="1:60" x14ac:dyDescent="0.3">
      <c r="A198" s="1">
        <v>40</v>
      </c>
      <c r="B198" t="s">
        <v>440</v>
      </c>
      <c r="C198" t="s">
        <v>4075</v>
      </c>
      <c r="D198" t="s">
        <v>3183</v>
      </c>
      <c r="E198" t="s">
        <v>4089</v>
      </c>
      <c r="F198" t="s">
        <v>4090</v>
      </c>
      <c r="G198" t="s">
        <v>4079</v>
      </c>
      <c r="I198" t="str">
        <f t="shared" si="46"/>
        <v>N/A</v>
      </c>
      <c r="J198">
        <f t="shared" si="47"/>
        <v>-0.92</v>
      </c>
      <c r="K198">
        <f t="shared" si="48"/>
        <v>1.54</v>
      </c>
      <c r="L198">
        <f t="shared" si="49"/>
        <v>3.18</v>
      </c>
      <c r="M198">
        <f t="shared" si="50"/>
        <v>1.34</v>
      </c>
      <c r="N198">
        <f t="shared" si="51"/>
        <v>1.04</v>
      </c>
      <c r="P198">
        <f t="shared" si="27"/>
        <v>3.18</v>
      </c>
      <c r="Q198">
        <f>IFERROR(J144+MATCH(P198,J198:N198,0)-1,"")</f>
        <v>2014</v>
      </c>
      <c r="R198">
        <f t="shared" si="28"/>
        <v>-0.92</v>
      </c>
      <c r="S198">
        <f>IFERROR(J144+MATCH(R198,J198:N198,0)-1,"")</f>
        <v>2012</v>
      </c>
      <c r="T198">
        <f t="shared" si="29"/>
        <v>1.2360000000000002</v>
      </c>
      <c r="U198">
        <f t="shared" si="30"/>
        <v>1.4636529643327343</v>
      </c>
      <c r="V198">
        <f t="shared" si="31"/>
        <v>-1.4730267710576463</v>
      </c>
      <c r="W198">
        <f t="shared" si="32"/>
        <v>0.20769950760738601</v>
      </c>
      <c r="X198">
        <f t="shared" si="33"/>
        <v>1.3281836933840745</v>
      </c>
      <c r="Y198">
        <f t="shared" si="34"/>
        <v>7.1055094707789895E-2</v>
      </c>
      <c r="Z198">
        <f t="shared" si="35"/>
        <v>-0.13391152464160433</v>
      </c>
      <c r="AA198">
        <f t="shared" si="36"/>
        <v>-1.4730267710576463</v>
      </c>
      <c r="AB198">
        <f>IFERROR(V144+MATCH(AA198,V198:Z198,0)-1,"")</f>
        <v>2012</v>
      </c>
      <c r="AC198" t="str">
        <f t="shared" si="37"/>
        <v>Low</v>
      </c>
      <c r="AE198">
        <f>IF(ISNUMBER(MATCH("N/A",J198:N198,0)),"",IFERROR((5 * SUMPRODUCT(J144:N144,J198:N198) - PRODUCT(SUM(J144:N144),SUM(J198:N198))) / ((5 * SUM((J144^2)+(K144^2)+(L144^2)+(M144^2)+(N144^2))) - SUM(J144:N144)^2),""))</f>
        <v>0.37199999999982536</v>
      </c>
      <c r="AF198">
        <f>IFERROR(CORREL(J144:N144,J198:N198),"")</f>
        <v>0.40186004409827164</v>
      </c>
      <c r="AZ198">
        <f t="shared" si="38"/>
        <v>1</v>
      </c>
      <c r="BA198" t="str">
        <f>IF(AZ198=1,IF(Q198="","",IF(Q198=N144,"Yes","No")),"")</f>
        <v>No</v>
      </c>
      <c r="BB198" t="str">
        <f t="shared" si="39"/>
        <v/>
      </c>
      <c r="BC198" t="str">
        <f>IF(AZ198=1,IF(S198="","",IF(S198=N144,"Yes","No")),"")</f>
        <v>No</v>
      </c>
      <c r="BD198" t="str">
        <f t="shared" si="40"/>
        <v/>
      </c>
      <c r="BE198" t="str">
        <f t="shared" si="41"/>
        <v>Increasing</v>
      </c>
      <c r="BF198" t="str">
        <f t="shared" si="42"/>
        <v>No</v>
      </c>
      <c r="BG198" t="str">
        <f t="shared" si="43"/>
        <v>No</v>
      </c>
      <c r="BH198" t="str">
        <f t="shared" si="44"/>
        <v>No</v>
      </c>
    </row>
    <row r="199" spans="1:60" x14ac:dyDescent="0.3">
      <c r="A199" s="1">
        <v>41</v>
      </c>
      <c r="B199" t="s">
        <v>444</v>
      </c>
      <c r="C199" t="s">
        <v>264</v>
      </c>
      <c r="D199" t="s">
        <v>4091</v>
      </c>
      <c r="E199" t="s">
        <v>4092</v>
      </c>
      <c r="F199" t="s">
        <v>4093</v>
      </c>
      <c r="G199" t="s">
        <v>4094</v>
      </c>
      <c r="I199" t="str">
        <f t="shared" si="46"/>
        <v>N/A</v>
      </c>
      <c r="J199" t="str">
        <f t="shared" si="47"/>
        <v>N/A</v>
      </c>
      <c r="K199">
        <f t="shared" si="48"/>
        <v>2.6738999999999997</v>
      </c>
      <c r="L199">
        <f t="shared" si="49"/>
        <v>1.0631999999999999</v>
      </c>
      <c r="M199">
        <f t="shared" si="50"/>
        <v>-0.57830000000000004</v>
      </c>
      <c r="N199">
        <f t="shared" si="51"/>
        <v>-0.22390000000000002</v>
      </c>
      <c r="P199">
        <f t="shared" si="27"/>
        <v>2.6738999999999997</v>
      </c>
      <c r="Q199">
        <f>IFERROR(J144+MATCH(P199,J199:N199,0)-1,"")</f>
        <v>2013</v>
      </c>
      <c r="R199">
        <f t="shared" si="28"/>
        <v>-0.57830000000000004</v>
      </c>
      <c r="S199">
        <f>IFERROR(J144+MATCH(R199,J199:N199,0)-1,"")</f>
        <v>2015</v>
      </c>
      <c r="T199">
        <f t="shared" si="29"/>
        <v>0.73372499999999996</v>
      </c>
      <c r="U199">
        <f t="shared" si="30"/>
        <v>1.4732377096608227</v>
      </c>
      <c r="V199" t="str">
        <f t="shared" si="31"/>
        <v/>
      </c>
      <c r="W199">
        <f t="shared" si="32"/>
        <v>1.3169463334241411</v>
      </c>
      <c r="X199">
        <f t="shared" si="33"/>
        <v>0.22364008051073686</v>
      </c>
      <c r="Y199">
        <f t="shared" si="34"/>
        <v>-0.8905725066608986</v>
      </c>
      <c r="Z199">
        <f t="shared" si="35"/>
        <v>-0.65001390727397956</v>
      </c>
      <c r="AA199">
        <f t="shared" si="36"/>
        <v>1.3169463334241411</v>
      </c>
      <c r="AB199">
        <f>IFERROR(V144+MATCH(AA199,V199:Z199,0)-1,"")</f>
        <v>2013</v>
      </c>
      <c r="AC199" t="str">
        <f t="shared" si="37"/>
        <v>High</v>
      </c>
      <c r="AE199" t="str">
        <f>IF(ISNUMBER(MATCH("N/A",J199:N199,0)),"",IFERROR((5 * SUMPRODUCT(J144:N144,J199:N199) - PRODUCT(SUM(J144:N144),SUM(J199:N199))) / ((5 * SUM((J144^2)+(K144^2)+(L144^2)+(M144^2)+(N144^2))) - SUM(J144:N144)^2),""))</f>
        <v/>
      </c>
      <c r="AF199">
        <f>IFERROR(CORREL(J144:N144,J199:N199),"")</f>
        <v>-0.90564465196260935</v>
      </c>
      <c r="AZ199">
        <f t="shared" si="38"/>
        <v>1</v>
      </c>
      <c r="BA199" t="str">
        <f>IF(AZ199=1,IF(Q199="","",IF(Q199=N144,"Yes","No")),"")</f>
        <v>No</v>
      </c>
      <c r="BB199" t="str">
        <f t="shared" si="39"/>
        <v/>
      </c>
      <c r="BC199" t="str">
        <f>IF(AZ199=1,IF(S199="","",IF(S199=N144,"Yes","No")),"")</f>
        <v>No</v>
      </c>
      <c r="BD199" t="str">
        <f t="shared" si="40"/>
        <v/>
      </c>
      <c r="BE199" t="str">
        <f t="shared" si="41"/>
        <v/>
      </c>
      <c r="BF199" t="str">
        <f t="shared" si="42"/>
        <v>No</v>
      </c>
      <c r="BG199" t="str">
        <f t="shared" si="43"/>
        <v>No</v>
      </c>
      <c r="BH199" t="str">
        <f t="shared" si="44"/>
        <v>Yes</v>
      </c>
    </row>
    <row r="200" spans="1:60" x14ac:dyDescent="0.3">
      <c r="A200" s="1">
        <v>42</v>
      </c>
      <c r="B200" t="s">
        <v>449</v>
      </c>
      <c r="C200" t="s">
        <v>4084</v>
      </c>
      <c r="D200" t="s">
        <v>4095</v>
      </c>
      <c r="E200" t="s">
        <v>4096</v>
      </c>
      <c r="F200" t="s">
        <v>4097</v>
      </c>
      <c r="G200" t="s">
        <v>4098</v>
      </c>
      <c r="I200" t="str">
        <f t="shared" si="46"/>
        <v>N/A</v>
      </c>
      <c r="J200">
        <f t="shared" si="47"/>
        <v>91070000</v>
      </c>
      <c r="K200">
        <f t="shared" si="48"/>
        <v>100370000</v>
      </c>
      <c r="L200">
        <f t="shared" si="49"/>
        <v>122670000</v>
      </c>
      <c r="M200">
        <f t="shared" si="50"/>
        <v>124870000</v>
      </c>
      <c r="N200">
        <f t="shared" si="51"/>
        <v>123200000</v>
      </c>
      <c r="P200">
        <f t="shared" si="27"/>
        <v>124870000</v>
      </c>
      <c r="Q200">
        <f>IFERROR(J144+MATCH(P200,J200:N200,0)-1,"")</f>
        <v>2015</v>
      </c>
      <c r="R200">
        <f t="shared" si="28"/>
        <v>91070000</v>
      </c>
      <c r="S200">
        <f>IFERROR(J144+MATCH(R200,J200:N200,0)-1,"")</f>
        <v>2012</v>
      </c>
      <c r="T200">
        <f t="shared" si="29"/>
        <v>112436000</v>
      </c>
      <c r="U200">
        <f t="shared" si="30"/>
        <v>15630875.855178429</v>
      </c>
      <c r="V200">
        <f t="shared" si="31"/>
        <v>-1.3669099670394704</v>
      </c>
      <c r="W200">
        <f t="shared" si="32"/>
        <v>-0.77193371067575822</v>
      </c>
      <c r="X200">
        <f t="shared" si="33"/>
        <v>0.6547297857662614</v>
      </c>
      <c r="Y200">
        <f t="shared" si="34"/>
        <v>0.79547685716412875</v>
      </c>
      <c r="Z200">
        <f t="shared" si="35"/>
        <v>0.68863703478483851</v>
      </c>
      <c r="AA200">
        <f t="shared" si="36"/>
        <v>-1.3669099670394704</v>
      </c>
      <c r="AB200">
        <f>IFERROR(V144+MATCH(AA200,V200:Z200,0)-1,"")</f>
        <v>2012</v>
      </c>
      <c r="AC200" t="str">
        <f t="shared" si="37"/>
        <v>Low</v>
      </c>
      <c r="AE200">
        <f>IF(ISNUMBER(MATCH("N/A",J200:N200,0)),"",IFERROR((5 * SUMPRODUCT(J144:N144,J200:N200) - PRODUCT(SUM(J144:N144),SUM(J200:N200))) / ((5 * SUM((J144^2)+(K144^2)+(L144^2)+(M144^2)+(N144^2))) - SUM(J144:N144)^2),""))</f>
        <v>8876000</v>
      </c>
      <c r="AF200">
        <f>IFERROR(CORREL(J144:N144,J200:N200),"")</f>
        <v>0.89785040747910549</v>
      </c>
      <c r="AZ200">
        <f t="shared" si="38"/>
        <v>1</v>
      </c>
      <c r="BA200" t="str">
        <f>IF(AZ200=1,IF(Q200="","",IF(Q200=N144,"Yes","No")),"")</f>
        <v>No</v>
      </c>
      <c r="BB200" t="str">
        <f t="shared" si="39"/>
        <v/>
      </c>
      <c r="BC200" t="str">
        <f>IF(AZ200=1,IF(S200="","",IF(S200=N144,"Yes","No")),"")</f>
        <v>No</v>
      </c>
      <c r="BD200" t="str">
        <f t="shared" si="40"/>
        <v/>
      </c>
      <c r="BE200" t="str">
        <f t="shared" si="41"/>
        <v>Increasing</v>
      </c>
      <c r="BF200" t="str">
        <f t="shared" si="42"/>
        <v>No</v>
      </c>
      <c r="BG200" t="str">
        <f t="shared" si="43"/>
        <v>No</v>
      </c>
      <c r="BH200" t="str">
        <f t="shared" si="44"/>
        <v>Yes</v>
      </c>
    </row>
    <row r="201" spans="1:60" x14ac:dyDescent="0.3">
      <c r="A201" s="1">
        <v>43</v>
      </c>
      <c r="B201" t="s">
        <v>156</v>
      </c>
      <c r="C201" t="s">
        <v>4099</v>
      </c>
      <c r="D201" t="s">
        <v>4100</v>
      </c>
      <c r="E201" t="s">
        <v>4101</v>
      </c>
      <c r="F201" t="s">
        <v>4102</v>
      </c>
      <c r="G201" t="s">
        <v>923</v>
      </c>
      <c r="I201" t="str">
        <f t="shared" si="46"/>
        <v>N/A</v>
      </c>
      <c r="J201">
        <f t="shared" si="47"/>
        <v>448210000</v>
      </c>
      <c r="K201">
        <f t="shared" si="48"/>
        <v>590000000</v>
      </c>
      <c r="L201">
        <f t="shared" si="49"/>
        <v>656320000</v>
      </c>
      <c r="M201">
        <f t="shared" si="50"/>
        <v>505230000</v>
      </c>
      <c r="N201">
        <f t="shared" si="51"/>
        <v>456940000</v>
      </c>
      <c r="P201">
        <f t="shared" si="27"/>
        <v>656320000</v>
      </c>
      <c r="Q201">
        <f>IFERROR(J144+MATCH(P201,J201:N201,0)-1,"")</f>
        <v>2014</v>
      </c>
      <c r="R201">
        <f t="shared" si="28"/>
        <v>448210000</v>
      </c>
      <c r="S201">
        <f>IFERROR(J144+MATCH(R201,J201:N201,0)-1,"")</f>
        <v>2012</v>
      </c>
      <c r="T201">
        <f t="shared" si="29"/>
        <v>531340000</v>
      </c>
      <c r="U201">
        <f t="shared" si="30"/>
        <v>89706026.832091942</v>
      </c>
      <c r="V201">
        <f t="shared" si="31"/>
        <v>-0.92669358944632918</v>
      </c>
      <c r="W201">
        <f t="shared" si="32"/>
        <v>0.65391370091328849</v>
      </c>
      <c r="X201">
        <f t="shared" si="33"/>
        <v>1.3932174282329151</v>
      </c>
      <c r="Y201">
        <f t="shared" si="34"/>
        <v>-0.29106182630149952</v>
      </c>
      <c r="Z201">
        <f t="shared" si="35"/>
        <v>-0.82937571339837468</v>
      </c>
      <c r="AA201">
        <f t="shared" si="36"/>
        <v>1.3932174282329151</v>
      </c>
      <c r="AB201">
        <f>IFERROR(V144+MATCH(AA201,V201:Z201,0)-1,"")</f>
        <v>2014</v>
      </c>
      <c r="AC201" t="str">
        <f t="shared" si="37"/>
        <v>High</v>
      </c>
      <c r="AE201">
        <f>IF(ISNUMBER(MATCH("N/A",J201:N201,0)),"",IFERROR((5 * SUMPRODUCT(J144:N144,J201:N201) - PRODUCT(SUM(J144:N144),SUM(J201:N201))) / ((5 * SUM((J144^2)+(K144^2)+(L144^2)+(M144^2)+(N144^2))) - SUM(J144:N144)^2),""))</f>
        <v>-6731000</v>
      </c>
      <c r="AF201">
        <f>IFERROR(CORREL(J144:N144,J201:N201),"")</f>
        <v>-0.11863913541970984</v>
      </c>
      <c r="AZ201">
        <f t="shared" si="38"/>
        <v>1</v>
      </c>
      <c r="BA201" t="str">
        <f>IF(AZ201=1,IF(Q201="","",IF(Q201=N144,"Yes","No")),"")</f>
        <v>No</v>
      </c>
      <c r="BB201" t="str">
        <f t="shared" si="39"/>
        <v/>
      </c>
      <c r="BC201" t="str">
        <f>IF(AZ201=1,IF(S201="","",IF(S201=N144,"Yes","No")),"")</f>
        <v>No</v>
      </c>
      <c r="BD201" t="str">
        <f t="shared" si="40"/>
        <v/>
      </c>
      <c r="BE201" t="str">
        <f t="shared" si="41"/>
        <v>Decreasing</v>
      </c>
      <c r="BF201" t="str">
        <f t="shared" si="42"/>
        <v>No</v>
      </c>
      <c r="BG201" t="str">
        <f t="shared" si="43"/>
        <v>No</v>
      </c>
      <c r="BH201" t="str">
        <f t="shared" si="44"/>
        <v>No</v>
      </c>
    </row>
    <row r="202" spans="1:60" x14ac:dyDescent="0.3">
      <c r="A202" s="1">
        <v>44</v>
      </c>
      <c r="B202" t="s">
        <v>460</v>
      </c>
      <c r="C202" t="s">
        <v>264</v>
      </c>
      <c r="D202" t="s">
        <v>4103</v>
      </c>
      <c r="E202" t="s">
        <v>4104</v>
      </c>
      <c r="F202" t="s">
        <v>4105</v>
      </c>
      <c r="G202" t="s">
        <v>4106</v>
      </c>
      <c r="I202" t="str">
        <f t="shared" si="46"/>
        <v>N/A</v>
      </c>
      <c r="J202" t="str">
        <f t="shared" si="47"/>
        <v>N/A</v>
      </c>
      <c r="K202">
        <f t="shared" si="48"/>
        <v>0.31629999999999997</v>
      </c>
      <c r="L202">
        <f t="shared" si="49"/>
        <v>0.1124</v>
      </c>
      <c r="M202">
        <f t="shared" si="50"/>
        <v>-0.23019999999999999</v>
      </c>
      <c r="N202">
        <f t="shared" si="51"/>
        <v>-9.5600000000000004E-2</v>
      </c>
      <c r="P202">
        <f t="shared" si="27"/>
        <v>0.31629999999999997</v>
      </c>
      <c r="Q202">
        <f>IFERROR(J144+MATCH(P202,J202:N202,0)-1,"")</f>
        <v>2013</v>
      </c>
      <c r="R202">
        <f t="shared" si="28"/>
        <v>-0.23019999999999999</v>
      </c>
      <c r="S202">
        <f>IFERROR(J144+MATCH(R202,J202:N202,0)-1,"")</f>
        <v>2015</v>
      </c>
      <c r="T202">
        <f t="shared" si="29"/>
        <v>2.5724999999999994E-2</v>
      </c>
      <c r="U202">
        <f t="shared" si="30"/>
        <v>0.23955775051818576</v>
      </c>
      <c r="V202" t="str">
        <f t="shared" si="31"/>
        <v/>
      </c>
      <c r="W202">
        <f t="shared" si="32"/>
        <v>1.2129643034778008</v>
      </c>
      <c r="X202">
        <f t="shared" si="33"/>
        <v>0.36181254754861364</v>
      </c>
      <c r="Y202">
        <f t="shared" si="34"/>
        <v>-1.0683227716340227</v>
      </c>
      <c r="Z202">
        <f t="shared" si="35"/>
        <v>-0.50645407939239162</v>
      </c>
      <c r="AA202">
        <f t="shared" si="36"/>
        <v>1.2129643034778008</v>
      </c>
      <c r="AB202">
        <f>IFERROR(V144+MATCH(AA202,V202:Z202,0)-1,"")</f>
        <v>2013</v>
      </c>
      <c r="AC202" t="str">
        <f t="shared" si="37"/>
        <v>High</v>
      </c>
      <c r="AE202" t="str">
        <f>IF(ISNUMBER(MATCH("N/A",J202:N202,0)),"",IFERROR((5 * SUMPRODUCT(J144:N144,J202:N202) - PRODUCT(SUM(J144:N144),SUM(J202:N202))) / ((5 * SUM((J144^2)+(K144^2)+(L144^2)+(M144^2)+(N144^2))) - SUM(J144:N144)^2),""))</f>
        <v/>
      </c>
      <c r="AF202">
        <f>IFERROR(CORREL(J144:N144,J202:N202),"")</f>
        <v>-0.85055755200249361</v>
      </c>
      <c r="AZ202">
        <f t="shared" si="38"/>
        <v>1</v>
      </c>
      <c r="BA202" t="str">
        <f>IF(AZ202=1,IF(Q202="","",IF(Q202=N144,"Yes","No")),"")</f>
        <v>No</v>
      </c>
      <c r="BB202" t="str">
        <f t="shared" si="39"/>
        <v/>
      </c>
      <c r="BC202" t="str">
        <f>IF(AZ202=1,IF(S202="","",IF(S202=N144,"Yes","No")),"")</f>
        <v>No</v>
      </c>
      <c r="BD202" t="str">
        <f t="shared" si="40"/>
        <v/>
      </c>
      <c r="BE202" t="str">
        <f t="shared" si="41"/>
        <v/>
      </c>
      <c r="BF202" t="str">
        <f t="shared" si="42"/>
        <v>No</v>
      </c>
      <c r="BG202" t="str">
        <f t="shared" si="43"/>
        <v>No</v>
      </c>
      <c r="BH202" t="str">
        <f t="shared" si="44"/>
        <v>Yes</v>
      </c>
    </row>
    <row r="203" spans="1:60" x14ac:dyDescent="0.3">
      <c r="A203" s="1">
        <v>45</v>
      </c>
      <c r="B203" t="s">
        <v>464</v>
      </c>
      <c r="C203" t="s">
        <v>264</v>
      </c>
      <c r="D203" t="s">
        <v>264</v>
      </c>
      <c r="E203" t="s">
        <v>264</v>
      </c>
      <c r="F203" t="s">
        <v>264</v>
      </c>
      <c r="G203" t="s">
        <v>4107</v>
      </c>
      <c r="I203" t="str">
        <f t="shared" si="46"/>
        <v>N/A</v>
      </c>
      <c r="J203" t="str">
        <f t="shared" si="47"/>
        <v>N/A</v>
      </c>
      <c r="K203" t="str">
        <f t="shared" si="48"/>
        <v>N/A</v>
      </c>
      <c r="L203" t="str">
        <f t="shared" si="49"/>
        <v>N/A</v>
      </c>
      <c r="M203" t="str">
        <f t="shared" si="50"/>
        <v>N/A</v>
      </c>
      <c r="N203">
        <f t="shared" si="51"/>
        <v>0.12529999999999999</v>
      </c>
      <c r="P203">
        <f t="shared" si="27"/>
        <v>0.12529999999999999</v>
      </c>
      <c r="Q203">
        <f>IFERROR(J144+MATCH(P203,J203:N203,0)-1,"")</f>
        <v>2016</v>
      </c>
      <c r="R203">
        <f t="shared" si="28"/>
        <v>0.12529999999999999</v>
      </c>
      <c r="S203">
        <f>IFERROR(J144+MATCH(R203,J203:N203,0)-1,"")</f>
        <v>2016</v>
      </c>
      <c r="T203">
        <f t="shared" si="29"/>
        <v>0.12529999999999999</v>
      </c>
      <c r="U203" t="str">
        <f t="shared" si="30"/>
        <v/>
      </c>
      <c r="V203" t="str">
        <f t="shared" si="31"/>
        <v/>
      </c>
      <c r="W203" t="str">
        <f t="shared" si="32"/>
        <v/>
      </c>
      <c r="X203" t="str">
        <f t="shared" si="33"/>
        <v/>
      </c>
      <c r="Y203" t="str">
        <f t="shared" si="34"/>
        <v/>
      </c>
      <c r="Z203" t="str">
        <f t="shared" si="35"/>
        <v/>
      </c>
      <c r="AA203">
        <f t="shared" si="36"/>
        <v>0</v>
      </c>
      <c r="AB203" t="str">
        <f>IFERROR(V144+MATCH(AA203,V203:Z203,0)-1,"")</f>
        <v/>
      </c>
      <c r="AC203" t="str">
        <f t="shared" si="37"/>
        <v/>
      </c>
      <c r="AE203" t="str">
        <f>IF(ISNUMBER(MATCH("N/A",J203:N203,0)),"",IFERROR((5 * SUMPRODUCT(J144:N144,J203:N203) - PRODUCT(SUM(J144:N144),SUM(J203:N203))) / ((5 * SUM((J144^2)+(K144^2)+(L144^2)+(M144^2)+(N144^2))) - SUM(J144:N144)^2),""))</f>
        <v/>
      </c>
      <c r="AF203" t="str">
        <f>IFERROR(CORREL(J144:N144,J203:N203),"")</f>
        <v/>
      </c>
      <c r="AZ203">
        <f t="shared" si="38"/>
        <v>0</v>
      </c>
      <c r="BA203" t="str">
        <f>IF(AZ203=1,IF(Q203="","",IF(Q203=N144,"Yes","No")),"")</f>
        <v/>
      </c>
      <c r="BB203" t="str">
        <f t="shared" si="39"/>
        <v/>
      </c>
      <c r="BC203" t="str">
        <f>IF(AZ203=1,IF(S203="","",IF(S203=N144,"Yes","No")),"")</f>
        <v/>
      </c>
      <c r="BD203" t="str">
        <f t="shared" si="40"/>
        <v/>
      </c>
      <c r="BE203" t="str">
        <f t="shared" si="41"/>
        <v/>
      </c>
      <c r="BF203" t="str">
        <f t="shared" si="42"/>
        <v>No</v>
      </c>
      <c r="BG203" t="str">
        <f t="shared" si="43"/>
        <v>No</v>
      </c>
      <c r="BH203" t="str">
        <f t="shared" si="44"/>
        <v/>
      </c>
    </row>
    <row r="204" spans="1:60" x14ac:dyDescent="0.3">
      <c r="I204" t="str">
        <f t="shared" si="46"/>
        <v>N/A</v>
      </c>
      <c r="J204" t="str">
        <f t="shared" si="47"/>
        <v>N/A</v>
      </c>
      <c r="K204" t="str">
        <f t="shared" si="48"/>
        <v>N/A</v>
      </c>
      <c r="L204" t="str">
        <f t="shared" si="49"/>
        <v>N/A</v>
      </c>
      <c r="M204" t="str">
        <f t="shared" si="50"/>
        <v>N/A</v>
      </c>
      <c r="N204" t="str">
        <f t="shared" si="51"/>
        <v>N/A</v>
      </c>
      <c r="P204">
        <f t="shared" si="27"/>
        <v>0</v>
      </c>
      <c r="Q204" t="str">
        <f>IFERROR(J144+MATCH(P204,J204:N204,0)-1,"")</f>
        <v/>
      </c>
      <c r="R204" t="str">
        <f t="shared" si="28"/>
        <v/>
      </c>
      <c r="S204" t="str">
        <f>IFERROR(J144+MATCH(R204,J204:N204,0)-1,"")</f>
        <v/>
      </c>
      <c r="T204" t="str">
        <f t="shared" si="29"/>
        <v/>
      </c>
      <c r="U204" t="str">
        <f t="shared" si="30"/>
        <v/>
      </c>
      <c r="V204" t="str">
        <f t="shared" si="31"/>
        <v/>
      </c>
      <c r="W204" t="str">
        <f t="shared" si="32"/>
        <v/>
      </c>
      <c r="X204" t="str">
        <f t="shared" si="33"/>
        <v/>
      </c>
      <c r="Y204" t="str">
        <f t="shared" si="34"/>
        <v/>
      </c>
      <c r="Z204" t="str">
        <f t="shared" si="35"/>
        <v/>
      </c>
      <c r="AA204">
        <f t="shared" si="36"/>
        <v>0</v>
      </c>
      <c r="AB204" t="str">
        <f>IFERROR(V144+MATCH(AA204,V204:Z204,0)-1,"")</f>
        <v/>
      </c>
      <c r="AC204" t="str">
        <f t="shared" si="37"/>
        <v/>
      </c>
      <c r="AE204" t="str">
        <f>IF(ISNUMBER(MATCH("N/A",J204:N204,0)),"",IFERROR((5 * SUMPRODUCT(J144:N144,J204:N204) - PRODUCT(SUM(J144:N144),SUM(J204:N204))) / ((5 * SUM((J144^2)+(K144^2)+(L144^2)+(M144^2)+(N144^2))) - SUM(J144:N144)^2),""))</f>
        <v/>
      </c>
      <c r="AF204" t="str">
        <f>IFERROR(CORREL(J144:N144,J204:N204),"")</f>
        <v/>
      </c>
      <c r="AZ204">
        <f t="shared" si="38"/>
        <v>0</v>
      </c>
      <c r="BA204" t="str">
        <f>IF(AZ204=1,IF(Q204="","",IF(Q204=N144,"Yes","No")),"")</f>
        <v/>
      </c>
      <c r="BB204" t="str">
        <f t="shared" si="39"/>
        <v/>
      </c>
      <c r="BC204" t="str">
        <f>IF(AZ204=1,IF(S204="","",IF(S204=N144,"Yes","No")),"")</f>
        <v/>
      </c>
      <c r="BD204" t="str">
        <f t="shared" si="40"/>
        <v/>
      </c>
      <c r="BE204" t="str">
        <f t="shared" si="41"/>
        <v/>
      </c>
      <c r="BF204" t="str">
        <f t="shared" si="42"/>
        <v>No</v>
      </c>
      <c r="BG204" t="str">
        <f t="shared" si="43"/>
        <v>No</v>
      </c>
      <c r="BH204" t="str">
        <f t="shared" si="44"/>
        <v/>
      </c>
    </row>
    <row r="205" spans="1:60" x14ac:dyDescent="0.3">
      <c r="B205" s="1" t="s">
        <v>251</v>
      </c>
      <c r="C205" s="1" t="s">
        <v>252</v>
      </c>
      <c r="D205" s="1" t="s">
        <v>253</v>
      </c>
      <c r="E205" s="1" t="s">
        <v>254</v>
      </c>
      <c r="F205" s="1" t="s">
        <v>255</v>
      </c>
      <c r="G205" s="1" t="s">
        <v>256</v>
      </c>
      <c r="H205" s="1" t="s">
        <v>257</v>
      </c>
      <c r="P205">
        <f t="shared" si="27"/>
        <v>0</v>
      </c>
      <c r="Q205" t="str">
        <f>IFERROR(J144+MATCH(P205,J205:N205,0)-1,"")</f>
        <v/>
      </c>
      <c r="R205" t="str">
        <f t="shared" si="28"/>
        <v/>
      </c>
      <c r="S205" t="str">
        <f>IFERROR(J144+MATCH(R205,J205:N205,0)-1,"")</f>
        <v/>
      </c>
      <c r="T205" t="str">
        <f t="shared" si="29"/>
        <v/>
      </c>
      <c r="U205" t="str">
        <f t="shared" si="30"/>
        <v/>
      </c>
      <c r="V205" t="str">
        <f t="shared" si="31"/>
        <v/>
      </c>
      <c r="W205" t="str">
        <f t="shared" si="32"/>
        <v/>
      </c>
      <c r="X205" t="str">
        <f t="shared" si="33"/>
        <v/>
      </c>
      <c r="Y205" t="str">
        <f t="shared" si="34"/>
        <v/>
      </c>
      <c r="Z205" t="str">
        <f t="shared" si="35"/>
        <v/>
      </c>
      <c r="AA205">
        <f t="shared" si="36"/>
        <v>0</v>
      </c>
      <c r="AB205" t="str">
        <f>IFERROR(V144+MATCH(AA205,V205:Z205,0)-1,"")</f>
        <v/>
      </c>
      <c r="AC205" t="str">
        <f t="shared" si="37"/>
        <v/>
      </c>
      <c r="AE205">
        <f>IF(ISNUMBER(MATCH("N/A",J205:N205,0)),"",IFERROR((5 * SUMPRODUCT(J144:N144,J205:N205) - PRODUCT(SUM(J144:N144),SUM(J205:N205))) / ((5 * SUM((J144^2)+(K144^2)+(L144^2)+(M144^2)+(N144^2))) - SUM(J144:N144)^2),""))</f>
        <v>0</v>
      </c>
      <c r="AF205" t="str">
        <f>IFERROR(CORREL(J144:N144,J205:N205),"")</f>
        <v/>
      </c>
      <c r="AZ205">
        <f t="shared" si="38"/>
        <v>0</v>
      </c>
      <c r="BA205" t="str">
        <f>IF(AZ205=1,IF(Q205="","",IF(Q205=N144,"Yes","No")),"")</f>
        <v/>
      </c>
      <c r="BB205" t="str">
        <f t="shared" si="39"/>
        <v/>
      </c>
      <c r="BC205" t="str">
        <f>IF(AZ205=1,IF(S205="","",IF(S205=N144,"Yes","No")),"")</f>
        <v/>
      </c>
      <c r="BD205" t="str">
        <f t="shared" si="40"/>
        <v/>
      </c>
      <c r="BE205" t="str">
        <f t="shared" si="41"/>
        <v/>
      </c>
      <c r="BF205" t="str">
        <f t="shared" si="42"/>
        <v>No</v>
      </c>
      <c r="BG205" t="str">
        <f t="shared" si="43"/>
        <v>No</v>
      </c>
      <c r="BH205" t="str">
        <f t="shared" si="44"/>
        <v/>
      </c>
    </row>
    <row r="206" spans="1:60" x14ac:dyDescent="0.3">
      <c r="A206" s="1">
        <v>0</v>
      </c>
      <c r="B206" t="s">
        <v>466</v>
      </c>
      <c r="C206" t="s">
        <v>4108</v>
      </c>
      <c r="D206" t="s">
        <v>4109</v>
      </c>
      <c r="E206" t="s">
        <v>4110</v>
      </c>
      <c r="F206" t="s">
        <v>4111</v>
      </c>
      <c r="G206" t="s">
        <v>631</v>
      </c>
      <c r="I206" t="str">
        <f t="shared" ref="I206:I226" si="52">IF(AND(K206&gt; J206, L206&gt; K206, M206&gt; L206, N206&gt; M206), "pos_trend", IF(AND(K206&lt; J206, L206&lt; K206, M206&lt; L206, N206&lt; M206), "neg_trend", "N/A"))</f>
        <v>N/A</v>
      </c>
      <c r="J206">
        <f t="shared" ref="J206:J226" si="53">IFERROR(IF(TRIM(C206)="-", "N/A", IF(RIGHT(C206,1)=")",IF(RIGHT(C206,2)="T)",-1000000000000*VALUE(MID(C206,2,LEN(C206)-3)),IF(RIGHT(C206,2)="M)",-1000000*VALUE(MID(C206,2,LEN(C206)-3)),IF(RIGHT(C206,2)="B)",-1000000000*VALUE(MID(C206,2,LEN(C206)-3)),IF(RIGHT(C206,2)="k)",-1000*VALUE(MID(C206,2,LEN(C206)-3)),VALUE(SUBSTITUTE(C206,",","")))))),IF(RIGHT(C206,1)="T",1000000000000*VALUE(LEFT(C206,LEN(C206)-1)),IF(RIGHT(C206,1)="M",1000000*VALUE(LEFT(C206,LEN(C206)-1)),IF(RIGHT(C206,1)="B",1000000000*VALUE(LEFT(C206,LEN(C206)-1)),IF(RIGHT(C206,1)="%",0.01*VALUE(LEFT(C206,LEN(C206)-1)),IF(RIGHT(C206,1)="k",1000*VALUE(LEFT(C206,LEN(C206)-1)),VALUE(SUBSTITUTE(C206,",",""))))))))),"N/A")</f>
        <v>482450000</v>
      </c>
      <c r="K206">
        <f t="shared" ref="K206:K226" si="54">IFERROR(IF(TRIM(D206)="-", "N/A", IF(RIGHT(D206,1)=")",IF(RIGHT(D206,2)="T)",-1000000000000*VALUE(MID(D206,2,LEN(D206)-3)),IF(RIGHT(D206,2)="M)",-1000000*VALUE(MID(D206,2,LEN(D206)-3)),IF(RIGHT(D206,2)="B)",-1000000000*VALUE(MID(D206,2,LEN(D206)-3)),IF(RIGHT(D206,2)="k)",-1000*VALUE(MID(D206,2,LEN(D206)-3)),VALUE(SUBSTITUTE(D206,",","")))))),IF(RIGHT(D206,1)="T",1000000000000*VALUE(LEFT(D206,LEN(D206)-1)),IF(RIGHT(D206,1)="M",1000000*VALUE(LEFT(D206,LEN(D206)-1)),IF(RIGHT(D206,1)="B",1000000000*VALUE(LEFT(D206,LEN(D206)-1)),IF(RIGHT(D206,1)="%",0.01*VALUE(LEFT(D206,LEN(D206)-1)),IF(RIGHT(D206,1)="k",1000*VALUE(LEFT(D206,LEN(D206)-1)),VALUE(SUBSTITUTE(D206,",",""))))))))),"N/A")</f>
        <v>311300000</v>
      </c>
      <c r="L206">
        <f t="shared" ref="L206:L226" si="55">IFERROR(IF(TRIM(E206)="-", "N/A", IF(RIGHT(E206,1)=")",IF(RIGHT(E206,2)="T)",-1000000000000*VALUE(MID(E206,2,LEN(E206)-3)),IF(RIGHT(E206,2)="M)",-1000000*VALUE(MID(E206,2,LEN(E206)-3)),IF(RIGHT(E206,2)="B)",-1000000000*VALUE(MID(E206,2,LEN(E206)-3)),IF(RIGHT(E206,2)="k)",-1000*VALUE(MID(E206,2,LEN(E206)-3)),VALUE(SUBSTITUTE(E206,",","")))))),IF(RIGHT(E206,1)="T",1000000000000*VALUE(LEFT(E206,LEN(E206)-1)),IF(RIGHT(E206,1)="M",1000000*VALUE(LEFT(E206,LEN(E206)-1)),IF(RIGHT(E206,1)="B",1000000000*VALUE(LEFT(E206,LEN(E206)-1)),IF(RIGHT(E206,1)="%",0.01*VALUE(LEFT(E206,LEN(E206)-1)),IF(RIGHT(E206,1)="k",1000*VALUE(LEFT(E206,LEN(E206)-1)),VALUE(SUBSTITUTE(E206,",",""))))))))),"N/A")</f>
        <v>305450000</v>
      </c>
      <c r="M206">
        <f t="shared" ref="M206:M226" si="56">IFERROR(IF(TRIM(F206)="-", "N/A", IF(RIGHT(F206,1)=")",IF(RIGHT(F206,2)="T)",-1000000000000*VALUE(MID(F206,2,LEN(F206)-3)),IF(RIGHT(F206,2)="M)",-1000000*VALUE(MID(F206,2,LEN(F206)-3)),IF(RIGHT(F206,2)="B)",-1000000000*VALUE(MID(F206,2,LEN(F206)-3)),IF(RIGHT(F206,2)="k)",-1000*VALUE(MID(F206,2,LEN(F206)-3)),VALUE(SUBSTITUTE(F206,",","")))))),IF(RIGHT(F206,1)="T",1000000000000*VALUE(LEFT(F206,LEN(F206)-1)),IF(RIGHT(F206,1)="M",1000000*VALUE(LEFT(F206,LEN(F206)-1)),IF(RIGHT(F206,1)="B",1000000000*VALUE(LEFT(F206,LEN(F206)-1)),IF(RIGHT(F206,1)="%",0.01*VALUE(LEFT(F206,LEN(F206)-1)),IF(RIGHT(F206,1)="k",1000*VALUE(LEFT(F206,LEN(F206)-1)),VALUE(SUBSTITUTE(F206,",",""))))))))),"N/A")</f>
        <v>197470000</v>
      </c>
      <c r="N206">
        <f t="shared" ref="N206:N226" si="57">IFERROR(IF(TRIM(G206)="-", "N/A", IF(RIGHT(G206,1)=")",IF(RIGHT(G206,2)="T)",-1000000000000*VALUE(MID(G206,2,LEN(G206)-3)),IF(RIGHT(G206,2)="M)",-1000000*VALUE(MID(G206,2,LEN(G206)-3)),IF(RIGHT(G206,2)="B)",-1000000000*VALUE(MID(G206,2,LEN(G206)-3)),IF(RIGHT(G206,2)="k)",-1000*VALUE(MID(G206,2,LEN(G206)-3)),VALUE(SUBSTITUTE(G206,",","")))))),IF(RIGHT(G206,1)="T",1000000000000*VALUE(LEFT(G206,LEN(G206)-1)),IF(RIGHT(G206,1)="M",1000000*VALUE(LEFT(G206,LEN(G206)-1)),IF(RIGHT(G206,1)="B",1000000000*VALUE(LEFT(G206,LEN(G206)-1)),IF(RIGHT(G206,1)="%",0.01*VALUE(LEFT(G206,LEN(G206)-1)),IF(RIGHT(G206,1)="k",1000*VALUE(LEFT(G206,LEN(G206)-1)),VALUE(SUBSTITUTE(G206,",",""))))))))),"N/A")</f>
        <v>221730000</v>
      </c>
      <c r="P206">
        <f t="shared" si="27"/>
        <v>482450000</v>
      </c>
      <c r="Q206">
        <f>IFERROR(J144+MATCH(P206,J206:N206,0)-1,"")</f>
        <v>2012</v>
      </c>
      <c r="R206">
        <f t="shared" si="28"/>
        <v>197470000</v>
      </c>
      <c r="S206">
        <f>IFERROR(J144+MATCH(R206,J206:N206,0)-1,"")</f>
        <v>2015</v>
      </c>
      <c r="T206">
        <f t="shared" si="29"/>
        <v>303680000</v>
      </c>
      <c r="U206">
        <f t="shared" si="30"/>
        <v>111821595.40983129</v>
      </c>
      <c r="V206">
        <f t="shared" si="31"/>
        <v>1.59870729213619</v>
      </c>
      <c r="W206">
        <f t="shared" si="32"/>
        <v>6.8144261151634883E-2</v>
      </c>
      <c r="X206">
        <f t="shared" si="33"/>
        <v>1.5828785070655348E-2</v>
      </c>
      <c r="Y206">
        <f t="shared" si="34"/>
        <v>-0.9498165324035619</v>
      </c>
      <c r="Z206">
        <f t="shared" si="35"/>
        <v>-0.73286380595491851</v>
      </c>
      <c r="AA206">
        <f t="shared" si="36"/>
        <v>1.59870729213619</v>
      </c>
      <c r="AB206">
        <f>IFERROR(V144+MATCH(AA206,V206:Z206,0)-1,"")</f>
        <v>2012</v>
      </c>
      <c r="AC206" t="str">
        <f t="shared" si="37"/>
        <v>High</v>
      </c>
      <c r="AE206">
        <f>IF(ISNUMBER(MATCH("N/A",J206:N206,0)),"",IFERROR((5 * SUMPRODUCT(J144:N144,J206:N206) - PRODUCT(SUM(J144:N144),SUM(J206:N206))) / ((5 * SUM((J144^2)+(K144^2)+(L144^2)+(M144^2)+(N144^2))) - SUM(J144:N144)^2),""))</f>
        <v>-63527000</v>
      </c>
      <c r="AF206">
        <f>IFERROR(CORREL(J144:N144,J206:N206),"")</f>
        <v>-0.89826125347812058</v>
      </c>
      <c r="AZ206">
        <f t="shared" si="38"/>
        <v>1</v>
      </c>
      <c r="BA206" t="str">
        <f>IF(AZ206=1,IF(Q206="","",IF(Q206=N144,"Yes","No")),"")</f>
        <v>No</v>
      </c>
      <c r="BB206" t="str">
        <f t="shared" si="39"/>
        <v/>
      </c>
      <c r="BC206" t="str">
        <f>IF(AZ206=1,IF(S206="","",IF(S206=N144,"Yes","No")),"")</f>
        <v>No</v>
      </c>
      <c r="BD206" t="str">
        <f t="shared" si="40"/>
        <v/>
      </c>
      <c r="BE206" t="str">
        <f t="shared" si="41"/>
        <v>Decreasing</v>
      </c>
      <c r="BF206" t="str">
        <f t="shared" si="42"/>
        <v>No</v>
      </c>
      <c r="BG206" t="str">
        <f t="shared" si="43"/>
        <v>No</v>
      </c>
      <c r="BH206" t="str">
        <f t="shared" si="44"/>
        <v>Yes</v>
      </c>
    </row>
    <row r="207" spans="1:60" x14ac:dyDescent="0.3">
      <c r="A207" s="1">
        <v>1</v>
      </c>
      <c r="B207" t="s">
        <v>472</v>
      </c>
      <c r="C207" t="s">
        <v>4108</v>
      </c>
      <c r="D207" t="s">
        <v>4109</v>
      </c>
      <c r="E207" t="s">
        <v>4110</v>
      </c>
      <c r="F207" t="s">
        <v>4111</v>
      </c>
      <c r="G207" t="s">
        <v>631</v>
      </c>
      <c r="I207" t="str">
        <f t="shared" si="52"/>
        <v>N/A</v>
      </c>
      <c r="J207">
        <f t="shared" si="53"/>
        <v>482450000</v>
      </c>
      <c r="K207">
        <f t="shared" si="54"/>
        <v>311300000</v>
      </c>
      <c r="L207">
        <f t="shared" si="55"/>
        <v>305450000</v>
      </c>
      <c r="M207">
        <f t="shared" si="56"/>
        <v>197470000</v>
      </c>
      <c r="N207">
        <f t="shared" si="57"/>
        <v>221730000</v>
      </c>
      <c r="P207">
        <f t="shared" si="27"/>
        <v>482450000</v>
      </c>
      <c r="Q207">
        <f>IFERROR(J144+MATCH(P207,J207:N207,0)-1,"")</f>
        <v>2012</v>
      </c>
      <c r="R207">
        <f t="shared" si="28"/>
        <v>197470000</v>
      </c>
      <c r="S207">
        <f>IFERROR(J144+MATCH(R207,J207:N207,0)-1,"")</f>
        <v>2015</v>
      </c>
      <c r="T207">
        <f t="shared" si="29"/>
        <v>303680000</v>
      </c>
      <c r="U207">
        <f t="shared" si="30"/>
        <v>111821595.40983129</v>
      </c>
      <c r="V207">
        <f t="shared" si="31"/>
        <v>1.59870729213619</v>
      </c>
      <c r="W207">
        <f t="shared" si="32"/>
        <v>6.8144261151634883E-2</v>
      </c>
      <c r="X207">
        <f t="shared" si="33"/>
        <v>1.5828785070655348E-2</v>
      </c>
      <c r="Y207">
        <f t="shared" si="34"/>
        <v>-0.9498165324035619</v>
      </c>
      <c r="Z207">
        <f t="shared" si="35"/>
        <v>-0.73286380595491851</v>
      </c>
      <c r="AA207">
        <f t="shared" si="36"/>
        <v>1.59870729213619</v>
      </c>
      <c r="AB207">
        <f>IFERROR(V144+MATCH(AA207,V207:Z207,0)-1,"")</f>
        <v>2012</v>
      </c>
      <c r="AC207" t="str">
        <f t="shared" si="37"/>
        <v>High</v>
      </c>
      <c r="AE207">
        <f>IF(ISNUMBER(MATCH("N/A",J207:N207,0)),"",IFERROR((5 * SUMPRODUCT(J144:N144,J207:N207) - PRODUCT(SUM(J144:N144),SUM(J207:N207))) / ((5 * SUM((J144^2)+(K144^2)+(L144^2)+(M144^2)+(N144^2))) - SUM(J144:N144)^2),""))</f>
        <v>-63527000</v>
      </c>
      <c r="AF207">
        <f>IFERROR(CORREL(J144:N144,J207:N207),"")</f>
        <v>-0.89826125347812058</v>
      </c>
      <c r="AZ207">
        <f t="shared" si="38"/>
        <v>1</v>
      </c>
      <c r="BA207" t="str">
        <f>IF(AZ207=1,IF(Q207="","",IF(Q207=N144,"Yes","No")),"")</f>
        <v>No</v>
      </c>
      <c r="BB207" t="str">
        <f t="shared" si="39"/>
        <v/>
      </c>
      <c r="BC207" t="str">
        <f>IF(AZ207=1,IF(S207="","",IF(S207=N144,"Yes","No")),"")</f>
        <v>No</v>
      </c>
      <c r="BD207" t="str">
        <f t="shared" si="40"/>
        <v/>
      </c>
      <c r="BE207" t="str">
        <f t="shared" si="41"/>
        <v>Decreasing</v>
      </c>
      <c r="BF207" t="str">
        <f t="shared" si="42"/>
        <v>No</v>
      </c>
      <c r="BG207" t="str">
        <f t="shared" si="43"/>
        <v>No</v>
      </c>
      <c r="BH207" t="str">
        <f t="shared" si="44"/>
        <v>Yes</v>
      </c>
    </row>
    <row r="208" spans="1:60" x14ac:dyDescent="0.3">
      <c r="A208" s="1">
        <v>2</v>
      </c>
      <c r="B208" t="s">
        <v>478</v>
      </c>
      <c r="C208" t="s">
        <v>264</v>
      </c>
      <c r="D208" t="s">
        <v>264</v>
      </c>
      <c r="E208" t="s">
        <v>264</v>
      </c>
      <c r="F208" t="s">
        <v>264</v>
      </c>
      <c r="G208" t="s">
        <v>264</v>
      </c>
      <c r="I208" t="str">
        <f t="shared" si="52"/>
        <v>N/A</v>
      </c>
      <c r="J208" t="str">
        <f t="shared" si="53"/>
        <v>N/A</v>
      </c>
      <c r="K208" t="str">
        <f t="shared" si="54"/>
        <v>N/A</v>
      </c>
      <c r="L208" t="str">
        <f t="shared" si="55"/>
        <v>N/A</v>
      </c>
      <c r="M208" t="str">
        <f t="shared" si="56"/>
        <v>N/A</v>
      </c>
      <c r="N208" t="str">
        <f t="shared" si="57"/>
        <v>N/A</v>
      </c>
      <c r="P208">
        <f t="shared" si="27"/>
        <v>0</v>
      </c>
      <c r="Q208" t="str">
        <f>IFERROR(J144+MATCH(P208,J208:N208,0)-1,"")</f>
        <v/>
      </c>
      <c r="R208" t="str">
        <f t="shared" si="28"/>
        <v/>
      </c>
      <c r="S208" t="str">
        <f>IFERROR(J144+MATCH(R208,J208:N208,0)-1,"")</f>
        <v/>
      </c>
      <c r="T208" t="str">
        <f t="shared" si="29"/>
        <v/>
      </c>
      <c r="U208" t="str">
        <f t="shared" si="30"/>
        <v/>
      </c>
      <c r="V208" t="str">
        <f t="shared" si="31"/>
        <v/>
      </c>
      <c r="W208" t="str">
        <f t="shared" si="32"/>
        <v/>
      </c>
      <c r="X208" t="str">
        <f t="shared" si="33"/>
        <v/>
      </c>
      <c r="Y208" t="str">
        <f t="shared" si="34"/>
        <v/>
      </c>
      <c r="Z208" t="str">
        <f t="shared" si="35"/>
        <v/>
      </c>
      <c r="AA208">
        <f t="shared" si="36"/>
        <v>0</v>
      </c>
      <c r="AB208" t="str">
        <f>IFERROR(V144+MATCH(AA208,V208:Z208,0)-1,"")</f>
        <v/>
      </c>
      <c r="AC208" t="str">
        <f t="shared" si="37"/>
        <v/>
      </c>
      <c r="AE208" t="str">
        <f>IF(ISNUMBER(MATCH("N/A",J208:N208,0)),"",IFERROR((5 * SUMPRODUCT(J144:N144,J208:N208) - PRODUCT(SUM(J144:N144),SUM(J208:N208))) / ((5 * SUM((J144^2)+(K144^2)+(L144^2)+(M144^2)+(N144^2))) - SUM(J144:N144)^2),""))</f>
        <v/>
      </c>
      <c r="AF208" t="str">
        <f>IFERROR(CORREL(J144:N144,J208:N208),"")</f>
        <v/>
      </c>
      <c r="AZ208">
        <f t="shared" si="38"/>
        <v>0</v>
      </c>
      <c r="BA208" t="str">
        <f>IF(AZ208=1,IF(Q208="","",IF(Q208=N144,"Yes","No")),"")</f>
        <v/>
      </c>
      <c r="BB208" t="str">
        <f t="shared" si="39"/>
        <v/>
      </c>
      <c r="BC208" t="str">
        <f>IF(AZ208=1,IF(S208="","",IF(S208=N144,"Yes","No")),"")</f>
        <v/>
      </c>
      <c r="BD208" t="str">
        <f t="shared" si="40"/>
        <v/>
      </c>
      <c r="BE208" t="str">
        <f t="shared" si="41"/>
        <v/>
      </c>
      <c r="BF208" t="str">
        <f t="shared" si="42"/>
        <v>No</v>
      </c>
      <c r="BG208" t="str">
        <f t="shared" si="43"/>
        <v>No</v>
      </c>
      <c r="BH208" t="str">
        <f t="shared" si="44"/>
        <v/>
      </c>
    </row>
    <row r="209" spans="1:60" x14ac:dyDescent="0.3">
      <c r="A209" s="1">
        <v>3</v>
      </c>
      <c r="B209" t="s">
        <v>484</v>
      </c>
      <c r="C209" t="s">
        <v>264</v>
      </c>
      <c r="D209" t="s">
        <v>4112</v>
      </c>
      <c r="E209" t="s">
        <v>4113</v>
      </c>
      <c r="F209" t="s">
        <v>4114</v>
      </c>
      <c r="G209" t="s">
        <v>4115</v>
      </c>
      <c r="I209" t="str">
        <f t="shared" si="52"/>
        <v>N/A</v>
      </c>
      <c r="J209" t="str">
        <f t="shared" si="53"/>
        <v>N/A</v>
      </c>
      <c r="K209">
        <f t="shared" si="54"/>
        <v>-0.35470000000000002</v>
      </c>
      <c r="L209">
        <f t="shared" si="55"/>
        <v>-1.8800000000000001E-2</v>
      </c>
      <c r="M209">
        <f t="shared" si="56"/>
        <v>-0.35350000000000004</v>
      </c>
      <c r="N209">
        <f t="shared" si="57"/>
        <v>0.1229</v>
      </c>
      <c r="P209">
        <f t="shared" ref="P209:P272" si="58">MAX(J209:N209)</f>
        <v>0.1229</v>
      </c>
      <c r="Q209">
        <f>IFERROR(J144+MATCH(P209,J209:N209,0)-1,"")</f>
        <v>2016</v>
      </c>
      <c r="R209">
        <f t="shared" ref="R209:R272" si="59">IF(Q209="","",MIN(J209:N209))</f>
        <v>-0.35470000000000002</v>
      </c>
      <c r="S209">
        <f>IFERROR(J144+MATCH(R209,J209:N209,0)-1,"")</f>
        <v>2013</v>
      </c>
      <c r="T209">
        <f t="shared" ref="T209:T272" si="60">IFERROR(AVERAGE(J209:N209),"")</f>
        <v>-0.15102500000000002</v>
      </c>
      <c r="U209">
        <f t="shared" ref="U209:U272" si="61">IFERROR(STDEV(J209:N209),"")</f>
        <v>0.24152155700889311</v>
      </c>
      <c r="V209" t="str">
        <f t="shared" ref="V209:V272" si="62">IFERROR(IF(C209="-","",IF(ISBLANK(B209),"",IF(OR(ISNUMBER(FIND("Growth",B209)),ISNUMBER(FIND("Margin",B209))),"",(J209-T209)/U209))),"")</f>
        <v/>
      </c>
      <c r="W209">
        <f t="shared" ref="W209:W272" si="63">IFERROR(IF(OR(D209="-",ISBLANK(D209)),"",(K209-T209)/U209),"")</f>
        <v>-0.84329946578019299</v>
      </c>
      <c r="X209">
        <f t="shared" ref="X209:X272" si="64">IFERROR(IF(OR(E209="-",ISBLANK(E209)),"",(L209-T209)/U209),"")</f>
        <v>0.54746665944659889</v>
      </c>
      <c r="Y209">
        <f t="shared" ref="Y209:Y272" si="65">IFERROR(IF(OR(F209="-",ISBLANK(F209)),"",(M209-T209)/U209),"")</f>
        <v>-0.83833096518396766</v>
      </c>
      <c r="Z209">
        <f t="shared" ref="Z209:Z272" si="66">IFERROR(IF(OR(G209="-",ISBLANK(G209)),"",(N209-T209)/U209),"")</f>
        <v>1.1341637715175619</v>
      </c>
      <c r="AA209">
        <f t="shared" ref="AA209:AA272" si="67">IF(MAX(MAX(V209:Z209),ABS(MIN(V209:Z209)))=ABS(MIN(V209:Z209)),MIN(V209:Z209),MAX(V209:Z209))</f>
        <v>1.1341637715175619</v>
      </c>
      <c r="AB209">
        <f>IFERROR(V144+MATCH(AA209,V209:Z209,0)-1,"")</f>
        <v>2016</v>
      </c>
      <c r="AC209" t="str">
        <f t="shared" ref="AC209:AC272" si="68">IF(AB209&lt;&gt;"",IF(S209=AB209,"Low",IF(AB209=Q209,"High","")),"")</f>
        <v>High</v>
      </c>
      <c r="AE209" t="str">
        <f>IF(ISNUMBER(MATCH("N/A",J209:N209,0)),"",IFERROR((5 * SUMPRODUCT(J144:N144,J209:N209) - PRODUCT(SUM(J144:N144),SUM(J209:N209))) / ((5 * SUM((J144^2)+(K144^2)+(L144^2)+(M144^2)+(N144^2))) - SUM(J144:N144)^2),""))</f>
        <v/>
      </c>
      <c r="AF209">
        <f>IFERROR(CORREL(J144:N144,J209:N209),"")</f>
        <v>0.58696251453222836</v>
      </c>
      <c r="AZ209">
        <f t="shared" ref="AZ209:AZ272" si="69">IF(Q209=S209,0,1)</f>
        <v>1</v>
      </c>
      <c r="BA209" t="str">
        <f>IF(AZ209=1,IF(Q209="","",IF(Q209=N144,"Yes","No")),"")</f>
        <v>Yes</v>
      </c>
      <c r="BB209">
        <f t="shared" ref="BB209:BB272" si="70">IF(BA209="Yes",P209,"")</f>
        <v>0.1229</v>
      </c>
      <c r="BC209" t="str">
        <f>IF(AZ209=1,IF(S209="","",IF(S209=N144,"Yes","No")),"")</f>
        <v>No</v>
      </c>
      <c r="BD209" t="str">
        <f t="shared" ref="BD209:BD272" si="71">IF(BC209="Yes",R209,"")</f>
        <v/>
      </c>
      <c r="BE209" t="str">
        <f t="shared" ref="BE209:BE272" si="72">IFERROR(IF(SIGN(AE209)=1,"Increasing",IF(SIGN(AE209)=-1,"Decreasing","")),"")</f>
        <v/>
      </c>
      <c r="BF209" t="str">
        <f t="shared" ref="BF209:BF272" si="73">IF(OR(AND(BE209="Increasing",BA209="Yes"),AND(BE209="Decreasing",BC209="Yes")),"Yes","No")</f>
        <v>No</v>
      </c>
      <c r="BG209" t="str">
        <f t="shared" ref="BG209:BG272" si="74">IF(I209="pos_trend","Yes","No")</f>
        <v>No</v>
      </c>
      <c r="BH209" t="str">
        <f t="shared" ref="BH209:BH272" si="75">IF(AF209&lt;&gt;"",IF(ABS(AF209)&gt;0.8,"Yes","No"),"")</f>
        <v>No</v>
      </c>
    </row>
    <row r="210" spans="1:60" x14ac:dyDescent="0.3">
      <c r="A210" s="1">
        <v>4</v>
      </c>
      <c r="B210" t="s">
        <v>489</v>
      </c>
      <c r="C210" t="s">
        <v>4116</v>
      </c>
      <c r="D210" t="s">
        <v>4117</v>
      </c>
      <c r="E210" t="s">
        <v>4118</v>
      </c>
      <c r="F210" t="s">
        <v>4119</v>
      </c>
      <c r="G210" t="s">
        <v>4120</v>
      </c>
      <c r="I210" t="str">
        <f t="shared" si="52"/>
        <v>N/A</v>
      </c>
      <c r="J210">
        <f t="shared" si="53"/>
        <v>7.8700000000000006E-2</v>
      </c>
      <c r="K210">
        <f t="shared" si="54"/>
        <v>4.7300000000000009E-2</v>
      </c>
      <c r="L210">
        <f t="shared" si="55"/>
        <v>4.2200000000000001E-2</v>
      </c>
      <c r="M210">
        <f t="shared" si="56"/>
        <v>2.9300000000000003E-2</v>
      </c>
      <c r="N210">
        <f t="shared" si="57"/>
        <v>3.4700000000000002E-2</v>
      </c>
      <c r="P210">
        <f t="shared" si="58"/>
        <v>7.8700000000000006E-2</v>
      </c>
      <c r="Q210">
        <f>IFERROR(J144+MATCH(P210,J210:N210,0)-1,"")</f>
        <v>2012</v>
      </c>
      <c r="R210">
        <f t="shared" si="59"/>
        <v>2.9300000000000003E-2</v>
      </c>
      <c r="S210">
        <f>IFERROR(J144+MATCH(R210,J210:N210,0)-1,"")</f>
        <v>2015</v>
      </c>
      <c r="T210">
        <f t="shared" si="60"/>
        <v>4.6440000000000002E-2</v>
      </c>
      <c r="U210">
        <f t="shared" si="61"/>
        <v>1.9306941756787894E-2</v>
      </c>
      <c r="V210">
        <f t="shared" si="62"/>
        <v>1.670901606602615</v>
      </c>
      <c r="W210">
        <f t="shared" si="63"/>
        <v>4.454356421817296E-2</v>
      </c>
      <c r="X210">
        <f t="shared" si="64"/>
        <v>-0.21961013056401388</v>
      </c>
      <c r="Y210">
        <f t="shared" si="65"/>
        <v>-0.88776359383660308</v>
      </c>
      <c r="Z210">
        <f t="shared" si="66"/>
        <v>-0.60807144642017041</v>
      </c>
      <c r="AA210">
        <f t="shared" si="67"/>
        <v>1.670901606602615</v>
      </c>
      <c r="AB210">
        <f>IFERROR(V144+MATCH(AA210,V210:Z210,0)-1,"")</f>
        <v>2012</v>
      </c>
      <c r="AC210" t="str">
        <f t="shared" si="68"/>
        <v>High</v>
      </c>
      <c r="AE210">
        <f>IF(ISNUMBER(MATCH("N/A",J210:N210,0)),"",IFERROR((5 * SUMPRODUCT(J144:N144,J210:N210) - PRODUCT(SUM(J144:N144),SUM(J210:N210))) / ((5 * SUM((J144^2)+(K144^2)+(L144^2)+(M144^2)+(N144^2))) - SUM(J144:N144)^2),""))</f>
        <v>-1.0600000000004002E-2</v>
      </c>
      <c r="AF210">
        <f>IFERROR(CORREL(J144:N144,J210:N210),"")</f>
        <v>-0.86808526228655236</v>
      </c>
      <c r="AZ210">
        <f t="shared" si="69"/>
        <v>1</v>
      </c>
      <c r="BA210" t="str">
        <f>IF(AZ210=1,IF(Q210="","",IF(Q210=N144,"Yes","No")),"")</f>
        <v>No</v>
      </c>
      <c r="BB210" t="str">
        <f t="shared" si="70"/>
        <v/>
      </c>
      <c r="BC210" t="str">
        <f>IF(AZ210=1,IF(S210="","",IF(S210=N144,"Yes","No")),"")</f>
        <v>No</v>
      </c>
      <c r="BD210" t="str">
        <f t="shared" si="71"/>
        <v/>
      </c>
      <c r="BE210" t="str">
        <f t="shared" si="72"/>
        <v>Decreasing</v>
      </c>
      <c r="BF210" t="str">
        <f t="shared" si="73"/>
        <v>No</v>
      </c>
      <c r="BG210" t="str">
        <f t="shared" si="74"/>
        <v>No</v>
      </c>
      <c r="BH210" t="str">
        <f t="shared" si="75"/>
        <v>Yes</v>
      </c>
    </row>
    <row r="211" spans="1:60" x14ac:dyDescent="0.3">
      <c r="A211" s="1">
        <v>5</v>
      </c>
      <c r="B211" t="s">
        <v>495</v>
      </c>
      <c r="C211" t="s">
        <v>4121</v>
      </c>
      <c r="D211" t="s">
        <v>1374</v>
      </c>
      <c r="E211" t="s">
        <v>1374</v>
      </c>
      <c r="F211" t="s">
        <v>4122</v>
      </c>
      <c r="G211" t="s">
        <v>4123</v>
      </c>
      <c r="I211" t="str">
        <f t="shared" si="52"/>
        <v>N/A</v>
      </c>
      <c r="J211">
        <f t="shared" si="53"/>
        <v>873380000</v>
      </c>
      <c r="K211">
        <f t="shared" si="54"/>
        <v>1030000000</v>
      </c>
      <c r="L211">
        <f t="shared" si="55"/>
        <v>1030000000</v>
      </c>
      <c r="M211">
        <f t="shared" si="56"/>
        <v>888170000</v>
      </c>
      <c r="N211">
        <f t="shared" si="57"/>
        <v>913610000</v>
      </c>
      <c r="P211">
        <f t="shared" si="58"/>
        <v>1030000000</v>
      </c>
      <c r="Q211">
        <f>IFERROR(J144+MATCH(P211,J211:N211,0)-1,"")</f>
        <v>2013</v>
      </c>
      <c r="R211">
        <f t="shared" si="59"/>
        <v>873380000</v>
      </c>
      <c r="S211">
        <f>IFERROR(J144+MATCH(R211,J211:N211,0)-1,"")</f>
        <v>2012</v>
      </c>
      <c r="T211">
        <f t="shared" si="60"/>
        <v>947032000</v>
      </c>
      <c r="U211">
        <f t="shared" si="61"/>
        <v>77093709.665575176</v>
      </c>
      <c r="V211">
        <f t="shared" si="62"/>
        <v>-0.95535680303224513</v>
      </c>
      <c r="W211">
        <f t="shared" si="63"/>
        <v>1.076196752755924</v>
      </c>
      <c r="X211">
        <f t="shared" si="64"/>
        <v>1.076196752755924</v>
      </c>
      <c r="Y211">
        <f t="shared" si="65"/>
        <v>-0.76351235730304701</v>
      </c>
      <c r="Z211">
        <f t="shared" si="66"/>
        <v>-0.43352434517655597</v>
      </c>
      <c r="AA211">
        <f t="shared" si="67"/>
        <v>1.076196752755924</v>
      </c>
      <c r="AB211">
        <f>IFERROR(V144+MATCH(AA211,V211:Z211,0)-1,"")</f>
        <v>2013</v>
      </c>
      <c r="AC211" t="str">
        <f t="shared" si="68"/>
        <v>High</v>
      </c>
      <c r="AE211">
        <f>IF(ISNUMBER(MATCH("N/A",J211:N211,0)),"",IFERROR((5 * SUMPRODUCT(J144:N144,J211:N211) - PRODUCT(SUM(J144:N144),SUM(J211:N211))) / ((5 * SUM((J144^2)+(K144^2)+(L144^2)+(M144^2)+(N144^2))) - SUM(J144:N144)^2),""))</f>
        <v>-6137000</v>
      </c>
      <c r="AF211">
        <f>IFERROR(CORREL(J144:N144,J211:N211),"")</f>
        <v>-0.12586563861460637</v>
      </c>
      <c r="AZ211">
        <f t="shared" si="69"/>
        <v>1</v>
      </c>
      <c r="BA211" t="str">
        <f>IF(AZ211=1,IF(Q211="","",IF(Q211=N144,"Yes","No")),"")</f>
        <v>No</v>
      </c>
      <c r="BB211" t="str">
        <f t="shared" si="70"/>
        <v/>
      </c>
      <c r="BC211" t="str">
        <f>IF(AZ211=1,IF(S211="","",IF(S211=N144,"Yes","No")),"")</f>
        <v>No</v>
      </c>
      <c r="BD211" t="str">
        <f t="shared" si="71"/>
        <v/>
      </c>
      <c r="BE211" t="str">
        <f t="shared" si="72"/>
        <v>Decreasing</v>
      </c>
      <c r="BF211" t="str">
        <f t="shared" si="73"/>
        <v>No</v>
      </c>
      <c r="BG211" t="str">
        <f t="shared" si="74"/>
        <v>No</v>
      </c>
      <c r="BH211" t="str">
        <f t="shared" si="75"/>
        <v>No</v>
      </c>
    </row>
    <row r="212" spans="1:60" x14ac:dyDescent="0.3">
      <c r="A212" s="1">
        <v>6</v>
      </c>
      <c r="B212" t="s">
        <v>501</v>
      </c>
      <c r="C212" t="s">
        <v>4121</v>
      </c>
      <c r="D212" t="s">
        <v>1374</v>
      </c>
      <c r="E212" t="s">
        <v>1374</v>
      </c>
      <c r="F212" t="s">
        <v>4122</v>
      </c>
      <c r="G212" t="s">
        <v>4123</v>
      </c>
      <c r="I212" t="str">
        <f t="shared" si="52"/>
        <v>N/A</v>
      </c>
      <c r="J212">
        <f t="shared" si="53"/>
        <v>873380000</v>
      </c>
      <c r="K212">
        <f t="shared" si="54"/>
        <v>1030000000</v>
      </c>
      <c r="L212">
        <f t="shared" si="55"/>
        <v>1030000000</v>
      </c>
      <c r="M212">
        <f t="shared" si="56"/>
        <v>888170000</v>
      </c>
      <c r="N212">
        <f t="shared" si="57"/>
        <v>913610000</v>
      </c>
      <c r="P212">
        <f t="shared" si="58"/>
        <v>1030000000</v>
      </c>
      <c r="Q212">
        <f>IFERROR(J144+MATCH(P212,J212:N212,0)-1,"")</f>
        <v>2013</v>
      </c>
      <c r="R212">
        <f t="shared" si="59"/>
        <v>873380000</v>
      </c>
      <c r="S212">
        <f>IFERROR(J144+MATCH(R212,J212:N212,0)-1,"")</f>
        <v>2012</v>
      </c>
      <c r="T212">
        <f t="shared" si="60"/>
        <v>947032000</v>
      </c>
      <c r="U212">
        <f t="shared" si="61"/>
        <v>77093709.665575176</v>
      </c>
      <c r="V212">
        <f t="shared" si="62"/>
        <v>-0.95535680303224513</v>
      </c>
      <c r="W212">
        <f t="shared" si="63"/>
        <v>1.076196752755924</v>
      </c>
      <c r="X212">
        <f t="shared" si="64"/>
        <v>1.076196752755924</v>
      </c>
      <c r="Y212">
        <f t="shared" si="65"/>
        <v>-0.76351235730304701</v>
      </c>
      <c r="Z212">
        <f t="shared" si="66"/>
        <v>-0.43352434517655597</v>
      </c>
      <c r="AA212">
        <f t="shared" si="67"/>
        <v>1.076196752755924</v>
      </c>
      <c r="AB212">
        <f>IFERROR(V144+MATCH(AA212,V212:Z212,0)-1,"")</f>
        <v>2013</v>
      </c>
      <c r="AC212" t="str">
        <f t="shared" si="68"/>
        <v>High</v>
      </c>
      <c r="AE212">
        <f>IF(ISNUMBER(MATCH("N/A",J212:N212,0)),"",IFERROR((5 * SUMPRODUCT(J144:N144,J212:N212) - PRODUCT(SUM(J144:N144),SUM(J212:N212))) / ((5 * SUM((J144^2)+(K144^2)+(L144^2)+(M144^2)+(N144^2))) - SUM(J144:N144)^2),""))</f>
        <v>-6137000</v>
      </c>
      <c r="AF212">
        <f>IFERROR(CORREL(J144:N144,J212:N212),"")</f>
        <v>-0.12586563861460637</v>
      </c>
      <c r="AZ212">
        <f t="shared" si="69"/>
        <v>1</v>
      </c>
      <c r="BA212" t="str">
        <f>IF(AZ212=1,IF(Q212="","",IF(Q212=N144,"Yes","No")),"")</f>
        <v>No</v>
      </c>
      <c r="BB212" t="str">
        <f t="shared" si="70"/>
        <v/>
      </c>
      <c r="BC212" t="str">
        <f>IF(AZ212=1,IF(S212="","",IF(S212=N144,"Yes","No")),"")</f>
        <v>No</v>
      </c>
      <c r="BD212" t="str">
        <f t="shared" si="71"/>
        <v/>
      </c>
      <c r="BE212" t="str">
        <f t="shared" si="72"/>
        <v>Decreasing</v>
      </c>
      <c r="BF212" t="str">
        <f t="shared" si="73"/>
        <v>No</v>
      </c>
      <c r="BG212" t="str">
        <f t="shared" si="74"/>
        <v>No</v>
      </c>
      <c r="BH212" t="str">
        <f t="shared" si="75"/>
        <v>No</v>
      </c>
    </row>
    <row r="213" spans="1:60" x14ac:dyDescent="0.3">
      <c r="A213" s="1">
        <v>7</v>
      </c>
      <c r="B213" t="s">
        <v>504</v>
      </c>
      <c r="C213" t="s">
        <v>4124</v>
      </c>
      <c r="D213" t="s">
        <v>3531</v>
      </c>
      <c r="E213" t="s">
        <v>3531</v>
      </c>
      <c r="F213" t="s">
        <v>4125</v>
      </c>
      <c r="G213" t="s">
        <v>4126</v>
      </c>
      <c r="I213" t="str">
        <f t="shared" si="52"/>
        <v>N/A</v>
      </c>
      <c r="J213">
        <f t="shared" si="53"/>
        <v>889850000</v>
      </c>
      <c r="K213">
        <f t="shared" si="54"/>
        <v>1060000000</v>
      </c>
      <c r="L213">
        <f t="shared" si="55"/>
        <v>1060000000</v>
      </c>
      <c r="M213">
        <f t="shared" si="56"/>
        <v>927670000</v>
      </c>
      <c r="N213">
        <f t="shared" si="57"/>
        <v>955130000</v>
      </c>
      <c r="P213">
        <f t="shared" si="58"/>
        <v>1060000000</v>
      </c>
      <c r="Q213">
        <f>IFERROR(J144+MATCH(P213,J213:N213,0)-1,"")</f>
        <v>2013</v>
      </c>
      <c r="R213">
        <f t="shared" si="59"/>
        <v>889850000</v>
      </c>
      <c r="S213">
        <f>IFERROR(J144+MATCH(R213,J213:N213,0)-1,"")</f>
        <v>2012</v>
      </c>
      <c r="T213">
        <f t="shared" si="60"/>
        <v>978530000</v>
      </c>
      <c r="U213">
        <f t="shared" si="61"/>
        <v>77899235.875584811</v>
      </c>
      <c r="V213">
        <f t="shared" si="62"/>
        <v>-1.1383937082724851</v>
      </c>
      <c r="W213">
        <f t="shared" si="63"/>
        <v>1.0458382432674713</v>
      </c>
      <c r="X213">
        <f t="shared" si="64"/>
        <v>1.0458382432674713</v>
      </c>
      <c r="Y213">
        <f t="shared" si="65"/>
        <v>-0.65289472262898729</v>
      </c>
      <c r="Z213">
        <f t="shared" si="66"/>
        <v>-0.30038805563347037</v>
      </c>
      <c r="AA213">
        <f t="shared" si="67"/>
        <v>-1.1383937082724851</v>
      </c>
      <c r="AB213">
        <f>IFERROR(V144+MATCH(AA213,V213:Z213,0)-1,"")</f>
        <v>2012</v>
      </c>
      <c r="AC213" t="str">
        <f t="shared" si="68"/>
        <v>Low</v>
      </c>
      <c r="AE213">
        <f>IF(ISNUMBER(MATCH("N/A",J213:N213,0)),"",IFERROR((5 * SUMPRODUCT(J144:N144,J213:N213) - PRODUCT(SUM(J144:N144),SUM(J213:N213))) / ((5 * SUM((J144^2)+(K144^2)+(L144^2)+(M144^2)+(N144^2))) - SUM(J144:N144)^2),""))</f>
        <v>-177000</v>
      </c>
      <c r="AF213">
        <f>IFERROR(CORREL(J144:N144,J213:N213),"")</f>
        <v>-3.5926099887793094E-3</v>
      </c>
      <c r="AZ213">
        <f t="shared" si="69"/>
        <v>1</v>
      </c>
      <c r="BA213" t="str">
        <f>IF(AZ213=1,IF(Q213="","",IF(Q213=N144,"Yes","No")),"")</f>
        <v>No</v>
      </c>
      <c r="BB213" t="str">
        <f t="shared" si="70"/>
        <v/>
      </c>
      <c r="BC213" t="str">
        <f>IF(AZ213=1,IF(S213="","",IF(S213=N144,"Yes","No")),"")</f>
        <v>No</v>
      </c>
      <c r="BD213" t="str">
        <f t="shared" si="71"/>
        <v/>
      </c>
      <c r="BE213" t="str">
        <f t="shared" si="72"/>
        <v>Decreasing</v>
      </c>
      <c r="BF213" t="str">
        <f t="shared" si="73"/>
        <v>No</v>
      </c>
      <c r="BG213" t="str">
        <f t="shared" si="74"/>
        <v>No</v>
      </c>
      <c r="BH213" t="str">
        <f t="shared" si="75"/>
        <v>No</v>
      </c>
    </row>
    <row r="214" spans="1:60" x14ac:dyDescent="0.3">
      <c r="A214" s="1">
        <v>8</v>
      </c>
      <c r="B214" t="s">
        <v>510</v>
      </c>
      <c r="C214" t="s">
        <v>4127</v>
      </c>
      <c r="D214" t="s">
        <v>4128</v>
      </c>
      <c r="E214" t="s">
        <v>4129</v>
      </c>
      <c r="F214" t="s">
        <v>4130</v>
      </c>
      <c r="G214" t="s">
        <v>4131</v>
      </c>
      <c r="I214" t="str">
        <f t="shared" si="52"/>
        <v>N/A</v>
      </c>
      <c r="J214">
        <f t="shared" si="53"/>
        <v>-16460000</v>
      </c>
      <c r="K214">
        <f t="shared" si="54"/>
        <v>-31280000</v>
      </c>
      <c r="L214">
        <f t="shared" si="55"/>
        <v>-27260000</v>
      </c>
      <c r="M214">
        <f t="shared" si="56"/>
        <v>-39510000</v>
      </c>
      <c r="N214">
        <f t="shared" si="57"/>
        <v>-41510000</v>
      </c>
      <c r="P214">
        <f t="shared" si="58"/>
        <v>-16460000</v>
      </c>
      <c r="Q214">
        <f>IFERROR(J144+MATCH(P214,J214:N214,0)-1,"")</f>
        <v>2012</v>
      </c>
      <c r="R214">
        <f t="shared" si="59"/>
        <v>-41510000</v>
      </c>
      <c r="S214">
        <f>IFERROR(J144+MATCH(R214,J214:N214,0)-1,"")</f>
        <v>2016</v>
      </c>
      <c r="T214">
        <f t="shared" si="60"/>
        <v>-31204000</v>
      </c>
      <c r="U214">
        <f t="shared" si="61"/>
        <v>10101357.829519752</v>
      </c>
      <c r="V214">
        <f t="shared" si="62"/>
        <v>1.4596057528932198</v>
      </c>
      <c r="W214">
        <f t="shared" si="63"/>
        <v>-7.5237409942949477E-3</v>
      </c>
      <c r="X214">
        <f t="shared" si="64"/>
        <v>0.39044255896709573</v>
      </c>
      <c r="Y214">
        <f t="shared" si="65"/>
        <v>-0.82226569340281364</v>
      </c>
      <c r="Z214">
        <f t="shared" si="66"/>
        <v>-1.0202588774632071</v>
      </c>
      <c r="AA214">
        <f t="shared" si="67"/>
        <v>1.4596057528932198</v>
      </c>
      <c r="AB214">
        <f>IFERROR(V144+MATCH(AA214,V214:Z214,0)-1,"")</f>
        <v>2012</v>
      </c>
      <c r="AC214" t="str">
        <f t="shared" si="68"/>
        <v>High</v>
      </c>
      <c r="AE214">
        <f>IF(ISNUMBER(MATCH("N/A",J214:N214,0)),"",IFERROR((5 * SUMPRODUCT(J144:N144,J214:N214) - PRODUCT(SUM(J144:N144),SUM(J214:N214))) / ((5 * SUM((J144^2)+(K144^2)+(L144^2)+(M144^2)+(N144^2))) - SUM(J144:N144)^2),""))</f>
        <v>-5833000</v>
      </c>
      <c r="AF214">
        <f>IFERROR(CORREL(J144:N144,J214:N214),"")</f>
        <v>-0.91302406582695561</v>
      </c>
      <c r="AZ214">
        <f t="shared" si="69"/>
        <v>1</v>
      </c>
      <c r="BA214" t="str">
        <f>IF(AZ214=1,IF(Q214="","",IF(Q214=N144,"Yes","No")),"")</f>
        <v>No</v>
      </c>
      <c r="BB214" t="str">
        <f t="shared" si="70"/>
        <v/>
      </c>
      <c r="BC214" t="str">
        <f>IF(AZ214=1,IF(S214="","",IF(S214=N144,"Yes","No")),"")</f>
        <v>Yes</v>
      </c>
      <c r="BD214">
        <f t="shared" si="71"/>
        <v>-41510000</v>
      </c>
      <c r="BE214" t="str">
        <f t="shared" si="72"/>
        <v>Decreasing</v>
      </c>
      <c r="BF214" t="str">
        <f t="shared" si="73"/>
        <v>Yes</v>
      </c>
      <c r="BG214" t="str">
        <f t="shared" si="74"/>
        <v>No</v>
      </c>
      <c r="BH214" t="str">
        <f t="shared" si="75"/>
        <v>Yes</v>
      </c>
    </row>
    <row r="215" spans="1:60" x14ac:dyDescent="0.3">
      <c r="A215" s="1">
        <v>9</v>
      </c>
      <c r="B215" t="s">
        <v>516</v>
      </c>
      <c r="C215" t="s">
        <v>264</v>
      </c>
      <c r="D215" t="s">
        <v>264</v>
      </c>
      <c r="E215" t="s">
        <v>264</v>
      </c>
      <c r="F215" t="s">
        <v>264</v>
      </c>
      <c r="G215" t="s">
        <v>264</v>
      </c>
      <c r="I215" t="str">
        <f t="shared" si="52"/>
        <v>N/A</v>
      </c>
      <c r="J215" t="str">
        <f t="shared" si="53"/>
        <v>N/A</v>
      </c>
      <c r="K215" t="str">
        <f t="shared" si="54"/>
        <v>N/A</v>
      </c>
      <c r="L215" t="str">
        <f t="shared" si="55"/>
        <v>N/A</v>
      </c>
      <c r="M215" t="str">
        <f t="shared" si="56"/>
        <v>N/A</v>
      </c>
      <c r="N215" t="str">
        <f t="shared" si="57"/>
        <v>N/A</v>
      </c>
      <c r="P215">
        <f t="shared" si="58"/>
        <v>0</v>
      </c>
      <c r="Q215" t="str">
        <f>IFERROR(J144+MATCH(P215,J215:N215,0)-1,"")</f>
        <v/>
      </c>
      <c r="R215" t="str">
        <f t="shared" si="59"/>
        <v/>
      </c>
      <c r="S215" t="str">
        <f>IFERROR(J144+MATCH(R215,J215:N215,0)-1,"")</f>
        <v/>
      </c>
      <c r="T215" t="str">
        <f t="shared" si="60"/>
        <v/>
      </c>
      <c r="U215" t="str">
        <f t="shared" si="61"/>
        <v/>
      </c>
      <c r="V215" t="str">
        <f t="shared" si="62"/>
        <v/>
      </c>
      <c r="W215" t="str">
        <f t="shared" si="63"/>
        <v/>
      </c>
      <c r="X215" t="str">
        <f t="shared" si="64"/>
        <v/>
      </c>
      <c r="Y215" t="str">
        <f t="shared" si="65"/>
        <v/>
      </c>
      <c r="Z215" t="str">
        <f t="shared" si="66"/>
        <v/>
      </c>
      <c r="AA215">
        <f t="shared" si="67"/>
        <v>0</v>
      </c>
      <c r="AB215" t="str">
        <f>IFERROR(V144+MATCH(AA215,V215:Z215,0)-1,"")</f>
        <v/>
      </c>
      <c r="AC215" t="str">
        <f t="shared" si="68"/>
        <v/>
      </c>
      <c r="AE215" t="str">
        <f>IF(ISNUMBER(MATCH("N/A",J215:N215,0)),"",IFERROR((5 * SUMPRODUCT(J144:N144,J215:N215) - PRODUCT(SUM(J144:N144),SUM(J215:N215))) / ((5 * SUM((J144^2)+(K144^2)+(L144^2)+(M144^2)+(N144^2))) - SUM(J144:N144)^2),""))</f>
        <v/>
      </c>
      <c r="AF215" t="str">
        <f>IFERROR(CORREL(J144:N144,J215:N215),"")</f>
        <v/>
      </c>
      <c r="AZ215">
        <f t="shared" si="69"/>
        <v>0</v>
      </c>
      <c r="BA215" t="str">
        <f>IF(AZ215=1,IF(Q215="","",IF(Q215=N144,"Yes","No")),"")</f>
        <v/>
      </c>
      <c r="BB215" t="str">
        <f t="shared" si="70"/>
        <v/>
      </c>
      <c r="BC215" t="str">
        <f>IF(AZ215=1,IF(S215="","",IF(S215=N144,"Yes","No")),"")</f>
        <v/>
      </c>
      <c r="BD215" t="str">
        <f t="shared" si="71"/>
        <v/>
      </c>
      <c r="BE215" t="str">
        <f t="shared" si="72"/>
        <v/>
      </c>
      <c r="BF215" t="str">
        <f t="shared" si="73"/>
        <v>No</v>
      </c>
      <c r="BG215" t="str">
        <f t="shared" si="74"/>
        <v>No</v>
      </c>
      <c r="BH215" t="str">
        <f t="shared" si="75"/>
        <v/>
      </c>
    </row>
    <row r="216" spans="1:60" x14ac:dyDescent="0.3">
      <c r="A216" s="1">
        <v>10</v>
      </c>
      <c r="B216" t="s">
        <v>519</v>
      </c>
      <c r="C216" t="s">
        <v>264</v>
      </c>
      <c r="D216" t="s">
        <v>4132</v>
      </c>
      <c r="E216" t="s">
        <v>4133</v>
      </c>
      <c r="F216" t="s">
        <v>4134</v>
      </c>
      <c r="G216" t="s">
        <v>4135</v>
      </c>
      <c r="I216" t="str">
        <f t="shared" si="52"/>
        <v>N/A</v>
      </c>
      <c r="J216" t="str">
        <f t="shared" si="53"/>
        <v>N/A</v>
      </c>
      <c r="K216">
        <f t="shared" si="54"/>
        <v>0.18030000000000002</v>
      </c>
      <c r="L216">
        <f t="shared" si="55"/>
        <v>-1.7000000000000001E-3</v>
      </c>
      <c r="M216">
        <f t="shared" si="56"/>
        <v>-0.13699999999999998</v>
      </c>
      <c r="N216">
        <f t="shared" si="57"/>
        <v>2.8700000000000003E-2</v>
      </c>
      <c r="P216">
        <f t="shared" si="58"/>
        <v>0.18030000000000002</v>
      </c>
      <c r="Q216">
        <f>IFERROR(J144+MATCH(P216,J216:N216,0)-1,"")</f>
        <v>2013</v>
      </c>
      <c r="R216">
        <f t="shared" si="59"/>
        <v>-0.13699999999999998</v>
      </c>
      <c r="S216">
        <f>IFERROR(J144+MATCH(R216,J216:N216,0)-1,"")</f>
        <v>2015</v>
      </c>
      <c r="T216">
        <f t="shared" si="60"/>
        <v>1.7575000000000007E-2</v>
      </c>
      <c r="U216">
        <f t="shared" si="61"/>
        <v>0.13021539527516193</v>
      </c>
      <c r="V216" t="str">
        <f t="shared" si="62"/>
        <v/>
      </c>
      <c r="W216">
        <f t="shared" si="63"/>
        <v>1.2496602237864507</v>
      </c>
      <c r="X216">
        <f t="shared" si="64"/>
        <v>-0.14802397181431154</v>
      </c>
      <c r="Y216">
        <f t="shared" si="65"/>
        <v>-1.1870716183241088</v>
      </c>
      <c r="Z216">
        <f t="shared" si="66"/>
        <v>8.5435366351969633E-2</v>
      </c>
      <c r="AA216">
        <f t="shared" si="67"/>
        <v>1.2496602237864507</v>
      </c>
      <c r="AB216">
        <f>IFERROR(V144+MATCH(AA216,V216:Z216,0)-1,"")</f>
        <v>2013</v>
      </c>
      <c r="AC216" t="str">
        <f t="shared" si="68"/>
        <v>High</v>
      </c>
      <c r="AE216" t="str">
        <f>IF(ISNUMBER(MATCH("N/A",J216:N216,0)),"",IFERROR((5 * SUMPRODUCT(J144:N144,J216:N216) - PRODUCT(SUM(J144:N144),SUM(J216:N216))) / ((5 * SUM((J144^2)+(K144^2)+(L144^2)+(M144^2)+(N144^2))) - SUM(J144:N144)^2),""))</f>
        <v/>
      </c>
      <c r="AF216">
        <f>IFERROR(CORREL(J144:N144,J216:N216),"")</f>
        <v>-0.58504282277006014</v>
      </c>
      <c r="AZ216">
        <f t="shared" si="69"/>
        <v>1</v>
      </c>
      <c r="BA216" t="str">
        <f>IF(AZ216=1,IF(Q216="","",IF(Q216=N144,"Yes","No")),"")</f>
        <v>No</v>
      </c>
      <c r="BB216" t="str">
        <f t="shared" si="70"/>
        <v/>
      </c>
      <c r="BC216" t="str">
        <f>IF(AZ216=1,IF(S216="","",IF(S216=N144,"Yes","No")),"")</f>
        <v>No</v>
      </c>
      <c r="BD216" t="str">
        <f t="shared" si="71"/>
        <v/>
      </c>
      <c r="BE216" t="str">
        <f t="shared" si="72"/>
        <v/>
      </c>
      <c r="BF216" t="str">
        <f t="shared" si="73"/>
        <v>No</v>
      </c>
      <c r="BG216" t="str">
        <f t="shared" si="74"/>
        <v>No</v>
      </c>
      <c r="BH216" t="str">
        <f t="shared" si="75"/>
        <v>No</v>
      </c>
    </row>
    <row r="217" spans="1:60" x14ac:dyDescent="0.3">
      <c r="A217" s="1">
        <v>11</v>
      </c>
      <c r="B217" t="s">
        <v>524</v>
      </c>
      <c r="C217" t="s">
        <v>4136</v>
      </c>
      <c r="D217" t="s">
        <v>4137</v>
      </c>
      <c r="E217" t="s">
        <v>4138</v>
      </c>
      <c r="F217" t="s">
        <v>4139</v>
      </c>
      <c r="G217" t="s">
        <v>4140</v>
      </c>
      <c r="I217" t="str">
        <f t="shared" si="52"/>
        <v>N/A</v>
      </c>
      <c r="J217">
        <f t="shared" si="53"/>
        <v>4.4800000000000004</v>
      </c>
      <c r="K217">
        <f t="shared" si="54"/>
        <v>4.08</v>
      </c>
      <c r="L217">
        <f t="shared" si="55"/>
        <v>4.49</v>
      </c>
      <c r="M217">
        <f t="shared" si="56"/>
        <v>4.47</v>
      </c>
      <c r="N217">
        <f t="shared" si="57"/>
        <v>3.99</v>
      </c>
      <c r="P217">
        <f t="shared" si="58"/>
        <v>4.49</v>
      </c>
      <c r="Q217">
        <f>IFERROR(J144+MATCH(P217,J217:N217,0)-1,"")</f>
        <v>2014</v>
      </c>
      <c r="R217">
        <f t="shared" si="59"/>
        <v>3.99</v>
      </c>
      <c r="S217">
        <f>IFERROR(J144+MATCH(R217,J217:N217,0)-1,"")</f>
        <v>2016</v>
      </c>
      <c r="T217">
        <f t="shared" si="60"/>
        <v>4.3019999999999996</v>
      </c>
      <c r="U217">
        <f t="shared" si="61"/>
        <v>0.24590648629102893</v>
      </c>
      <c r="V217">
        <f t="shared" si="62"/>
        <v>0.72385239887222341</v>
      </c>
      <c r="W217">
        <f t="shared" si="63"/>
        <v>-0.90278220533501419</v>
      </c>
      <c r="X217">
        <f t="shared" si="64"/>
        <v>0.76451826397740352</v>
      </c>
      <c r="Y217">
        <f t="shared" si="65"/>
        <v>0.68318653376703986</v>
      </c>
      <c r="Z217">
        <f t="shared" si="66"/>
        <v>-1.2687749912816417</v>
      </c>
      <c r="AA217">
        <f t="shared" si="67"/>
        <v>-1.2687749912816417</v>
      </c>
      <c r="AB217">
        <f>IFERROR(V144+MATCH(AA217,V217:Z217,0)-1,"")</f>
        <v>2016</v>
      </c>
      <c r="AC217" t="str">
        <f t="shared" si="68"/>
        <v>Low</v>
      </c>
      <c r="AE217">
        <f>IF(ISNUMBER(MATCH("N/A",J217:N217,0)),"",IFERROR((5 * SUMPRODUCT(J144:N144,J217:N217) - PRODUCT(SUM(J144:N144),SUM(J217:N217))) / ((5 * SUM((J144^2)+(K144^2)+(L144^2)+(M144^2)+(N144^2))) - SUM(J144:N144)^2),""))</f>
        <v>-5.8999999999650755E-2</v>
      </c>
      <c r="AF217">
        <f>IFERROR(CORREL(J144:N144,J217:N217),"")</f>
        <v>-0.379360432422927</v>
      </c>
      <c r="AZ217">
        <f t="shared" si="69"/>
        <v>1</v>
      </c>
      <c r="BA217" t="str">
        <f>IF(AZ217=1,IF(Q217="","",IF(Q217=N144,"Yes","No")),"")</f>
        <v>No</v>
      </c>
      <c r="BB217" t="str">
        <f t="shared" si="70"/>
        <v/>
      </c>
      <c r="BC217" t="str">
        <f>IF(AZ217=1,IF(S217="","",IF(S217=N144,"Yes","No")),"")</f>
        <v>Yes</v>
      </c>
      <c r="BD217">
        <f t="shared" si="71"/>
        <v>3.99</v>
      </c>
      <c r="BE217" t="str">
        <f t="shared" si="72"/>
        <v>Decreasing</v>
      </c>
      <c r="BF217" t="str">
        <f t="shared" si="73"/>
        <v>Yes</v>
      </c>
      <c r="BG217" t="str">
        <f t="shared" si="74"/>
        <v>No</v>
      </c>
      <c r="BH217" t="str">
        <f t="shared" si="75"/>
        <v>No</v>
      </c>
    </row>
    <row r="218" spans="1:60" x14ac:dyDescent="0.3">
      <c r="A218" s="1">
        <v>12</v>
      </c>
      <c r="B218" t="s">
        <v>530</v>
      </c>
      <c r="C218" t="s">
        <v>4141</v>
      </c>
      <c r="D218" t="s">
        <v>4142</v>
      </c>
      <c r="E218" t="s">
        <v>4143</v>
      </c>
      <c r="F218" t="s">
        <v>4144</v>
      </c>
      <c r="G218" t="s">
        <v>4145</v>
      </c>
      <c r="I218" t="str">
        <f t="shared" si="52"/>
        <v>neg_trend</v>
      </c>
      <c r="J218">
        <f t="shared" si="53"/>
        <v>493650000</v>
      </c>
      <c r="K218">
        <f t="shared" si="54"/>
        <v>445750000</v>
      </c>
      <c r="L218">
        <f t="shared" si="55"/>
        <v>442730000</v>
      </c>
      <c r="M218">
        <f t="shared" si="56"/>
        <v>420390000</v>
      </c>
      <c r="N218">
        <f t="shared" si="57"/>
        <v>403860000</v>
      </c>
      <c r="P218">
        <f t="shared" si="58"/>
        <v>493650000</v>
      </c>
      <c r="Q218">
        <f>IFERROR(J144+MATCH(P218,J218:N218,0)-1,"")</f>
        <v>2012</v>
      </c>
      <c r="R218">
        <f t="shared" si="59"/>
        <v>403860000</v>
      </c>
      <c r="S218">
        <f>IFERROR(J144+MATCH(R218,J218:N218,0)-1,"")</f>
        <v>2016</v>
      </c>
      <c r="T218">
        <f t="shared" si="60"/>
        <v>441276000</v>
      </c>
      <c r="U218">
        <f t="shared" si="61"/>
        <v>33916620.999150254</v>
      </c>
      <c r="V218">
        <f t="shared" si="62"/>
        <v>1.5441986394019669</v>
      </c>
      <c r="W218">
        <f t="shared" si="63"/>
        <v>0.1319117255257265</v>
      </c>
      <c r="X218">
        <f t="shared" si="64"/>
        <v>4.2869836592401948E-2</v>
      </c>
      <c r="Y218">
        <f t="shared" si="65"/>
        <v>-0.61580426896073392</v>
      </c>
      <c r="Z218">
        <f t="shared" si="66"/>
        <v>-1.1031759325593613</v>
      </c>
      <c r="AA218">
        <f t="shared" si="67"/>
        <v>1.5441986394019669</v>
      </c>
      <c r="AB218">
        <f>IFERROR(V144+MATCH(AA218,V218:Z218,0)-1,"")</f>
        <v>2012</v>
      </c>
      <c r="AC218" t="str">
        <f t="shared" si="68"/>
        <v>High</v>
      </c>
      <c r="AE218">
        <f>IF(ISNUMBER(MATCH("N/A",J218:N218,0)),"",IFERROR((5 * SUMPRODUCT(J144:N144,J218:N218) - PRODUCT(SUM(J144:N144),SUM(J218:N218))) / ((5 * SUM((J144^2)+(K144^2)+(L144^2)+(M144^2)+(N144^2))) - SUM(J144:N144)^2),""))</f>
        <v>-20494000</v>
      </c>
      <c r="AF218">
        <f>IFERROR(CORREL(J144:N144,J218:N218),"")</f>
        <v>-0.95539762597686906</v>
      </c>
      <c r="AZ218">
        <f t="shared" si="69"/>
        <v>1</v>
      </c>
      <c r="BA218" t="str">
        <f>IF(AZ218=1,IF(Q218="","",IF(Q218=N144,"Yes","No")),"")</f>
        <v>No</v>
      </c>
      <c r="BB218" t="str">
        <f t="shared" si="70"/>
        <v/>
      </c>
      <c r="BC218" t="str">
        <f>IF(AZ218=1,IF(S218="","",IF(S218=N144,"Yes","No")),"")</f>
        <v>Yes</v>
      </c>
      <c r="BD218">
        <f t="shared" si="71"/>
        <v>403860000</v>
      </c>
      <c r="BE218" t="str">
        <f t="shared" si="72"/>
        <v>Decreasing</v>
      </c>
      <c r="BF218" t="str">
        <f t="shared" si="73"/>
        <v>Yes</v>
      </c>
      <c r="BG218" t="str">
        <f t="shared" si="74"/>
        <v>No</v>
      </c>
      <c r="BH218" t="str">
        <f t="shared" si="75"/>
        <v>Yes</v>
      </c>
    </row>
    <row r="219" spans="1:60" x14ac:dyDescent="0.3">
      <c r="A219" s="1">
        <v>13</v>
      </c>
      <c r="B219" t="s">
        <v>535</v>
      </c>
      <c r="C219" t="s">
        <v>4146</v>
      </c>
      <c r="D219" t="s">
        <v>4147</v>
      </c>
      <c r="E219" t="s">
        <v>4148</v>
      </c>
      <c r="F219" t="s">
        <v>4149</v>
      </c>
      <c r="G219" t="s">
        <v>4150</v>
      </c>
      <c r="I219" t="str">
        <f t="shared" si="52"/>
        <v>N/A</v>
      </c>
      <c r="J219">
        <f t="shared" si="53"/>
        <v>263209999.99999997</v>
      </c>
      <c r="K219">
        <f t="shared" si="54"/>
        <v>224190000</v>
      </c>
      <c r="L219">
        <f t="shared" si="55"/>
        <v>239810000</v>
      </c>
      <c r="M219">
        <f t="shared" si="56"/>
        <v>243210000</v>
      </c>
      <c r="N219">
        <f t="shared" si="57"/>
        <v>237510000</v>
      </c>
      <c r="P219">
        <f t="shared" si="58"/>
        <v>263209999.99999997</v>
      </c>
      <c r="Q219">
        <f>IFERROR(J144+MATCH(P219,J219:N219,0)-1,"")</f>
        <v>2012</v>
      </c>
      <c r="R219">
        <f t="shared" si="59"/>
        <v>224190000</v>
      </c>
      <c r="S219">
        <f>IFERROR(J144+MATCH(R219,J219:N219,0)-1,"")</f>
        <v>2013</v>
      </c>
      <c r="T219">
        <f t="shared" si="60"/>
        <v>241586000</v>
      </c>
      <c r="U219">
        <f t="shared" si="61"/>
        <v>14076785.14434314</v>
      </c>
      <c r="V219">
        <f t="shared" si="62"/>
        <v>1.5361461994530572</v>
      </c>
      <c r="W219">
        <f t="shared" si="63"/>
        <v>-1.2357935296746865</v>
      </c>
      <c r="X219">
        <f t="shared" si="64"/>
        <v>-0.12616517065430233</v>
      </c>
      <c r="Y219">
        <f t="shared" si="65"/>
        <v>0.11536725064334852</v>
      </c>
      <c r="Z219">
        <f t="shared" si="66"/>
        <v>-0.28955474976741907</v>
      </c>
      <c r="AA219">
        <f t="shared" si="67"/>
        <v>1.5361461994530572</v>
      </c>
      <c r="AB219">
        <f>IFERROR(V144+MATCH(AA219,V219:Z219,0)-1,"")</f>
        <v>2012</v>
      </c>
      <c r="AC219" t="str">
        <f t="shared" si="68"/>
        <v>High</v>
      </c>
      <c r="AE219">
        <f>IF(ISNUMBER(MATCH("N/A",J219:N219,0)),"",IFERROR((5 * SUMPRODUCT(J144:N144,J219:N219) - PRODUCT(SUM(J144:N144),SUM(J219:N219))) / ((5 * SUM((J144^2)+(K144^2)+(L144^2)+(M144^2)+(N144^2))) - SUM(J144:N144)^2),""))</f>
        <v>-3238000</v>
      </c>
      <c r="AF219">
        <f>IFERROR(CORREL(J144:N144,J219:N219),"")</f>
        <v>-0.36370005504204184</v>
      </c>
      <c r="AZ219">
        <f t="shared" si="69"/>
        <v>1</v>
      </c>
      <c r="BA219" t="str">
        <f>IF(AZ219=1,IF(Q219="","",IF(Q219=N144,"Yes","No")),"")</f>
        <v>No</v>
      </c>
      <c r="BB219" t="str">
        <f t="shared" si="70"/>
        <v/>
      </c>
      <c r="BC219" t="str">
        <f>IF(AZ219=1,IF(S219="","",IF(S219=N144,"Yes","No")),"")</f>
        <v>No</v>
      </c>
      <c r="BD219" t="str">
        <f t="shared" si="71"/>
        <v/>
      </c>
      <c r="BE219" t="str">
        <f t="shared" si="72"/>
        <v>Decreasing</v>
      </c>
      <c r="BF219" t="str">
        <f t="shared" si="73"/>
        <v>No</v>
      </c>
      <c r="BG219" t="str">
        <f t="shared" si="74"/>
        <v>No</v>
      </c>
      <c r="BH219" t="str">
        <f t="shared" si="75"/>
        <v>No</v>
      </c>
    </row>
    <row r="220" spans="1:60" x14ac:dyDescent="0.3">
      <c r="A220" s="1">
        <v>14</v>
      </c>
      <c r="B220" t="s">
        <v>536</v>
      </c>
      <c r="C220" t="s">
        <v>4151</v>
      </c>
      <c r="D220" t="s">
        <v>4152</v>
      </c>
      <c r="E220" t="s">
        <v>4153</v>
      </c>
      <c r="F220" t="s">
        <v>4154</v>
      </c>
      <c r="G220" t="s">
        <v>4155</v>
      </c>
      <c r="I220" t="str">
        <f t="shared" si="52"/>
        <v>N/A</v>
      </c>
      <c r="J220">
        <f t="shared" si="53"/>
        <v>99460000</v>
      </c>
      <c r="K220">
        <f t="shared" si="54"/>
        <v>112720000</v>
      </c>
      <c r="L220">
        <f t="shared" si="55"/>
        <v>81110000</v>
      </c>
      <c r="M220">
        <f t="shared" si="56"/>
        <v>68540000</v>
      </c>
      <c r="N220">
        <f t="shared" si="57"/>
        <v>75330000</v>
      </c>
      <c r="P220">
        <f t="shared" si="58"/>
        <v>112720000</v>
      </c>
      <c r="Q220">
        <f>IFERROR(J144+MATCH(P220,J220:N220,0)-1,"")</f>
        <v>2013</v>
      </c>
      <c r="R220">
        <f t="shared" si="59"/>
        <v>68540000</v>
      </c>
      <c r="S220">
        <f>IFERROR(J144+MATCH(R220,J220:N220,0)-1,"")</f>
        <v>2015</v>
      </c>
      <c r="T220">
        <f t="shared" si="60"/>
        <v>87432000</v>
      </c>
      <c r="U220">
        <f t="shared" si="61"/>
        <v>18217364.518502671</v>
      </c>
      <c r="V220">
        <f t="shared" si="62"/>
        <v>0.66024918081776462</v>
      </c>
      <c r="W220">
        <f t="shared" si="63"/>
        <v>1.3881261460358856</v>
      </c>
      <c r="X220">
        <f t="shared" si="64"/>
        <v>-0.34703153650897139</v>
      </c>
      <c r="Y220">
        <f t="shared" si="65"/>
        <v>-1.0370325510483214</v>
      </c>
      <c r="Z220">
        <f t="shared" si="66"/>
        <v>-0.66431123929635749</v>
      </c>
      <c r="AA220">
        <f t="shared" si="67"/>
        <v>1.3881261460358856</v>
      </c>
      <c r="AB220">
        <f>IFERROR(V144+MATCH(AA220,V220:Z220,0)-1,"")</f>
        <v>2013</v>
      </c>
      <c r="AC220" t="str">
        <f t="shared" si="68"/>
        <v>High</v>
      </c>
      <c r="AE220">
        <f>IF(ISNUMBER(MATCH("N/A",J220:N220,0)),"",IFERROR((5 * SUMPRODUCT(J144:N144,J220:N220) - PRODUCT(SUM(J144:N144),SUM(J220:N220))) / ((5 * SUM((J144^2)+(K144^2)+(L144^2)+(M144^2)+(N144^2))) - SUM(J144:N144)^2),""))</f>
        <v>-9244000</v>
      </c>
      <c r="AF220">
        <f>IFERROR(CORREL(J144:N144,J220:N220),"")</f>
        <v>-0.80231404111463522</v>
      </c>
      <c r="AZ220">
        <f t="shared" si="69"/>
        <v>1</v>
      </c>
      <c r="BA220" t="str">
        <f>IF(AZ220=1,IF(Q220="","",IF(Q220=N144,"Yes","No")),"")</f>
        <v>No</v>
      </c>
      <c r="BB220" t="str">
        <f t="shared" si="70"/>
        <v/>
      </c>
      <c r="BC220" t="str">
        <f>IF(AZ220=1,IF(S220="","",IF(S220=N144,"Yes","No")),"")</f>
        <v>No</v>
      </c>
      <c r="BD220" t="str">
        <f t="shared" si="71"/>
        <v/>
      </c>
      <c r="BE220" t="str">
        <f t="shared" si="72"/>
        <v>Decreasing</v>
      </c>
      <c r="BF220" t="str">
        <f t="shared" si="73"/>
        <v>No</v>
      </c>
      <c r="BG220" t="str">
        <f t="shared" si="74"/>
        <v>No</v>
      </c>
      <c r="BH220" t="str">
        <f t="shared" si="75"/>
        <v>Yes</v>
      </c>
    </row>
    <row r="221" spans="1:60" x14ac:dyDescent="0.3">
      <c r="A221" s="1">
        <v>15</v>
      </c>
      <c r="B221" t="s">
        <v>537</v>
      </c>
      <c r="C221" t="s">
        <v>4156</v>
      </c>
      <c r="D221" t="s">
        <v>4157</v>
      </c>
      <c r="E221" t="s">
        <v>4158</v>
      </c>
      <c r="F221" t="s">
        <v>4159</v>
      </c>
      <c r="G221" t="s">
        <v>4160</v>
      </c>
      <c r="I221" t="str">
        <f t="shared" si="52"/>
        <v>N/A</v>
      </c>
      <c r="J221">
        <f t="shared" si="53"/>
        <v>154770000</v>
      </c>
      <c r="K221">
        <f t="shared" si="54"/>
        <v>145690000</v>
      </c>
      <c r="L221">
        <f t="shared" si="55"/>
        <v>164120000</v>
      </c>
      <c r="M221">
        <f t="shared" si="56"/>
        <v>160640000</v>
      </c>
      <c r="N221">
        <f t="shared" si="57"/>
        <v>148510000</v>
      </c>
      <c r="P221">
        <f t="shared" si="58"/>
        <v>164120000</v>
      </c>
      <c r="Q221">
        <f>IFERROR(J144+MATCH(P221,J221:N221,0)-1,"")</f>
        <v>2014</v>
      </c>
      <c r="R221">
        <f t="shared" si="59"/>
        <v>145690000</v>
      </c>
      <c r="S221">
        <f>IFERROR(J144+MATCH(R221,J221:N221,0)-1,"")</f>
        <v>2013</v>
      </c>
      <c r="T221">
        <f t="shared" si="60"/>
        <v>154746000</v>
      </c>
      <c r="U221">
        <f t="shared" si="61"/>
        <v>7802411.80661467</v>
      </c>
      <c r="V221">
        <f t="shared" si="62"/>
        <v>3.075971968007823E-3</v>
      </c>
      <c r="W221">
        <f t="shared" si="63"/>
        <v>-1.1606667559282853</v>
      </c>
      <c r="X221">
        <f t="shared" si="64"/>
        <v>1.2014233845043889</v>
      </c>
      <c r="Y221">
        <f t="shared" si="65"/>
        <v>0.75540744914325453</v>
      </c>
      <c r="Z221">
        <f t="shared" si="66"/>
        <v>-0.79924004968736606</v>
      </c>
      <c r="AA221">
        <f t="shared" si="67"/>
        <v>1.2014233845043889</v>
      </c>
      <c r="AB221">
        <f>IFERROR(V144+MATCH(AA221,V221:Z221,0)-1,"")</f>
        <v>2014</v>
      </c>
      <c r="AC221" t="str">
        <f t="shared" si="68"/>
        <v>High</v>
      </c>
      <c r="AE221">
        <f>IF(ISNUMBER(MATCH("N/A",J221:N221,0)),"",IFERROR((5 * SUMPRODUCT(J144:N144,J221:N221) - PRODUCT(SUM(J144:N144),SUM(J221:N221))) / ((5 * SUM((J144^2)+(K144^2)+(L144^2)+(M144^2)+(N144^2))) - SUM(J144:N144)^2),""))</f>
        <v>243000</v>
      </c>
      <c r="AF221">
        <f>IFERROR(CORREL(J144:N144,J221:N221),"")</f>
        <v>4.9243329528534968E-2</v>
      </c>
      <c r="AZ221">
        <f t="shared" si="69"/>
        <v>1</v>
      </c>
      <c r="BA221" t="str">
        <f>IF(AZ221=1,IF(Q221="","",IF(Q221=N144,"Yes","No")),"")</f>
        <v>No</v>
      </c>
      <c r="BB221" t="str">
        <f t="shared" si="70"/>
        <v/>
      </c>
      <c r="BC221" t="str">
        <f>IF(AZ221=1,IF(S221="","",IF(S221=N144,"Yes","No")),"")</f>
        <v>No</v>
      </c>
      <c r="BD221" t="str">
        <f t="shared" si="71"/>
        <v/>
      </c>
      <c r="BE221" t="str">
        <f t="shared" si="72"/>
        <v>Increasing</v>
      </c>
      <c r="BF221" t="str">
        <f t="shared" si="73"/>
        <v>No</v>
      </c>
      <c r="BG221" t="str">
        <f t="shared" si="74"/>
        <v>No</v>
      </c>
      <c r="BH221" t="str">
        <f t="shared" si="75"/>
        <v>No</v>
      </c>
    </row>
    <row r="222" spans="1:60" x14ac:dyDescent="0.3">
      <c r="A222" s="1">
        <v>16</v>
      </c>
      <c r="B222" t="s">
        <v>538</v>
      </c>
      <c r="C222" t="s">
        <v>4161</v>
      </c>
      <c r="D222" t="s">
        <v>4162</v>
      </c>
      <c r="E222" t="s">
        <v>4163</v>
      </c>
      <c r="F222" t="s">
        <v>4164</v>
      </c>
      <c r="G222" t="s">
        <v>4165</v>
      </c>
      <c r="I222" t="str">
        <f t="shared" si="52"/>
        <v>neg_trend</v>
      </c>
      <c r="J222">
        <f t="shared" si="53"/>
        <v>-23790000</v>
      </c>
      <c r="K222">
        <f t="shared" si="54"/>
        <v>-36850000</v>
      </c>
      <c r="L222">
        <f t="shared" si="55"/>
        <v>-42300000</v>
      </c>
      <c r="M222">
        <f t="shared" si="56"/>
        <v>-52000000</v>
      </c>
      <c r="N222">
        <f t="shared" si="57"/>
        <v>-57490000</v>
      </c>
      <c r="P222">
        <f t="shared" si="58"/>
        <v>-23790000</v>
      </c>
      <c r="Q222">
        <f>IFERROR(J144+MATCH(P222,J222:N222,0)-1,"")</f>
        <v>2012</v>
      </c>
      <c r="R222">
        <f t="shared" si="59"/>
        <v>-57490000</v>
      </c>
      <c r="S222">
        <f>IFERROR(J144+MATCH(R222,J222:N222,0)-1,"")</f>
        <v>2016</v>
      </c>
      <c r="T222">
        <f t="shared" si="60"/>
        <v>-42486000</v>
      </c>
      <c r="U222">
        <f t="shared" si="61"/>
        <v>13200148.862796964</v>
      </c>
      <c r="V222">
        <f t="shared" si="62"/>
        <v>1.4163476635246466</v>
      </c>
      <c r="W222">
        <f t="shared" si="63"/>
        <v>0.42696488187980891</v>
      </c>
      <c r="X222">
        <f t="shared" si="64"/>
        <v>1.4090750182690643E-2</v>
      </c>
      <c r="Y222">
        <f t="shared" si="65"/>
        <v>-0.72074944751676762</v>
      </c>
      <c r="Z222">
        <f t="shared" si="66"/>
        <v>-1.1366538480703785</v>
      </c>
      <c r="AA222">
        <f t="shared" si="67"/>
        <v>1.4163476635246466</v>
      </c>
      <c r="AB222">
        <f>IFERROR(V144+MATCH(AA222,V222:Z222,0)-1,"")</f>
        <v>2012</v>
      </c>
      <c r="AC222" t="str">
        <f t="shared" si="68"/>
        <v>High</v>
      </c>
      <c r="AE222">
        <f>IF(ISNUMBER(MATCH("N/A",J222:N222,0)),"",IFERROR((5 * SUMPRODUCT(J144:N144,J222:N222) - PRODUCT(SUM(J144:N144),SUM(J222:N222))) / ((5 * SUM((J144^2)+(K144^2)+(L144^2)+(M144^2)+(N144^2))) - SUM(J144:N144)^2),""))</f>
        <v>-8255000</v>
      </c>
      <c r="AF222">
        <f>IFERROR(CORREL(J144:N144,J222:N222),"")</f>
        <v>-0.98879953385460129</v>
      </c>
      <c r="AZ222">
        <f t="shared" si="69"/>
        <v>1</v>
      </c>
      <c r="BA222" t="str">
        <f>IF(AZ222=1,IF(Q222="","",IF(Q222=N144,"Yes","No")),"")</f>
        <v>No</v>
      </c>
      <c r="BB222" t="str">
        <f t="shared" si="70"/>
        <v/>
      </c>
      <c r="BC222" t="str">
        <f>IF(AZ222=1,IF(S222="","",IF(S222=N144,"Yes","No")),"")</f>
        <v>Yes</v>
      </c>
      <c r="BD222">
        <f t="shared" si="71"/>
        <v>-57490000</v>
      </c>
      <c r="BE222" t="str">
        <f t="shared" si="72"/>
        <v>Decreasing</v>
      </c>
      <c r="BF222" t="str">
        <f t="shared" si="73"/>
        <v>Yes</v>
      </c>
      <c r="BG222" t="str">
        <f t="shared" si="74"/>
        <v>No</v>
      </c>
      <c r="BH222" t="str">
        <f t="shared" si="75"/>
        <v>Yes</v>
      </c>
    </row>
    <row r="223" spans="1:60" x14ac:dyDescent="0.3">
      <c r="A223" s="1">
        <v>17</v>
      </c>
      <c r="B223" t="s">
        <v>539</v>
      </c>
      <c r="C223" t="s">
        <v>4166</v>
      </c>
      <c r="D223" t="s">
        <v>4167</v>
      </c>
      <c r="E223" t="s">
        <v>4168</v>
      </c>
      <c r="F223" t="s">
        <v>4169</v>
      </c>
      <c r="G223" t="s">
        <v>4170</v>
      </c>
      <c r="I223" t="str">
        <f t="shared" si="52"/>
        <v>N/A</v>
      </c>
      <c r="J223">
        <f t="shared" si="53"/>
        <v>281300000</v>
      </c>
      <c r="K223">
        <f t="shared" si="54"/>
        <v>350400000</v>
      </c>
      <c r="L223">
        <f t="shared" si="55"/>
        <v>322130000</v>
      </c>
      <c r="M223">
        <f t="shared" si="56"/>
        <v>253740000</v>
      </c>
      <c r="N223">
        <f t="shared" si="57"/>
        <v>246400000</v>
      </c>
      <c r="P223">
        <f t="shared" si="58"/>
        <v>350400000</v>
      </c>
      <c r="Q223">
        <f>IFERROR(J144+MATCH(P223,J223:N223,0)-1,"")</f>
        <v>2013</v>
      </c>
      <c r="R223">
        <f t="shared" si="59"/>
        <v>246400000</v>
      </c>
      <c r="S223">
        <f>IFERROR(J144+MATCH(R223,J223:N223,0)-1,"")</f>
        <v>2016</v>
      </c>
      <c r="T223">
        <f t="shared" si="60"/>
        <v>290794000</v>
      </c>
      <c r="U223">
        <f t="shared" si="61"/>
        <v>44634018.192405663</v>
      </c>
      <c r="V223">
        <f t="shared" si="62"/>
        <v>-0.21270771453006609</v>
      </c>
      <c r="W223">
        <f t="shared" si="63"/>
        <v>1.3354388068547629</v>
      </c>
      <c r="X223">
        <f t="shared" si="64"/>
        <v>0.70206540367749637</v>
      </c>
      <c r="Y223">
        <f t="shared" si="65"/>
        <v>-0.83017396821119327</v>
      </c>
      <c r="Z223">
        <f t="shared" si="66"/>
        <v>-0.99462252779099991</v>
      </c>
      <c r="AA223">
        <f t="shared" si="67"/>
        <v>1.3354388068547629</v>
      </c>
      <c r="AB223">
        <f>IFERROR(V144+MATCH(AA223,V223:Z223,0)-1,"")</f>
        <v>2013</v>
      </c>
      <c r="AC223" t="str">
        <f t="shared" si="68"/>
        <v>High</v>
      </c>
      <c r="AE223">
        <f>IF(ISNUMBER(MATCH("N/A",J223:N223,0)),"",IFERROR((5 * SUMPRODUCT(J144:N144,J223:N223) - PRODUCT(SUM(J144:N144),SUM(J223:N223))) / ((5 * SUM((J144^2)+(K144^2)+(L144^2)+(M144^2)+(N144^2))) - SUM(J144:N144)^2),""))</f>
        <v>-16646000</v>
      </c>
      <c r="AF223">
        <f>IFERROR(CORREL(J144:N144,J223:N223),"")</f>
        <v>-0.58967661957129414</v>
      </c>
      <c r="AZ223">
        <f t="shared" si="69"/>
        <v>1</v>
      </c>
      <c r="BA223" t="str">
        <f>IF(AZ223=1,IF(Q223="","",IF(Q223=N144,"Yes","No")),"")</f>
        <v>No</v>
      </c>
      <c r="BB223" t="str">
        <f t="shared" si="70"/>
        <v/>
      </c>
      <c r="BC223" t="str">
        <f>IF(AZ223=1,IF(S223="","",IF(S223=N144,"Yes","No")),"")</f>
        <v>Yes</v>
      </c>
      <c r="BD223">
        <f t="shared" si="71"/>
        <v>246400000</v>
      </c>
      <c r="BE223" t="str">
        <f t="shared" si="72"/>
        <v>Decreasing</v>
      </c>
      <c r="BF223" t="str">
        <f t="shared" si="73"/>
        <v>Yes</v>
      </c>
      <c r="BG223" t="str">
        <f t="shared" si="74"/>
        <v>No</v>
      </c>
      <c r="BH223" t="str">
        <f t="shared" si="75"/>
        <v>No</v>
      </c>
    </row>
    <row r="224" spans="1:60" x14ac:dyDescent="0.3">
      <c r="A224" s="1">
        <v>18</v>
      </c>
      <c r="B224" t="s">
        <v>540</v>
      </c>
      <c r="C224" t="s">
        <v>4166</v>
      </c>
      <c r="D224" t="s">
        <v>4167</v>
      </c>
      <c r="E224" t="s">
        <v>4168</v>
      </c>
      <c r="F224" t="s">
        <v>4169</v>
      </c>
      <c r="G224" t="s">
        <v>4170</v>
      </c>
      <c r="I224" t="str">
        <f t="shared" si="52"/>
        <v>N/A</v>
      </c>
      <c r="J224">
        <f t="shared" si="53"/>
        <v>281300000</v>
      </c>
      <c r="K224">
        <f t="shared" si="54"/>
        <v>350400000</v>
      </c>
      <c r="L224">
        <f t="shared" si="55"/>
        <v>322130000</v>
      </c>
      <c r="M224">
        <f t="shared" si="56"/>
        <v>253740000</v>
      </c>
      <c r="N224">
        <f t="shared" si="57"/>
        <v>246400000</v>
      </c>
      <c r="P224">
        <f t="shared" si="58"/>
        <v>350400000</v>
      </c>
      <c r="Q224">
        <f>IFERROR(J144+MATCH(P224,J224:N224,0)-1,"")</f>
        <v>2013</v>
      </c>
      <c r="R224">
        <f t="shared" si="59"/>
        <v>246400000</v>
      </c>
      <c r="S224">
        <f>IFERROR(J144+MATCH(R224,J224:N224,0)-1,"")</f>
        <v>2016</v>
      </c>
      <c r="T224">
        <f t="shared" si="60"/>
        <v>290794000</v>
      </c>
      <c r="U224">
        <f t="shared" si="61"/>
        <v>44634018.192405663</v>
      </c>
      <c r="V224">
        <f t="shared" si="62"/>
        <v>-0.21270771453006609</v>
      </c>
      <c r="W224">
        <f t="shared" si="63"/>
        <v>1.3354388068547629</v>
      </c>
      <c r="X224">
        <f t="shared" si="64"/>
        <v>0.70206540367749637</v>
      </c>
      <c r="Y224">
        <f t="shared" si="65"/>
        <v>-0.83017396821119327</v>
      </c>
      <c r="Z224">
        <f t="shared" si="66"/>
        <v>-0.99462252779099991</v>
      </c>
      <c r="AA224">
        <f t="shared" si="67"/>
        <v>1.3354388068547629</v>
      </c>
      <c r="AB224">
        <f>IFERROR(V144+MATCH(AA224,V224:Z224,0)-1,"")</f>
        <v>2013</v>
      </c>
      <c r="AC224" t="str">
        <f t="shared" si="68"/>
        <v>High</v>
      </c>
      <c r="AE224">
        <f>IF(ISNUMBER(MATCH("N/A",J224:N224,0)),"",IFERROR((5 * SUMPRODUCT(J144:N144,J224:N224) - PRODUCT(SUM(J144:N144),SUM(J224:N224))) / ((5 * SUM((J144^2)+(K144^2)+(L144^2)+(M144^2)+(N144^2))) - SUM(J144:N144)^2),""))</f>
        <v>-16646000</v>
      </c>
      <c r="AF224">
        <f>IFERROR(CORREL(J144:N144,J224:N224),"")</f>
        <v>-0.58967661957129414</v>
      </c>
      <c r="AZ224">
        <f t="shared" si="69"/>
        <v>1</v>
      </c>
      <c r="BA224" t="str">
        <f>IF(AZ224=1,IF(Q224="","",IF(Q224=N144,"Yes","No")),"")</f>
        <v>No</v>
      </c>
      <c r="BB224" t="str">
        <f t="shared" si="70"/>
        <v/>
      </c>
      <c r="BC224" t="str">
        <f>IF(AZ224=1,IF(S224="","",IF(S224=N144,"Yes","No")),"")</f>
        <v>Yes</v>
      </c>
      <c r="BD224">
        <f t="shared" si="71"/>
        <v>246400000</v>
      </c>
      <c r="BE224" t="str">
        <f t="shared" si="72"/>
        <v>Decreasing</v>
      </c>
      <c r="BF224" t="str">
        <f t="shared" si="73"/>
        <v>Yes</v>
      </c>
      <c r="BG224" t="str">
        <f t="shared" si="74"/>
        <v>No</v>
      </c>
      <c r="BH224" t="str">
        <f t="shared" si="75"/>
        <v>No</v>
      </c>
    </row>
    <row r="225" spans="1:60" x14ac:dyDescent="0.3">
      <c r="A225" s="1">
        <v>19</v>
      </c>
      <c r="B225" t="s">
        <v>541</v>
      </c>
      <c r="C225" t="s">
        <v>3160</v>
      </c>
      <c r="D225" t="s">
        <v>2094</v>
      </c>
      <c r="E225" t="s">
        <v>4171</v>
      </c>
      <c r="F225" t="s">
        <v>4172</v>
      </c>
      <c r="G225" t="s">
        <v>4173</v>
      </c>
      <c r="I225" t="str">
        <f t="shared" si="52"/>
        <v>N/A</v>
      </c>
      <c r="J225">
        <f t="shared" si="53"/>
        <v>2130000000</v>
      </c>
      <c r="K225">
        <f t="shared" si="54"/>
        <v>2140000000.0000002</v>
      </c>
      <c r="L225">
        <f t="shared" si="55"/>
        <v>2100000000</v>
      </c>
      <c r="M225">
        <f t="shared" si="56"/>
        <v>1760000000</v>
      </c>
      <c r="N225">
        <f t="shared" si="57"/>
        <v>1790000000</v>
      </c>
      <c r="P225">
        <f t="shared" si="58"/>
        <v>2140000000.0000002</v>
      </c>
      <c r="Q225">
        <f>IFERROR(J144+MATCH(P225,J225:N225,0)-1,"")</f>
        <v>2013</v>
      </c>
      <c r="R225">
        <f t="shared" si="59"/>
        <v>1760000000</v>
      </c>
      <c r="S225">
        <f>IFERROR(J144+MATCH(R225,J225:N225,0)-1,"")</f>
        <v>2015</v>
      </c>
      <c r="T225">
        <f t="shared" si="60"/>
        <v>1984000000</v>
      </c>
      <c r="U225">
        <f t="shared" si="61"/>
        <v>191650723.9746305</v>
      </c>
      <c r="V225">
        <f t="shared" si="62"/>
        <v>0.76180249660484745</v>
      </c>
      <c r="W225">
        <f t="shared" si="63"/>
        <v>0.81398074979696144</v>
      </c>
      <c r="X225">
        <f t="shared" si="64"/>
        <v>0.60526773702850889</v>
      </c>
      <c r="Y225">
        <f t="shared" si="65"/>
        <v>-1.1687928715033276</v>
      </c>
      <c r="Z225">
        <f t="shared" si="66"/>
        <v>-1.0122581119269889</v>
      </c>
      <c r="AA225">
        <f t="shared" si="67"/>
        <v>-1.1687928715033276</v>
      </c>
      <c r="AB225">
        <f>IFERROR(V144+MATCH(AA225,V225:Z225,0)-1,"")</f>
        <v>2015</v>
      </c>
      <c r="AC225" t="str">
        <f t="shared" si="68"/>
        <v>Low</v>
      </c>
      <c r="AE225">
        <f>IF(ISNUMBER(MATCH("N/A",J225:N225,0)),"",IFERROR((5 * SUMPRODUCT(J144:N144,J225:N225) - PRODUCT(SUM(J144:N144),SUM(J225:N225))) / ((5 * SUM((J144^2)+(K144^2)+(L144^2)+(M144^2)+(N144^2))) - SUM(J144:N144)^2),""))</f>
        <v>-106000000</v>
      </c>
      <c r="AF225">
        <f>IFERROR(CORREL(J144:N144,J225:N225),"")</f>
        <v>-0.87451125940494778</v>
      </c>
      <c r="AZ225">
        <f t="shared" si="69"/>
        <v>1</v>
      </c>
      <c r="BA225" t="str">
        <f>IF(AZ225=1,IF(Q225="","",IF(Q225=N144,"Yes","No")),"")</f>
        <v>No</v>
      </c>
      <c r="BB225" t="str">
        <f t="shared" si="70"/>
        <v/>
      </c>
      <c r="BC225" t="str">
        <f>IF(AZ225=1,IF(S225="","",IF(S225=N144,"Yes","No")),"")</f>
        <v>No</v>
      </c>
      <c r="BD225" t="str">
        <f t="shared" si="71"/>
        <v/>
      </c>
      <c r="BE225" t="str">
        <f t="shared" si="72"/>
        <v>Decreasing</v>
      </c>
      <c r="BF225" t="str">
        <f t="shared" si="73"/>
        <v>No</v>
      </c>
      <c r="BG225" t="str">
        <f t="shared" si="74"/>
        <v>No</v>
      </c>
      <c r="BH225" t="str">
        <f t="shared" si="75"/>
        <v>Yes</v>
      </c>
    </row>
    <row r="226" spans="1:60" x14ac:dyDescent="0.3">
      <c r="I226" t="str">
        <f t="shared" si="52"/>
        <v>N/A</v>
      </c>
      <c r="J226" t="str">
        <f t="shared" si="53"/>
        <v>N/A</v>
      </c>
      <c r="K226" t="str">
        <f t="shared" si="54"/>
        <v>N/A</v>
      </c>
      <c r="L226" t="str">
        <f t="shared" si="55"/>
        <v>N/A</v>
      </c>
      <c r="M226" t="str">
        <f t="shared" si="56"/>
        <v>N/A</v>
      </c>
      <c r="N226" t="str">
        <f t="shared" si="57"/>
        <v>N/A</v>
      </c>
      <c r="P226">
        <f t="shared" si="58"/>
        <v>0</v>
      </c>
      <c r="Q226" t="str">
        <f>IFERROR(J144+MATCH(P226,J226:N226,0)-1,"")</f>
        <v/>
      </c>
      <c r="R226" t="str">
        <f t="shared" si="59"/>
        <v/>
      </c>
      <c r="S226" t="str">
        <f>IFERROR(J144+MATCH(R226,J226:N226,0)-1,"")</f>
        <v/>
      </c>
      <c r="T226" t="str">
        <f t="shared" si="60"/>
        <v/>
      </c>
      <c r="U226" t="str">
        <f t="shared" si="61"/>
        <v/>
      </c>
      <c r="V226" t="str">
        <f t="shared" si="62"/>
        <v/>
      </c>
      <c r="W226" t="str">
        <f t="shared" si="63"/>
        <v/>
      </c>
      <c r="X226" t="str">
        <f t="shared" si="64"/>
        <v/>
      </c>
      <c r="Y226" t="str">
        <f t="shared" si="65"/>
        <v/>
      </c>
      <c r="Z226" t="str">
        <f t="shared" si="66"/>
        <v/>
      </c>
      <c r="AA226">
        <f t="shared" si="67"/>
        <v>0</v>
      </c>
      <c r="AB226" t="str">
        <f>IFERROR(V144+MATCH(AA226,V226:Z226,0)-1,"")</f>
        <v/>
      </c>
      <c r="AC226" t="str">
        <f t="shared" si="68"/>
        <v/>
      </c>
      <c r="AE226" t="str">
        <f>IF(ISNUMBER(MATCH("N/A",J226:N226,0)),"",IFERROR((5 * SUMPRODUCT(J144:N144,J226:N226) - PRODUCT(SUM(J144:N144),SUM(J226:N226))) / ((5 * SUM((J144^2)+(K144^2)+(L144^2)+(M144^2)+(N144^2))) - SUM(J144:N144)^2),""))</f>
        <v/>
      </c>
      <c r="AF226" t="str">
        <f>IFERROR(CORREL(J144:N144,J226:N226),"")</f>
        <v/>
      </c>
      <c r="AZ226">
        <f t="shared" si="69"/>
        <v>0</v>
      </c>
      <c r="BA226" t="str">
        <f>IF(AZ226=1,IF(Q226="","",IF(Q226=N144,"Yes","No")),"")</f>
        <v/>
      </c>
      <c r="BB226" t="str">
        <f t="shared" si="70"/>
        <v/>
      </c>
      <c r="BC226" t="str">
        <f>IF(AZ226=1,IF(S226="","",IF(S226=N144,"Yes","No")),"")</f>
        <v/>
      </c>
      <c r="BD226" t="str">
        <f t="shared" si="71"/>
        <v/>
      </c>
      <c r="BE226" t="str">
        <f t="shared" si="72"/>
        <v/>
      </c>
      <c r="BF226" t="str">
        <f t="shared" si="73"/>
        <v>No</v>
      </c>
      <c r="BG226" t="str">
        <f t="shared" si="74"/>
        <v>No</v>
      </c>
      <c r="BH226" t="str">
        <f t="shared" si="75"/>
        <v/>
      </c>
    </row>
    <row r="227" spans="1:60" x14ac:dyDescent="0.3">
      <c r="B227" s="1" t="s">
        <v>316</v>
      </c>
      <c r="C227" s="1" t="s">
        <v>252</v>
      </c>
      <c r="D227" s="1" t="s">
        <v>253</v>
      </c>
      <c r="E227" s="1" t="s">
        <v>254</v>
      </c>
      <c r="F227" s="1" t="s">
        <v>255</v>
      </c>
      <c r="G227" s="1" t="s">
        <v>256</v>
      </c>
      <c r="H227" s="1" t="s">
        <v>257</v>
      </c>
      <c r="P227">
        <f t="shared" si="58"/>
        <v>0</v>
      </c>
      <c r="Q227" t="str">
        <f>IFERROR(J144+MATCH(P227,J227:N227,0)-1,"")</f>
        <v/>
      </c>
      <c r="R227" t="str">
        <f t="shared" si="59"/>
        <v/>
      </c>
      <c r="S227" t="str">
        <f>IFERROR(J144+MATCH(R227,J227:N227,0)-1,"")</f>
        <v/>
      </c>
      <c r="T227" t="str">
        <f t="shared" si="60"/>
        <v/>
      </c>
      <c r="U227" t="str">
        <f t="shared" si="61"/>
        <v/>
      </c>
      <c r="V227" t="str">
        <f t="shared" si="62"/>
        <v/>
      </c>
      <c r="W227" t="str">
        <f t="shared" si="63"/>
        <v/>
      </c>
      <c r="X227" t="str">
        <f t="shared" si="64"/>
        <v/>
      </c>
      <c r="Y227" t="str">
        <f t="shared" si="65"/>
        <v/>
      </c>
      <c r="Z227" t="str">
        <f t="shared" si="66"/>
        <v/>
      </c>
      <c r="AA227">
        <f t="shared" si="67"/>
        <v>0</v>
      </c>
      <c r="AB227" t="str">
        <f>IFERROR(V144+MATCH(AA227,V227:Z227,0)-1,"")</f>
        <v/>
      </c>
      <c r="AC227" t="str">
        <f t="shared" si="68"/>
        <v/>
      </c>
      <c r="AE227">
        <f>IF(ISNUMBER(MATCH("N/A",J227:N227,0)),"",IFERROR((5 * SUMPRODUCT(J144:N144,J227:N227) - PRODUCT(SUM(J144:N144),SUM(J227:N227))) / ((5 * SUM((J144^2)+(K144^2)+(L144^2)+(M144^2)+(N144^2))) - SUM(J144:N144)^2),""))</f>
        <v>0</v>
      </c>
      <c r="AF227" t="str">
        <f>IFERROR(CORREL(J144:N144,J227:N227),"")</f>
        <v/>
      </c>
      <c r="AZ227">
        <f t="shared" si="69"/>
        <v>0</v>
      </c>
      <c r="BA227" t="str">
        <f>IF(AZ227=1,IF(Q227="","",IF(Q227=N144,"Yes","No")),"")</f>
        <v/>
      </c>
      <c r="BB227" t="str">
        <f t="shared" si="70"/>
        <v/>
      </c>
      <c r="BC227" t="str">
        <f>IF(AZ227=1,IF(S227="","",IF(S227=N144,"Yes","No")),"")</f>
        <v/>
      </c>
      <c r="BD227" t="str">
        <f t="shared" si="71"/>
        <v/>
      </c>
      <c r="BE227" t="str">
        <f t="shared" si="72"/>
        <v/>
      </c>
      <c r="BF227" t="str">
        <f t="shared" si="73"/>
        <v>No</v>
      </c>
      <c r="BG227" t="str">
        <f t="shared" si="74"/>
        <v>No</v>
      </c>
      <c r="BH227" t="str">
        <f t="shared" si="75"/>
        <v/>
      </c>
    </row>
    <row r="228" spans="1:60" x14ac:dyDescent="0.3">
      <c r="A228" s="1">
        <v>0</v>
      </c>
      <c r="B228" t="s">
        <v>546</v>
      </c>
      <c r="C228" t="s">
        <v>4174</v>
      </c>
      <c r="D228" t="s">
        <v>4175</v>
      </c>
      <c r="E228" t="s">
        <v>4176</v>
      </c>
      <c r="F228" t="s">
        <v>4177</v>
      </c>
      <c r="G228" t="s">
        <v>4178</v>
      </c>
      <c r="I228" t="str">
        <f t="shared" ref="I228:I245" si="76">IF(AND(K228&gt; J228, L228&gt; K228, M228&gt; L228, N228&gt; M228), "pos_trend", IF(AND(K228&lt; J228, L228&lt; K228, M228&lt; L228, N228&lt; M228), "neg_trend", "N/A"))</f>
        <v>N/A</v>
      </c>
      <c r="J228">
        <f t="shared" ref="J228:J245" si="77">IFERROR(IF(TRIM(C228)="-", "N/A", IF(RIGHT(C228,1)=")",IF(RIGHT(C228,2)="T)",-1000000000000*VALUE(MID(C228,2,LEN(C228)-3)),IF(RIGHT(C228,2)="M)",-1000000*VALUE(MID(C228,2,LEN(C228)-3)),IF(RIGHT(C228,2)="B)",-1000000000*VALUE(MID(C228,2,LEN(C228)-3)),IF(RIGHT(C228,2)="k)",-1000*VALUE(MID(C228,2,LEN(C228)-3)),VALUE(SUBSTITUTE(C228,",","")))))),IF(RIGHT(C228,1)="T",1000000000000*VALUE(LEFT(C228,LEN(C228)-1)),IF(RIGHT(C228,1)="M",1000000*VALUE(LEFT(C228,LEN(C228)-1)),IF(RIGHT(C228,1)="B",1000000000*VALUE(LEFT(C228,LEN(C228)-1)),IF(RIGHT(C228,1)="%",0.01*VALUE(LEFT(C228,LEN(C228)-1)),IF(RIGHT(C228,1)="k",1000*VALUE(LEFT(C228,LEN(C228)-1)),VALUE(SUBSTITUTE(C228,",",""))))))))),"N/A")</f>
        <v>688570000</v>
      </c>
      <c r="K228">
        <f t="shared" ref="K228:K245" si="78">IFERROR(IF(TRIM(D228)="-", "N/A", IF(RIGHT(D228,1)=")",IF(RIGHT(D228,2)="T)",-1000000000000*VALUE(MID(D228,2,LEN(D228)-3)),IF(RIGHT(D228,2)="M)",-1000000*VALUE(MID(D228,2,LEN(D228)-3)),IF(RIGHT(D228,2)="B)",-1000000000*VALUE(MID(D228,2,LEN(D228)-3)),IF(RIGHT(D228,2)="k)",-1000*VALUE(MID(D228,2,LEN(D228)-3)),VALUE(SUBSTITUTE(D228,",","")))))),IF(RIGHT(D228,1)="T",1000000000000*VALUE(LEFT(D228,LEN(D228)-1)),IF(RIGHT(D228,1)="M",1000000*VALUE(LEFT(D228,LEN(D228)-1)),IF(RIGHT(D228,1)="B",1000000000*VALUE(LEFT(D228,LEN(D228)-1)),IF(RIGHT(D228,1)="%",0.01*VALUE(LEFT(D228,LEN(D228)-1)),IF(RIGHT(D228,1)="k",1000*VALUE(LEFT(D228,LEN(D228)-1)),VALUE(SUBSTITUTE(D228,",",""))))))))),"N/A")</f>
        <v>757140000</v>
      </c>
      <c r="L228">
        <f t="shared" ref="L228:L245" si="79">IFERROR(IF(TRIM(E228)="-", "N/A", IF(RIGHT(E228,1)=")",IF(RIGHT(E228,2)="T)",-1000000000000*VALUE(MID(E228,2,LEN(E228)-3)),IF(RIGHT(E228,2)="M)",-1000000*VALUE(MID(E228,2,LEN(E228)-3)),IF(RIGHT(E228,2)="B)",-1000000000*VALUE(MID(E228,2,LEN(E228)-3)),IF(RIGHT(E228,2)="k)",-1000*VALUE(MID(E228,2,LEN(E228)-3)),VALUE(SUBSTITUTE(E228,",","")))))),IF(RIGHT(E228,1)="T",1000000000000*VALUE(LEFT(E228,LEN(E228)-1)),IF(RIGHT(E228,1)="M",1000000*VALUE(LEFT(E228,LEN(E228)-1)),IF(RIGHT(E228,1)="B",1000000000*VALUE(LEFT(E228,LEN(E228)-1)),IF(RIGHT(E228,1)="%",0.01*VALUE(LEFT(E228,LEN(E228)-1)),IF(RIGHT(E228,1)="k",1000*VALUE(LEFT(E228,LEN(E228)-1)),VALUE(SUBSTITUTE(E228,",",""))))))))),"N/A")</f>
        <v>729730000</v>
      </c>
      <c r="M228">
        <f t="shared" ref="M228:M245" si="80">IFERROR(IF(TRIM(F228)="-", "N/A", IF(RIGHT(F228,1)=")",IF(RIGHT(F228,2)="T)",-1000000000000*VALUE(MID(F228,2,LEN(F228)-3)),IF(RIGHT(F228,2)="M)",-1000000*VALUE(MID(F228,2,LEN(F228)-3)),IF(RIGHT(F228,2)="B)",-1000000000*VALUE(MID(F228,2,LEN(F228)-3)),IF(RIGHT(F228,2)="k)",-1000*VALUE(MID(F228,2,LEN(F228)-3)),VALUE(SUBSTITUTE(F228,",","")))))),IF(RIGHT(F228,1)="T",1000000000000*VALUE(LEFT(F228,LEN(F228)-1)),IF(RIGHT(F228,1)="M",1000000*VALUE(LEFT(F228,LEN(F228)-1)),IF(RIGHT(F228,1)="B",1000000000*VALUE(LEFT(F228,LEN(F228)-1)),IF(RIGHT(F228,1)="%",0.01*VALUE(LEFT(F228,LEN(F228)-1)),IF(RIGHT(F228,1)="k",1000*VALUE(LEFT(F228,LEN(F228)-1)),VALUE(SUBSTITUTE(F228,",",""))))))))),"N/A")</f>
        <v>644540000</v>
      </c>
      <c r="N228">
        <f t="shared" ref="N228:N245" si="81">IFERROR(IF(TRIM(G228)="-", "N/A", IF(RIGHT(G228,1)=")",IF(RIGHT(G228,2)="T)",-1000000000000*VALUE(MID(G228,2,LEN(G228)-3)),IF(RIGHT(G228,2)="M)",-1000000*VALUE(MID(G228,2,LEN(G228)-3)),IF(RIGHT(G228,2)="B)",-1000000000*VALUE(MID(G228,2,LEN(G228)-3)),IF(RIGHT(G228,2)="k)",-1000*VALUE(MID(G228,2,LEN(G228)-3)),VALUE(SUBSTITUTE(G228,",","")))))),IF(RIGHT(G228,1)="T",1000000000000*VALUE(LEFT(G228,LEN(G228)-1)),IF(RIGHT(G228,1)="M",1000000*VALUE(LEFT(G228,LEN(G228)-1)),IF(RIGHT(G228,1)="B",1000000000*VALUE(LEFT(G228,LEN(G228)-1)),IF(RIGHT(G228,1)="%",0.01*VALUE(LEFT(G228,LEN(G228)-1)),IF(RIGHT(G228,1)="k",1000*VALUE(LEFT(G228,LEN(G228)-1)),VALUE(SUBSTITUTE(G228,",",""))))))))),"N/A")</f>
        <v>604210000</v>
      </c>
      <c r="P228">
        <f t="shared" si="58"/>
        <v>757140000</v>
      </c>
      <c r="Q228">
        <f>IFERROR(J144+MATCH(P228,J228:N228,0)-1,"")</f>
        <v>2013</v>
      </c>
      <c r="R228">
        <f t="shared" si="59"/>
        <v>604210000</v>
      </c>
      <c r="S228">
        <f>IFERROR(J144+MATCH(R228,J228:N228,0)-1,"")</f>
        <v>2016</v>
      </c>
      <c r="T228">
        <f t="shared" si="60"/>
        <v>684838000</v>
      </c>
      <c r="U228">
        <f t="shared" si="61"/>
        <v>62011293.084405199</v>
      </c>
      <c r="V228">
        <f t="shared" si="62"/>
        <v>6.0182586338270304E-2</v>
      </c>
      <c r="W228">
        <f t="shared" si="63"/>
        <v>1.1659489167817845</v>
      </c>
      <c r="X228">
        <f t="shared" si="64"/>
        <v>0.72393265431340581</v>
      </c>
      <c r="Y228">
        <f t="shared" si="65"/>
        <v>-0.64984937413173005</v>
      </c>
      <c r="Z228">
        <f t="shared" si="66"/>
        <v>-1.3002147833017303</v>
      </c>
      <c r="AA228">
        <f t="shared" si="67"/>
        <v>-1.3002147833017303</v>
      </c>
      <c r="AB228">
        <f>IFERROR(V144+MATCH(AA228,V228:Z228,0)-1,"")</f>
        <v>2016</v>
      </c>
      <c r="AC228" t="str">
        <f t="shared" si="68"/>
        <v>Low</v>
      </c>
      <c r="AE228">
        <f>IF(ISNUMBER(MATCH("N/A",J228:N228,0)),"",IFERROR((5 * SUMPRODUCT(J144:N144,J228:N228) - PRODUCT(SUM(J144:N144),SUM(J228:N228))) / ((5 * SUM((J144^2)+(K144^2)+(L144^2)+(M144^2)+(N144^2))) - SUM(J144:N144)^2),""))</f>
        <v>-28132000</v>
      </c>
      <c r="AF228">
        <f>IFERROR(CORREL(J144:N144,J228:N228),"")</f>
        <v>-0.71729833963282641</v>
      </c>
      <c r="AZ228">
        <f t="shared" si="69"/>
        <v>1</v>
      </c>
      <c r="BA228" t="str">
        <f>IF(AZ228=1,IF(Q228="","",IF(Q228=N144,"Yes","No")),"")</f>
        <v>No</v>
      </c>
      <c r="BB228" t="str">
        <f t="shared" si="70"/>
        <v/>
      </c>
      <c r="BC228" t="str">
        <f>IF(AZ228=1,IF(S228="","",IF(S228=N144,"Yes","No")),"")</f>
        <v>Yes</v>
      </c>
      <c r="BD228">
        <f t="shared" si="71"/>
        <v>604210000</v>
      </c>
      <c r="BE228" t="str">
        <f t="shared" si="72"/>
        <v>Decreasing</v>
      </c>
      <c r="BF228" t="str">
        <f t="shared" si="73"/>
        <v>Yes</v>
      </c>
      <c r="BG228" t="str">
        <f t="shared" si="74"/>
        <v>No</v>
      </c>
      <c r="BH228" t="str">
        <f t="shared" si="75"/>
        <v>No</v>
      </c>
    </row>
    <row r="229" spans="1:60" x14ac:dyDescent="0.3">
      <c r="A229" s="1">
        <v>1</v>
      </c>
      <c r="B229" t="s">
        <v>552</v>
      </c>
      <c r="C229" t="s">
        <v>4179</v>
      </c>
      <c r="D229" t="s">
        <v>4180</v>
      </c>
      <c r="E229" t="s">
        <v>760</v>
      </c>
      <c r="F229" t="s">
        <v>4180</v>
      </c>
      <c r="G229" t="s">
        <v>3530</v>
      </c>
      <c r="I229" t="str">
        <f t="shared" si="76"/>
        <v>N/A</v>
      </c>
      <c r="J229">
        <f t="shared" si="77"/>
        <v>865600000</v>
      </c>
      <c r="K229">
        <f t="shared" si="78"/>
        <v>1010000000</v>
      </c>
      <c r="L229">
        <f t="shared" si="79"/>
        <v>1040000000</v>
      </c>
      <c r="M229">
        <f t="shared" si="80"/>
        <v>1010000000</v>
      </c>
      <c r="N229">
        <f t="shared" si="81"/>
        <v>1000000000</v>
      </c>
      <c r="P229">
        <f t="shared" si="58"/>
        <v>1040000000</v>
      </c>
      <c r="Q229">
        <f>IFERROR(J144+MATCH(P229,J229:N229,0)-1,"")</f>
        <v>2014</v>
      </c>
      <c r="R229">
        <f t="shared" si="59"/>
        <v>865600000</v>
      </c>
      <c r="S229">
        <f>IFERROR(J144+MATCH(R229,J229:N229,0)-1,"")</f>
        <v>2012</v>
      </c>
      <c r="T229">
        <f t="shared" si="60"/>
        <v>985120000</v>
      </c>
      <c r="U229">
        <f t="shared" si="61"/>
        <v>68476798.990607023</v>
      </c>
      <c r="V229">
        <f t="shared" si="62"/>
        <v>-1.7454086896847294</v>
      </c>
      <c r="W229">
        <f t="shared" si="63"/>
        <v>0.36333474062379573</v>
      </c>
      <c r="X229">
        <f t="shared" si="64"/>
        <v>0.8014393314081153</v>
      </c>
      <c r="Y229">
        <f t="shared" si="65"/>
        <v>0.36333474062379573</v>
      </c>
      <c r="Z229">
        <f t="shared" si="66"/>
        <v>0.21729987702902254</v>
      </c>
      <c r="AA229">
        <f t="shared" si="67"/>
        <v>-1.7454086896847294</v>
      </c>
      <c r="AB229">
        <f>IFERROR(V144+MATCH(AA229,V229:Z229,0)-1,"")</f>
        <v>2012</v>
      </c>
      <c r="AC229" t="str">
        <f t="shared" si="68"/>
        <v>Low</v>
      </c>
      <c r="AE229">
        <f>IF(ISNUMBER(MATCH("N/A",J229:N229,0)),"",IFERROR((5 * SUMPRODUCT(J144:N144,J229:N229) - PRODUCT(SUM(J144:N144),SUM(J229:N229))) / ((5 * SUM((J144^2)+(K144^2)+(L144^2)+(M144^2)+(N144^2))) - SUM(J144:N144)^2),""))</f>
        <v>26880000</v>
      </c>
      <c r="AF229">
        <f>IFERROR(CORREL(J144:N144,J229:N229),"")</f>
        <v>0.62066294539399958</v>
      </c>
      <c r="AZ229">
        <f t="shared" si="69"/>
        <v>1</v>
      </c>
      <c r="BA229" t="str">
        <f>IF(AZ229=1,IF(Q229="","",IF(Q229=N144,"Yes","No")),"")</f>
        <v>No</v>
      </c>
      <c r="BB229" t="str">
        <f t="shared" si="70"/>
        <v/>
      </c>
      <c r="BC229" t="str">
        <f>IF(AZ229=1,IF(S229="","",IF(S229=N144,"Yes","No")),"")</f>
        <v>No</v>
      </c>
      <c r="BD229" t="str">
        <f t="shared" si="71"/>
        <v/>
      </c>
      <c r="BE229" t="str">
        <f t="shared" si="72"/>
        <v>Increasing</v>
      </c>
      <c r="BF229" t="str">
        <f t="shared" si="73"/>
        <v>No</v>
      </c>
      <c r="BG229" t="str">
        <f t="shared" si="74"/>
        <v>No</v>
      </c>
      <c r="BH229" t="str">
        <f t="shared" si="75"/>
        <v>No</v>
      </c>
    </row>
    <row r="230" spans="1:60" x14ac:dyDescent="0.3">
      <c r="A230" s="1">
        <v>2</v>
      </c>
      <c r="B230" t="s">
        <v>558</v>
      </c>
      <c r="C230" t="s">
        <v>4181</v>
      </c>
      <c r="D230" t="s">
        <v>4182</v>
      </c>
      <c r="E230" t="s">
        <v>4183</v>
      </c>
      <c r="F230" t="s">
        <v>4184</v>
      </c>
      <c r="G230" t="s">
        <v>4185</v>
      </c>
      <c r="I230" t="str">
        <f t="shared" si="76"/>
        <v>N/A</v>
      </c>
      <c r="J230">
        <f t="shared" si="77"/>
        <v>314220000</v>
      </c>
      <c r="K230">
        <f t="shared" si="78"/>
        <v>372200000</v>
      </c>
      <c r="L230">
        <f t="shared" si="79"/>
        <v>366010000</v>
      </c>
      <c r="M230">
        <f t="shared" si="80"/>
        <v>327120000</v>
      </c>
      <c r="N230">
        <f t="shared" si="81"/>
        <v>323280000</v>
      </c>
      <c r="P230">
        <f t="shared" si="58"/>
        <v>372200000</v>
      </c>
      <c r="Q230">
        <f>IFERROR(J144+MATCH(P230,J230:N230,0)-1,"")</f>
        <v>2013</v>
      </c>
      <c r="R230">
        <f t="shared" si="59"/>
        <v>314220000</v>
      </c>
      <c r="S230">
        <f>IFERROR(J144+MATCH(R230,J230:N230,0)-1,"")</f>
        <v>2012</v>
      </c>
      <c r="T230">
        <f t="shared" si="60"/>
        <v>340566000</v>
      </c>
      <c r="U230">
        <f t="shared" si="61"/>
        <v>26560400.599388558</v>
      </c>
      <c r="V230">
        <f t="shared" si="62"/>
        <v>-0.99192781002732711</v>
      </c>
      <c r="W230">
        <f t="shared" si="63"/>
        <v>1.1910211926821705</v>
      </c>
      <c r="X230">
        <f t="shared" si="64"/>
        <v>0.95796747887099798</v>
      </c>
      <c r="Y230">
        <f t="shared" si="65"/>
        <v>-0.5062423644434616</v>
      </c>
      <c r="Z230">
        <f t="shared" si="66"/>
        <v>-0.65081849708237971</v>
      </c>
      <c r="AA230">
        <f t="shared" si="67"/>
        <v>1.1910211926821705</v>
      </c>
      <c r="AB230">
        <f>IFERROR(V144+MATCH(AA230,V230:Z230,0)-1,"")</f>
        <v>2013</v>
      </c>
      <c r="AC230" t="str">
        <f t="shared" si="68"/>
        <v>High</v>
      </c>
      <c r="AE230">
        <f>IF(ISNUMBER(MATCH("N/A",J230:N230,0)),"",IFERROR((5 * SUMPRODUCT(J144:N144,J230:N230) - PRODUCT(SUM(J144:N144),SUM(J230:N230))) / ((5 * SUM((J144^2)+(K144^2)+(L144^2)+(M144^2)+(N144^2))) - SUM(J144:N144)^2),""))</f>
        <v>-2696000</v>
      </c>
      <c r="AF230">
        <f>IFERROR(CORREL(J144:N144,J230:N230),"")</f>
        <v>-0.16049269550569609</v>
      </c>
      <c r="AZ230">
        <f t="shared" si="69"/>
        <v>1</v>
      </c>
      <c r="BA230" t="str">
        <f>IF(AZ230=1,IF(Q230="","",IF(Q230=N144,"Yes","No")),"")</f>
        <v>No</v>
      </c>
      <c r="BB230" t="str">
        <f t="shared" si="70"/>
        <v/>
      </c>
      <c r="BC230" t="str">
        <f>IF(AZ230=1,IF(S230="","",IF(S230=N144,"Yes","No")),"")</f>
        <v>No</v>
      </c>
      <c r="BD230" t="str">
        <f t="shared" si="71"/>
        <v/>
      </c>
      <c r="BE230" t="str">
        <f t="shared" si="72"/>
        <v>Decreasing</v>
      </c>
      <c r="BF230" t="str">
        <f t="shared" si="73"/>
        <v>No</v>
      </c>
      <c r="BG230" t="str">
        <f t="shared" si="74"/>
        <v>No</v>
      </c>
      <c r="BH230" t="str">
        <f t="shared" si="75"/>
        <v>No</v>
      </c>
    </row>
    <row r="231" spans="1:60" x14ac:dyDescent="0.3">
      <c r="A231" s="1">
        <v>3</v>
      </c>
      <c r="B231" t="s">
        <v>564</v>
      </c>
      <c r="C231" t="s">
        <v>4186</v>
      </c>
      <c r="D231" t="s">
        <v>4187</v>
      </c>
      <c r="E231" t="s">
        <v>4188</v>
      </c>
      <c r="F231" t="s">
        <v>4189</v>
      </c>
      <c r="G231" t="s">
        <v>4190</v>
      </c>
      <c r="I231" t="str">
        <f t="shared" si="76"/>
        <v>N/A</v>
      </c>
      <c r="J231">
        <f t="shared" si="77"/>
        <v>40320000</v>
      </c>
      <c r="K231">
        <f t="shared" si="78"/>
        <v>48350000</v>
      </c>
      <c r="L231">
        <f t="shared" si="79"/>
        <v>52540000</v>
      </c>
      <c r="M231">
        <f t="shared" si="80"/>
        <v>44750000</v>
      </c>
      <c r="N231">
        <f t="shared" si="81"/>
        <v>42780000</v>
      </c>
      <c r="P231">
        <f t="shared" si="58"/>
        <v>52540000</v>
      </c>
      <c r="Q231">
        <f>IFERROR(J144+MATCH(P231,J231:N231,0)-1,"")</f>
        <v>2014</v>
      </c>
      <c r="R231">
        <f t="shared" si="59"/>
        <v>40320000</v>
      </c>
      <c r="S231">
        <f>IFERROR(J144+MATCH(R231,J231:N231,0)-1,"")</f>
        <v>2012</v>
      </c>
      <c r="T231">
        <f t="shared" si="60"/>
        <v>45748000</v>
      </c>
      <c r="U231">
        <f t="shared" si="61"/>
        <v>4800257.2847713074</v>
      </c>
      <c r="V231">
        <f t="shared" si="62"/>
        <v>-1.1307727227913784</v>
      </c>
      <c r="W231">
        <f t="shared" si="63"/>
        <v>0.54205427868518175</v>
      </c>
      <c r="X231">
        <f t="shared" si="64"/>
        <v>1.4149241586586296</v>
      </c>
      <c r="Y231">
        <f t="shared" si="65"/>
        <v>-0.20790552272398591</v>
      </c>
      <c r="Z231">
        <f t="shared" si="66"/>
        <v>-0.61830019182844709</v>
      </c>
      <c r="AA231">
        <f t="shared" si="67"/>
        <v>1.4149241586586296</v>
      </c>
      <c r="AB231">
        <f>IFERROR(V144+MATCH(AA231,V231:Z231,0)-1,"")</f>
        <v>2014</v>
      </c>
      <c r="AC231" t="str">
        <f t="shared" si="68"/>
        <v>High</v>
      </c>
      <c r="AE231">
        <f>IF(ISNUMBER(MATCH("N/A",J231:N231,0)),"",IFERROR((5 * SUMPRODUCT(J144:N144,J231:N231) - PRODUCT(SUM(J144:N144),SUM(J231:N231))) / ((5 * SUM((J144^2)+(K144^2)+(L144^2)+(M144^2)+(N144^2))) - SUM(J144:N144)^2),""))</f>
        <v>132000</v>
      </c>
      <c r="AF231">
        <f>IFERROR(CORREL(J144:N144,J231:N231),"")</f>
        <v>4.3478987310376298E-2</v>
      </c>
      <c r="AZ231">
        <f t="shared" si="69"/>
        <v>1</v>
      </c>
      <c r="BA231" t="str">
        <f>IF(AZ231=1,IF(Q231="","",IF(Q231=N144,"Yes","No")),"")</f>
        <v>No</v>
      </c>
      <c r="BB231" t="str">
        <f t="shared" si="70"/>
        <v/>
      </c>
      <c r="BC231" t="str">
        <f>IF(AZ231=1,IF(S231="","",IF(S231=N144,"Yes","No")),"")</f>
        <v>No</v>
      </c>
      <c r="BD231" t="str">
        <f t="shared" si="71"/>
        <v/>
      </c>
      <c r="BE231" t="str">
        <f t="shared" si="72"/>
        <v>Increasing</v>
      </c>
      <c r="BF231" t="str">
        <f t="shared" si="73"/>
        <v>No</v>
      </c>
      <c r="BG231" t="str">
        <f t="shared" si="74"/>
        <v>No</v>
      </c>
      <c r="BH231" t="str">
        <f t="shared" si="75"/>
        <v>No</v>
      </c>
    </row>
    <row r="232" spans="1:60" x14ac:dyDescent="0.3">
      <c r="A232" s="1">
        <v>4</v>
      </c>
      <c r="B232" t="s">
        <v>569</v>
      </c>
      <c r="C232" t="s">
        <v>4191</v>
      </c>
      <c r="D232" t="s">
        <v>4192</v>
      </c>
      <c r="E232" t="s">
        <v>4193</v>
      </c>
      <c r="F232" t="s">
        <v>4194</v>
      </c>
      <c r="G232" t="s">
        <v>4195</v>
      </c>
      <c r="I232" t="str">
        <f t="shared" si="76"/>
        <v>N/A</v>
      </c>
      <c r="J232">
        <f t="shared" si="77"/>
        <v>70090000</v>
      </c>
      <c r="K232">
        <f t="shared" si="78"/>
        <v>88460000</v>
      </c>
      <c r="L232">
        <f t="shared" si="79"/>
        <v>98070000</v>
      </c>
      <c r="M232">
        <f t="shared" si="80"/>
        <v>95560000</v>
      </c>
      <c r="N232">
        <f t="shared" si="81"/>
        <v>95930000</v>
      </c>
      <c r="P232">
        <f t="shared" si="58"/>
        <v>98070000</v>
      </c>
      <c r="Q232">
        <f>IFERROR(J144+MATCH(P232,J232:N232,0)-1,"")</f>
        <v>2014</v>
      </c>
      <c r="R232">
        <f t="shared" si="59"/>
        <v>70090000</v>
      </c>
      <c r="S232">
        <f>IFERROR(J144+MATCH(R232,J232:N232,0)-1,"")</f>
        <v>2012</v>
      </c>
      <c r="T232">
        <f t="shared" si="60"/>
        <v>89622000</v>
      </c>
      <c r="U232">
        <f t="shared" si="61"/>
        <v>11502920.064053301</v>
      </c>
      <c r="V232">
        <f t="shared" si="62"/>
        <v>-1.6980036278820736</v>
      </c>
      <c r="W232">
        <f t="shared" si="63"/>
        <v>-0.10101782795407381</v>
      </c>
      <c r="X232">
        <f t="shared" si="64"/>
        <v>0.7344222121824574</v>
      </c>
      <c r="Y232">
        <f t="shared" si="65"/>
        <v>0.51621674904586079</v>
      </c>
      <c r="Z232">
        <f t="shared" si="66"/>
        <v>0.54838249460782929</v>
      </c>
      <c r="AA232">
        <f t="shared" si="67"/>
        <v>-1.6980036278820736</v>
      </c>
      <c r="AB232">
        <f>IFERROR(V144+MATCH(AA232,V232:Z232,0)-1,"")</f>
        <v>2012</v>
      </c>
      <c r="AC232" t="str">
        <f t="shared" si="68"/>
        <v>Low</v>
      </c>
      <c r="AE232">
        <f>IF(ISNUMBER(MATCH("N/A",J232:N232,0)),"",IFERROR((5 * SUMPRODUCT(J144:N144,J232:N232) - PRODUCT(SUM(J144:N144),SUM(J232:N232))) / ((5 * SUM((J144^2)+(K144^2)+(L144^2)+(M144^2)+(N144^2))) - SUM(J144:N144)^2),""))</f>
        <v>5878000</v>
      </c>
      <c r="AF232">
        <f>IFERROR(CORREL(J144:N144,J232:N232),"")</f>
        <v>0.80796302082272742</v>
      </c>
      <c r="AZ232">
        <f t="shared" si="69"/>
        <v>1</v>
      </c>
      <c r="BA232" t="str">
        <f>IF(AZ232=1,IF(Q232="","",IF(Q232=N144,"Yes","No")),"")</f>
        <v>No</v>
      </c>
      <c r="BB232" t="str">
        <f t="shared" si="70"/>
        <v/>
      </c>
      <c r="BC232" t="str">
        <f>IF(AZ232=1,IF(S232="","",IF(S232=N144,"Yes","No")),"")</f>
        <v>No</v>
      </c>
      <c r="BD232" t="str">
        <f t="shared" si="71"/>
        <v/>
      </c>
      <c r="BE232" t="str">
        <f t="shared" si="72"/>
        <v>Increasing</v>
      </c>
      <c r="BF232" t="str">
        <f t="shared" si="73"/>
        <v>No</v>
      </c>
      <c r="BG232" t="str">
        <f t="shared" si="74"/>
        <v>No</v>
      </c>
      <c r="BH232" t="str">
        <f t="shared" si="75"/>
        <v>Yes</v>
      </c>
    </row>
    <row r="233" spans="1:60" x14ac:dyDescent="0.3">
      <c r="A233" s="1">
        <v>5</v>
      </c>
      <c r="B233" t="s">
        <v>570</v>
      </c>
      <c r="C233" t="s">
        <v>264</v>
      </c>
      <c r="D233" t="s">
        <v>264</v>
      </c>
      <c r="E233" t="s">
        <v>264</v>
      </c>
      <c r="F233" t="s">
        <v>264</v>
      </c>
      <c r="G233" t="s">
        <v>264</v>
      </c>
      <c r="I233" t="str">
        <f t="shared" si="76"/>
        <v>N/A</v>
      </c>
      <c r="J233" t="str">
        <f t="shared" si="77"/>
        <v>N/A</v>
      </c>
      <c r="K233" t="str">
        <f t="shared" si="78"/>
        <v>N/A</v>
      </c>
      <c r="L233" t="str">
        <f t="shared" si="79"/>
        <v>N/A</v>
      </c>
      <c r="M233" t="str">
        <f t="shared" si="80"/>
        <v>N/A</v>
      </c>
      <c r="N233" t="str">
        <f t="shared" si="81"/>
        <v>N/A</v>
      </c>
      <c r="P233">
        <f t="shared" si="58"/>
        <v>0</v>
      </c>
      <c r="Q233" t="str">
        <f>IFERROR(J144+MATCH(P233,J233:N233,0)-1,"")</f>
        <v/>
      </c>
      <c r="R233" t="str">
        <f t="shared" si="59"/>
        <v/>
      </c>
      <c r="S233" t="str">
        <f>IFERROR(J144+MATCH(R233,J233:N233,0)-1,"")</f>
        <v/>
      </c>
      <c r="T233" t="str">
        <f t="shared" si="60"/>
        <v/>
      </c>
      <c r="U233" t="str">
        <f t="shared" si="61"/>
        <v/>
      </c>
      <c r="V233" t="str">
        <f t="shared" si="62"/>
        <v/>
      </c>
      <c r="W233" t="str">
        <f t="shared" si="63"/>
        <v/>
      </c>
      <c r="X233" t="str">
        <f t="shared" si="64"/>
        <v/>
      </c>
      <c r="Y233" t="str">
        <f t="shared" si="65"/>
        <v/>
      </c>
      <c r="Z233" t="str">
        <f t="shared" si="66"/>
        <v/>
      </c>
      <c r="AA233">
        <f t="shared" si="67"/>
        <v>0</v>
      </c>
      <c r="AB233" t="str">
        <f>IFERROR(V144+MATCH(AA233,V233:Z233,0)-1,"")</f>
        <v/>
      </c>
      <c r="AC233" t="str">
        <f t="shared" si="68"/>
        <v/>
      </c>
      <c r="AE233" t="str">
        <f>IF(ISNUMBER(MATCH("N/A",J233:N233,0)),"",IFERROR((5 * SUMPRODUCT(J144:N144,J233:N233) - PRODUCT(SUM(J144:N144),SUM(J233:N233))) / ((5 * SUM((J144^2)+(K144^2)+(L144^2)+(M144^2)+(N144^2))) - SUM(J144:N144)^2),""))</f>
        <v/>
      </c>
      <c r="AF233" t="str">
        <f>IFERROR(CORREL(J144:N144,J233:N233),"")</f>
        <v/>
      </c>
      <c r="AZ233">
        <f t="shared" si="69"/>
        <v>0</v>
      </c>
      <c r="BA233" t="str">
        <f>IF(AZ233=1,IF(Q233="","",IF(Q233=N144,"Yes","No")),"")</f>
        <v/>
      </c>
      <c r="BB233" t="str">
        <f t="shared" si="70"/>
        <v/>
      </c>
      <c r="BC233" t="str">
        <f>IF(AZ233=1,IF(S233="","",IF(S233=N144,"Yes","No")),"")</f>
        <v/>
      </c>
      <c r="BD233" t="str">
        <f t="shared" si="71"/>
        <v/>
      </c>
      <c r="BE233" t="str">
        <f t="shared" si="72"/>
        <v/>
      </c>
      <c r="BF233" t="str">
        <f t="shared" si="73"/>
        <v>No</v>
      </c>
      <c r="BG233" t="str">
        <f t="shared" si="74"/>
        <v>No</v>
      </c>
      <c r="BH233" t="str">
        <f t="shared" si="75"/>
        <v/>
      </c>
    </row>
    <row r="234" spans="1:60" x14ac:dyDescent="0.3">
      <c r="A234" s="1">
        <v>6</v>
      </c>
      <c r="B234" t="s">
        <v>576</v>
      </c>
      <c r="C234" t="s">
        <v>4196</v>
      </c>
      <c r="D234" t="s">
        <v>1996</v>
      </c>
      <c r="E234" t="s">
        <v>4197</v>
      </c>
      <c r="F234" t="s">
        <v>4198</v>
      </c>
      <c r="G234" t="s">
        <v>4199</v>
      </c>
      <c r="I234" t="str">
        <f t="shared" si="76"/>
        <v>pos_trend</v>
      </c>
      <c r="J234">
        <f t="shared" si="77"/>
        <v>177030000</v>
      </c>
      <c r="K234">
        <f t="shared" si="78"/>
        <v>256060000</v>
      </c>
      <c r="L234">
        <f t="shared" si="79"/>
        <v>311610000</v>
      </c>
      <c r="M234">
        <f t="shared" si="80"/>
        <v>368940000</v>
      </c>
      <c r="N234">
        <f t="shared" si="81"/>
        <v>398390000</v>
      </c>
      <c r="P234">
        <f t="shared" si="58"/>
        <v>398390000</v>
      </c>
      <c r="Q234">
        <f>IFERROR(J144+MATCH(P234,J234:N234,0)-1,"")</f>
        <v>2016</v>
      </c>
      <c r="R234">
        <f t="shared" si="59"/>
        <v>177030000</v>
      </c>
      <c r="S234">
        <f>IFERROR(J144+MATCH(R234,J234:N234,0)-1,"")</f>
        <v>2012</v>
      </c>
      <c r="T234">
        <f t="shared" si="60"/>
        <v>302406000</v>
      </c>
      <c r="U234">
        <f t="shared" si="61"/>
        <v>88870000.731405422</v>
      </c>
      <c r="V234">
        <f t="shared" si="62"/>
        <v>-1.410779779094723</v>
      </c>
      <c r="W234">
        <f t="shared" si="63"/>
        <v>-0.52150331516338078</v>
      </c>
      <c r="X234">
        <f t="shared" si="64"/>
        <v>0.10356700713683503</v>
      </c>
      <c r="Y234">
        <f t="shared" si="65"/>
        <v>0.74866658548915499</v>
      </c>
      <c r="Z234">
        <f t="shared" si="66"/>
        <v>1.0800495016321137</v>
      </c>
      <c r="AA234">
        <f t="shared" si="67"/>
        <v>-1.410779779094723</v>
      </c>
      <c r="AB234">
        <f>IFERROR(V144+MATCH(AA234,V234:Z234,0)-1,"")</f>
        <v>2012</v>
      </c>
      <c r="AC234" t="str">
        <f t="shared" si="68"/>
        <v>Low</v>
      </c>
      <c r="AE234">
        <f>IF(ISNUMBER(MATCH("N/A",J234:N234,0)),"",IFERROR((5 * SUMPRODUCT(J144:N144,J234:N234) - PRODUCT(SUM(J144:N144),SUM(J234:N234))) / ((5 * SUM((J144^2)+(K144^2)+(L144^2)+(M144^2)+(N144^2))) - SUM(J144:N144)^2),""))</f>
        <v>55560000</v>
      </c>
      <c r="AF234">
        <f>IFERROR(CORREL(J144:N144,J234:N234),"")</f>
        <v>0.98850087404616493</v>
      </c>
      <c r="AZ234">
        <f t="shared" si="69"/>
        <v>1</v>
      </c>
      <c r="BA234" t="str">
        <f>IF(AZ234=1,IF(Q234="","",IF(Q234=N144,"Yes","No")),"")</f>
        <v>Yes</v>
      </c>
      <c r="BB234">
        <f t="shared" si="70"/>
        <v>398390000</v>
      </c>
      <c r="BC234" t="str">
        <f>IF(AZ234=1,IF(S234="","",IF(S234=N144,"Yes","No")),"")</f>
        <v>No</v>
      </c>
      <c r="BD234" t="str">
        <f t="shared" si="71"/>
        <v/>
      </c>
      <c r="BE234" t="str">
        <f t="shared" si="72"/>
        <v>Increasing</v>
      </c>
      <c r="BF234" t="str">
        <f t="shared" si="73"/>
        <v>Yes</v>
      </c>
      <c r="BG234" t="str">
        <f t="shared" si="74"/>
        <v>Yes</v>
      </c>
      <c r="BH234" t="str">
        <f t="shared" si="75"/>
        <v>Yes</v>
      </c>
    </row>
    <row r="235" spans="1:60" x14ac:dyDescent="0.3">
      <c r="A235" s="1">
        <v>7</v>
      </c>
      <c r="B235" t="s">
        <v>582</v>
      </c>
      <c r="C235" t="s">
        <v>264</v>
      </c>
      <c r="D235" t="s">
        <v>264</v>
      </c>
      <c r="E235" t="s">
        <v>264</v>
      </c>
      <c r="F235" t="s">
        <v>264</v>
      </c>
      <c r="G235" t="s">
        <v>264</v>
      </c>
      <c r="I235" t="str">
        <f t="shared" si="76"/>
        <v>N/A</v>
      </c>
      <c r="J235" t="str">
        <f t="shared" si="77"/>
        <v>N/A</v>
      </c>
      <c r="K235" t="str">
        <f t="shared" si="78"/>
        <v>N/A</v>
      </c>
      <c r="L235" t="str">
        <f t="shared" si="79"/>
        <v>N/A</v>
      </c>
      <c r="M235" t="str">
        <f t="shared" si="80"/>
        <v>N/A</v>
      </c>
      <c r="N235" t="str">
        <f t="shared" si="81"/>
        <v>N/A</v>
      </c>
      <c r="P235">
        <f t="shared" si="58"/>
        <v>0</v>
      </c>
      <c r="Q235" t="str">
        <f>IFERROR(J144+MATCH(P235,J235:N235,0)-1,"")</f>
        <v/>
      </c>
      <c r="R235" t="str">
        <f t="shared" si="59"/>
        <v/>
      </c>
      <c r="S235" t="str">
        <f>IFERROR(J144+MATCH(R235,J235:N235,0)-1,"")</f>
        <v/>
      </c>
      <c r="T235" t="str">
        <f t="shared" si="60"/>
        <v/>
      </c>
      <c r="U235" t="str">
        <f t="shared" si="61"/>
        <v/>
      </c>
      <c r="V235" t="str">
        <f t="shared" si="62"/>
        <v/>
      </c>
      <c r="W235" t="str">
        <f t="shared" si="63"/>
        <v/>
      </c>
      <c r="X235" t="str">
        <f t="shared" si="64"/>
        <v/>
      </c>
      <c r="Y235" t="str">
        <f t="shared" si="65"/>
        <v/>
      </c>
      <c r="Z235" t="str">
        <f t="shared" si="66"/>
        <v/>
      </c>
      <c r="AA235">
        <f t="shared" si="67"/>
        <v>0</v>
      </c>
      <c r="AB235" t="str">
        <f>IFERROR(V144+MATCH(AA235,V235:Z235,0)-1,"")</f>
        <v/>
      </c>
      <c r="AC235" t="str">
        <f t="shared" si="68"/>
        <v/>
      </c>
      <c r="AE235" t="str">
        <f>IF(ISNUMBER(MATCH("N/A",J235:N235,0)),"",IFERROR((5 * SUMPRODUCT(J144:N144,J235:N235) - PRODUCT(SUM(J144:N144),SUM(J235:N235))) / ((5 * SUM((J144^2)+(K144^2)+(L144^2)+(M144^2)+(N144^2))) - SUM(J144:N144)^2),""))</f>
        <v/>
      </c>
      <c r="AF235" t="str">
        <f>IFERROR(CORREL(J144:N144,J235:N235),"")</f>
        <v/>
      </c>
      <c r="AZ235">
        <f t="shared" si="69"/>
        <v>0</v>
      </c>
      <c r="BA235" t="str">
        <f>IF(AZ235=1,IF(Q235="","",IF(Q235=N144,"Yes","No")),"")</f>
        <v/>
      </c>
      <c r="BB235" t="str">
        <f t="shared" si="70"/>
        <v/>
      </c>
      <c r="BC235" t="str">
        <f>IF(AZ235=1,IF(S235="","",IF(S235=N144,"Yes","No")),"")</f>
        <v/>
      </c>
      <c r="BD235" t="str">
        <f t="shared" si="71"/>
        <v/>
      </c>
      <c r="BE235" t="str">
        <f t="shared" si="72"/>
        <v/>
      </c>
      <c r="BF235" t="str">
        <f t="shared" si="73"/>
        <v>No</v>
      </c>
      <c r="BG235" t="str">
        <f t="shared" si="74"/>
        <v>No</v>
      </c>
      <c r="BH235" t="str">
        <f t="shared" si="75"/>
        <v/>
      </c>
    </row>
    <row r="236" spans="1:60" x14ac:dyDescent="0.3">
      <c r="A236" s="1">
        <v>8</v>
      </c>
      <c r="B236" t="s">
        <v>583</v>
      </c>
      <c r="C236" t="s">
        <v>264</v>
      </c>
      <c r="D236" t="s">
        <v>264</v>
      </c>
      <c r="E236" t="s">
        <v>264</v>
      </c>
      <c r="F236" t="s">
        <v>264</v>
      </c>
      <c r="G236" t="s">
        <v>264</v>
      </c>
      <c r="I236" t="str">
        <f t="shared" si="76"/>
        <v>N/A</v>
      </c>
      <c r="J236" t="str">
        <f t="shared" si="77"/>
        <v>N/A</v>
      </c>
      <c r="K236" t="str">
        <f t="shared" si="78"/>
        <v>N/A</v>
      </c>
      <c r="L236" t="str">
        <f t="shared" si="79"/>
        <v>N/A</v>
      </c>
      <c r="M236" t="str">
        <f t="shared" si="80"/>
        <v>N/A</v>
      </c>
      <c r="N236" t="str">
        <f t="shared" si="81"/>
        <v>N/A</v>
      </c>
      <c r="P236">
        <f t="shared" si="58"/>
        <v>0</v>
      </c>
      <c r="Q236" t="str">
        <f>IFERROR(J144+MATCH(P236,J236:N236,0)-1,"")</f>
        <v/>
      </c>
      <c r="R236" t="str">
        <f t="shared" si="59"/>
        <v/>
      </c>
      <c r="S236" t="str">
        <f>IFERROR(J144+MATCH(R236,J236:N236,0)-1,"")</f>
        <v/>
      </c>
      <c r="T236" t="str">
        <f t="shared" si="60"/>
        <v/>
      </c>
      <c r="U236" t="str">
        <f t="shared" si="61"/>
        <v/>
      </c>
      <c r="V236" t="str">
        <f t="shared" si="62"/>
        <v/>
      </c>
      <c r="W236" t="str">
        <f t="shared" si="63"/>
        <v/>
      </c>
      <c r="X236" t="str">
        <f t="shared" si="64"/>
        <v/>
      </c>
      <c r="Y236" t="str">
        <f t="shared" si="65"/>
        <v/>
      </c>
      <c r="Z236" t="str">
        <f t="shared" si="66"/>
        <v/>
      </c>
      <c r="AA236">
        <f t="shared" si="67"/>
        <v>0</v>
      </c>
      <c r="AB236" t="str">
        <f>IFERROR(V144+MATCH(AA236,V236:Z236,0)-1,"")</f>
        <v/>
      </c>
      <c r="AC236" t="str">
        <f t="shared" si="68"/>
        <v/>
      </c>
      <c r="AE236" t="str">
        <f>IF(ISNUMBER(MATCH("N/A",J236:N236,0)),"",IFERROR((5 * SUMPRODUCT(J144:N144,J236:N236) - PRODUCT(SUM(J144:N144),SUM(J236:N236))) / ((5 * SUM((J144^2)+(K144^2)+(L144^2)+(M144^2)+(N144^2))) - SUM(J144:N144)^2),""))</f>
        <v/>
      </c>
      <c r="AF236" t="str">
        <f>IFERROR(CORREL(J144:N144,J236:N236),"")</f>
        <v/>
      </c>
      <c r="AZ236">
        <f t="shared" si="69"/>
        <v>0</v>
      </c>
      <c r="BA236" t="str">
        <f>IF(AZ236=1,IF(Q236="","",IF(Q236=N144,"Yes","No")),"")</f>
        <v/>
      </c>
      <c r="BB236" t="str">
        <f t="shared" si="70"/>
        <v/>
      </c>
      <c r="BC236" t="str">
        <f>IF(AZ236=1,IF(S236="","",IF(S236=N144,"Yes","No")),"")</f>
        <v/>
      </c>
      <c r="BD236" t="str">
        <f t="shared" si="71"/>
        <v/>
      </c>
      <c r="BE236" t="str">
        <f t="shared" si="72"/>
        <v/>
      </c>
      <c r="BF236" t="str">
        <f t="shared" si="73"/>
        <v>No</v>
      </c>
      <c r="BG236" t="str">
        <f t="shared" si="74"/>
        <v>No</v>
      </c>
      <c r="BH236" t="str">
        <f t="shared" si="75"/>
        <v/>
      </c>
    </row>
    <row r="237" spans="1:60" x14ac:dyDescent="0.3">
      <c r="A237" s="1">
        <v>9</v>
      </c>
      <c r="B237" t="s">
        <v>584</v>
      </c>
      <c r="C237" t="s">
        <v>264</v>
      </c>
      <c r="D237" t="s">
        <v>264</v>
      </c>
      <c r="E237" t="s">
        <v>4200</v>
      </c>
      <c r="F237" t="s">
        <v>4201</v>
      </c>
      <c r="G237" t="s">
        <v>4202</v>
      </c>
      <c r="I237" t="str">
        <f t="shared" si="76"/>
        <v>N/A</v>
      </c>
      <c r="J237" t="str">
        <f t="shared" si="77"/>
        <v>N/A</v>
      </c>
      <c r="K237" t="str">
        <f t="shared" si="78"/>
        <v>N/A</v>
      </c>
      <c r="L237">
        <f t="shared" si="79"/>
        <v>82340000</v>
      </c>
      <c r="M237">
        <f t="shared" si="80"/>
        <v>96010000</v>
      </c>
      <c r="N237">
        <f t="shared" si="81"/>
        <v>92270000</v>
      </c>
      <c r="P237">
        <f t="shared" si="58"/>
        <v>96010000</v>
      </c>
      <c r="Q237">
        <f>IFERROR(J144+MATCH(P237,J237:N237,0)-1,"")</f>
        <v>2015</v>
      </c>
      <c r="R237">
        <f t="shared" si="59"/>
        <v>82340000</v>
      </c>
      <c r="S237">
        <f>IFERROR(J144+MATCH(R237,J237:N237,0)-1,"")</f>
        <v>2014</v>
      </c>
      <c r="T237">
        <f t="shared" si="60"/>
        <v>90206666.666666672</v>
      </c>
      <c r="U237">
        <f t="shared" si="61"/>
        <v>7064717.4984802706</v>
      </c>
      <c r="V237" t="str">
        <f t="shared" si="62"/>
        <v/>
      </c>
      <c r="W237" t="str">
        <f t="shared" si="63"/>
        <v/>
      </c>
      <c r="X237">
        <f t="shared" si="64"/>
        <v>-1.1135146831219951</v>
      </c>
      <c r="Y237">
        <f t="shared" si="65"/>
        <v>0.8214529929302502</v>
      </c>
      <c r="Z237">
        <f t="shared" si="66"/>
        <v>0.29206169019174272</v>
      </c>
      <c r="AA237">
        <f t="shared" si="67"/>
        <v>-1.1135146831219951</v>
      </c>
      <c r="AB237">
        <f>IFERROR(V144+MATCH(AA237,V237:Z237,0)-1,"")</f>
        <v>2014</v>
      </c>
      <c r="AC237" t="str">
        <f t="shared" si="68"/>
        <v>Low</v>
      </c>
      <c r="AE237" t="str">
        <f>IF(ISNUMBER(MATCH("N/A",J237:N237,0)),"",IFERROR((5 * SUMPRODUCT(J144:N144,J237:N237) - PRODUCT(SUM(J144:N144),SUM(J237:N237))) / ((5 * SUM((J144^2)+(K144^2)+(L144^2)+(M144^2)+(N144^2))) - SUM(J144:N144)^2),""))</f>
        <v/>
      </c>
      <c r="AF237">
        <f>IFERROR(CORREL(J144:N144,J237:N237),"")</f>
        <v>0.70278818665686882</v>
      </c>
      <c r="AZ237">
        <f t="shared" si="69"/>
        <v>1</v>
      </c>
      <c r="BA237" t="str">
        <f>IF(AZ237=1,IF(Q237="","",IF(Q237=N144,"Yes","No")),"")</f>
        <v>No</v>
      </c>
      <c r="BB237" t="str">
        <f t="shared" si="70"/>
        <v/>
      </c>
      <c r="BC237" t="str">
        <f>IF(AZ237=1,IF(S237="","",IF(S237=N144,"Yes","No")),"")</f>
        <v>No</v>
      </c>
      <c r="BD237" t="str">
        <f t="shared" si="71"/>
        <v/>
      </c>
      <c r="BE237" t="str">
        <f t="shared" si="72"/>
        <v/>
      </c>
      <c r="BF237" t="str">
        <f t="shared" si="73"/>
        <v>No</v>
      </c>
      <c r="BG237" t="str">
        <f t="shared" si="74"/>
        <v>No</v>
      </c>
      <c r="BH237" t="str">
        <f t="shared" si="75"/>
        <v>No</v>
      </c>
    </row>
    <row r="238" spans="1:60" x14ac:dyDescent="0.3">
      <c r="A238" s="1">
        <v>10</v>
      </c>
      <c r="B238" t="s">
        <v>587</v>
      </c>
      <c r="C238" t="s">
        <v>3936</v>
      </c>
      <c r="D238" t="s">
        <v>51</v>
      </c>
      <c r="E238" t="s">
        <v>4203</v>
      </c>
      <c r="F238" t="s">
        <v>4204</v>
      </c>
      <c r="G238" t="s">
        <v>4205</v>
      </c>
      <c r="I238" t="str">
        <f t="shared" si="76"/>
        <v>N/A</v>
      </c>
      <c r="J238">
        <f t="shared" si="77"/>
        <v>2850000000</v>
      </c>
      <c r="K238">
        <f t="shared" si="78"/>
        <v>3220000000</v>
      </c>
      <c r="L238">
        <f t="shared" si="79"/>
        <v>3920000000</v>
      </c>
      <c r="M238">
        <f t="shared" si="80"/>
        <v>3810000000</v>
      </c>
      <c r="N238">
        <f t="shared" si="81"/>
        <v>3460000000</v>
      </c>
      <c r="P238">
        <f t="shared" si="58"/>
        <v>3920000000</v>
      </c>
      <c r="Q238">
        <f>IFERROR(J144+MATCH(P238,J238:N238,0)-1,"")</f>
        <v>2014</v>
      </c>
      <c r="R238">
        <f t="shared" si="59"/>
        <v>2850000000</v>
      </c>
      <c r="S238">
        <f>IFERROR(J144+MATCH(R238,J238:N238,0)-1,"")</f>
        <v>2012</v>
      </c>
      <c r="T238">
        <f t="shared" si="60"/>
        <v>3452000000</v>
      </c>
      <c r="U238">
        <f t="shared" si="61"/>
        <v>436886713.00464153</v>
      </c>
      <c r="V238">
        <f t="shared" si="62"/>
        <v>-1.3779315829035164</v>
      </c>
      <c r="W238">
        <f t="shared" si="63"/>
        <v>-0.53103011168374714</v>
      </c>
      <c r="X238">
        <f t="shared" si="64"/>
        <v>1.0712159149482487</v>
      </c>
      <c r="Y238">
        <f t="shared" si="65"/>
        <v>0.81943439647750649</v>
      </c>
      <c r="Z238">
        <f t="shared" si="66"/>
        <v>1.8311383161508522E-2</v>
      </c>
      <c r="AA238">
        <f t="shared" si="67"/>
        <v>-1.3779315829035164</v>
      </c>
      <c r="AB238">
        <f>IFERROR(V144+MATCH(AA238,V238:Z238,0)-1,"")</f>
        <v>2012</v>
      </c>
      <c r="AC238" t="str">
        <f t="shared" si="68"/>
        <v>Low</v>
      </c>
      <c r="AE238">
        <f>IF(ISNUMBER(MATCH("N/A",J238:N238,0)),"",IFERROR((5 * SUMPRODUCT(J144:N144,J238:N238) - PRODUCT(SUM(J144:N144),SUM(J238:N238))) / ((5 * SUM((J144^2)+(K144^2)+(L144^2)+(M144^2)+(N144^2))) - SUM(J144:N144)^2),""))</f>
        <v>181000000</v>
      </c>
      <c r="AF238">
        <f>IFERROR(CORREL(J144:N144,J238:N238),"")</f>
        <v>0.65505798122589709</v>
      </c>
      <c r="AZ238">
        <f t="shared" si="69"/>
        <v>1</v>
      </c>
      <c r="BA238" t="str">
        <f>IF(AZ238=1,IF(Q238="","",IF(Q238=N144,"Yes","No")),"")</f>
        <v>No</v>
      </c>
      <c r="BB238" t="str">
        <f t="shared" si="70"/>
        <v/>
      </c>
      <c r="BC238" t="str">
        <f>IF(AZ238=1,IF(S238="","",IF(S238=N144,"Yes","No")),"")</f>
        <v>No</v>
      </c>
      <c r="BD238" t="str">
        <f t="shared" si="71"/>
        <v/>
      </c>
      <c r="BE238" t="str">
        <f t="shared" si="72"/>
        <v>Increasing</v>
      </c>
      <c r="BF238" t="str">
        <f t="shared" si="73"/>
        <v>No</v>
      </c>
      <c r="BG238" t="str">
        <f t="shared" si="74"/>
        <v>No</v>
      </c>
      <c r="BH238" t="str">
        <f t="shared" si="75"/>
        <v>No</v>
      </c>
    </row>
    <row r="239" spans="1:60" x14ac:dyDescent="0.3">
      <c r="A239" s="1">
        <v>11</v>
      </c>
      <c r="B239" t="s">
        <v>593</v>
      </c>
      <c r="C239" t="s">
        <v>1100</v>
      </c>
      <c r="D239" t="s">
        <v>4206</v>
      </c>
      <c r="E239" t="s">
        <v>21</v>
      </c>
      <c r="F239" t="s">
        <v>3940</v>
      </c>
      <c r="G239" t="s">
        <v>1117</v>
      </c>
      <c r="I239" t="str">
        <f t="shared" si="76"/>
        <v>N/A</v>
      </c>
      <c r="J239">
        <f t="shared" si="77"/>
        <v>2069999999.9999998</v>
      </c>
      <c r="K239">
        <f t="shared" si="78"/>
        <v>2380000000</v>
      </c>
      <c r="L239">
        <f t="shared" si="79"/>
        <v>2870000000</v>
      </c>
      <c r="M239">
        <f t="shared" si="80"/>
        <v>2820000000</v>
      </c>
      <c r="N239">
        <f t="shared" si="81"/>
        <v>2560000000</v>
      </c>
      <c r="P239">
        <f t="shared" si="58"/>
        <v>2870000000</v>
      </c>
      <c r="Q239">
        <f>IFERROR(J144+MATCH(P239,J239:N239,0)-1,"")</f>
        <v>2014</v>
      </c>
      <c r="R239">
        <f t="shared" si="59"/>
        <v>2069999999.9999998</v>
      </c>
      <c r="S239">
        <f>IFERROR(J144+MATCH(R239,J239:N239,0)-1,"")</f>
        <v>2012</v>
      </c>
      <c r="T239">
        <f t="shared" si="60"/>
        <v>2540000000</v>
      </c>
      <c r="U239">
        <f t="shared" si="61"/>
        <v>329469270.19071144</v>
      </c>
      <c r="V239">
        <f t="shared" si="62"/>
        <v>-1.4265366834604738</v>
      </c>
      <c r="W239">
        <f t="shared" si="63"/>
        <v>-0.48562950926313975</v>
      </c>
      <c r="X239">
        <f t="shared" si="64"/>
        <v>1.0016108628552258</v>
      </c>
      <c r="Y239">
        <f t="shared" si="65"/>
        <v>0.84985164121049461</v>
      </c>
      <c r="Z239">
        <f t="shared" si="66"/>
        <v>6.0703688657892468E-2</v>
      </c>
      <c r="AA239">
        <f t="shared" si="67"/>
        <v>-1.4265366834604738</v>
      </c>
      <c r="AB239">
        <f>IFERROR(V144+MATCH(AA239,V239:Z239,0)-1,"")</f>
        <v>2012</v>
      </c>
      <c r="AC239" t="str">
        <f t="shared" si="68"/>
        <v>Low</v>
      </c>
      <c r="AE239">
        <f>IF(ISNUMBER(MATCH("N/A",J239:N239,0)),"",IFERROR((5 * SUMPRODUCT(J144:N144,J239:N239) - PRODUCT(SUM(J144:N144),SUM(J239:N239))) / ((5 * SUM((J144^2)+(K144^2)+(L144^2)+(M144^2)+(N144^2))) - SUM(J144:N144)^2),""))</f>
        <v>142000000</v>
      </c>
      <c r="AF239">
        <f>IFERROR(CORREL(J144:N144,J239:N239),"")</f>
        <v>0.68146481079097865</v>
      </c>
      <c r="AZ239">
        <f t="shared" si="69"/>
        <v>1</v>
      </c>
      <c r="BA239" t="str">
        <f>IF(AZ239=1,IF(Q239="","",IF(Q239=N144,"Yes","No")),"")</f>
        <v>No</v>
      </c>
      <c r="BB239" t="str">
        <f t="shared" si="70"/>
        <v/>
      </c>
      <c r="BC239" t="str">
        <f>IF(AZ239=1,IF(S239="","",IF(S239=N144,"Yes","No")),"")</f>
        <v>No</v>
      </c>
      <c r="BD239" t="str">
        <f t="shared" si="71"/>
        <v/>
      </c>
      <c r="BE239" t="str">
        <f t="shared" si="72"/>
        <v>Increasing</v>
      </c>
      <c r="BF239" t="str">
        <f t="shared" si="73"/>
        <v>No</v>
      </c>
      <c r="BG239" t="str">
        <f t="shared" si="74"/>
        <v>No</v>
      </c>
      <c r="BH239" t="str">
        <f t="shared" si="75"/>
        <v>No</v>
      </c>
    </row>
    <row r="240" spans="1:60" x14ac:dyDescent="0.3">
      <c r="A240" s="1">
        <v>12</v>
      </c>
      <c r="B240" t="s">
        <v>599</v>
      </c>
      <c r="C240" t="s">
        <v>4207</v>
      </c>
      <c r="D240" t="s">
        <v>4208</v>
      </c>
      <c r="E240" t="s">
        <v>760</v>
      </c>
      <c r="F240" t="s">
        <v>4209</v>
      </c>
      <c r="G240" t="s">
        <v>4210</v>
      </c>
      <c r="I240" t="str">
        <f t="shared" si="76"/>
        <v>N/A</v>
      </c>
      <c r="J240">
        <f t="shared" si="77"/>
        <v>779050000</v>
      </c>
      <c r="K240">
        <f t="shared" si="78"/>
        <v>832550000</v>
      </c>
      <c r="L240">
        <f t="shared" si="79"/>
        <v>1040000000</v>
      </c>
      <c r="M240">
        <f t="shared" si="80"/>
        <v>995710000</v>
      </c>
      <c r="N240">
        <f t="shared" si="81"/>
        <v>899340000</v>
      </c>
      <c r="P240">
        <f t="shared" si="58"/>
        <v>1040000000</v>
      </c>
      <c r="Q240">
        <f>IFERROR(J144+MATCH(P240,J240:N240,0)-1,"")</f>
        <v>2014</v>
      </c>
      <c r="R240">
        <f t="shared" si="59"/>
        <v>779050000</v>
      </c>
      <c r="S240">
        <f>IFERROR(J144+MATCH(R240,J240:N240,0)-1,"")</f>
        <v>2012</v>
      </c>
      <c r="T240">
        <f t="shared" si="60"/>
        <v>909330000</v>
      </c>
      <c r="U240">
        <f t="shared" si="61"/>
        <v>108977062.03600888</v>
      </c>
      <c r="V240">
        <f t="shared" si="62"/>
        <v>-1.1954809348498685</v>
      </c>
      <c r="W240">
        <f t="shared" si="63"/>
        <v>-0.70455193565990859</v>
      </c>
      <c r="X240">
        <f t="shared" si="64"/>
        <v>1.1990596696103186</v>
      </c>
      <c r="Y240">
        <f t="shared" si="65"/>
        <v>0.79264386822483601</v>
      </c>
      <c r="Z240">
        <f t="shared" si="66"/>
        <v>-9.1670667325377542E-2</v>
      </c>
      <c r="AA240">
        <f t="shared" si="67"/>
        <v>1.1990596696103186</v>
      </c>
      <c r="AB240">
        <f>IFERROR(V144+MATCH(AA240,V240:Z240,0)-1,"")</f>
        <v>2014</v>
      </c>
      <c r="AC240" t="str">
        <f t="shared" si="68"/>
        <v>High</v>
      </c>
      <c r="AE240">
        <f>IF(ISNUMBER(MATCH("N/A",J240:N240,0)),"",IFERROR((5 * SUMPRODUCT(J144:N144,J240:N240) - PRODUCT(SUM(J144:N144),SUM(J240:N240))) / ((5 * SUM((J144^2)+(K144^2)+(L144^2)+(M144^2)+(N144^2))) - SUM(J144:N144)^2),""))</f>
        <v>40374000</v>
      </c>
      <c r="AF240">
        <f>IFERROR(CORREL(J144:N144,J240:N240),"")</f>
        <v>0.58578289718184939</v>
      </c>
      <c r="AZ240">
        <f t="shared" si="69"/>
        <v>1</v>
      </c>
      <c r="BA240" t="str">
        <f>IF(AZ240=1,IF(Q240="","",IF(Q240=N144,"Yes","No")),"")</f>
        <v>No</v>
      </c>
      <c r="BB240" t="str">
        <f t="shared" si="70"/>
        <v/>
      </c>
      <c r="BC240" t="str">
        <f>IF(AZ240=1,IF(S240="","",IF(S240=N144,"Yes","No")),"")</f>
        <v>No</v>
      </c>
      <c r="BD240" t="str">
        <f t="shared" si="71"/>
        <v/>
      </c>
      <c r="BE240" t="str">
        <f t="shared" si="72"/>
        <v>Increasing</v>
      </c>
      <c r="BF240" t="str">
        <f t="shared" si="73"/>
        <v>No</v>
      </c>
      <c r="BG240" t="str">
        <f t="shared" si="74"/>
        <v>No</v>
      </c>
      <c r="BH240" t="str">
        <f t="shared" si="75"/>
        <v>No</v>
      </c>
    </row>
    <row r="241" spans="1:60" x14ac:dyDescent="0.3">
      <c r="A241" s="1">
        <v>13</v>
      </c>
      <c r="B241" t="s">
        <v>604</v>
      </c>
      <c r="C241" t="s">
        <v>4211</v>
      </c>
      <c r="D241" t="s">
        <v>4212</v>
      </c>
      <c r="E241" t="s">
        <v>4213</v>
      </c>
      <c r="F241" t="s">
        <v>4214</v>
      </c>
      <c r="G241" t="s">
        <v>4215</v>
      </c>
      <c r="I241" t="str">
        <f t="shared" si="76"/>
        <v>N/A</v>
      </c>
      <c r="J241">
        <f t="shared" si="77"/>
        <v>457100000</v>
      </c>
      <c r="K241">
        <f t="shared" si="78"/>
        <v>470290000</v>
      </c>
      <c r="L241">
        <f t="shared" si="79"/>
        <v>417080000</v>
      </c>
      <c r="M241">
        <f t="shared" si="80"/>
        <v>419210000</v>
      </c>
      <c r="N241">
        <f t="shared" si="81"/>
        <v>440710000</v>
      </c>
      <c r="P241">
        <f t="shared" si="58"/>
        <v>470290000</v>
      </c>
      <c r="Q241">
        <f>IFERROR(J144+MATCH(P241,J241:N241,0)-1,"")</f>
        <v>2013</v>
      </c>
      <c r="R241">
        <f t="shared" si="59"/>
        <v>417080000</v>
      </c>
      <c r="S241">
        <f>IFERROR(J144+MATCH(R241,J241:N241,0)-1,"")</f>
        <v>2014</v>
      </c>
      <c r="T241">
        <f t="shared" si="60"/>
        <v>440878000</v>
      </c>
      <c r="U241">
        <f t="shared" si="61"/>
        <v>23259913.370431971</v>
      </c>
      <c r="V241">
        <f t="shared" si="62"/>
        <v>0.6974230617995949</v>
      </c>
      <c r="W241">
        <f t="shared" si="63"/>
        <v>1.2644931015688377</v>
      </c>
      <c r="X241">
        <f t="shared" si="64"/>
        <v>-1.0231336471894192</v>
      </c>
      <c r="Y241">
        <f t="shared" si="65"/>
        <v>-0.93155978936466666</v>
      </c>
      <c r="Z241">
        <f t="shared" si="66"/>
        <v>-7.2227268143466861E-3</v>
      </c>
      <c r="AA241">
        <f t="shared" si="67"/>
        <v>1.2644931015688377</v>
      </c>
      <c r="AB241">
        <f>IFERROR(V144+MATCH(AA241,V241:Z241,0)-1,"")</f>
        <v>2013</v>
      </c>
      <c r="AC241" t="str">
        <f t="shared" si="68"/>
        <v>High</v>
      </c>
      <c r="AE241">
        <f>IF(ISNUMBER(MATCH("N/A",J241:N241,0)),"",IFERROR((5 * SUMPRODUCT(J144:N144,J241:N241) - PRODUCT(SUM(J144:N144),SUM(J241:N241))) / ((5 * SUM((J144^2)+(K144^2)+(L144^2)+(M144^2)+(N144^2))) - SUM(J144:N144)^2),""))</f>
        <v>-8386000</v>
      </c>
      <c r="AF241">
        <f>IFERROR(CORREL(J144:N144,J241:N241),"")</f>
        <v>-0.57005501344392007</v>
      </c>
      <c r="AZ241">
        <f t="shared" si="69"/>
        <v>1</v>
      </c>
      <c r="BA241" t="str">
        <f>IF(AZ241=1,IF(Q241="","",IF(Q241=N144,"Yes","No")),"")</f>
        <v>No</v>
      </c>
      <c r="BB241" t="str">
        <f t="shared" si="70"/>
        <v/>
      </c>
      <c r="BC241" t="str">
        <f>IF(AZ241=1,IF(S241="","",IF(S241=N144,"Yes","No")),"")</f>
        <v>No</v>
      </c>
      <c r="BD241" t="str">
        <f t="shared" si="71"/>
        <v/>
      </c>
      <c r="BE241" t="str">
        <f t="shared" si="72"/>
        <v>Decreasing</v>
      </c>
      <c r="BF241" t="str">
        <f t="shared" si="73"/>
        <v>No</v>
      </c>
      <c r="BG241" t="str">
        <f t="shared" si="74"/>
        <v>No</v>
      </c>
      <c r="BH241" t="str">
        <f t="shared" si="75"/>
        <v>No</v>
      </c>
    </row>
    <row r="242" spans="1:60" x14ac:dyDescent="0.3">
      <c r="A242" s="1">
        <v>14</v>
      </c>
      <c r="B242" t="s">
        <v>610</v>
      </c>
      <c r="C242" t="s">
        <v>4216</v>
      </c>
      <c r="D242" t="s">
        <v>4217</v>
      </c>
      <c r="E242" t="s">
        <v>4218</v>
      </c>
      <c r="F242" t="s">
        <v>4219</v>
      </c>
      <c r="G242" t="s">
        <v>4220</v>
      </c>
      <c r="I242" t="str">
        <f t="shared" si="76"/>
        <v>N/A</v>
      </c>
      <c r="J242">
        <f t="shared" si="77"/>
        <v>445700000</v>
      </c>
      <c r="K242">
        <f t="shared" si="78"/>
        <v>452090000</v>
      </c>
      <c r="L242">
        <f t="shared" si="79"/>
        <v>398580000</v>
      </c>
      <c r="M242">
        <f t="shared" si="80"/>
        <v>412310000</v>
      </c>
      <c r="N242">
        <f t="shared" si="81"/>
        <v>435410000</v>
      </c>
      <c r="P242">
        <f t="shared" si="58"/>
        <v>452090000</v>
      </c>
      <c r="Q242">
        <f>IFERROR(J144+MATCH(P242,J242:N242,0)-1,"")</f>
        <v>2013</v>
      </c>
      <c r="R242">
        <f t="shared" si="59"/>
        <v>398580000</v>
      </c>
      <c r="S242">
        <f>IFERROR(J144+MATCH(R242,J242:N242,0)-1,"")</f>
        <v>2014</v>
      </c>
      <c r="T242">
        <f t="shared" si="60"/>
        <v>428818000</v>
      </c>
      <c r="U242">
        <f t="shared" si="61"/>
        <v>22676491.571669549</v>
      </c>
      <c r="V242">
        <f t="shared" si="62"/>
        <v>0.74447142524865761</v>
      </c>
      <c r="W242">
        <f t="shared" si="63"/>
        <v>1.0262610477660679</v>
      </c>
      <c r="X242">
        <f t="shared" si="64"/>
        <v>-1.333451424989273</v>
      </c>
      <c r="Y242">
        <f t="shared" si="65"/>
        <v>-0.72797857410288114</v>
      </c>
      <c r="Z242">
        <f t="shared" si="66"/>
        <v>0.29069752607742866</v>
      </c>
      <c r="AA242">
        <f t="shared" si="67"/>
        <v>-1.333451424989273</v>
      </c>
      <c r="AB242">
        <f>IFERROR(V144+MATCH(AA242,V242:Z242,0)-1,"")</f>
        <v>2014</v>
      </c>
      <c r="AC242" t="str">
        <f t="shared" si="68"/>
        <v>Low</v>
      </c>
      <c r="AE242">
        <f>IF(ISNUMBER(MATCH("N/A",J242:N242,0)),"",IFERROR((5 * SUMPRODUCT(J144:N144,J242:N242) - PRODUCT(SUM(J144:N144),SUM(J242:N242))) / ((5 * SUM((J144^2)+(K144^2)+(L144^2)+(M144^2)+(N144^2))) - SUM(J144:N144)^2),""))</f>
        <v>-6036000</v>
      </c>
      <c r="AF242">
        <f>IFERROR(CORREL(J144:N144,J242:N242),"")</f>
        <v>-0.42086554475258775</v>
      </c>
      <c r="AZ242">
        <f t="shared" si="69"/>
        <v>1</v>
      </c>
      <c r="BA242" t="str">
        <f>IF(AZ242=1,IF(Q242="","",IF(Q242=N144,"Yes","No")),"")</f>
        <v>No</v>
      </c>
      <c r="BB242" t="str">
        <f t="shared" si="70"/>
        <v/>
      </c>
      <c r="BC242" t="str">
        <f>IF(AZ242=1,IF(S242="","",IF(S242=N144,"Yes","No")),"")</f>
        <v>No</v>
      </c>
      <c r="BD242" t="str">
        <f t="shared" si="71"/>
        <v/>
      </c>
      <c r="BE242" t="str">
        <f t="shared" si="72"/>
        <v>Decreasing</v>
      </c>
      <c r="BF242" t="str">
        <f t="shared" si="73"/>
        <v>No</v>
      </c>
      <c r="BG242" t="str">
        <f t="shared" si="74"/>
        <v>No</v>
      </c>
      <c r="BH242" t="str">
        <f t="shared" si="75"/>
        <v>No</v>
      </c>
    </row>
    <row r="243" spans="1:60" x14ac:dyDescent="0.3">
      <c r="A243" s="1">
        <v>15</v>
      </c>
      <c r="B243" t="s">
        <v>613</v>
      </c>
      <c r="C243" t="s">
        <v>4221</v>
      </c>
      <c r="D243" t="s">
        <v>4222</v>
      </c>
      <c r="E243" t="s">
        <v>4223</v>
      </c>
      <c r="F243" t="s">
        <v>4224</v>
      </c>
      <c r="G243" t="s">
        <v>4225</v>
      </c>
      <c r="I243" t="str">
        <f t="shared" si="76"/>
        <v>N/A</v>
      </c>
      <c r="J243">
        <f t="shared" si="77"/>
        <v>6130000000</v>
      </c>
      <c r="K243">
        <f t="shared" si="78"/>
        <v>6580000000</v>
      </c>
      <c r="L243">
        <f t="shared" si="79"/>
        <v>7250000000</v>
      </c>
      <c r="M243">
        <f t="shared" si="80"/>
        <v>6730000000</v>
      </c>
      <c r="N243">
        <f t="shared" si="81"/>
        <v>6390000000</v>
      </c>
      <c r="P243">
        <f t="shared" si="58"/>
        <v>7250000000</v>
      </c>
      <c r="Q243">
        <f>IFERROR(J144+MATCH(P243,J243:N243,0)-1,"")</f>
        <v>2014</v>
      </c>
      <c r="R243">
        <f t="shared" si="59"/>
        <v>6130000000</v>
      </c>
      <c r="S243">
        <f>IFERROR(J144+MATCH(R243,J243:N243,0)-1,"")</f>
        <v>2012</v>
      </c>
      <c r="T243">
        <f t="shared" si="60"/>
        <v>6616000000</v>
      </c>
      <c r="U243">
        <f t="shared" si="61"/>
        <v>419380495.49305463</v>
      </c>
      <c r="V243">
        <f t="shared" si="62"/>
        <v>-1.1588521765386885</v>
      </c>
      <c r="W243">
        <f t="shared" si="63"/>
        <v>-8.5840901965828775E-2</v>
      </c>
      <c r="X243">
        <f t="shared" si="64"/>
        <v>1.5117536623982069</v>
      </c>
      <c r="Y243">
        <f t="shared" si="65"/>
        <v>0.27182952289179113</v>
      </c>
      <c r="Z243">
        <f t="shared" si="66"/>
        <v>-0.53889010678548066</v>
      </c>
      <c r="AA243">
        <f t="shared" si="67"/>
        <v>1.5117536623982069</v>
      </c>
      <c r="AB243">
        <f>IFERROR(V144+MATCH(AA243,V243:Z243,0)-1,"")</f>
        <v>2014</v>
      </c>
      <c r="AC243" t="str">
        <f t="shared" si="68"/>
        <v>High</v>
      </c>
      <c r="AE243">
        <f>IF(ISNUMBER(MATCH("N/A",J243:N243,0)),"",IFERROR((5 * SUMPRODUCT(J144:N144,J243:N243) - PRODUCT(SUM(J144:N144),SUM(J243:N243))) / ((5 * SUM((J144^2)+(K144^2)+(L144^2)+(M144^2)+(N144^2))) - SUM(J144:N144)^2),""))</f>
        <v>67000000</v>
      </c>
      <c r="AF243">
        <f>IFERROR(CORREL(J144:N144,J243:N243),"")</f>
        <v>0.25260188004474121</v>
      </c>
      <c r="AZ243">
        <f t="shared" si="69"/>
        <v>1</v>
      </c>
      <c r="BA243" t="str">
        <f>IF(AZ243=1,IF(Q243="","",IF(Q243=N144,"Yes","No")),"")</f>
        <v>No</v>
      </c>
      <c r="BB243" t="str">
        <f t="shared" si="70"/>
        <v/>
      </c>
      <c r="BC243" t="str">
        <f>IF(AZ243=1,IF(S243="","",IF(S243=N144,"Yes","No")),"")</f>
        <v>No</v>
      </c>
      <c r="BD243" t="str">
        <f t="shared" si="71"/>
        <v/>
      </c>
      <c r="BE243" t="str">
        <f t="shared" si="72"/>
        <v>Increasing</v>
      </c>
      <c r="BF243" t="str">
        <f t="shared" si="73"/>
        <v>No</v>
      </c>
      <c r="BG243" t="str">
        <f t="shared" si="74"/>
        <v>No</v>
      </c>
      <c r="BH243" t="str">
        <f t="shared" si="75"/>
        <v>No</v>
      </c>
    </row>
    <row r="244" spans="1:60" x14ac:dyDescent="0.3">
      <c r="A244" s="1">
        <v>16</v>
      </c>
      <c r="B244" t="s">
        <v>618</v>
      </c>
      <c r="C244" t="s">
        <v>264</v>
      </c>
      <c r="D244" t="s">
        <v>1847</v>
      </c>
      <c r="E244" t="s">
        <v>3019</v>
      </c>
      <c r="F244" t="s">
        <v>4226</v>
      </c>
      <c r="G244" t="s">
        <v>4227</v>
      </c>
      <c r="I244" t="str">
        <f t="shared" si="76"/>
        <v>N/A</v>
      </c>
      <c r="J244" t="str">
        <f t="shared" si="77"/>
        <v>N/A</v>
      </c>
      <c r="K244">
        <f t="shared" si="78"/>
        <v>7.3899999999999993E-2</v>
      </c>
      <c r="L244">
        <f t="shared" si="79"/>
        <v>0.10060000000000001</v>
      </c>
      <c r="M244">
        <f t="shared" si="80"/>
        <v>-7.0699999999999999E-2</v>
      </c>
      <c r="N244">
        <f t="shared" si="81"/>
        <v>-5.16E-2</v>
      </c>
      <c r="P244">
        <f t="shared" si="58"/>
        <v>0.10060000000000001</v>
      </c>
      <c r="Q244">
        <f>IFERROR(J144+MATCH(P244,J244:N244,0)-1,"")</f>
        <v>2014</v>
      </c>
      <c r="R244">
        <f t="shared" si="59"/>
        <v>-7.0699999999999999E-2</v>
      </c>
      <c r="S244">
        <f>IFERROR(J144+MATCH(R244,J244:N244,0)-1,"")</f>
        <v>2015</v>
      </c>
      <c r="T244">
        <f t="shared" si="60"/>
        <v>1.3049999999999997E-2</v>
      </c>
      <c r="U244">
        <f t="shared" si="61"/>
        <v>8.6720643447797369E-2</v>
      </c>
      <c r="V244" t="str">
        <f t="shared" si="62"/>
        <v/>
      </c>
      <c r="W244">
        <f t="shared" si="63"/>
        <v>0.70167837300042002</v>
      </c>
      <c r="X244">
        <f t="shared" si="64"/>
        <v>1.0095635424188463</v>
      </c>
      <c r="Y244">
        <f t="shared" si="65"/>
        <v>-0.96574467935554931</v>
      </c>
      <c r="Z244">
        <f t="shared" si="66"/>
        <v>-0.74549723606371665</v>
      </c>
      <c r="AA244">
        <f t="shared" si="67"/>
        <v>1.0095635424188463</v>
      </c>
      <c r="AB244">
        <f>IFERROR(V144+MATCH(AA244,V244:Z244,0)-1,"")</f>
        <v>2014</v>
      </c>
      <c r="AC244" t="str">
        <f t="shared" si="68"/>
        <v>High</v>
      </c>
      <c r="AE244" t="str">
        <f>IF(ISNUMBER(MATCH("N/A",J244:N244,0)),"",IFERROR((5 * SUMPRODUCT(J144:N144,J244:N244) - PRODUCT(SUM(J144:N144),SUM(J244:N244))) / ((5 * SUM((J144^2)+(K144^2)+(L144^2)+(M144^2)+(N144^2))) - SUM(J144:N144)^2),""))</f>
        <v/>
      </c>
      <c r="AF244">
        <f>IFERROR(CORREL(J144:N144,J244:N244),"")</f>
        <v>-0.81549989817959179</v>
      </c>
      <c r="AZ244">
        <f t="shared" si="69"/>
        <v>1</v>
      </c>
      <c r="BA244" t="str">
        <f>IF(AZ244=1,IF(Q244="","",IF(Q244=N144,"Yes","No")),"")</f>
        <v>No</v>
      </c>
      <c r="BB244" t="str">
        <f t="shared" si="70"/>
        <v/>
      </c>
      <c r="BC244" t="str">
        <f>IF(AZ244=1,IF(S244="","",IF(S244=N144,"Yes","No")),"")</f>
        <v>No</v>
      </c>
      <c r="BD244" t="str">
        <f t="shared" si="71"/>
        <v/>
      </c>
      <c r="BE244" t="str">
        <f t="shared" si="72"/>
        <v/>
      </c>
      <c r="BF244" t="str">
        <f t="shared" si="73"/>
        <v>No</v>
      </c>
      <c r="BG244" t="str">
        <f t="shared" si="74"/>
        <v>No</v>
      </c>
      <c r="BH244" t="str">
        <f t="shared" si="75"/>
        <v>Yes</v>
      </c>
    </row>
    <row r="245" spans="1:60" x14ac:dyDescent="0.3">
      <c r="I245" t="str">
        <f t="shared" si="76"/>
        <v>N/A</v>
      </c>
      <c r="J245" t="str">
        <f t="shared" si="77"/>
        <v>N/A</v>
      </c>
      <c r="K245" t="str">
        <f t="shared" si="78"/>
        <v>N/A</v>
      </c>
      <c r="L245" t="str">
        <f t="shared" si="79"/>
        <v>N/A</v>
      </c>
      <c r="M245" t="str">
        <f t="shared" si="80"/>
        <v>N/A</v>
      </c>
      <c r="N245" t="str">
        <f t="shared" si="81"/>
        <v>N/A</v>
      </c>
      <c r="P245">
        <f t="shared" si="58"/>
        <v>0</v>
      </c>
      <c r="Q245" t="str">
        <f>IFERROR(J144+MATCH(P245,J245:N245,0)-1,"")</f>
        <v/>
      </c>
      <c r="R245" t="str">
        <f t="shared" si="59"/>
        <v/>
      </c>
      <c r="S245" t="str">
        <f>IFERROR(J144+MATCH(R245,J245:N245,0)-1,"")</f>
        <v/>
      </c>
      <c r="T245" t="str">
        <f t="shared" si="60"/>
        <v/>
      </c>
      <c r="U245" t="str">
        <f t="shared" si="61"/>
        <v/>
      </c>
      <c r="V245" t="str">
        <f t="shared" si="62"/>
        <v/>
      </c>
      <c r="W245" t="str">
        <f t="shared" si="63"/>
        <v/>
      </c>
      <c r="X245" t="str">
        <f t="shared" si="64"/>
        <v/>
      </c>
      <c r="Y245" t="str">
        <f t="shared" si="65"/>
        <v/>
      </c>
      <c r="Z245" t="str">
        <f t="shared" si="66"/>
        <v/>
      </c>
      <c r="AA245">
        <f t="shared" si="67"/>
        <v>0</v>
      </c>
      <c r="AB245" t="str">
        <f>IFERROR(V144+MATCH(AA245,V245:Z245,0)-1,"")</f>
        <v/>
      </c>
      <c r="AC245" t="str">
        <f t="shared" si="68"/>
        <v/>
      </c>
      <c r="AE245" t="str">
        <f>IF(ISNUMBER(MATCH("N/A",J245:N245,0)),"",IFERROR((5 * SUMPRODUCT(J144:N144,J245:N245) - PRODUCT(SUM(J144:N144),SUM(J245:N245))) / ((5 * SUM((J144^2)+(K144^2)+(L144^2)+(M144^2)+(N144^2))) - SUM(J144:N144)^2),""))</f>
        <v/>
      </c>
      <c r="AF245" t="str">
        <f>IFERROR(CORREL(J144:N144,J245:N245),"")</f>
        <v/>
      </c>
      <c r="AZ245">
        <f t="shared" si="69"/>
        <v>0</v>
      </c>
      <c r="BA245" t="str">
        <f>IF(AZ245=1,IF(Q245="","",IF(Q245=N144,"Yes","No")),"")</f>
        <v/>
      </c>
      <c r="BB245" t="str">
        <f t="shared" si="70"/>
        <v/>
      </c>
      <c r="BC245" t="str">
        <f>IF(AZ245=1,IF(S245="","",IF(S245=N144,"Yes","No")),"")</f>
        <v/>
      </c>
      <c r="BD245" t="str">
        <f t="shared" si="71"/>
        <v/>
      </c>
      <c r="BE245" t="str">
        <f t="shared" si="72"/>
        <v/>
      </c>
      <c r="BF245" t="str">
        <f t="shared" si="73"/>
        <v>No</v>
      </c>
      <c r="BG245" t="str">
        <f t="shared" si="74"/>
        <v>No</v>
      </c>
      <c r="BH245" t="str">
        <f t="shared" si="75"/>
        <v/>
      </c>
    </row>
    <row r="246" spans="1:60" x14ac:dyDescent="0.3">
      <c r="B246" s="1" t="s">
        <v>316</v>
      </c>
      <c r="C246" s="1" t="s">
        <v>252</v>
      </c>
      <c r="D246" s="1" t="s">
        <v>253</v>
      </c>
      <c r="E246" s="1" t="s">
        <v>254</v>
      </c>
      <c r="F246" s="1" t="s">
        <v>255</v>
      </c>
      <c r="G246" s="1" t="s">
        <v>256</v>
      </c>
      <c r="H246" s="1" t="s">
        <v>257</v>
      </c>
      <c r="P246">
        <f t="shared" si="58"/>
        <v>0</v>
      </c>
      <c r="Q246" t="str">
        <f>IFERROR(J144+MATCH(P246,J246:N246,0)-1,"")</f>
        <v/>
      </c>
      <c r="R246" t="str">
        <f t="shared" si="59"/>
        <v/>
      </c>
      <c r="S246" t="str">
        <f>IFERROR(J144+MATCH(R246,J246:N246,0)-1,"")</f>
        <v/>
      </c>
      <c r="T246" t="str">
        <f t="shared" si="60"/>
        <v/>
      </c>
      <c r="U246" t="str">
        <f t="shared" si="61"/>
        <v/>
      </c>
      <c r="V246" t="str">
        <f t="shared" si="62"/>
        <v/>
      </c>
      <c r="W246" t="str">
        <f t="shared" si="63"/>
        <v/>
      </c>
      <c r="X246" t="str">
        <f t="shared" si="64"/>
        <v/>
      </c>
      <c r="Y246" t="str">
        <f t="shared" si="65"/>
        <v/>
      </c>
      <c r="Z246" t="str">
        <f t="shared" si="66"/>
        <v/>
      </c>
      <c r="AA246">
        <f t="shared" si="67"/>
        <v>0</v>
      </c>
      <c r="AB246" t="str">
        <f>IFERROR(V144+MATCH(AA246,V246:Z246,0)-1,"")</f>
        <v/>
      </c>
      <c r="AC246" t="str">
        <f t="shared" si="68"/>
        <v/>
      </c>
      <c r="AE246">
        <f>IF(ISNUMBER(MATCH("N/A",J246:N246,0)),"",IFERROR((5 * SUMPRODUCT(J144:N144,J246:N246) - PRODUCT(SUM(J144:N144),SUM(J246:N246))) / ((5 * SUM((J144^2)+(K144^2)+(L144^2)+(M144^2)+(N144^2))) - SUM(J144:N144)^2),""))</f>
        <v>0</v>
      </c>
      <c r="AF246" t="str">
        <f>IFERROR(CORREL(J144:N144,J246:N246),"")</f>
        <v/>
      </c>
      <c r="AZ246">
        <f t="shared" si="69"/>
        <v>0</v>
      </c>
      <c r="BA246" t="str">
        <f>IF(AZ246=1,IF(Q246="","",IF(Q246=N144,"Yes","No")),"")</f>
        <v/>
      </c>
      <c r="BB246" t="str">
        <f t="shared" si="70"/>
        <v/>
      </c>
      <c r="BC246" t="str">
        <f>IF(AZ246=1,IF(S246="","",IF(S246=N144,"Yes","No")),"")</f>
        <v/>
      </c>
      <c r="BD246" t="str">
        <f t="shared" si="71"/>
        <v/>
      </c>
      <c r="BE246" t="str">
        <f t="shared" si="72"/>
        <v/>
      </c>
      <c r="BF246" t="str">
        <f t="shared" si="73"/>
        <v>No</v>
      </c>
      <c r="BG246" t="str">
        <f t="shared" si="74"/>
        <v>No</v>
      </c>
      <c r="BH246" t="str">
        <f t="shared" si="75"/>
        <v/>
      </c>
    </row>
    <row r="247" spans="1:60" x14ac:dyDescent="0.3">
      <c r="A247" s="1">
        <v>0</v>
      </c>
      <c r="B247" t="s">
        <v>623</v>
      </c>
      <c r="C247" t="s">
        <v>4228</v>
      </c>
      <c r="D247" t="s">
        <v>4229</v>
      </c>
      <c r="E247" t="s">
        <v>2712</v>
      </c>
      <c r="F247" t="s">
        <v>4230</v>
      </c>
      <c r="G247" t="s">
        <v>4231</v>
      </c>
      <c r="I247" t="str">
        <f t="shared" ref="I247:I270" si="82">IF(AND(K247&gt; J247, L247&gt; K247, M247&gt; L247, N247&gt; M247), "pos_trend", IF(AND(K247&lt; J247, L247&lt; K247, M247&lt; L247, N247&lt; M247), "neg_trend", "N/A"))</f>
        <v>neg_trend</v>
      </c>
      <c r="J247">
        <f t="shared" ref="J247:J270" si="83">IFERROR(IF(TRIM(C247)="-", "N/A", IF(RIGHT(C247,1)=")",IF(RIGHT(C247,2)="T)",-1000000000000*VALUE(MID(C247,2,LEN(C247)-3)),IF(RIGHT(C247,2)="M)",-1000000*VALUE(MID(C247,2,LEN(C247)-3)),IF(RIGHT(C247,2)="B)",-1000000000*VALUE(MID(C247,2,LEN(C247)-3)),IF(RIGHT(C247,2)="k)",-1000*VALUE(MID(C247,2,LEN(C247)-3)),VALUE(SUBSTITUTE(C247,",","")))))),IF(RIGHT(C247,1)="T",1000000000000*VALUE(LEFT(C247,LEN(C247)-1)),IF(RIGHT(C247,1)="M",1000000*VALUE(LEFT(C247,LEN(C247)-1)),IF(RIGHT(C247,1)="B",1000000000*VALUE(LEFT(C247,LEN(C247)-1)),IF(RIGHT(C247,1)="%",0.01*VALUE(LEFT(C247,LEN(C247)-1)),IF(RIGHT(C247,1)="k",1000*VALUE(LEFT(C247,LEN(C247)-1)),VALUE(SUBSTITUTE(C247,",",""))))))))),"N/A")</f>
        <v>34800000</v>
      </c>
      <c r="K247">
        <f t="shared" ref="K247:K270" si="84">IFERROR(IF(TRIM(D247)="-", "N/A", IF(RIGHT(D247,1)=")",IF(RIGHT(D247,2)="T)",-1000000000000*VALUE(MID(D247,2,LEN(D247)-3)),IF(RIGHT(D247,2)="M)",-1000000*VALUE(MID(D247,2,LEN(D247)-3)),IF(RIGHT(D247,2)="B)",-1000000000*VALUE(MID(D247,2,LEN(D247)-3)),IF(RIGHT(D247,2)="k)",-1000*VALUE(MID(D247,2,LEN(D247)-3)),VALUE(SUBSTITUTE(D247,",","")))))),IF(RIGHT(D247,1)="T",1000000000000*VALUE(LEFT(D247,LEN(D247)-1)),IF(RIGHT(D247,1)="M",1000000*VALUE(LEFT(D247,LEN(D247)-1)),IF(RIGHT(D247,1)="B",1000000000*VALUE(LEFT(D247,LEN(D247)-1)),IF(RIGHT(D247,1)="%",0.01*VALUE(LEFT(D247,LEN(D247)-1)),IF(RIGHT(D247,1)="k",1000*VALUE(LEFT(D247,LEN(D247)-1)),VALUE(SUBSTITUTE(D247,",",""))))))))),"N/A")</f>
        <v>29450000</v>
      </c>
      <c r="L247">
        <f t="shared" ref="L247:L270" si="85">IFERROR(IF(TRIM(E247)="-", "N/A", IF(RIGHT(E247,1)=")",IF(RIGHT(E247,2)="T)",-1000000000000*VALUE(MID(E247,2,LEN(E247)-3)),IF(RIGHT(E247,2)="M)",-1000000*VALUE(MID(E247,2,LEN(E247)-3)),IF(RIGHT(E247,2)="B)",-1000000000*VALUE(MID(E247,2,LEN(E247)-3)),IF(RIGHT(E247,2)="k)",-1000*VALUE(MID(E247,2,LEN(E247)-3)),VALUE(SUBSTITUTE(E247,",","")))))),IF(RIGHT(E247,1)="T",1000000000000*VALUE(LEFT(E247,LEN(E247)-1)),IF(RIGHT(E247,1)="M",1000000*VALUE(LEFT(E247,LEN(E247)-1)),IF(RIGHT(E247,1)="B",1000000000*VALUE(LEFT(E247,LEN(E247)-1)),IF(RIGHT(E247,1)="%",0.01*VALUE(LEFT(E247,LEN(E247)-1)),IF(RIGHT(E247,1)="k",1000*VALUE(LEFT(E247,LEN(E247)-1)),VALUE(SUBSTITUTE(E247,",",""))))))))),"N/A")</f>
        <v>9860000</v>
      </c>
      <c r="M247">
        <f t="shared" ref="M247:M270" si="86">IFERROR(IF(TRIM(F247)="-", "N/A", IF(RIGHT(F247,1)=")",IF(RIGHT(F247,2)="T)",-1000000000000*VALUE(MID(F247,2,LEN(F247)-3)),IF(RIGHT(F247,2)="M)",-1000000*VALUE(MID(F247,2,LEN(F247)-3)),IF(RIGHT(F247,2)="B)",-1000000000*VALUE(MID(F247,2,LEN(F247)-3)),IF(RIGHT(F247,2)="k)",-1000*VALUE(MID(F247,2,LEN(F247)-3)),VALUE(SUBSTITUTE(F247,",","")))))),IF(RIGHT(F247,1)="T",1000000000000*VALUE(LEFT(F247,LEN(F247)-1)),IF(RIGHT(F247,1)="M",1000000*VALUE(LEFT(F247,LEN(F247)-1)),IF(RIGHT(F247,1)="B",1000000000*VALUE(LEFT(F247,LEN(F247)-1)),IF(RIGHT(F247,1)="%",0.01*VALUE(LEFT(F247,LEN(F247)-1)),IF(RIGHT(F247,1)="k",1000*VALUE(LEFT(F247,LEN(F247)-1)),VALUE(SUBSTITUTE(F247,",",""))))))))),"N/A")</f>
        <v>5790000</v>
      </c>
      <c r="N247">
        <f t="shared" ref="N247:N270" si="87">IFERROR(IF(TRIM(G247)="-", "N/A", IF(RIGHT(G247,1)=")",IF(RIGHT(G247,2)="T)",-1000000000000*VALUE(MID(G247,2,LEN(G247)-3)),IF(RIGHT(G247,2)="M)",-1000000*VALUE(MID(G247,2,LEN(G247)-3)),IF(RIGHT(G247,2)="B)",-1000000000*VALUE(MID(G247,2,LEN(G247)-3)),IF(RIGHT(G247,2)="k)",-1000*VALUE(MID(G247,2,LEN(G247)-3)),VALUE(SUBSTITUTE(G247,",","")))))),IF(RIGHT(G247,1)="T",1000000000000*VALUE(LEFT(G247,LEN(G247)-1)),IF(RIGHT(G247,1)="M",1000000*VALUE(LEFT(G247,LEN(G247)-1)),IF(RIGHT(G247,1)="B",1000000000*VALUE(LEFT(G247,LEN(G247)-1)),IF(RIGHT(G247,1)="%",0.01*VALUE(LEFT(G247,LEN(G247)-1)),IF(RIGHT(G247,1)="k",1000*VALUE(LEFT(G247,LEN(G247)-1)),VALUE(SUBSTITUTE(G247,",",""))))))))),"N/A")</f>
        <v>5410000</v>
      </c>
      <c r="P247">
        <f t="shared" si="58"/>
        <v>34800000</v>
      </c>
      <c r="Q247">
        <f>IFERROR(J144+MATCH(P247,J247:N247,0)-1,"")</f>
        <v>2012</v>
      </c>
      <c r="R247">
        <f t="shared" si="59"/>
        <v>5410000</v>
      </c>
      <c r="S247">
        <f>IFERROR(J144+MATCH(R247,J247:N247,0)-1,"")</f>
        <v>2016</v>
      </c>
      <c r="T247">
        <f t="shared" si="60"/>
        <v>17062000</v>
      </c>
      <c r="U247">
        <f t="shared" si="61"/>
        <v>13989237.648992885</v>
      </c>
      <c r="V247">
        <f t="shared" si="62"/>
        <v>1.2679747420887511</v>
      </c>
      <c r="W247">
        <f t="shared" si="63"/>
        <v>0.88553789068640476</v>
      </c>
      <c r="X247">
        <f t="shared" si="64"/>
        <v>-0.51482433715882203</v>
      </c>
      <c r="Y247">
        <f t="shared" si="65"/>
        <v>-0.80576227831911162</v>
      </c>
      <c r="Z247">
        <f t="shared" si="66"/>
        <v>-0.83292601729722227</v>
      </c>
      <c r="AA247">
        <f t="shared" si="67"/>
        <v>1.2679747420887511</v>
      </c>
      <c r="AB247">
        <f>IFERROR(V144+MATCH(AA247,V247:Z247,0)-1,"")</f>
        <v>2012</v>
      </c>
      <c r="AC247" t="str">
        <f t="shared" si="68"/>
        <v>High</v>
      </c>
      <c r="AE247">
        <f>IF(ISNUMBER(MATCH("N/A",J247:N247,0)),"",IFERROR((5 * SUMPRODUCT(J144:N144,J247:N247) - PRODUCT(SUM(J144:N144),SUM(J247:N247))) / ((5 * SUM((J144^2)+(K144^2)+(L144^2)+(M144^2)+(N144^2))) - SUM(J144:N144)^2),""))</f>
        <v>-8244000</v>
      </c>
      <c r="AF247">
        <f>IFERROR(CORREL(J144:N144,J247:N247),"")</f>
        <v>-0.93178119081796207</v>
      </c>
      <c r="AZ247">
        <f t="shared" si="69"/>
        <v>1</v>
      </c>
      <c r="BA247" t="str">
        <f>IF(AZ247=1,IF(Q247="","",IF(Q247=N144,"Yes","No")),"")</f>
        <v>No</v>
      </c>
      <c r="BB247" t="str">
        <f t="shared" si="70"/>
        <v/>
      </c>
      <c r="BC247" t="str">
        <f>IF(AZ247=1,IF(S247="","",IF(S247=N144,"Yes","No")),"")</f>
        <v>Yes</v>
      </c>
      <c r="BD247">
        <f t="shared" si="71"/>
        <v>5410000</v>
      </c>
      <c r="BE247" t="str">
        <f t="shared" si="72"/>
        <v>Decreasing</v>
      </c>
      <c r="BF247" t="str">
        <f t="shared" si="73"/>
        <v>Yes</v>
      </c>
      <c r="BG247" t="str">
        <f t="shared" si="74"/>
        <v>No</v>
      </c>
      <c r="BH247" t="str">
        <f t="shared" si="75"/>
        <v>Yes</v>
      </c>
    </row>
    <row r="248" spans="1:60" x14ac:dyDescent="0.3">
      <c r="A248" s="1">
        <v>1</v>
      </c>
      <c r="B248" t="s">
        <v>628</v>
      </c>
      <c r="C248" t="s">
        <v>264</v>
      </c>
      <c r="D248" t="s">
        <v>264</v>
      </c>
      <c r="E248" t="s">
        <v>264</v>
      </c>
      <c r="F248" t="s">
        <v>264</v>
      </c>
      <c r="G248" t="s">
        <v>264</v>
      </c>
      <c r="I248" t="str">
        <f t="shared" si="82"/>
        <v>N/A</v>
      </c>
      <c r="J248" t="str">
        <f t="shared" si="83"/>
        <v>N/A</v>
      </c>
      <c r="K248" t="str">
        <f t="shared" si="84"/>
        <v>N/A</v>
      </c>
      <c r="L248" t="str">
        <f t="shared" si="85"/>
        <v>N/A</v>
      </c>
      <c r="M248" t="str">
        <f t="shared" si="86"/>
        <v>N/A</v>
      </c>
      <c r="N248" t="str">
        <f t="shared" si="87"/>
        <v>N/A</v>
      </c>
      <c r="P248">
        <f t="shared" si="58"/>
        <v>0</v>
      </c>
      <c r="Q248" t="str">
        <f>IFERROR(J144+MATCH(P248,J248:N248,0)-1,"")</f>
        <v/>
      </c>
      <c r="R248" t="str">
        <f t="shared" si="59"/>
        <v/>
      </c>
      <c r="S248" t="str">
        <f>IFERROR(J144+MATCH(R248,J248:N248,0)-1,"")</f>
        <v/>
      </c>
      <c r="T248" t="str">
        <f t="shared" si="60"/>
        <v/>
      </c>
      <c r="U248" t="str">
        <f t="shared" si="61"/>
        <v/>
      </c>
      <c r="V248" t="str">
        <f t="shared" si="62"/>
        <v/>
      </c>
      <c r="W248" t="str">
        <f t="shared" si="63"/>
        <v/>
      </c>
      <c r="X248" t="str">
        <f t="shared" si="64"/>
        <v/>
      </c>
      <c r="Y248" t="str">
        <f t="shared" si="65"/>
        <v/>
      </c>
      <c r="Z248" t="str">
        <f t="shared" si="66"/>
        <v/>
      </c>
      <c r="AA248">
        <f t="shared" si="67"/>
        <v>0</v>
      </c>
      <c r="AB248" t="str">
        <f>IFERROR(V144+MATCH(AA248,V248:Z248,0)-1,"")</f>
        <v/>
      </c>
      <c r="AC248" t="str">
        <f t="shared" si="68"/>
        <v/>
      </c>
      <c r="AE248" t="str">
        <f>IF(ISNUMBER(MATCH("N/A",J248:N248,0)),"",IFERROR((5 * SUMPRODUCT(J144:N144,J248:N248) - PRODUCT(SUM(J144:N144),SUM(J248:N248))) / ((5 * SUM((J144^2)+(K144^2)+(L144^2)+(M144^2)+(N144^2))) - SUM(J144:N144)^2),""))</f>
        <v/>
      </c>
      <c r="AF248" t="str">
        <f>IFERROR(CORREL(J144:N144,J248:N248),"")</f>
        <v/>
      </c>
      <c r="AZ248">
        <f t="shared" si="69"/>
        <v>0</v>
      </c>
      <c r="BA248" t="str">
        <f>IF(AZ248=1,IF(Q248="","",IF(Q248=N144,"Yes","No")),"")</f>
        <v/>
      </c>
      <c r="BB248" t="str">
        <f t="shared" si="70"/>
        <v/>
      </c>
      <c r="BC248" t="str">
        <f>IF(AZ248=1,IF(S248="","",IF(S248=N144,"Yes","No")),"")</f>
        <v/>
      </c>
      <c r="BD248" t="str">
        <f t="shared" si="71"/>
        <v/>
      </c>
      <c r="BE248" t="str">
        <f t="shared" si="72"/>
        <v/>
      </c>
      <c r="BF248" t="str">
        <f t="shared" si="73"/>
        <v>No</v>
      </c>
      <c r="BG248" t="str">
        <f t="shared" si="74"/>
        <v>No</v>
      </c>
      <c r="BH248" t="str">
        <f t="shared" si="75"/>
        <v/>
      </c>
    </row>
    <row r="249" spans="1:60" x14ac:dyDescent="0.3">
      <c r="A249" s="1">
        <v>2</v>
      </c>
      <c r="B249" t="s">
        <v>629</v>
      </c>
      <c r="C249" t="s">
        <v>4228</v>
      </c>
      <c r="D249" t="s">
        <v>4229</v>
      </c>
      <c r="E249" t="s">
        <v>2712</v>
      </c>
      <c r="F249" t="s">
        <v>4230</v>
      </c>
      <c r="G249" t="s">
        <v>4231</v>
      </c>
      <c r="I249" t="str">
        <f t="shared" si="82"/>
        <v>neg_trend</v>
      </c>
      <c r="J249">
        <f t="shared" si="83"/>
        <v>34800000</v>
      </c>
      <c r="K249">
        <f t="shared" si="84"/>
        <v>29450000</v>
      </c>
      <c r="L249">
        <f t="shared" si="85"/>
        <v>9860000</v>
      </c>
      <c r="M249">
        <f t="shared" si="86"/>
        <v>5790000</v>
      </c>
      <c r="N249">
        <f t="shared" si="87"/>
        <v>5410000</v>
      </c>
      <c r="P249">
        <f t="shared" si="58"/>
        <v>34800000</v>
      </c>
      <c r="Q249">
        <f>IFERROR(J144+MATCH(P249,J249:N249,0)-1,"")</f>
        <v>2012</v>
      </c>
      <c r="R249">
        <f t="shared" si="59"/>
        <v>5410000</v>
      </c>
      <c r="S249">
        <f>IFERROR(J144+MATCH(R249,J249:N249,0)-1,"")</f>
        <v>2016</v>
      </c>
      <c r="T249">
        <f t="shared" si="60"/>
        <v>17062000</v>
      </c>
      <c r="U249">
        <f t="shared" si="61"/>
        <v>13989237.648992885</v>
      </c>
      <c r="V249">
        <f t="shared" si="62"/>
        <v>1.2679747420887511</v>
      </c>
      <c r="W249">
        <f t="shared" si="63"/>
        <v>0.88553789068640476</v>
      </c>
      <c r="X249">
        <f t="shared" si="64"/>
        <v>-0.51482433715882203</v>
      </c>
      <c r="Y249">
        <f t="shared" si="65"/>
        <v>-0.80576227831911162</v>
      </c>
      <c r="Z249">
        <f t="shared" si="66"/>
        <v>-0.83292601729722227</v>
      </c>
      <c r="AA249">
        <f t="shared" si="67"/>
        <v>1.2679747420887511</v>
      </c>
      <c r="AB249">
        <f>IFERROR(V144+MATCH(AA249,V249:Z249,0)-1,"")</f>
        <v>2012</v>
      </c>
      <c r="AC249" t="str">
        <f t="shared" si="68"/>
        <v>High</v>
      </c>
      <c r="AE249">
        <f>IF(ISNUMBER(MATCH("N/A",J249:N249,0)),"",IFERROR((5 * SUMPRODUCT(J144:N144,J249:N249) - PRODUCT(SUM(J144:N144),SUM(J249:N249))) / ((5 * SUM((J144^2)+(K144^2)+(L144^2)+(M144^2)+(N144^2))) - SUM(J144:N144)^2),""))</f>
        <v>-8244000</v>
      </c>
      <c r="AF249">
        <f>IFERROR(CORREL(J144:N144,J249:N249),"")</f>
        <v>-0.93178119081796207</v>
      </c>
      <c r="AZ249">
        <f t="shared" si="69"/>
        <v>1</v>
      </c>
      <c r="BA249" t="str">
        <f>IF(AZ249=1,IF(Q249="","",IF(Q249=N144,"Yes","No")),"")</f>
        <v>No</v>
      </c>
      <c r="BB249" t="str">
        <f t="shared" si="70"/>
        <v/>
      </c>
      <c r="BC249" t="str">
        <f>IF(AZ249=1,IF(S249="","",IF(S249=N144,"Yes","No")),"")</f>
        <v>Yes</v>
      </c>
      <c r="BD249">
        <f t="shared" si="71"/>
        <v>5410000</v>
      </c>
      <c r="BE249" t="str">
        <f t="shared" si="72"/>
        <v>Decreasing</v>
      </c>
      <c r="BF249" t="str">
        <f t="shared" si="73"/>
        <v>Yes</v>
      </c>
      <c r="BG249" t="str">
        <f t="shared" si="74"/>
        <v>No</v>
      </c>
      <c r="BH249" t="str">
        <f t="shared" si="75"/>
        <v>Yes</v>
      </c>
    </row>
    <row r="250" spans="1:60" x14ac:dyDescent="0.3">
      <c r="A250" s="1">
        <v>3</v>
      </c>
      <c r="B250" t="s">
        <v>630</v>
      </c>
      <c r="C250" t="s">
        <v>4232</v>
      </c>
      <c r="D250" t="s">
        <v>4233</v>
      </c>
      <c r="E250" t="s">
        <v>4234</v>
      </c>
      <c r="F250" t="s">
        <v>4235</v>
      </c>
      <c r="G250" t="s">
        <v>4236</v>
      </c>
      <c r="I250" t="str">
        <f t="shared" si="82"/>
        <v>N/A</v>
      </c>
      <c r="J250">
        <f t="shared" si="83"/>
        <v>699630000</v>
      </c>
      <c r="K250">
        <f t="shared" si="84"/>
        <v>860380000</v>
      </c>
      <c r="L250">
        <f t="shared" si="85"/>
        <v>780290000</v>
      </c>
      <c r="M250">
        <f t="shared" si="86"/>
        <v>718890000</v>
      </c>
      <c r="N250">
        <f t="shared" si="87"/>
        <v>605900000</v>
      </c>
      <c r="P250">
        <f t="shared" si="58"/>
        <v>860380000</v>
      </c>
      <c r="Q250">
        <f>IFERROR(J144+MATCH(P250,J250:N250,0)-1,"")</f>
        <v>2013</v>
      </c>
      <c r="R250">
        <f t="shared" si="59"/>
        <v>605900000</v>
      </c>
      <c r="S250">
        <f>IFERROR(J144+MATCH(R250,J250:N250,0)-1,"")</f>
        <v>2016</v>
      </c>
      <c r="T250">
        <f t="shared" si="60"/>
        <v>733018000</v>
      </c>
      <c r="U250">
        <f t="shared" si="61"/>
        <v>94774819.809905887</v>
      </c>
      <c r="V250">
        <f t="shared" si="62"/>
        <v>-0.35228766529936761</v>
      </c>
      <c r="W250">
        <f t="shared" si="63"/>
        <v>1.3438379545902137</v>
      </c>
      <c r="X250">
        <f t="shared" si="64"/>
        <v>0.49878227249406093</v>
      </c>
      <c r="Y250">
        <f t="shared" si="65"/>
        <v>-0.14906913068615868</v>
      </c>
      <c r="Z250">
        <f t="shared" si="66"/>
        <v>-1.3412634310987483</v>
      </c>
      <c r="AA250">
        <f t="shared" si="67"/>
        <v>1.3438379545902137</v>
      </c>
      <c r="AB250">
        <f>IFERROR(V144+MATCH(AA250,V250:Z250,0)-1,"")</f>
        <v>2013</v>
      </c>
      <c r="AC250" t="str">
        <f t="shared" si="68"/>
        <v>High</v>
      </c>
      <c r="AE250">
        <f>IF(ISNUMBER(MATCH("N/A",J250:N250,0)),"",IFERROR((5 * SUMPRODUCT(J144:N144,J250:N250) - PRODUCT(SUM(J144:N144),SUM(J250:N250))) / ((5 * SUM((J144^2)+(K144^2)+(L144^2)+(M144^2)+(N144^2))) - SUM(J144:N144)^2),""))</f>
        <v>-32895000</v>
      </c>
      <c r="AF250">
        <f>IFERROR(CORREL(J144:N144,J250:N250),"")</f>
        <v>-0.54879093328736173</v>
      </c>
      <c r="AZ250">
        <f t="shared" si="69"/>
        <v>1</v>
      </c>
      <c r="BA250" t="str">
        <f>IF(AZ250=1,IF(Q250="","",IF(Q250=N144,"Yes","No")),"")</f>
        <v>No</v>
      </c>
      <c r="BB250" t="str">
        <f t="shared" si="70"/>
        <v/>
      </c>
      <c r="BC250" t="str">
        <f>IF(AZ250=1,IF(S250="","",IF(S250=N144,"Yes","No")),"")</f>
        <v>Yes</v>
      </c>
      <c r="BD250">
        <f t="shared" si="71"/>
        <v>605900000</v>
      </c>
      <c r="BE250" t="str">
        <f t="shared" si="72"/>
        <v>Decreasing</v>
      </c>
      <c r="BF250" t="str">
        <f t="shared" si="73"/>
        <v>Yes</v>
      </c>
      <c r="BG250" t="str">
        <f t="shared" si="74"/>
        <v>No</v>
      </c>
      <c r="BH250" t="str">
        <f t="shared" si="75"/>
        <v>No</v>
      </c>
    </row>
    <row r="251" spans="1:60" x14ac:dyDescent="0.3">
      <c r="A251" s="1">
        <v>4</v>
      </c>
      <c r="B251" t="s">
        <v>636</v>
      </c>
      <c r="C251" t="s">
        <v>264</v>
      </c>
      <c r="D251" t="s">
        <v>4237</v>
      </c>
      <c r="E251" t="s">
        <v>4238</v>
      </c>
      <c r="F251" t="s">
        <v>4239</v>
      </c>
      <c r="G251" t="s">
        <v>4240</v>
      </c>
      <c r="I251" t="str">
        <f t="shared" si="82"/>
        <v>N/A</v>
      </c>
      <c r="J251" t="str">
        <f t="shared" si="83"/>
        <v>N/A</v>
      </c>
      <c r="K251">
        <f t="shared" si="84"/>
        <v>0.2298</v>
      </c>
      <c r="L251">
        <f t="shared" si="85"/>
        <v>-9.3100000000000002E-2</v>
      </c>
      <c r="M251">
        <f t="shared" si="86"/>
        <v>-7.8700000000000006E-2</v>
      </c>
      <c r="N251">
        <f t="shared" si="87"/>
        <v>-0.15720000000000001</v>
      </c>
      <c r="P251">
        <f t="shared" si="58"/>
        <v>0.2298</v>
      </c>
      <c r="Q251">
        <f>IFERROR(J144+MATCH(P251,J251:N251,0)-1,"")</f>
        <v>2013</v>
      </c>
      <c r="R251">
        <f t="shared" si="59"/>
        <v>-0.15720000000000001</v>
      </c>
      <c r="S251">
        <f>IFERROR(J144+MATCH(R251,J251:N251,0)-1,"")</f>
        <v>2016</v>
      </c>
      <c r="T251">
        <f t="shared" si="60"/>
        <v>-2.4800000000000006E-2</v>
      </c>
      <c r="U251">
        <f t="shared" si="61"/>
        <v>0.17312906553589819</v>
      </c>
      <c r="V251" t="str">
        <f t="shared" si="62"/>
        <v/>
      </c>
      <c r="W251">
        <f t="shared" si="63"/>
        <v>1.4705791844478526</v>
      </c>
      <c r="X251">
        <f t="shared" si="64"/>
        <v>-0.39450337116177669</v>
      </c>
      <c r="Y251">
        <f t="shared" si="65"/>
        <v>-0.31132842907203168</v>
      </c>
      <c r="Z251">
        <f t="shared" si="66"/>
        <v>-0.76474738421404431</v>
      </c>
      <c r="AA251">
        <f t="shared" si="67"/>
        <v>1.4705791844478526</v>
      </c>
      <c r="AB251">
        <f>IFERROR(V144+MATCH(AA251,V251:Z251,0)-1,"")</f>
        <v>2013</v>
      </c>
      <c r="AC251" t="str">
        <f t="shared" si="68"/>
        <v>High</v>
      </c>
      <c r="AE251" t="str">
        <f>IF(ISNUMBER(MATCH("N/A",J251:N251,0)),"",IFERROR((5 * SUMPRODUCT(J144:N144,J251:N251) - PRODUCT(SUM(J144:N144),SUM(J251:N251))) / ((5 * SUM((J144^2)+(K144^2)+(L144^2)+(M144^2)+(N144^2))) - SUM(J144:N144)^2),""))</f>
        <v/>
      </c>
      <c r="AF251">
        <f>IFERROR(CORREL(J144:N144,J251:N251),"")</f>
        <v>-0.85500041852507136</v>
      </c>
      <c r="AZ251">
        <f t="shared" si="69"/>
        <v>1</v>
      </c>
      <c r="BA251" t="str">
        <f>IF(AZ251=1,IF(Q251="","",IF(Q251=N144,"Yes","No")),"")</f>
        <v>No</v>
      </c>
      <c r="BB251" t="str">
        <f t="shared" si="70"/>
        <v/>
      </c>
      <c r="BC251" t="str">
        <f>IF(AZ251=1,IF(S251="","",IF(S251=N144,"Yes","No")),"")</f>
        <v>Yes</v>
      </c>
      <c r="BD251">
        <f t="shared" si="71"/>
        <v>-0.15720000000000001</v>
      </c>
      <c r="BE251" t="str">
        <f t="shared" si="72"/>
        <v/>
      </c>
      <c r="BF251" t="str">
        <f t="shared" si="73"/>
        <v>No</v>
      </c>
      <c r="BG251" t="str">
        <f t="shared" si="74"/>
        <v>No</v>
      </c>
      <c r="BH251" t="str">
        <f t="shared" si="75"/>
        <v>Yes</v>
      </c>
    </row>
    <row r="252" spans="1:60" x14ac:dyDescent="0.3">
      <c r="A252" s="1">
        <v>5</v>
      </c>
      <c r="B252" t="s">
        <v>641</v>
      </c>
      <c r="C252" t="s">
        <v>264</v>
      </c>
      <c r="D252" t="s">
        <v>4241</v>
      </c>
      <c r="E252" t="s">
        <v>4242</v>
      </c>
      <c r="F252" t="s">
        <v>4243</v>
      </c>
      <c r="G252" t="s">
        <v>4244</v>
      </c>
      <c r="I252" t="str">
        <f t="shared" si="82"/>
        <v>neg_trend</v>
      </c>
      <c r="J252" t="str">
        <f t="shared" si="83"/>
        <v>N/A</v>
      </c>
      <c r="K252">
        <f t="shared" si="84"/>
        <v>71310000</v>
      </c>
      <c r="L252">
        <f t="shared" si="85"/>
        <v>58010000</v>
      </c>
      <c r="M252">
        <f t="shared" si="86"/>
        <v>51830000</v>
      </c>
      <c r="N252">
        <f t="shared" si="87"/>
        <v>38370000</v>
      </c>
      <c r="P252">
        <f t="shared" si="58"/>
        <v>71310000</v>
      </c>
      <c r="Q252">
        <f>IFERROR(J144+MATCH(P252,J252:N252,0)-1,"")</f>
        <v>2013</v>
      </c>
      <c r="R252">
        <f t="shared" si="59"/>
        <v>38370000</v>
      </c>
      <c r="S252">
        <f>IFERROR(J144+MATCH(R252,J252:N252,0)-1,"")</f>
        <v>2016</v>
      </c>
      <c r="T252">
        <f t="shared" si="60"/>
        <v>54880000</v>
      </c>
      <c r="U252">
        <f t="shared" si="61"/>
        <v>13682402.323178973</v>
      </c>
      <c r="V252" t="str">
        <f t="shared" si="62"/>
        <v/>
      </c>
      <c r="W252">
        <f t="shared" si="63"/>
        <v>1.2008125190242651</v>
      </c>
      <c r="X252">
        <f t="shared" si="64"/>
        <v>0.22876099723347229</v>
      </c>
      <c r="Y252">
        <f t="shared" si="65"/>
        <v>-0.22291407078661038</v>
      </c>
      <c r="Z252">
        <f t="shared" si="66"/>
        <v>-1.206659445471127</v>
      </c>
      <c r="AA252">
        <f t="shared" si="67"/>
        <v>-1.206659445471127</v>
      </c>
      <c r="AB252">
        <f>IFERROR(V144+MATCH(AA252,V252:Z252,0)-1,"")</f>
        <v>2016</v>
      </c>
      <c r="AC252" t="str">
        <f t="shared" si="68"/>
        <v>Low</v>
      </c>
      <c r="AE252" t="str">
        <f>IF(ISNUMBER(MATCH("N/A",J252:N252,0)),"",IFERROR((5 * SUMPRODUCT(J144:N144,J252:N252) - PRODUCT(SUM(J144:N144),SUM(J252:N252))) / ((5 * SUM((J144^2)+(K144^2)+(L144^2)+(M144^2)+(N144^2))) - SUM(J144:N144)^2),""))</f>
        <v/>
      </c>
      <c r="AF252">
        <f>IFERROR(CORREL(J144:N144,J252:N252),"")</f>
        <v>-0.99072088303982009</v>
      </c>
      <c r="AZ252">
        <f t="shared" si="69"/>
        <v>1</v>
      </c>
      <c r="BA252" t="str">
        <f>IF(AZ252=1,IF(Q252="","",IF(Q252=N144,"Yes","No")),"")</f>
        <v>No</v>
      </c>
      <c r="BB252" t="str">
        <f t="shared" si="70"/>
        <v/>
      </c>
      <c r="BC252" t="str">
        <f>IF(AZ252=1,IF(S252="","",IF(S252=N144,"Yes","No")),"")</f>
        <v>Yes</v>
      </c>
      <c r="BD252">
        <f t="shared" si="71"/>
        <v>38370000</v>
      </c>
      <c r="BE252" t="str">
        <f t="shared" si="72"/>
        <v/>
      </c>
      <c r="BF252" t="str">
        <f t="shared" si="73"/>
        <v>No</v>
      </c>
      <c r="BG252" t="str">
        <f t="shared" si="74"/>
        <v>No</v>
      </c>
      <c r="BH252" t="str">
        <f t="shared" si="75"/>
        <v>Yes</v>
      </c>
    </row>
    <row r="253" spans="1:60" x14ac:dyDescent="0.3">
      <c r="A253" s="1">
        <v>6</v>
      </c>
      <c r="B253" t="s">
        <v>644</v>
      </c>
      <c r="C253" t="s">
        <v>4245</v>
      </c>
      <c r="D253" t="s">
        <v>4246</v>
      </c>
      <c r="E253" t="s">
        <v>4247</v>
      </c>
      <c r="F253" t="s">
        <v>4248</v>
      </c>
      <c r="G253" t="s">
        <v>4249</v>
      </c>
      <c r="I253" t="str">
        <f t="shared" si="82"/>
        <v>N/A</v>
      </c>
      <c r="J253">
        <f t="shared" si="83"/>
        <v>441030000</v>
      </c>
      <c r="K253">
        <f t="shared" si="84"/>
        <v>413950000</v>
      </c>
      <c r="L253">
        <f t="shared" si="85"/>
        <v>437380000</v>
      </c>
      <c r="M253">
        <f t="shared" si="86"/>
        <v>339830000</v>
      </c>
      <c r="N253">
        <f t="shared" si="87"/>
        <v>457010000</v>
      </c>
      <c r="P253">
        <f t="shared" si="58"/>
        <v>457010000</v>
      </c>
      <c r="Q253">
        <f>IFERROR(J144+MATCH(P253,J253:N253,0)-1,"")</f>
        <v>2016</v>
      </c>
      <c r="R253">
        <f t="shared" si="59"/>
        <v>339830000</v>
      </c>
      <c r="S253">
        <f>IFERROR(J144+MATCH(R253,J253:N253,0)-1,"")</f>
        <v>2015</v>
      </c>
      <c r="T253">
        <f t="shared" si="60"/>
        <v>417840000</v>
      </c>
      <c r="U253">
        <f t="shared" si="61"/>
        <v>46245455.992994599</v>
      </c>
      <c r="V253">
        <f t="shared" si="62"/>
        <v>0.50145467272531363</v>
      </c>
      <c r="W253">
        <f t="shared" si="63"/>
        <v>-8.4116372440770595E-2</v>
      </c>
      <c r="X253">
        <f t="shared" si="64"/>
        <v>0.42252799935543889</v>
      </c>
      <c r="Y253">
        <f t="shared" si="65"/>
        <v>-1.6868684355024457</v>
      </c>
      <c r="Z253">
        <f t="shared" si="66"/>
        <v>0.84700213586246376</v>
      </c>
      <c r="AA253">
        <f t="shared" si="67"/>
        <v>-1.6868684355024457</v>
      </c>
      <c r="AB253">
        <f>IFERROR(V144+MATCH(AA253,V253:Z253,0)-1,"")</f>
        <v>2015</v>
      </c>
      <c r="AC253" t="str">
        <f t="shared" si="68"/>
        <v>Low</v>
      </c>
      <c r="AE253">
        <f>IF(ISNUMBER(MATCH("N/A",J253:N253,0)),"",IFERROR((5 * SUMPRODUCT(J144:N144,J253:N253) - PRODUCT(SUM(J144:N144),SUM(J253:N253))) / ((5 * SUM((J144^2)+(K144^2)+(L144^2)+(M144^2)+(N144^2))) - SUM(J144:N144)^2),""))</f>
        <v>-4216000</v>
      </c>
      <c r="AF253">
        <f>IFERROR(CORREL(J144:N144,J253:N253),"")</f>
        <v>-0.1441456498697892</v>
      </c>
      <c r="AZ253">
        <f t="shared" si="69"/>
        <v>1</v>
      </c>
      <c r="BA253" t="str">
        <f>IF(AZ253=1,IF(Q253="","",IF(Q253=N144,"Yes","No")),"")</f>
        <v>Yes</v>
      </c>
      <c r="BB253">
        <f t="shared" si="70"/>
        <v>457010000</v>
      </c>
      <c r="BC253" t="str">
        <f>IF(AZ253=1,IF(S253="","",IF(S253=N144,"Yes","No")),"")</f>
        <v>No</v>
      </c>
      <c r="BD253" t="str">
        <f t="shared" si="71"/>
        <v/>
      </c>
      <c r="BE253" t="str">
        <f t="shared" si="72"/>
        <v>Decreasing</v>
      </c>
      <c r="BF253" t="str">
        <f t="shared" si="73"/>
        <v>No</v>
      </c>
      <c r="BG253" t="str">
        <f t="shared" si="74"/>
        <v>No</v>
      </c>
      <c r="BH253" t="str">
        <f t="shared" si="75"/>
        <v>No</v>
      </c>
    </row>
    <row r="254" spans="1:60" x14ac:dyDescent="0.3">
      <c r="A254" s="1">
        <v>7</v>
      </c>
      <c r="B254" t="s">
        <v>650</v>
      </c>
      <c r="C254" t="s">
        <v>264</v>
      </c>
      <c r="D254" t="s">
        <v>264</v>
      </c>
      <c r="E254" t="s">
        <v>264</v>
      </c>
      <c r="F254" t="s">
        <v>264</v>
      </c>
      <c r="G254" t="s">
        <v>264</v>
      </c>
      <c r="I254" t="str">
        <f t="shared" si="82"/>
        <v>N/A</v>
      </c>
      <c r="J254" t="str">
        <f t="shared" si="83"/>
        <v>N/A</v>
      </c>
      <c r="K254" t="str">
        <f t="shared" si="84"/>
        <v>N/A</v>
      </c>
      <c r="L254" t="str">
        <f t="shared" si="85"/>
        <v>N/A</v>
      </c>
      <c r="M254" t="str">
        <f t="shared" si="86"/>
        <v>N/A</v>
      </c>
      <c r="N254" t="str">
        <f t="shared" si="87"/>
        <v>N/A</v>
      </c>
      <c r="P254">
        <f t="shared" si="58"/>
        <v>0</v>
      </c>
      <c r="Q254" t="str">
        <f>IFERROR(J144+MATCH(P254,J254:N254,0)-1,"")</f>
        <v/>
      </c>
      <c r="R254" t="str">
        <f t="shared" si="59"/>
        <v/>
      </c>
      <c r="S254" t="str">
        <f>IFERROR(J144+MATCH(R254,J254:N254,0)-1,"")</f>
        <v/>
      </c>
      <c r="T254" t="str">
        <f t="shared" si="60"/>
        <v/>
      </c>
      <c r="U254" t="str">
        <f t="shared" si="61"/>
        <v/>
      </c>
      <c r="V254" t="str">
        <f t="shared" si="62"/>
        <v/>
      </c>
      <c r="W254" t="str">
        <f t="shared" si="63"/>
        <v/>
      </c>
      <c r="X254" t="str">
        <f t="shared" si="64"/>
        <v/>
      </c>
      <c r="Y254" t="str">
        <f t="shared" si="65"/>
        <v/>
      </c>
      <c r="Z254" t="str">
        <f t="shared" si="66"/>
        <v/>
      </c>
      <c r="AA254">
        <f t="shared" si="67"/>
        <v>0</v>
      </c>
      <c r="AB254" t="str">
        <f>IFERROR(V144+MATCH(AA254,V254:Z254,0)-1,"")</f>
        <v/>
      </c>
      <c r="AC254" t="str">
        <f t="shared" si="68"/>
        <v/>
      </c>
      <c r="AE254" t="str">
        <f>IF(ISNUMBER(MATCH("N/A",J254:N254,0)),"",IFERROR((5 * SUMPRODUCT(J144:N144,J254:N254) - PRODUCT(SUM(J144:N144),SUM(J254:N254))) / ((5 * SUM((J144^2)+(K144^2)+(L144^2)+(M144^2)+(N144^2))) - SUM(J144:N144)^2),""))</f>
        <v/>
      </c>
      <c r="AF254" t="str">
        <f>IFERROR(CORREL(J144:N144,J254:N254),"")</f>
        <v/>
      </c>
      <c r="AZ254">
        <f t="shared" si="69"/>
        <v>0</v>
      </c>
      <c r="BA254" t="str">
        <f>IF(AZ254=1,IF(Q254="","",IF(Q254=N144,"Yes","No")),"")</f>
        <v/>
      </c>
      <c r="BB254" t="str">
        <f t="shared" si="70"/>
        <v/>
      </c>
      <c r="BC254" t="str">
        <f>IF(AZ254=1,IF(S254="","",IF(S254=N144,"Yes","No")),"")</f>
        <v/>
      </c>
      <c r="BD254" t="str">
        <f t="shared" si="71"/>
        <v/>
      </c>
      <c r="BE254" t="str">
        <f t="shared" si="72"/>
        <v/>
      </c>
      <c r="BF254" t="str">
        <f t="shared" si="73"/>
        <v>No</v>
      </c>
      <c r="BG254" t="str">
        <f t="shared" si="74"/>
        <v>No</v>
      </c>
      <c r="BH254" t="str">
        <f t="shared" si="75"/>
        <v/>
      </c>
    </row>
    <row r="255" spans="1:60" x14ac:dyDescent="0.3">
      <c r="A255" s="1">
        <v>8</v>
      </c>
      <c r="B255" t="s">
        <v>651</v>
      </c>
      <c r="C255" t="s">
        <v>4250</v>
      </c>
      <c r="D255" t="s">
        <v>4251</v>
      </c>
      <c r="E255" t="s">
        <v>4252</v>
      </c>
      <c r="F255" t="s">
        <v>4253</v>
      </c>
      <c r="G255" t="s">
        <v>4254</v>
      </c>
      <c r="I255" t="str">
        <f t="shared" si="82"/>
        <v>N/A</v>
      </c>
      <c r="J255">
        <f t="shared" si="83"/>
        <v>99580000</v>
      </c>
      <c r="K255">
        <f t="shared" si="84"/>
        <v>136650000</v>
      </c>
      <c r="L255">
        <f t="shared" si="85"/>
        <v>120070000</v>
      </c>
      <c r="M255">
        <f t="shared" si="86"/>
        <v>99380000</v>
      </c>
      <c r="N255">
        <f t="shared" si="87"/>
        <v>102960000</v>
      </c>
      <c r="P255">
        <f t="shared" si="58"/>
        <v>136650000</v>
      </c>
      <c r="Q255">
        <f>IFERROR(J144+MATCH(P255,J255:N255,0)-1,"")</f>
        <v>2013</v>
      </c>
      <c r="R255">
        <f t="shared" si="59"/>
        <v>99380000</v>
      </c>
      <c r="S255">
        <f>IFERROR(J144+MATCH(R255,J255:N255,0)-1,"")</f>
        <v>2015</v>
      </c>
      <c r="T255">
        <f t="shared" si="60"/>
        <v>111728000</v>
      </c>
      <c r="U255">
        <f t="shared" si="61"/>
        <v>16337226.508804975</v>
      </c>
      <c r="V255">
        <f t="shared" si="62"/>
        <v>-0.74357786454468355</v>
      </c>
      <c r="W255">
        <f t="shared" si="63"/>
        <v>1.5254731264555981</v>
      </c>
      <c r="X255">
        <f t="shared" si="64"/>
        <v>0.51061298534999588</v>
      </c>
      <c r="Y255">
        <f t="shared" si="65"/>
        <v>-0.75581984453389472</v>
      </c>
      <c r="Z255">
        <f t="shared" si="66"/>
        <v>-0.53668840272701568</v>
      </c>
      <c r="AA255">
        <f t="shared" si="67"/>
        <v>1.5254731264555981</v>
      </c>
      <c r="AB255">
        <f>IFERROR(V144+MATCH(AA255,V255:Z255,0)-1,"")</f>
        <v>2013</v>
      </c>
      <c r="AC255" t="str">
        <f t="shared" si="68"/>
        <v>High</v>
      </c>
      <c r="AE255">
        <f>IF(ISNUMBER(MATCH("N/A",J255:N255,0)),"",IFERROR((5 * SUMPRODUCT(J144:N144,J255:N255) - PRODUCT(SUM(J144:N144),SUM(J255:N255))) / ((5 * SUM((J144^2)+(K144^2)+(L144^2)+(M144^2)+(N144^2))) - SUM(J144:N144)^2),""))</f>
        <v>-3051000</v>
      </c>
      <c r="AF255">
        <f>IFERROR(CORREL(J144:N144,J255:N255),"")</f>
        <v>-0.29527989759993412</v>
      </c>
      <c r="AZ255">
        <f t="shared" si="69"/>
        <v>1</v>
      </c>
      <c r="BA255" t="str">
        <f>IF(AZ255=1,IF(Q255="","",IF(Q255=N144,"Yes","No")),"")</f>
        <v>No</v>
      </c>
      <c r="BB255" t="str">
        <f t="shared" si="70"/>
        <v/>
      </c>
      <c r="BC255" t="str">
        <f>IF(AZ255=1,IF(S255="","",IF(S255=N144,"Yes","No")),"")</f>
        <v>No</v>
      </c>
      <c r="BD255" t="str">
        <f t="shared" si="71"/>
        <v/>
      </c>
      <c r="BE255" t="str">
        <f t="shared" si="72"/>
        <v>Decreasing</v>
      </c>
      <c r="BF255" t="str">
        <f t="shared" si="73"/>
        <v>No</v>
      </c>
      <c r="BG255" t="str">
        <f t="shared" si="74"/>
        <v>No</v>
      </c>
      <c r="BH255" t="str">
        <f t="shared" si="75"/>
        <v>No</v>
      </c>
    </row>
    <row r="256" spans="1:60" x14ac:dyDescent="0.3">
      <c r="A256" s="1">
        <v>9</v>
      </c>
      <c r="B256" t="s">
        <v>654</v>
      </c>
      <c r="C256" t="s">
        <v>4255</v>
      </c>
      <c r="D256" t="s">
        <v>4256</v>
      </c>
      <c r="E256" t="s">
        <v>4257</v>
      </c>
      <c r="F256" t="s">
        <v>4258</v>
      </c>
      <c r="G256" t="s">
        <v>4259</v>
      </c>
      <c r="I256" t="str">
        <f t="shared" si="82"/>
        <v>N/A</v>
      </c>
      <c r="J256">
        <f t="shared" si="83"/>
        <v>341450000</v>
      </c>
      <c r="K256">
        <f t="shared" si="84"/>
        <v>277300000</v>
      </c>
      <c r="L256">
        <f t="shared" si="85"/>
        <v>317320000</v>
      </c>
      <c r="M256">
        <f t="shared" si="86"/>
        <v>240440000</v>
      </c>
      <c r="N256">
        <f t="shared" si="87"/>
        <v>354050000</v>
      </c>
      <c r="P256">
        <f t="shared" si="58"/>
        <v>354050000</v>
      </c>
      <c r="Q256">
        <f>IFERROR(J144+MATCH(P256,J256:N256,0)-1,"")</f>
        <v>2016</v>
      </c>
      <c r="R256">
        <f t="shared" si="59"/>
        <v>240440000</v>
      </c>
      <c r="S256">
        <f>IFERROR(J144+MATCH(R256,J256:N256,0)-1,"")</f>
        <v>2015</v>
      </c>
      <c r="T256">
        <f t="shared" si="60"/>
        <v>306112000</v>
      </c>
      <c r="U256">
        <f t="shared" si="61"/>
        <v>46945149.589707345</v>
      </c>
      <c r="V256">
        <f t="shared" si="62"/>
        <v>0.75275082322344555</v>
      </c>
      <c r="W256">
        <f t="shared" si="63"/>
        <v>-0.61373752670535719</v>
      </c>
      <c r="X256">
        <f t="shared" si="64"/>
        <v>0.23874670968046799</v>
      </c>
      <c r="Y256">
        <f t="shared" si="65"/>
        <v>-1.3989091647158898</v>
      </c>
      <c r="Z256">
        <f t="shared" si="66"/>
        <v>1.0211491585173336</v>
      </c>
      <c r="AA256">
        <f t="shared" si="67"/>
        <v>-1.3989091647158898</v>
      </c>
      <c r="AB256">
        <f>IFERROR(V144+MATCH(AA256,V256:Z256,0)-1,"")</f>
        <v>2015</v>
      </c>
      <c r="AC256" t="str">
        <f t="shared" si="68"/>
        <v>Low</v>
      </c>
      <c r="AE256">
        <f>IF(ISNUMBER(MATCH("N/A",J256:N256,0)),"",IFERROR((5 * SUMPRODUCT(J144:N144,J256:N256) - PRODUCT(SUM(J144:N144),SUM(J256:N256))) / ((5 * SUM((J144^2)+(K144^2)+(L144^2)+(M144^2)+(N144^2))) - SUM(J144:N144)^2),""))</f>
        <v>-1166000</v>
      </c>
      <c r="AF256">
        <f>IFERROR(CORREL(J144:N144,J256:N256),"")</f>
        <v>-3.9271530541301614E-2</v>
      </c>
      <c r="AZ256">
        <f t="shared" si="69"/>
        <v>1</v>
      </c>
      <c r="BA256" t="str">
        <f>IF(AZ256=1,IF(Q256="","",IF(Q256=N144,"Yes","No")),"")</f>
        <v>Yes</v>
      </c>
      <c r="BB256">
        <f t="shared" si="70"/>
        <v>354050000</v>
      </c>
      <c r="BC256" t="str">
        <f>IF(AZ256=1,IF(S256="","",IF(S256=N144,"Yes","No")),"")</f>
        <v>No</v>
      </c>
      <c r="BD256" t="str">
        <f t="shared" si="71"/>
        <v/>
      </c>
      <c r="BE256" t="str">
        <f t="shared" si="72"/>
        <v>Decreasing</v>
      </c>
      <c r="BF256" t="str">
        <f t="shared" si="73"/>
        <v>No</v>
      </c>
      <c r="BG256" t="str">
        <f t="shared" si="74"/>
        <v>No</v>
      </c>
      <c r="BH256" t="str">
        <f t="shared" si="75"/>
        <v>No</v>
      </c>
    </row>
    <row r="257" spans="1:60" x14ac:dyDescent="0.3">
      <c r="A257" s="1">
        <v>10</v>
      </c>
      <c r="B257" t="s">
        <v>657</v>
      </c>
      <c r="C257" t="s">
        <v>2070</v>
      </c>
      <c r="D257" t="s">
        <v>545</v>
      </c>
      <c r="E257" t="s">
        <v>278</v>
      </c>
      <c r="F257" t="s">
        <v>2071</v>
      </c>
      <c r="G257" t="s">
        <v>2186</v>
      </c>
      <c r="I257" t="str">
        <f t="shared" si="82"/>
        <v>N/A</v>
      </c>
      <c r="J257">
        <f t="shared" si="83"/>
        <v>1180000000</v>
      </c>
      <c r="K257">
        <f t="shared" si="84"/>
        <v>1380000000</v>
      </c>
      <c r="L257">
        <f t="shared" si="85"/>
        <v>1290000000</v>
      </c>
      <c r="M257">
        <f t="shared" si="86"/>
        <v>1120000000</v>
      </c>
      <c r="N257">
        <f t="shared" si="87"/>
        <v>1110000000</v>
      </c>
      <c r="P257">
        <f t="shared" si="58"/>
        <v>1380000000</v>
      </c>
      <c r="Q257">
        <f>IFERROR(J144+MATCH(P257,J257:N257,0)-1,"")</f>
        <v>2013</v>
      </c>
      <c r="R257">
        <f t="shared" si="59"/>
        <v>1110000000</v>
      </c>
      <c r="S257">
        <f>IFERROR(J144+MATCH(R257,J257:N257,0)-1,"")</f>
        <v>2016</v>
      </c>
      <c r="T257">
        <f t="shared" si="60"/>
        <v>1216000000</v>
      </c>
      <c r="U257">
        <f t="shared" si="61"/>
        <v>116318528.18876277</v>
      </c>
      <c r="V257">
        <f t="shared" si="62"/>
        <v>-0.30949497522508945</v>
      </c>
      <c r="W257">
        <f t="shared" si="63"/>
        <v>1.4099215538031853</v>
      </c>
      <c r="X257">
        <f t="shared" si="64"/>
        <v>0.63618411574046163</v>
      </c>
      <c r="Y257">
        <f t="shared" si="65"/>
        <v>-0.82531993393357184</v>
      </c>
      <c r="Z257">
        <f t="shared" si="66"/>
        <v>-0.91129076038498558</v>
      </c>
      <c r="AA257">
        <f t="shared" si="67"/>
        <v>1.4099215538031853</v>
      </c>
      <c r="AB257">
        <f>IFERROR(V144+MATCH(AA257,V257:Z257,0)-1,"")</f>
        <v>2013</v>
      </c>
      <c r="AC257" t="str">
        <f t="shared" si="68"/>
        <v>High</v>
      </c>
      <c r="AE257">
        <f>IF(ISNUMBER(MATCH("N/A",J257:N257,0)),"",IFERROR((5 * SUMPRODUCT(J144:N144,J257:N257) - PRODUCT(SUM(J144:N144),SUM(J257:N257))) / ((5 * SUM((J144^2)+(K144^2)+(L144^2)+(M144^2)+(N144^2))) - SUM(J144:N144)^2),""))</f>
        <v>-40000000</v>
      </c>
      <c r="AF257">
        <f>IFERROR(CORREL(J144:N144,J257:N257),"")</f>
        <v>-0.54372724782703674</v>
      </c>
      <c r="AZ257">
        <f t="shared" si="69"/>
        <v>1</v>
      </c>
      <c r="BA257" t="str">
        <f>IF(AZ257=1,IF(Q257="","",IF(Q257=N144,"Yes","No")),"")</f>
        <v>No</v>
      </c>
      <c r="BB257" t="str">
        <f t="shared" si="70"/>
        <v/>
      </c>
      <c r="BC257" t="str">
        <f>IF(AZ257=1,IF(S257="","",IF(S257=N144,"Yes","No")),"")</f>
        <v>Yes</v>
      </c>
      <c r="BD257">
        <f t="shared" si="71"/>
        <v>1110000000</v>
      </c>
      <c r="BE257" t="str">
        <f t="shared" si="72"/>
        <v>Decreasing</v>
      </c>
      <c r="BF257" t="str">
        <f t="shared" si="73"/>
        <v>Yes</v>
      </c>
      <c r="BG257" t="str">
        <f t="shared" si="74"/>
        <v>No</v>
      </c>
      <c r="BH257" t="str">
        <f t="shared" si="75"/>
        <v>No</v>
      </c>
    </row>
    <row r="258" spans="1:60" x14ac:dyDescent="0.3">
      <c r="A258" s="1">
        <v>11</v>
      </c>
      <c r="B258" t="s">
        <v>663</v>
      </c>
      <c r="C258" t="s">
        <v>178</v>
      </c>
      <c r="D258" t="s">
        <v>4260</v>
      </c>
      <c r="E258" t="s">
        <v>308</v>
      </c>
      <c r="F258" t="s">
        <v>4261</v>
      </c>
      <c r="G258" t="s">
        <v>278</v>
      </c>
      <c r="I258" t="str">
        <f t="shared" si="82"/>
        <v>N/A</v>
      </c>
      <c r="J258">
        <f t="shared" si="83"/>
        <v>1690000000</v>
      </c>
      <c r="K258">
        <f t="shared" si="84"/>
        <v>1460000000</v>
      </c>
      <c r="L258">
        <f t="shared" si="85"/>
        <v>1530000000</v>
      </c>
      <c r="M258">
        <f t="shared" si="86"/>
        <v>1410000000</v>
      </c>
      <c r="N258">
        <f t="shared" si="87"/>
        <v>1290000000</v>
      </c>
      <c r="P258">
        <f t="shared" si="58"/>
        <v>1690000000</v>
      </c>
      <c r="Q258">
        <f>IFERROR(J144+MATCH(P258,J258:N258,0)-1,"")</f>
        <v>2012</v>
      </c>
      <c r="R258">
        <f t="shared" si="59"/>
        <v>1290000000</v>
      </c>
      <c r="S258">
        <f>IFERROR(J144+MATCH(R258,J258:N258,0)-1,"")</f>
        <v>2016</v>
      </c>
      <c r="T258">
        <f t="shared" si="60"/>
        <v>1476000000</v>
      </c>
      <c r="U258">
        <f t="shared" si="61"/>
        <v>148256534.42597395</v>
      </c>
      <c r="V258">
        <f t="shared" si="62"/>
        <v>1.443443965748791</v>
      </c>
      <c r="W258">
        <f t="shared" si="63"/>
        <v>-0.1079210441681339</v>
      </c>
      <c r="X258">
        <f t="shared" si="64"/>
        <v>0.36423352406745196</v>
      </c>
      <c r="Y258">
        <f t="shared" si="65"/>
        <v>-0.44517430719355239</v>
      </c>
      <c r="Z258">
        <f t="shared" si="66"/>
        <v>-1.2545821384545566</v>
      </c>
      <c r="AA258">
        <f t="shared" si="67"/>
        <v>1.443443965748791</v>
      </c>
      <c r="AB258">
        <f>IFERROR(V144+MATCH(AA258,V258:Z258,0)-1,"")</f>
        <v>2012</v>
      </c>
      <c r="AC258" t="str">
        <f t="shared" si="68"/>
        <v>High</v>
      </c>
      <c r="AE258">
        <f>IF(ISNUMBER(MATCH("N/A",J258:N258,0)),"",IFERROR((5 * SUMPRODUCT(J144:N144,J258:N258) - PRODUCT(SUM(J144:N144),SUM(J258:N258))) / ((5 * SUM((J144^2)+(K144^2)+(L144^2)+(M144^2)+(N144^2))) - SUM(J144:N144)^2),""))</f>
        <v>-85000000</v>
      </c>
      <c r="AF258">
        <f>IFERROR(CORREL(J144:N144,J258:N258),"")</f>
        <v>-0.9065151905615455</v>
      </c>
      <c r="AZ258">
        <f t="shared" si="69"/>
        <v>1</v>
      </c>
      <c r="BA258" t="str">
        <f>IF(AZ258=1,IF(Q258="","",IF(Q258=N144,"Yes","No")),"")</f>
        <v>No</v>
      </c>
      <c r="BB258" t="str">
        <f t="shared" si="70"/>
        <v/>
      </c>
      <c r="BC258" t="str">
        <f>IF(AZ258=1,IF(S258="","",IF(S258=N144,"Yes","No")),"")</f>
        <v>Yes</v>
      </c>
      <c r="BD258">
        <f t="shared" si="71"/>
        <v>1290000000</v>
      </c>
      <c r="BE258" t="str">
        <f t="shared" si="72"/>
        <v>Decreasing</v>
      </c>
      <c r="BF258" t="str">
        <f t="shared" si="73"/>
        <v>Yes</v>
      </c>
      <c r="BG258" t="str">
        <f t="shared" si="74"/>
        <v>No</v>
      </c>
      <c r="BH258" t="str">
        <f t="shared" si="75"/>
        <v>Yes</v>
      </c>
    </row>
    <row r="259" spans="1:60" x14ac:dyDescent="0.3">
      <c r="A259" s="1">
        <v>12</v>
      </c>
      <c r="B259" t="s">
        <v>669</v>
      </c>
      <c r="C259" t="s">
        <v>178</v>
      </c>
      <c r="D259" t="s">
        <v>4260</v>
      </c>
      <c r="E259" t="s">
        <v>308</v>
      </c>
      <c r="F259" t="s">
        <v>4261</v>
      </c>
      <c r="G259" t="s">
        <v>278</v>
      </c>
      <c r="I259" t="str">
        <f t="shared" si="82"/>
        <v>N/A</v>
      </c>
      <c r="J259">
        <f t="shared" si="83"/>
        <v>1690000000</v>
      </c>
      <c r="K259">
        <f t="shared" si="84"/>
        <v>1460000000</v>
      </c>
      <c r="L259">
        <f t="shared" si="85"/>
        <v>1530000000</v>
      </c>
      <c r="M259">
        <f t="shared" si="86"/>
        <v>1410000000</v>
      </c>
      <c r="N259">
        <f t="shared" si="87"/>
        <v>1290000000</v>
      </c>
      <c r="P259">
        <f t="shared" si="58"/>
        <v>1690000000</v>
      </c>
      <c r="Q259">
        <f>IFERROR(J144+MATCH(P259,J259:N259,0)-1,"")</f>
        <v>2012</v>
      </c>
      <c r="R259">
        <f t="shared" si="59"/>
        <v>1290000000</v>
      </c>
      <c r="S259">
        <f>IFERROR(J144+MATCH(R259,J259:N259,0)-1,"")</f>
        <v>2016</v>
      </c>
      <c r="T259">
        <f t="shared" si="60"/>
        <v>1476000000</v>
      </c>
      <c r="U259">
        <f t="shared" si="61"/>
        <v>148256534.42597395</v>
      </c>
      <c r="V259">
        <f t="shared" si="62"/>
        <v>1.443443965748791</v>
      </c>
      <c r="W259">
        <f t="shared" si="63"/>
        <v>-0.1079210441681339</v>
      </c>
      <c r="X259">
        <f t="shared" si="64"/>
        <v>0.36423352406745196</v>
      </c>
      <c r="Y259">
        <f t="shared" si="65"/>
        <v>-0.44517430719355239</v>
      </c>
      <c r="Z259">
        <f t="shared" si="66"/>
        <v>-1.2545821384545566</v>
      </c>
      <c r="AA259">
        <f t="shared" si="67"/>
        <v>1.443443965748791</v>
      </c>
      <c r="AB259">
        <f>IFERROR(V144+MATCH(AA259,V259:Z259,0)-1,"")</f>
        <v>2012</v>
      </c>
      <c r="AC259" t="str">
        <f t="shared" si="68"/>
        <v>High</v>
      </c>
      <c r="AE259">
        <f>IF(ISNUMBER(MATCH("N/A",J259:N259,0)),"",IFERROR((5 * SUMPRODUCT(J144:N144,J259:N259) - PRODUCT(SUM(J144:N144),SUM(J259:N259))) / ((5 * SUM((J144^2)+(K144^2)+(L144^2)+(M144^2)+(N144^2))) - SUM(J144:N144)^2),""))</f>
        <v>-85000000</v>
      </c>
      <c r="AF259">
        <f>IFERROR(CORREL(J144:N144,J259:N259),"")</f>
        <v>-0.9065151905615455</v>
      </c>
      <c r="AZ259">
        <f t="shared" si="69"/>
        <v>1</v>
      </c>
      <c r="BA259" t="str">
        <f>IF(AZ259=1,IF(Q259="","",IF(Q259=N144,"Yes","No")),"")</f>
        <v>No</v>
      </c>
      <c r="BB259" t="str">
        <f t="shared" si="70"/>
        <v/>
      </c>
      <c r="BC259" t="str">
        <f>IF(AZ259=1,IF(S259="","",IF(S259=N144,"Yes","No")),"")</f>
        <v>Yes</v>
      </c>
      <c r="BD259">
        <f t="shared" si="71"/>
        <v>1290000000</v>
      </c>
      <c r="BE259" t="str">
        <f t="shared" si="72"/>
        <v>Decreasing</v>
      </c>
      <c r="BF259" t="str">
        <f t="shared" si="73"/>
        <v>Yes</v>
      </c>
      <c r="BG259" t="str">
        <f t="shared" si="74"/>
        <v>No</v>
      </c>
      <c r="BH259" t="str">
        <f t="shared" si="75"/>
        <v>Yes</v>
      </c>
    </row>
    <row r="260" spans="1:60" x14ac:dyDescent="0.3">
      <c r="A260" s="1">
        <v>13</v>
      </c>
      <c r="B260" t="s">
        <v>673</v>
      </c>
      <c r="C260" t="s">
        <v>178</v>
      </c>
      <c r="D260" t="s">
        <v>4260</v>
      </c>
      <c r="E260" t="s">
        <v>308</v>
      </c>
      <c r="F260" t="s">
        <v>4261</v>
      </c>
      <c r="G260" t="s">
        <v>278</v>
      </c>
      <c r="I260" t="str">
        <f t="shared" si="82"/>
        <v>N/A</v>
      </c>
      <c r="J260">
        <f t="shared" si="83"/>
        <v>1690000000</v>
      </c>
      <c r="K260">
        <f t="shared" si="84"/>
        <v>1460000000</v>
      </c>
      <c r="L260">
        <f t="shared" si="85"/>
        <v>1530000000</v>
      </c>
      <c r="M260">
        <f t="shared" si="86"/>
        <v>1410000000</v>
      </c>
      <c r="N260">
        <f t="shared" si="87"/>
        <v>1290000000</v>
      </c>
      <c r="P260">
        <f t="shared" si="58"/>
        <v>1690000000</v>
      </c>
      <c r="Q260">
        <f>IFERROR(J144+MATCH(P260,J260:N260,0)-1,"")</f>
        <v>2012</v>
      </c>
      <c r="R260">
        <f t="shared" si="59"/>
        <v>1290000000</v>
      </c>
      <c r="S260">
        <f>IFERROR(J144+MATCH(R260,J260:N260,0)-1,"")</f>
        <v>2016</v>
      </c>
      <c r="T260">
        <f t="shared" si="60"/>
        <v>1476000000</v>
      </c>
      <c r="U260">
        <f t="shared" si="61"/>
        <v>148256534.42597395</v>
      </c>
      <c r="V260">
        <f t="shared" si="62"/>
        <v>1.443443965748791</v>
      </c>
      <c r="W260">
        <f t="shared" si="63"/>
        <v>-0.1079210441681339</v>
      </c>
      <c r="X260">
        <f t="shared" si="64"/>
        <v>0.36423352406745196</v>
      </c>
      <c r="Y260">
        <f t="shared" si="65"/>
        <v>-0.44517430719355239</v>
      </c>
      <c r="Z260">
        <f t="shared" si="66"/>
        <v>-1.2545821384545566</v>
      </c>
      <c r="AA260">
        <f t="shared" si="67"/>
        <v>1.443443965748791</v>
      </c>
      <c r="AB260">
        <f>IFERROR(V144+MATCH(AA260,V260:Z260,0)-1,"")</f>
        <v>2012</v>
      </c>
      <c r="AC260" t="str">
        <f t="shared" si="68"/>
        <v>High</v>
      </c>
      <c r="AE260">
        <f>IF(ISNUMBER(MATCH("N/A",J260:N260,0)),"",IFERROR((5 * SUMPRODUCT(J144:N144,J260:N260) - PRODUCT(SUM(J144:N144),SUM(J260:N260))) / ((5 * SUM((J144^2)+(K144^2)+(L144^2)+(M144^2)+(N144^2))) - SUM(J144:N144)^2),""))</f>
        <v>-85000000</v>
      </c>
      <c r="AF260">
        <f>IFERROR(CORREL(J144:N144,J260:N260),"")</f>
        <v>-0.9065151905615455</v>
      </c>
      <c r="AZ260">
        <f t="shared" si="69"/>
        <v>1</v>
      </c>
      <c r="BA260" t="str">
        <f>IF(AZ260=1,IF(Q260="","",IF(Q260=N144,"Yes","No")),"")</f>
        <v>No</v>
      </c>
      <c r="BB260" t="str">
        <f t="shared" si="70"/>
        <v/>
      </c>
      <c r="BC260" t="str">
        <f>IF(AZ260=1,IF(S260="","",IF(S260=N144,"Yes","No")),"")</f>
        <v>Yes</v>
      </c>
      <c r="BD260">
        <f t="shared" si="71"/>
        <v>1290000000</v>
      </c>
      <c r="BE260" t="str">
        <f t="shared" si="72"/>
        <v>Decreasing</v>
      </c>
      <c r="BF260" t="str">
        <f t="shared" si="73"/>
        <v>Yes</v>
      </c>
      <c r="BG260" t="str">
        <f t="shared" si="74"/>
        <v>No</v>
      </c>
      <c r="BH260" t="str">
        <f t="shared" si="75"/>
        <v>Yes</v>
      </c>
    </row>
    <row r="261" spans="1:60" x14ac:dyDescent="0.3">
      <c r="A261" s="1">
        <v>14</v>
      </c>
      <c r="B261" t="s">
        <v>674</v>
      </c>
      <c r="C261" t="s">
        <v>264</v>
      </c>
      <c r="D261" t="s">
        <v>264</v>
      </c>
      <c r="E261" t="s">
        <v>264</v>
      </c>
      <c r="F261" t="s">
        <v>264</v>
      </c>
      <c r="G261" t="s">
        <v>264</v>
      </c>
      <c r="I261" t="str">
        <f t="shared" si="82"/>
        <v>N/A</v>
      </c>
      <c r="J261" t="str">
        <f t="shared" si="83"/>
        <v>N/A</v>
      </c>
      <c r="K261" t="str">
        <f t="shared" si="84"/>
        <v>N/A</v>
      </c>
      <c r="L261" t="str">
        <f t="shared" si="85"/>
        <v>N/A</v>
      </c>
      <c r="M261" t="str">
        <f t="shared" si="86"/>
        <v>N/A</v>
      </c>
      <c r="N261" t="str">
        <f t="shared" si="87"/>
        <v>N/A</v>
      </c>
      <c r="P261">
        <f t="shared" si="58"/>
        <v>0</v>
      </c>
      <c r="Q261" t="str">
        <f>IFERROR(J144+MATCH(P261,J261:N261,0)-1,"")</f>
        <v/>
      </c>
      <c r="R261" t="str">
        <f t="shared" si="59"/>
        <v/>
      </c>
      <c r="S261" t="str">
        <f>IFERROR(J144+MATCH(R261,J261:N261,0)-1,"")</f>
        <v/>
      </c>
      <c r="T261" t="str">
        <f t="shared" si="60"/>
        <v/>
      </c>
      <c r="U261" t="str">
        <f t="shared" si="61"/>
        <v/>
      </c>
      <c r="V261" t="str">
        <f t="shared" si="62"/>
        <v/>
      </c>
      <c r="W261" t="str">
        <f t="shared" si="63"/>
        <v/>
      </c>
      <c r="X261" t="str">
        <f t="shared" si="64"/>
        <v/>
      </c>
      <c r="Y261" t="str">
        <f t="shared" si="65"/>
        <v/>
      </c>
      <c r="Z261" t="str">
        <f t="shared" si="66"/>
        <v/>
      </c>
      <c r="AA261">
        <f t="shared" si="67"/>
        <v>0</v>
      </c>
      <c r="AB261" t="str">
        <f>IFERROR(V144+MATCH(AA261,V261:Z261,0)-1,"")</f>
        <v/>
      </c>
      <c r="AC261" t="str">
        <f t="shared" si="68"/>
        <v/>
      </c>
      <c r="AE261" t="str">
        <f>IF(ISNUMBER(MATCH("N/A",J261:N261,0)),"",IFERROR((5 * SUMPRODUCT(J144:N144,J261:N261) - PRODUCT(SUM(J144:N144),SUM(J261:N261))) / ((5 * SUM((J144^2)+(K144^2)+(L144^2)+(M144^2)+(N144^2))) - SUM(J144:N144)^2),""))</f>
        <v/>
      </c>
      <c r="AF261" t="str">
        <f>IFERROR(CORREL(J144:N144,J261:N261),"")</f>
        <v/>
      </c>
      <c r="AZ261">
        <f t="shared" si="69"/>
        <v>0</v>
      </c>
      <c r="BA261" t="str">
        <f>IF(AZ261=1,IF(Q261="","",IF(Q261=N144,"Yes","No")),"")</f>
        <v/>
      </c>
      <c r="BB261" t="str">
        <f t="shared" si="70"/>
        <v/>
      </c>
      <c r="BC261" t="str">
        <f>IF(AZ261=1,IF(S261="","",IF(S261=N144,"Yes","No")),"")</f>
        <v/>
      </c>
      <c r="BD261" t="str">
        <f t="shared" si="71"/>
        <v/>
      </c>
      <c r="BE261" t="str">
        <f t="shared" si="72"/>
        <v/>
      </c>
      <c r="BF261" t="str">
        <f t="shared" si="73"/>
        <v>No</v>
      </c>
      <c r="BG261" t="str">
        <f t="shared" si="74"/>
        <v>No</v>
      </c>
      <c r="BH261" t="str">
        <f t="shared" si="75"/>
        <v/>
      </c>
    </row>
    <row r="262" spans="1:60" x14ac:dyDescent="0.3">
      <c r="A262" s="1">
        <v>15</v>
      </c>
      <c r="B262" t="s">
        <v>675</v>
      </c>
      <c r="C262" t="s">
        <v>264</v>
      </c>
      <c r="D262" t="s">
        <v>264</v>
      </c>
      <c r="E262" t="s">
        <v>4262</v>
      </c>
      <c r="F262" t="s">
        <v>264</v>
      </c>
      <c r="G262" t="s">
        <v>264</v>
      </c>
      <c r="I262" t="str">
        <f t="shared" si="82"/>
        <v>N/A</v>
      </c>
      <c r="J262" t="str">
        <f t="shared" si="83"/>
        <v>N/A</v>
      </c>
      <c r="K262" t="str">
        <f t="shared" si="84"/>
        <v>N/A</v>
      </c>
      <c r="L262">
        <f t="shared" si="85"/>
        <v>1900000</v>
      </c>
      <c r="M262" t="str">
        <f t="shared" si="86"/>
        <v>N/A</v>
      </c>
      <c r="N262" t="str">
        <f t="shared" si="87"/>
        <v>N/A</v>
      </c>
      <c r="P262">
        <f t="shared" si="58"/>
        <v>1900000</v>
      </c>
      <c r="Q262">
        <f>IFERROR(J144+MATCH(P262,J262:N262,0)-1,"")</f>
        <v>2014</v>
      </c>
      <c r="R262">
        <f t="shared" si="59"/>
        <v>1900000</v>
      </c>
      <c r="S262">
        <f>IFERROR(J144+MATCH(R262,J262:N262,0)-1,"")</f>
        <v>2014</v>
      </c>
      <c r="T262">
        <f t="shared" si="60"/>
        <v>1900000</v>
      </c>
      <c r="U262" t="str">
        <f t="shared" si="61"/>
        <v/>
      </c>
      <c r="V262" t="str">
        <f t="shared" si="62"/>
        <v/>
      </c>
      <c r="W262" t="str">
        <f t="shared" si="63"/>
        <v/>
      </c>
      <c r="X262" t="str">
        <f t="shared" si="64"/>
        <v/>
      </c>
      <c r="Y262" t="str">
        <f t="shared" si="65"/>
        <v/>
      </c>
      <c r="Z262" t="str">
        <f t="shared" si="66"/>
        <v/>
      </c>
      <c r="AA262">
        <f t="shared" si="67"/>
        <v>0</v>
      </c>
      <c r="AB262" t="str">
        <f>IFERROR(V144+MATCH(AA262,V262:Z262,0)-1,"")</f>
        <v/>
      </c>
      <c r="AC262" t="str">
        <f t="shared" si="68"/>
        <v/>
      </c>
      <c r="AE262" t="str">
        <f>IF(ISNUMBER(MATCH("N/A",J262:N262,0)),"",IFERROR((5 * SUMPRODUCT(J144:N144,J262:N262) - PRODUCT(SUM(J144:N144),SUM(J262:N262))) / ((5 * SUM((J144^2)+(K144^2)+(L144^2)+(M144^2)+(N144^2))) - SUM(J144:N144)^2),""))</f>
        <v/>
      </c>
      <c r="AF262" t="str">
        <f>IFERROR(CORREL(J144:N144,J262:N262),"")</f>
        <v/>
      </c>
      <c r="AZ262">
        <f t="shared" si="69"/>
        <v>0</v>
      </c>
      <c r="BA262" t="str">
        <f>IF(AZ262=1,IF(Q262="","",IF(Q262=N144,"Yes","No")),"")</f>
        <v/>
      </c>
      <c r="BB262" t="str">
        <f t="shared" si="70"/>
        <v/>
      </c>
      <c r="BC262" t="str">
        <f>IF(AZ262=1,IF(S262="","",IF(S262=N144,"Yes","No")),"")</f>
        <v/>
      </c>
      <c r="BD262" t="str">
        <f t="shared" si="71"/>
        <v/>
      </c>
      <c r="BE262" t="str">
        <f t="shared" si="72"/>
        <v/>
      </c>
      <c r="BF262" t="str">
        <f t="shared" si="73"/>
        <v>No</v>
      </c>
      <c r="BG262" t="str">
        <f t="shared" si="74"/>
        <v>No</v>
      </c>
      <c r="BH262" t="str">
        <f t="shared" si="75"/>
        <v/>
      </c>
    </row>
    <row r="263" spans="1:60" x14ac:dyDescent="0.3">
      <c r="A263" s="1">
        <v>16</v>
      </c>
      <c r="B263" t="s">
        <v>679</v>
      </c>
      <c r="C263" t="s">
        <v>264</v>
      </c>
      <c r="D263" t="s">
        <v>264</v>
      </c>
      <c r="E263" t="s">
        <v>264</v>
      </c>
      <c r="F263" t="s">
        <v>1157</v>
      </c>
      <c r="G263" t="s">
        <v>2246</v>
      </c>
      <c r="I263" t="str">
        <f t="shared" si="82"/>
        <v>N/A</v>
      </c>
      <c r="J263" t="str">
        <f t="shared" si="83"/>
        <v>N/A</v>
      </c>
      <c r="K263" t="str">
        <f t="shared" si="84"/>
        <v>N/A</v>
      </c>
      <c r="L263" t="str">
        <f t="shared" si="85"/>
        <v>N/A</v>
      </c>
      <c r="M263">
        <f t="shared" si="86"/>
        <v>1280000</v>
      </c>
      <c r="N263">
        <f t="shared" si="87"/>
        <v>1010000</v>
      </c>
      <c r="P263">
        <f t="shared" si="58"/>
        <v>1280000</v>
      </c>
      <c r="Q263">
        <f>IFERROR(J144+MATCH(P263,J263:N263,0)-1,"")</f>
        <v>2015</v>
      </c>
      <c r="R263">
        <f t="shared" si="59"/>
        <v>1010000</v>
      </c>
      <c r="S263">
        <f>IFERROR(J144+MATCH(R263,J263:N263,0)-1,"")</f>
        <v>2016</v>
      </c>
      <c r="T263">
        <f t="shared" si="60"/>
        <v>1145000</v>
      </c>
      <c r="U263">
        <f t="shared" si="61"/>
        <v>190918.83092036782</v>
      </c>
      <c r="V263" t="str">
        <f t="shared" si="62"/>
        <v/>
      </c>
      <c r="W263" t="str">
        <f t="shared" si="63"/>
        <v/>
      </c>
      <c r="X263" t="str">
        <f t="shared" si="64"/>
        <v/>
      </c>
      <c r="Y263">
        <f t="shared" si="65"/>
        <v>0.70710678118654757</v>
      </c>
      <c r="Z263">
        <f t="shared" si="66"/>
        <v>-0.70710678118654757</v>
      </c>
      <c r="AA263">
        <f t="shared" si="67"/>
        <v>-0.70710678118654757</v>
      </c>
      <c r="AB263">
        <f>IFERROR(V144+MATCH(AA263,V263:Z263,0)-1,"")</f>
        <v>2016</v>
      </c>
      <c r="AC263" t="str">
        <f t="shared" si="68"/>
        <v>Low</v>
      </c>
      <c r="AE263" t="str">
        <f>IF(ISNUMBER(MATCH("N/A",J263:N263,0)),"",IFERROR((5 * SUMPRODUCT(J144:N144,J263:N263) - PRODUCT(SUM(J144:N144),SUM(J263:N263))) / ((5 * SUM((J144^2)+(K144^2)+(L144^2)+(M144^2)+(N144^2))) - SUM(J144:N144)^2),""))</f>
        <v/>
      </c>
      <c r="AF263">
        <f>IFERROR(CORREL(J144:N144,J263:N263),"")</f>
        <v>-1</v>
      </c>
      <c r="AZ263">
        <f t="shared" si="69"/>
        <v>1</v>
      </c>
      <c r="BA263" t="str">
        <f>IF(AZ263=1,IF(Q263="","",IF(Q263=N144,"Yes","No")),"")</f>
        <v>No</v>
      </c>
      <c r="BB263" t="str">
        <f t="shared" si="70"/>
        <v/>
      </c>
      <c r="BC263" t="str">
        <f>IF(AZ263=1,IF(S263="","",IF(S263=N144,"Yes","No")),"")</f>
        <v>Yes</v>
      </c>
      <c r="BD263">
        <f t="shared" si="71"/>
        <v>1010000</v>
      </c>
      <c r="BE263" t="str">
        <f t="shared" si="72"/>
        <v/>
      </c>
      <c r="BF263" t="str">
        <f t="shared" si="73"/>
        <v>No</v>
      </c>
      <c r="BG263" t="str">
        <f t="shared" si="74"/>
        <v>No</v>
      </c>
      <c r="BH263" t="str">
        <f t="shared" si="75"/>
        <v>Yes</v>
      </c>
    </row>
    <row r="264" spans="1:60" x14ac:dyDescent="0.3">
      <c r="A264" s="1">
        <v>17</v>
      </c>
      <c r="B264" t="s">
        <v>680</v>
      </c>
      <c r="C264" t="s">
        <v>264</v>
      </c>
      <c r="D264" t="s">
        <v>264</v>
      </c>
      <c r="E264" t="s">
        <v>264</v>
      </c>
      <c r="F264" t="s">
        <v>264</v>
      </c>
      <c r="G264" t="s">
        <v>264</v>
      </c>
      <c r="I264" t="str">
        <f t="shared" si="82"/>
        <v>N/A</v>
      </c>
      <c r="J264" t="str">
        <f t="shared" si="83"/>
        <v>N/A</v>
      </c>
      <c r="K264" t="str">
        <f t="shared" si="84"/>
        <v>N/A</v>
      </c>
      <c r="L264" t="str">
        <f t="shared" si="85"/>
        <v>N/A</v>
      </c>
      <c r="M264" t="str">
        <f t="shared" si="86"/>
        <v>N/A</v>
      </c>
      <c r="N264" t="str">
        <f t="shared" si="87"/>
        <v>N/A</v>
      </c>
      <c r="P264">
        <f t="shared" si="58"/>
        <v>0</v>
      </c>
      <c r="Q264" t="str">
        <f>IFERROR(J144+MATCH(P264,J264:N264,0)-1,"")</f>
        <v/>
      </c>
      <c r="R264" t="str">
        <f t="shared" si="59"/>
        <v/>
      </c>
      <c r="S264" t="str">
        <f>IFERROR(J144+MATCH(R264,J264:N264,0)-1,"")</f>
        <v/>
      </c>
      <c r="T264" t="str">
        <f t="shared" si="60"/>
        <v/>
      </c>
      <c r="U264" t="str">
        <f t="shared" si="61"/>
        <v/>
      </c>
      <c r="V264" t="str">
        <f t="shared" si="62"/>
        <v/>
      </c>
      <c r="W264" t="str">
        <f t="shared" si="63"/>
        <v/>
      </c>
      <c r="X264" t="str">
        <f t="shared" si="64"/>
        <v/>
      </c>
      <c r="Y264" t="str">
        <f t="shared" si="65"/>
        <v/>
      </c>
      <c r="Z264" t="str">
        <f t="shared" si="66"/>
        <v/>
      </c>
      <c r="AA264">
        <f t="shared" si="67"/>
        <v>0</v>
      </c>
      <c r="AB264" t="str">
        <f>IFERROR(V144+MATCH(AA264,V264:Z264,0)-1,"")</f>
        <v/>
      </c>
      <c r="AC264" t="str">
        <f t="shared" si="68"/>
        <v/>
      </c>
      <c r="AE264" t="str">
        <f>IF(ISNUMBER(MATCH("N/A",J264:N264,0)),"",IFERROR((5 * SUMPRODUCT(J144:N144,J264:N264) - PRODUCT(SUM(J144:N144),SUM(J264:N264))) / ((5 * SUM((J144^2)+(K144^2)+(L144^2)+(M144^2)+(N144^2))) - SUM(J144:N144)^2),""))</f>
        <v/>
      </c>
      <c r="AF264" t="str">
        <f>IFERROR(CORREL(J144:N144,J264:N264),"")</f>
        <v/>
      </c>
      <c r="AZ264">
        <f t="shared" si="69"/>
        <v>0</v>
      </c>
      <c r="BA264" t="str">
        <f>IF(AZ264=1,IF(Q264="","",IF(Q264=N144,"Yes","No")),"")</f>
        <v/>
      </c>
      <c r="BB264" t="str">
        <f t="shared" si="70"/>
        <v/>
      </c>
      <c r="BC264" t="str">
        <f>IF(AZ264=1,IF(S264="","",IF(S264=N144,"Yes","No")),"")</f>
        <v/>
      </c>
      <c r="BD264" t="str">
        <f t="shared" si="71"/>
        <v/>
      </c>
      <c r="BE264" t="str">
        <f t="shared" si="72"/>
        <v/>
      </c>
      <c r="BF264" t="str">
        <f t="shared" si="73"/>
        <v>No</v>
      </c>
      <c r="BG264" t="str">
        <f t="shared" si="74"/>
        <v>No</v>
      </c>
      <c r="BH264" t="str">
        <f t="shared" si="75"/>
        <v/>
      </c>
    </row>
    <row r="265" spans="1:60" x14ac:dyDescent="0.3">
      <c r="A265" s="1">
        <v>18</v>
      </c>
      <c r="B265" t="s">
        <v>686</v>
      </c>
      <c r="C265" t="s">
        <v>264</v>
      </c>
      <c r="D265" t="s">
        <v>264</v>
      </c>
      <c r="E265" t="s">
        <v>264</v>
      </c>
      <c r="F265" t="s">
        <v>264</v>
      </c>
      <c r="G265" t="s">
        <v>264</v>
      </c>
      <c r="I265" t="str">
        <f t="shared" si="82"/>
        <v>N/A</v>
      </c>
      <c r="J265" t="str">
        <f t="shared" si="83"/>
        <v>N/A</v>
      </c>
      <c r="K265" t="str">
        <f t="shared" si="84"/>
        <v>N/A</v>
      </c>
      <c r="L265" t="str">
        <f t="shared" si="85"/>
        <v>N/A</v>
      </c>
      <c r="M265" t="str">
        <f t="shared" si="86"/>
        <v>N/A</v>
      </c>
      <c r="N265" t="str">
        <f t="shared" si="87"/>
        <v>N/A</v>
      </c>
      <c r="P265">
        <f t="shared" si="58"/>
        <v>0</v>
      </c>
      <c r="Q265" t="str">
        <f>IFERROR(J144+MATCH(P265,J265:N265,0)-1,"")</f>
        <v/>
      </c>
      <c r="R265" t="str">
        <f t="shared" si="59"/>
        <v/>
      </c>
      <c r="S265" t="str">
        <f>IFERROR(J144+MATCH(R265,J265:N265,0)-1,"")</f>
        <v/>
      </c>
      <c r="T265" t="str">
        <f t="shared" si="60"/>
        <v/>
      </c>
      <c r="U265" t="str">
        <f t="shared" si="61"/>
        <v/>
      </c>
      <c r="V265" t="str">
        <f t="shared" si="62"/>
        <v/>
      </c>
      <c r="W265" t="str">
        <f t="shared" si="63"/>
        <v/>
      </c>
      <c r="X265" t="str">
        <f t="shared" si="64"/>
        <v/>
      </c>
      <c r="Y265" t="str">
        <f t="shared" si="65"/>
        <v/>
      </c>
      <c r="Z265" t="str">
        <f t="shared" si="66"/>
        <v/>
      </c>
      <c r="AA265">
        <f t="shared" si="67"/>
        <v>0</v>
      </c>
      <c r="AB265" t="str">
        <f>IFERROR(V144+MATCH(AA265,V265:Z265,0)-1,"")</f>
        <v/>
      </c>
      <c r="AC265" t="str">
        <f t="shared" si="68"/>
        <v/>
      </c>
      <c r="AE265" t="str">
        <f>IF(ISNUMBER(MATCH("N/A",J265:N265,0)),"",IFERROR((5 * SUMPRODUCT(J144:N144,J265:N265) - PRODUCT(SUM(J144:N144),SUM(J265:N265))) / ((5 * SUM((J144^2)+(K144^2)+(L144^2)+(M144^2)+(N144^2))) - SUM(J144:N144)^2),""))</f>
        <v/>
      </c>
      <c r="AF265" t="str">
        <f>IFERROR(CORREL(J144:N144,J265:N265),"")</f>
        <v/>
      </c>
      <c r="AZ265">
        <f t="shared" si="69"/>
        <v>0</v>
      </c>
      <c r="BA265" t="str">
        <f>IF(AZ265=1,IF(Q265="","",IF(Q265=N144,"Yes","No")),"")</f>
        <v/>
      </c>
      <c r="BB265" t="str">
        <f t="shared" si="70"/>
        <v/>
      </c>
      <c r="BC265" t="str">
        <f>IF(AZ265=1,IF(S265="","",IF(S265=N144,"Yes","No")),"")</f>
        <v/>
      </c>
      <c r="BD265" t="str">
        <f t="shared" si="71"/>
        <v/>
      </c>
      <c r="BE265" t="str">
        <f t="shared" si="72"/>
        <v/>
      </c>
      <c r="BF265" t="str">
        <f t="shared" si="73"/>
        <v>No</v>
      </c>
      <c r="BG265" t="str">
        <f t="shared" si="74"/>
        <v>No</v>
      </c>
      <c r="BH265" t="str">
        <f t="shared" si="75"/>
        <v/>
      </c>
    </row>
    <row r="266" spans="1:60" x14ac:dyDescent="0.3">
      <c r="A266" s="1">
        <v>19</v>
      </c>
      <c r="B266" t="s">
        <v>690</v>
      </c>
      <c r="C266" t="s">
        <v>264</v>
      </c>
      <c r="D266" t="s">
        <v>264</v>
      </c>
      <c r="E266" t="s">
        <v>264</v>
      </c>
      <c r="F266" t="s">
        <v>264</v>
      </c>
      <c r="G266" t="s">
        <v>264</v>
      </c>
      <c r="I266" t="str">
        <f t="shared" si="82"/>
        <v>N/A</v>
      </c>
      <c r="J266" t="str">
        <f t="shared" si="83"/>
        <v>N/A</v>
      </c>
      <c r="K266" t="str">
        <f t="shared" si="84"/>
        <v>N/A</v>
      </c>
      <c r="L266" t="str">
        <f t="shared" si="85"/>
        <v>N/A</v>
      </c>
      <c r="M266" t="str">
        <f t="shared" si="86"/>
        <v>N/A</v>
      </c>
      <c r="N266" t="str">
        <f t="shared" si="87"/>
        <v>N/A</v>
      </c>
      <c r="P266">
        <f t="shared" si="58"/>
        <v>0</v>
      </c>
      <c r="Q266" t="str">
        <f>IFERROR(J144+MATCH(P266,J266:N266,0)-1,"")</f>
        <v/>
      </c>
      <c r="R266" t="str">
        <f t="shared" si="59"/>
        <v/>
      </c>
      <c r="S266" t="str">
        <f>IFERROR(J144+MATCH(R266,J266:N266,0)-1,"")</f>
        <v/>
      </c>
      <c r="T266" t="str">
        <f t="shared" si="60"/>
        <v/>
      </c>
      <c r="U266" t="str">
        <f t="shared" si="61"/>
        <v/>
      </c>
      <c r="V266" t="str">
        <f t="shared" si="62"/>
        <v/>
      </c>
      <c r="W266" t="str">
        <f t="shared" si="63"/>
        <v/>
      </c>
      <c r="X266" t="str">
        <f t="shared" si="64"/>
        <v/>
      </c>
      <c r="Y266" t="str">
        <f t="shared" si="65"/>
        <v/>
      </c>
      <c r="Z266" t="str">
        <f t="shared" si="66"/>
        <v/>
      </c>
      <c r="AA266">
        <f t="shared" si="67"/>
        <v>0</v>
      </c>
      <c r="AB266" t="str">
        <f>IFERROR(V144+MATCH(AA266,V266:Z266,0)-1,"")</f>
        <v/>
      </c>
      <c r="AC266" t="str">
        <f t="shared" si="68"/>
        <v/>
      </c>
      <c r="AE266" t="str">
        <f>IF(ISNUMBER(MATCH("N/A",J266:N266,0)),"",IFERROR((5 * SUMPRODUCT(J144:N144,J266:N266) - PRODUCT(SUM(J144:N144),SUM(J266:N266))) / ((5 * SUM((J144^2)+(K144^2)+(L144^2)+(M144^2)+(N144^2))) - SUM(J144:N144)^2),""))</f>
        <v/>
      </c>
      <c r="AF266" t="str">
        <f>IFERROR(CORREL(J144:N144,J266:N266),"")</f>
        <v/>
      </c>
      <c r="AZ266">
        <f t="shared" si="69"/>
        <v>0</v>
      </c>
      <c r="BA266" t="str">
        <f>IF(AZ266=1,IF(Q266="","",IF(Q266=N144,"Yes","No")),"")</f>
        <v/>
      </c>
      <c r="BB266" t="str">
        <f t="shared" si="70"/>
        <v/>
      </c>
      <c r="BC266" t="str">
        <f>IF(AZ266=1,IF(S266="","",IF(S266=N144,"Yes","No")),"")</f>
        <v/>
      </c>
      <c r="BD266" t="str">
        <f t="shared" si="71"/>
        <v/>
      </c>
      <c r="BE266" t="str">
        <f t="shared" si="72"/>
        <v/>
      </c>
      <c r="BF266" t="str">
        <f t="shared" si="73"/>
        <v>No</v>
      </c>
      <c r="BG266" t="str">
        <f t="shared" si="74"/>
        <v>No</v>
      </c>
      <c r="BH266" t="str">
        <f t="shared" si="75"/>
        <v/>
      </c>
    </row>
    <row r="267" spans="1:60" x14ac:dyDescent="0.3">
      <c r="A267" s="1">
        <v>20</v>
      </c>
      <c r="B267" t="s">
        <v>694</v>
      </c>
      <c r="C267" t="s">
        <v>2458</v>
      </c>
      <c r="D267" t="s">
        <v>4180</v>
      </c>
      <c r="E267" t="s">
        <v>1327</v>
      </c>
      <c r="F267" t="s">
        <v>4263</v>
      </c>
      <c r="G267" t="s">
        <v>4264</v>
      </c>
      <c r="I267" t="str">
        <f t="shared" si="82"/>
        <v>N/A</v>
      </c>
      <c r="J267">
        <f t="shared" si="83"/>
        <v>1100000000</v>
      </c>
      <c r="K267">
        <f t="shared" si="84"/>
        <v>1010000000</v>
      </c>
      <c r="L267">
        <f t="shared" si="85"/>
        <v>1080000000</v>
      </c>
      <c r="M267">
        <f t="shared" si="86"/>
        <v>946990000</v>
      </c>
      <c r="N267">
        <f t="shared" si="87"/>
        <v>897690000</v>
      </c>
      <c r="P267">
        <f t="shared" si="58"/>
        <v>1100000000</v>
      </c>
      <c r="Q267">
        <f>IFERROR(J144+MATCH(P267,J267:N267,0)-1,"")</f>
        <v>2012</v>
      </c>
      <c r="R267">
        <f t="shared" si="59"/>
        <v>897690000</v>
      </c>
      <c r="S267">
        <f>IFERROR(J144+MATCH(R267,J267:N267,0)-1,"")</f>
        <v>2016</v>
      </c>
      <c r="T267">
        <f t="shared" si="60"/>
        <v>1006936000</v>
      </c>
      <c r="U267">
        <f t="shared" si="61"/>
        <v>85931449.016061634</v>
      </c>
      <c r="V267">
        <f t="shared" si="62"/>
        <v>1.0830028012515558</v>
      </c>
      <c r="W267">
        <f t="shared" si="63"/>
        <v>3.5656328795611265E-2</v>
      </c>
      <c r="X267">
        <f t="shared" si="64"/>
        <v>0.85025914070579034</v>
      </c>
      <c r="Y267">
        <f t="shared" si="65"/>
        <v>-0.69760257375382284</v>
      </c>
      <c r="Z267">
        <f t="shared" si="66"/>
        <v>-1.2713156969991346</v>
      </c>
      <c r="AA267">
        <f t="shared" si="67"/>
        <v>-1.2713156969991346</v>
      </c>
      <c r="AB267">
        <f>IFERROR(V144+MATCH(AA267,V267:Z267,0)-1,"")</f>
        <v>2016</v>
      </c>
      <c r="AC267" t="str">
        <f t="shared" si="68"/>
        <v>Low</v>
      </c>
      <c r="AE267">
        <f>IF(ISNUMBER(MATCH("N/A",J267:N267,0)),"",IFERROR((5 * SUMPRODUCT(J144:N144,J267:N267) - PRODUCT(SUM(J144:N144),SUM(J267:N267))) / ((5 * SUM((J144^2)+(K144^2)+(L144^2)+(M144^2)+(N144^2))) - SUM(J144:N144)^2),""))</f>
        <v>-46763000</v>
      </c>
      <c r="AF267">
        <f>IFERROR(CORREL(J144:N144,J267:N267),"")</f>
        <v>-0.86043929152651555</v>
      </c>
      <c r="AZ267">
        <f t="shared" si="69"/>
        <v>1</v>
      </c>
      <c r="BA267" t="str">
        <f>IF(AZ267=1,IF(Q267="","",IF(Q267=N144,"Yes","No")),"")</f>
        <v>No</v>
      </c>
      <c r="BB267" t="str">
        <f t="shared" si="70"/>
        <v/>
      </c>
      <c r="BC267" t="str">
        <f>IF(AZ267=1,IF(S267="","",IF(S267=N144,"Yes","No")),"")</f>
        <v>Yes</v>
      </c>
      <c r="BD267">
        <f t="shared" si="71"/>
        <v>897690000</v>
      </c>
      <c r="BE267" t="str">
        <f t="shared" si="72"/>
        <v>Decreasing</v>
      </c>
      <c r="BF267" t="str">
        <f t="shared" si="73"/>
        <v>Yes</v>
      </c>
      <c r="BG267" t="str">
        <f t="shared" si="74"/>
        <v>No</v>
      </c>
      <c r="BH267" t="str">
        <f t="shared" si="75"/>
        <v>Yes</v>
      </c>
    </row>
    <row r="268" spans="1:60" x14ac:dyDescent="0.3">
      <c r="A268" s="1">
        <v>21</v>
      </c>
      <c r="B268" t="s">
        <v>697</v>
      </c>
      <c r="C268" t="s">
        <v>2458</v>
      </c>
      <c r="D268" t="s">
        <v>4180</v>
      </c>
      <c r="E268" t="s">
        <v>1327</v>
      </c>
      <c r="F268" t="s">
        <v>4263</v>
      </c>
      <c r="G268" t="s">
        <v>4264</v>
      </c>
      <c r="I268" t="str">
        <f t="shared" si="82"/>
        <v>N/A</v>
      </c>
      <c r="J268">
        <f t="shared" si="83"/>
        <v>1100000000</v>
      </c>
      <c r="K268">
        <f t="shared" si="84"/>
        <v>1010000000</v>
      </c>
      <c r="L268">
        <f t="shared" si="85"/>
        <v>1080000000</v>
      </c>
      <c r="M268">
        <f t="shared" si="86"/>
        <v>946990000</v>
      </c>
      <c r="N268">
        <f t="shared" si="87"/>
        <v>897690000</v>
      </c>
      <c r="P268">
        <f t="shared" si="58"/>
        <v>1100000000</v>
      </c>
      <c r="Q268">
        <f>IFERROR(J144+MATCH(P268,J268:N268,0)-1,"")</f>
        <v>2012</v>
      </c>
      <c r="R268">
        <f t="shared" si="59"/>
        <v>897690000</v>
      </c>
      <c r="S268">
        <f>IFERROR(J144+MATCH(R268,J268:N268,0)-1,"")</f>
        <v>2016</v>
      </c>
      <c r="T268">
        <f t="shared" si="60"/>
        <v>1006936000</v>
      </c>
      <c r="U268">
        <f t="shared" si="61"/>
        <v>85931449.016061634</v>
      </c>
      <c r="V268">
        <f t="shared" si="62"/>
        <v>1.0830028012515558</v>
      </c>
      <c r="W268">
        <f t="shared" si="63"/>
        <v>3.5656328795611265E-2</v>
      </c>
      <c r="X268">
        <f t="shared" si="64"/>
        <v>0.85025914070579034</v>
      </c>
      <c r="Y268">
        <f t="shared" si="65"/>
        <v>-0.69760257375382284</v>
      </c>
      <c r="Z268">
        <f t="shared" si="66"/>
        <v>-1.2713156969991346</v>
      </c>
      <c r="AA268">
        <f t="shared" si="67"/>
        <v>-1.2713156969991346</v>
      </c>
      <c r="AB268">
        <f>IFERROR(V144+MATCH(AA268,V268:Z268,0)-1,"")</f>
        <v>2016</v>
      </c>
      <c r="AC268" t="str">
        <f t="shared" si="68"/>
        <v>Low</v>
      </c>
      <c r="AE268">
        <f>IF(ISNUMBER(MATCH("N/A",J268:N268,0)),"",IFERROR((5 * SUMPRODUCT(J144:N144,J268:N268) - PRODUCT(SUM(J144:N144),SUM(J268:N268))) / ((5 * SUM((J144^2)+(K144^2)+(L144^2)+(M144^2)+(N144^2))) - SUM(J144:N144)^2),""))</f>
        <v>-46763000</v>
      </c>
      <c r="AF268">
        <f>IFERROR(CORREL(J144:N144,J268:N268),"")</f>
        <v>-0.86043929152651555</v>
      </c>
      <c r="AZ268">
        <f t="shared" si="69"/>
        <v>1</v>
      </c>
      <c r="BA268" t="str">
        <f>IF(AZ268=1,IF(Q268="","",IF(Q268=N144,"Yes","No")),"")</f>
        <v>No</v>
      </c>
      <c r="BB268" t="str">
        <f t="shared" si="70"/>
        <v/>
      </c>
      <c r="BC268" t="str">
        <f>IF(AZ268=1,IF(S268="","",IF(S268=N144,"Yes","No")),"")</f>
        <v>Yes</v>
      </c>
      <c r="BD268">
        <f t="shared" si="71"/>
        <v>897690000</v>
      </c>
      <c r="BE268" t="str">
        <f t="shared" si="72"/>
        <v>Decreasing</v>
      </c>
      <c r="BF268" t="str">
        <f t="shared" si="73"/>
        <v>Yes</v>
      </c>
      <c r="BG268" t="str">
        <f t="shared" si="74"/>
        <v>No</v>
      </c>
      <c r="BH268" t="str">
        <f t="shared" si="75"/>
        <v>Yes</v>
      </c>
    </row>
    <row r="269" spans="1:60" x14ac:dyDescent="0.3">
      <c r="A269" s="1">
        <v>22</v>
      </c>
      <c r="B269" t="s">
        <v>699</v>
      </c>
      <c r="C269" t="s">
        <v>264</v>
      </c>
      <c r="D269" t="s">
        <v>264</v>
      </c>
      <c r="E269" t="s">
        <v>264</v>
      </c>
      <c r="F269" t="s">
        <v>264</v>
      </c>
      <c r="G269" t="s">
        <v>264</v>
      </c>
      <c r="I269" t="str">
        <f t="shared" si="82"/>
        <v>N/A</v>
      </c>
      <c r="J269" t="str">
        <f t="shared" si="83"/>
        <v>N/A</v>
      </c>
      <c r="K269" t="str">
        <f t="shared" si="84"/>
        <v>N/A</v>
      </c>
      <c r="L269" t="str">
        <f t="shared" si="85"/>
        <v>N/A</v>
      </c>
      <c r="M269" t="str">
        <f t="shared" si="86"/>
        <v>N/A</v>
      </c>
      <c r="N269" t="str">
        <f t="shared" si="87"/>
        <v>N/A</v>
      </c>
      <c r="P269">
        <f t="shared" si="58"/>
        <v>0</v>
      </c>
      <c r="Q269" t="str">
        <f>IFERROR(J144+MATCH(P269,J269:N269,0)-1,"")</f>
        <v/>
      </c>
      <c r="R269" t="str">
        <f t="shared" si="59"/>
        <v/>
      </c>
      <c r="S269" t="str">
        <f>IFERROR(J144+MATCH(R269,J269:N269,0)-1,"")</f>
        <v/>
      </c>
      <c r="T269" t="str">
        <f t="shared" si="60"/>
        <v/>
      </c>
      <c r="U269" t="str">
        <f t="shared" si="61"/>
        <v/>
      </c>
      <c r="V269" t="str">
        <f t="shared" si="62"/>
        <v/>
      </c>
      <c r="W269" t="str">
        <f t="shared" si="63"/>
        <v/>
      </c>
      <c r="X269" t="str">
        <f t="shared" si="64"/>
        <v/>
      </c>
      <c r="Y269" t="str">
        <f t="shared" si="65"/>
        <v/>
      </c>
      <c r="Z269" t="str">
        <f t="shared" si="66"/>
        <v/>
      </c>
      <c r="AA269">
        <f t="shared" si="67"/>
        <v>0</v>
      </c>
      <c r="AB269" t="str">
        <f>IFERROR(V144+MATCH(AA269,V269:Z269,0)-1,"")</f>
        <v/>
      </c>
      <c r="AC269" t="str">
        <f t="shared" si="68"/>
        <v/>
      </c>
      <c r="AE269" t="str">
        <f>IF(ISNUMBER(MATCH("N/A",J269:N269,0)),"",IFERROR((5 * SUMPRODUCT(J144:N144,J269:N269) - PRODUCT(SUM(J144:N144),SUM(J269:N269))) / ((5 * SUM((J144^2)+(K144^2)+(L144^2)+(M144^2)+(N144^2))) - SUM(J144:N144)^2),""))</f>
        <v/>
      </c>
      <c r="AF269" t="str">
        <f>IFERROR(CORREL(J144:N144,J269:N269),"")</f>
        <v/>
      </c>
      <c r="AZ269">
        <f t="shared" si="69"/>
        <v>0</v>
      </c>
      <c r="BA269" t="str">
        <f>IF(AZ269=1,IF(Q269="","",IF(Q269=N144,"Yes","No")),"")</f>
        <v/>
      </c>
      <c r="BB269" t="str">
        <f t="shared" si="70"/>
        <v/>
      </c>
      <c r="BC269" t="str">
        <f>IF(AZ269=1,IF(S269="","",IF(S269=N144,"Yes","No")),"")</f>
        <v/>
      </c>
      <c r="BD269" t="str">
        <f t="shared" si="71"/>
        <v/>
      </c>
      <c r="BE269" t="str">
        <f t="shared" si="72"/>
        <v/>
      </c>
      <c r="BF269" t="str">
        <f t="shared" si="73"/>
        <v>No</v>
      </c>
      <c r="BG269" t="str">
        <f t="shared" si="74"/>
        <v>No</v>
      </c>
      <c r="BH269" t="str">
        <f t="shared" si="75"/>
        <v/>
      </c>
    </row>
    <row r="270" spans="1:60" x14ac:dyDescent="0.3">
      <c r="A270" s="1">
        <v>23</v>
      </c>
      <c r="B270" t="s">
        <v>700</v>
      </c>
      <c r="C270" t="s">
        <v>3931</v>
      </c>
      <c r="D270" t="s">
        <v>3857</v>
      </c>
      <c r="E270" t="s">
        <v>4265</v>
      </c>
      <c r="F270" t="s">
        <v>4266</v>
      </c>
      <c r="G270" t="s">
        <v>4267</v>
      </c>
      <c r="I270" t="str">
        <f t="shared" si="82"/>
        <v>N/A</v>
      </c>
      <c r="J270">
        <f t="shared" si="83"/>
        <v>3970000000</v>
      </c>
      <c r="K270">
        <f t="shared" si="84"/>
        <v>3840000000</v>
      </c>
      <c r="L270">
        <f t="shared" si="85"/>
        <v>3890000000</v>
      </c>
      <c r="M270">
        <f t="shared" si="86"/>
        <v>3480000000</v>
      </c>
      <c r="N270">
        <f t="shared" si="87"/>
        <v>3290000000</v>
      </c>
      <c r="P270">
        <f t="shared" si="58"/>
        <v>3970000000</v>
      </c>
      <c r="Q270">
        <f>IFERROR(J144+MATCH(P270,J270:N270,0)-1,"")</f>
        <v>2012</v>
      </c>
      <c r="R270">
        <f t="shared" si="59"/>
        <v>3290000000</v>
      </c>
      <c r="S270">
        <f>IFERROR(J144+MATCH(R270,J270:N270,0)-1,"")</f>
        <v>2016</v>
      </c>
      <c r="T270">
        <f t="shared" si="60"/>
        <v>3694000000</v>
      </c>
      <c r="U270">
        <f t="shared" si="61"/>
        <v>293649450.87638086</v>
      </c>
      <c r="V270">
        <f t="shared" si="62"/>
        <v>0.93989618974696865</v>
      </c>
      <c r="W270">
        <f t="shared" si="63"/>
        <v>0.49719146269223702</v>
      </c>
      <c r="X270">
        <f t="shared" si="64"/>
        <v>0.66746251155944147</v>
      </c>
      <c r="Y270">
        <f t="shared" si="65"/>
        <v>-0.72876008915163504</v>
      </c>
      <c r="Z270">
        <f t="shared" si="66"/>
        <v>-1.375790074847012</v>
      </c>
      <c r="AA270">
        <f t="shared" si="67"/>
        <v>-1.375790074847012</v>
      </c>
      <c r="AB270">
        <f>IFERROR(V144+MATCH(AA270,V270:Z270,0)-1,"")</f>
        <v>2016</v>
      </c>
      <c r="AC270" t="str">
        <f t="shared" si="68"/>
        <v>Low</v>
      </c>
      <c r="AE270">
        <f>IF(ISNUMBER(MATCH("N/A",J270:N270,0)),"",IFERROR((5 * SUMPRODUCT(J144:N144,J270:N270) - PRODUCT(SUM(J144:N144),SUM(J270:N270))) / ((5 * SUM((J144^2)+(K144^2)+(L144^2)+(M144^2)+(N144^2))) - SUM(J144:N144)^2),""))</f>
        <v>-172000000</v>
      </c>
      <c r="AF270">
        <f>IFERROR(CORREL(J144:N144,J270:N270),"")</f>
        <v>-0.92612425449066249</v>
      </c>
      <c r="AZ270">
        <f t="shared" si="69"/>
        <v>1</v>
      </c>
      <c r="BA270" t="str">
        <f>IF(AZ270=1,IF(Q270="","",IF(Q270=N144,"Yes","No")),"")</f>
        <v>No</v>
      </c>
      <c r="BB270" t="str">
        <f t="shared" si="70"/>
        <v/>
      </c>
      <c r="BC270" t="str">
        <f>IF(AZ270=1,IF(S270="","",IF(S270=N144,"Yes","No")),"")</f>
        <v>Yes</v>
      </c>
      <c r="BD270">
        <f t="shared" si="71"/>
        <v>3290000000</v>
      </c>
      <c r="BE270" t="str">
        <f t="shared" si="72"/>
        <v>Decreasing</v>
      </c>
      <c r="BF270" t="str">
        <f t="shared" si="73"/>
        <v>Yes</v>
      </c>
      <c r="BG270" t="str">
        <f t="shared" si="74"/>
        <v>No</v>
      </c>
      <c r="BH270" t="str">
        <f t="shared" si="75"/>
        <v>Yes</v>
      </c>
    </row>
    <row r="271" spans="1:60" x14ac:dyDescent="0.3">
      <c r="A271" s="1">
        <v>24</v>
      </c>
      <c r="B271" t="s">
        <v>706</v>
      </c>
      <c r="C271" t="s">
        <v>264</v>
      </c>
      <c r="D271" t="s">
        <v>264</v>
      </c>
      <c r="E271" t="s">
        <v>264</v>
      </c>
      <c r="F271" t="s">
        <v>264</v>
      </c>
      <c r="G271" t="s">
        <v>264</v>
      </c>
      <c r="P271">
        <f t="shared" si="58"/>
        <v>0</v>
      </c>
      <c r="Q271" t="str">
        <f>IFERROR(J144+MATCH(P271,J271:N271,0)-1,"")</f>
        <v/>
      </c>
      <c r="R271" t="str">
        <f t="shared" si="59"/>
        <v/>
      </c>
      <c r="S271" t="str">
        <f>IFERROR(J144+MATCH(R271,J271:N271,0)-1,"")</f>
        <v/>
      </c>
      <c r="T271" t="str">
        <f t="shared" si="60"/>
        <v/>
      </c>
      <c r="U271" t="str">
        <f t="shared" si="61"/>
        <v/>
      </c>
      <c r="V271" t="str">
        <f t="shared" si="62"/>
        <v/>
      </c>
      <c r="W271" t="str">
        <f t="shared" si="63"/>
        <v/>
      </c>
      <c r="X271" t="str">
        <f t="shared" si="64"/>
        <v/>
      </c>
      <c r="Y271" t="str">
        <f t="shared" si="65"/>
        <v/>
      </c>
      <c r="Z271" t="str">
        <f t="shared" si="66"/>
        <v/>
      </c>
      <c r="AA271">
        <f t="shared" si="67"/>
        <v>0</v>
      </c>
      <c r="AB271" t="str">
        <f>IFERROR(V144+MATCH(AA271,V271:Z271,0)-1,"")</f>
        <v/>
      </c>
      <c r="AC271" t="str">
        <f t="shared" si="68"/>
        <v/>
      </c>
      <c r="AE271">
        <f>IF(ISNUMBER(MATCH("N/A",J271:N271,0)),"",IFERROR((5 * SUMPRODUCT(J144:N144,J271:N271) - PRODUCT(SUM(J144:N144),SUM(J271:N271))) / ((5 * SUM((J144^2)+(K144^2)+(L144^2)+(M144^2)+(N144^2))) - SUM(J144:N144)^2),""))</f>
        <v>0</v>
      </c>
      <c r="AF271" t="str">
        <f>IFERROR(CORREL(J144:N144,J271:N271),"")</f>
        <v/>
      </c>
      <c r="AZ271">
        <f t="shared" si="69"/>
        <v>0</v>
      </c>
      <c r="BA271" t="str">
        <f>IF(AZ271=1,IF(Q271="","",IF(Q271=N144,"Yes","No")),"")</f>
        <v/>
      </c>
      <c r="BB271" t="str">
        <f t="shared" si="70"/>
        <v/>
      </c>
      <c r="BC271" t="str">
        <f>IF(AZ271=1,IF(S271="","",IF(S271=N144,"Yes","No")),"")</f>
        <v/>
      </c>
      <c r="BD271" t="str">
        <f t="shared" si="71"/>
        <v/>
      </c>
      <c r="BE271" t="str">
        <f t="shared" si="72"/>
        <v/>
      </c>
      <c r="BF271" t="str">
        <f t="shared" si="73"/>
        <v>No</v>
      </c>
      <c r="BG271" t="str">
        <f t="shared" si="74"/>
        <v>No</v>
      </c>
      <c r="BH271" t="str">
        <f t="shared" si="75"/>
        <v/>
      </c>
    </row>
    <row r="272" spans="1:60" x14ac:dyDescent="0.3">
      <c r="A272" s="1">
        <v>25</v>
      </c>
      <c r="B272" t="s">
        <v>707</v>
      </c>
      <c r="C272" t="s">
        <v>4268</v>
      </c>
      <c r="D272" t="s">
        <v>4269</v>
      </c>
      <c r="E272" t="s">
        <v>4270</v>
      </c>
      <c r="F272" t="s">
        <v>4271</v>
      </c>
      <c r="G272" t="s">
        <v>4272</v>
      </c>
      <c r="I272" t="str">
        <f t="shared" ref="I272:I310" si="88">IF(AND(K272&gt; J272, L272&gt; K272, M272&gt; L272, N272&gt; M272), "pos_trend", IF(AND(K272&lt; J272, L272&lt; K272, M272&lt; L272, N272&lt; M272), "neg_trend", "N/A"))</f>
        <v>neg_trend</v>
      </c>
      <c r="J272">
        <f t="shared" ref="J272:J310" si="89">IFERROR(IF(TRIM(C272)="-", "N/A", IF(RIGHT(C272,1)=")",IF(RIGHT(C272,2)="T)",-1000000000000*VALUE(MID(C272,2,LEN(C272)-3)),IF(RIGHT(C272,2)="M)",-1000000*VALUE(MID(C272,2,LEN(C272)-3)),IF(RIGHT(C272,2)="B)",-1000000000*VALUE(MID(C272,2,LEN(C272)-3)),IF(RIGHT(C272,2)="k)",-1000*VALUE(MID(C272,2,LEN(C272)-3)),VALUE(SUBSTITUTE(C272,",","")))))),IF(RIGHT(C272,1)="T",1000000000000*VALUE(LEFT(C272,LEN(C272)-1)),IF(RIGHT(C272,1)="M",1000000*VALUE(LEFT(C272,LEN(C272)-1)),IF(RIGHT(C272,1)="B",1000000000*VALUE(LEFT(C272,LEN(C272)-1)),IF(RIGHT(C272,1)="%",0.01*VALUE(LEFT(C272,LEN(C272)-1)),IF(RIGHT(C272,1)="k",1000*VALUE(LEFT(C272,LEN(C272)-1)),VALUE(SUBSTITUTE(C272,",",""))))))))),"N/A")</f>
        <v>0.6482</v>
      </c>
      <c r="K272">
        <f t="shared" ref="K272:K310" si="90">IFERROR(IF(TRIM(D272)="-", "N/A", IF(RIGHT(D272,1)=")",IF(RIGHT(D272,2)="T)",-1000000000000*VALUE(MID(D272,2,LEN(D272)-3)),IF(RIGHT(D272,2)="M)",-1000000*VALUE(MID(D272,2,LEN(D272)-3)),IF(RIGHT(D272,2)="B)",-1000000000*VALUE(MID(D272,2,LEN(D272)-3)),IF(RIGHT(D272,2)="k)",-1000*VALUE(MID(D272,2,LEN(D272)-3)),VALUE(SUBSTITUTE(D272,",","")))))),IF(RIGHT(D272,1)="T",1000000000000*VALUE(LEFT(D272,LEN(D272)-1)),IF(RIGHT(D272,1)="M",1000000*VALUE(LEFT(D272,LEN(D272)-1)),IF(RIGHT(D272,1)="B",1000000000*VALUE(LEFT(D272,LEN(D272)-1)),IF(RIGHT(D272,1)="%",0.01*VALUE(LEFT(D272,LEN(D272)-1)),IF(RIGHT(D272,1)="k",1000*VALUE(LEFT(D272,LEN(D272)-1)),VALUE(SUBSTITUTE(D272,",",""))))))))),"N/A")</f>
        <v>0.58360000000000001</v>
      </c>
      <c r="L272">
        <f t="shared" ref="L272:L310" si="91">IFERROR(IF(TRIM(E272)="-", "N/A", IF(RIGHT(E272,1)=")",IF(RIGHT(E272,2)="T)",-1000000000000*VALUE(MID(E272,2,LEN(E272)-3)),IF(RIGHT(E272,2)="M)",-1000000*VALUE(MID(E272,2,LEN(E272)-3)),IF(RIGHT(E272,2)="B)",-1000000000*VALUE(MID(E272,2,LEN(E272)-3)),IF(RIGHT(E272,2)="k)",-1000*VALUE(MID(E272,2,LEN(E272)-3)),VALUE(SUBSTITUTE(E272,",","")))))),IF(RIGHT(E272,1)="T",1000000000000*VALUE(LEFT(E272,LEN(E272)-1)),IF(RIGHT(E272,1)="M",1000000*VALUE(LEFT(E272,LEN(E272)-1)),IF(RIGHT(E272,1)="B",1000000000*VALUE(LEFT(E272,LEN(E272)-1)),IF(RIGHT(E272,1)="%",0.01*VALUE(LEFT(E272,LEN(E272)-1)),IF(RIGHT(E272,1)="k",1000*VALUE(LEFT(E272,LEN(E272)-1)),VALUE(SUBSTITUTE(E272,",",""))))))))),"N/A")</f>
        <v>0.5373</v>
      </c>
      <c r="M272">
        <f t="shared" ref="M272:M310" si="92">IFERROR(IF(TRIM(F272)="-", "N/A", IF(RIGHT(F272,1)=")",IF(RIGHT(F272,2)="T)",-1000000000000*VALUE(MID(F272,2,LEN(F272)-3)),IF(RIGHT(F272,2)="M)",-1000000*VALUE(MID(F272,2,LEN(F272)-3)),IF(RIGHT(F272,2)="B)",-1000000000*VALUE(MID(F272,2,LEN(F272)-3)),IF(RIGHT(F272,2)="k)",-1000*VALUE(MID(F272,2,LEN(F272)-3)),VALUE(SUBSTITUTE(F272,",","")))))),IF(RIGHT(F272,1)="T",1000000000000*VALUE(LEFT(F272,LEN(F272)-1)),IF(RIGHT(F272,1)="M",1000000*VALUE(LEFT(F272,LEN(F272)-1)),IF(RIGHT(F272,1)="B",1000000000*VALUE(LEFT(F272,LEN(F272)-1)),IF(RIGHT(F272,1)="%",0.01*VALUE(LEFT(F272,LEN(F272)-1)),IF(RIGHT(F272,1)="k",1000*VALUE(LEFT(F272,LEN(F272)-1)),VALUE(SUBSTITUTE(F272,",",""))))))))),"N/A")</f>
        <v>0.51629999999999998</v>
      </c>
      <c r="N272">
        <f t="shared" ref="N272:N310" si="93">IFERROR(IF(TRIM(G272)="-", "N/A", IF(RIGHT(G272,1)=")",IF(RIGHT(G272,2)="T)",-1000000000000*VALUE(MID(G272,2,LEN(G272)-3)),IF(RIGHT(G272,2)="M)",-1000000*VALUE(MID(G272,2,LEN(G272)-3)),IF(RIGHT(G272,2)="B)",-1000000000*VALUE(MID(G272,2,LEN(G272)-3)),IF(RIGHT(G272,2)="k)",-1000*VALUE(MID(G272,2,LEN(G272)-3)),VALUE(SUBSTITUTE(G272,",","")))))),IF(RIGHT(G272,1)="T",1000000000000*VALUE(LEFT(G272,LEN(G272)-1)),IF(RIGHT(G272,1)="M",1000000*VALUE(LEFT(G272,LEN(G272)-1)),IF(RIGHT(G272,1)="B",1000000000*VALUE(LEFT(G272,LEN(G272)-1)),IF(RIGHT(G272,1)="%",0.01*VALUE(LEFT(G272,LEN(G272)-1)),IF(RIGHT(G272,1)="k",1000*VALUE(LEFT(G272,LEN(G272)-1)),VALUE(SUBSTITUTE(G272,",",""))))))))),"N/A")</f>
        <v>0.51560000000000006</v>
      </c>
      <c r="P272">
        <f t="shared" si="58"/>
        <v>0.6482</v>
      </c>
      <c r="Q272">
        <f>IFERROR(J144+MATCH(P272,J272:N272,0)-1,"")</f>
        <v>2012</v>
      </c>
      <c r="R272">
        <f t="shared" si="59"/>
        <v>0.51560000000000006</v>
      </c>
      <c r="S272">
        <f>IFERROR(J144+MATCH(R272,J272:N272,0)-1,"")</f>
        <v>2016</v>
      </c>
      <c r="T272">
        <f t="shared" si="60"/>
        <v>0.56020000000000003</v>
      </c>
      <c r="U272">
        <f t="shared" si="61"/>
        <v>5.6418835507301979E-2</v>
      </c>
      <c r="V272">
        <f t="shared" si="62"/>
        <v>1.559762785047391</v>
      </c>
      <c r="W272">
        <f t="shared" si="63"/>
        <v>0.41475510420578326</v>
      </c>
      <c r="X272">
        <f t="shared" si="64"/>
        <v>-0.40589281565437857</v>
      </c>
      <c r="Y272">
        <f t="shared" si="65"/>
        <v>-0.77810893481341559</v>
      </c>
      <c r="Z272">
        <f t="shared" si="66"/>
        <v>-0.79051613878538207</v>
      </c>
      <c r="AA272">
        <f t="shared" si="67"/>
        <v>1.559762785047391</v>
      </c>
      <c r="AB272">
        <f>IFERROR(V144+MATCH(AA272,V272:Z272,0)-1,"")</f>
        <v>2012</v>
      </c>
      <c r="AC272" t="str">
        <f t="shared" si="68"/>
        <v>High</v>
      </c>
      <c r="AE272">
        <f>IF(ISNUMBER(MATCH("N/A",J272:N272,0)),"",IFERROR((5 * SUMPRODUCT(J144:N144,J272:N272) - PRODUCT(SUM(J144:N144),SUM(J272:N272))) / ((5 * SUM((J144^2)+(K144^2)+(L144^2)+(M144^2)+(N144^2))) - SUM(J144:N144)^2),""))</f>
        <v>-3.3250000000043654E-2</v>
      </c>
      <c r="AF272">
        <f>IFERROR(CORREL(J144:N144,J272:N272),"")</f>
        <v>-0.93183181871052745</v>
      </c>
      <c r="AZ272">
        <f t="shared" si="69"/>
        <v>1</v>
      </c>
      <c r="BA272" t="str">
        <f>IF(AZ272=1,IF(Q272="","",IF(Q272=N144,"Yes","No")),"")</f>
        <v>No</v>
      </c>
      <c r="BB272" t="str">
        <f t="shared" si="70"/>
        <v/>
      </c>
      <c r="BC272" t="str">
        <f>IF(AZ272=1,IF(S272="","",IF(S272=N144,"Yes","No")),"")</f>
        <v>Yes</v>
      </c>
      <c r="BD272">
        <f t="shared" si="71"/>
        <v>0.51560000000000006</v>
      </c>
      <c r="BE272" t="str">
        <f t="shared" si="72"/>
        <v>Decreasing</v>
      </c>
      <c r="BF272" t="str">
        <f t="shared" si="73"/>
        <v>Yes</v>
      </c>
      <c r="BG272" t="str">
        <f t="shared" si="74"/>
        <v>No</v>
      </c>
      <c r="BH272" t="str">
        <f t="shared" si="75"/>
        <v>Yes</v>
      </c>
    </row>
    <row r="273" spans="1:60" x14ac:dyDescent="0.3">
      <c r="A273" s="1">
        <v>26</v>
      </c>
      <c r="B273" t="s">
        <v>713</v>
      </c>
      <c r="C273" t="s">
        <v>4273</v>
      </c>
      <c r="D273" t="s">
        <v>4273</v>
      </c>
      <c r="E273" t="s">
        <v>264</v>
      </c>
      <c r="F273" t="s">
        <v>264</v>
      </c>
      <c r="G273" t="s">
        <v>264</v>
      </c>
      <c r="I273" t="str">
        <f t="shared" si="88"/>
        <v>N/A</v>
      </c>
      <c r="J273">
        <f t="shared" si="89"/>
        <v>14000</v>
      </c>
      <c r="K273">
        <f t="shared" si="90"/>
        <v>14000</v>
      </c>
      <c r="L273" t="str">
        <f t="shared" si="91"/>
        <v>N/A</v>
      </c>
      <c r="M273" t="str">
        <f t="shared" si="92"/>
        <v>N/A</v>
      </c>
      <c r="N273" t="str">
        <f t="shared" si="93"/>
        <v>N/A</v>
      </c>
      <c r="P273">
        <f t="shared" ref="P273:P336" si="94">MAX(J273:N273)</f>
        <v>14000</v>
      </c>
      <c r="Q273">
        <f>IFERROR(J144+MATCH(P273,J273:N273,0)-1,"")</f>
        <v>2012</v>
      </c>
      <c r="R273">
        <f t="shared" ref="R273:R336" si="95">IF(Q273="","",MIN(J273:N273))</f>
        <v>14000</v>
      </c>
      <c r="S273">
        <f>IFERROR(J144+MATCH(R273,J273:N273,0)-1,"")</f>
        <v>2012</v>
      </c>
      <c r="T273">
        <f t="shared" ref="T273:T336" si="96">IFERROR(AVERAGE(J273:N273),"")</f>
        <v>14000</v>
      </c>
      <c r="U273">
        <f t="shared" ref="U273:U336" si="97">IFERROR(STDEV(J273:N273),"")</f>
        <v>0</v>
      </c>
      <c r="V273" t="str">
        <f t="shared" ref="V273:V336" si="98">IFERROR(IF(C273="-","",IF(ISBLANK(B273),"",IF(OR(ISNUMBER(FIND("Growth",B273)),ISNUMBER(FIND("Margin",B273))),"",(J273-T273)/U273))),"")</f>
        <v/>
      </c>
      <c r="W273" t="str">
        <f t="shared" ref="W273:W336" si="99">IFERROR(IF(OR(D273="-",ISBLANK(D273)),"",(K273-T273)/U273),"")</f>
        <v/>
      </c>
      <c r="X273" t="str">
        <f t="shared" ref="X273:X336" si="100">IFERROR(IF(OR(E273="-",ISBLANK(E273)),"",(L273-T273)/U273),"")</f>
        <v/>
      </c>
      <c r="Y273" t="str">
        <f t="shared" ref="Y273:Y336" si="101">IFERROR(IF(OR(F273="-",ISBLANK(F273)),"",(M273-T273)/U273),"")</f>
        <v/>
      </c>
      <c r="Z273" t="str">
        <f t="shared" ref="Z273:Z336" si="102">IFERROR(IF(OR(G273="-",ISBLANK(G273)),"",(N273-T273)/U273),"")</f>
        <v/>
      </c>
      <c r="AA273">
        <f t="shared" ref="AA273:AA336" si="103">IF(MAX(MAX(V273:Z273),ABS(MIN(V273:Z273)))=ABS(MIN(V273:Z273)),MIN(V273:Z273),MAX(V273:Z273))</f>
        <v>0</v>
      </c>
      <c r="AB273" t="str">
        <f>IFERROR(V144+MATCH(AA273,V273:Z273,0)-1,"")</f>
        <v/>
      </c>
      <c r="AC273" t="str">
        <f t="shared" ref="AC273:AC336" si="104">IF(AB273&lt;&gt;"",IF(S273=AB273,"Low",IF(AB273=Q273,"High","")),"")</f>
        <v/>
      </c>
      <c r="AE273" t="str">
        <f>IF(ISNUMBER(MATCH("N/A",J273:N273,0)),"",IFERROR((5 * SUMPRODUCT(J144:N144,J273:N273) - PRODUCT(SUM(J144:N144),SUM(J273:N273))) / ((5 * SUM((J144^2)+(K144^2)+(L144^2)+(M144^2)+(N144^2))) - SUM(J144:N144)^2),""))</f>
        <v/>
      </c>
      <c r="AF273" t="str">
        <f>IFERROR(CORREL(J144:N144,J273:N273),"")</f>
        <v/>
      </c>
      <c r="AZ273">
        <f t="shared" ref="AZ273:AZ336" si="105">IF(Q273=S273,0,1)</f>
        <v>0</v>
      </c>
      <c r="BA273" t="str">
        <f>IF(AZ273=1,IF(Q273="","",IF(Q273=N144,"Yes","No")),"")</f>
        <v/>
      </c>
      <c r="BB273" t="str">
        <f t="shared" ref="BB273:BB336" si="106">IF(BA273="Yes",P273,"")</f>
        <v/>
      </c>
      <c r="BC273" t="str">
        <f>IF(AZ273=1,IF(S273="","",IF(S273=N144,"Yes","No")),"")</f>
        <v/>
      </c>
      <c r="BD273" t="str">
        <f t="shared" ref="BD273:BD336" si="107">IF(BC273="Yes",R273,"")</f>
        <v/>
      </c>
      <c r="BE273" t="str">
        <f t="shared" ref="BE273:BE336" si="108">IFERROR(IF(SIGN(AE273)=1,"Increasing",IF(SIGN(AE273)=-1,"Decreasing","")),"")</f>
        <v/>
      </c>
      <c r="BF273" t="str">
        <f t="shared" ref="BF273:BF336" si="109">IF(OR(AND(BE273="Increasing",BA273="Yes"),AND(BE273="Decreasing",BC273="Yes")),"Yes","No")</f>
        <v>No</v>
      </c>
      <c r="BG273" t="str">
        <f t="shared" ref="BG273:BG336" si="110">IF(I273="pos_trend","Yes","No")</f>
        <v>No</v>
      </c>
      <c r="BH273" t="str">
        <f t="shared" ref="BH273:BH336" si="111">IF(AF273&lt;&gt;"",IF(ABS(AF273)&gt;0.8,"Yes","No"),"")</f>
        <v/>
      </c>
    </row>
    <row r="274" spans="1:60" x14ac:dyDescent="0.3">
      <c r="A274" s="1">
        <v>27</v>
      </c>
      <c r="B274" t="s">
        <v>714</v>
      </c>
      <c r="C274" t="s">
        <v>264</v>
      </c>
      <c r="D274" t="s">
        <v>264</v>
      </c>
      <c r="E274" t="s">
        <v>264</v>
      </c>
      <c r="F274" t="s">
        <v>264</v>
      </c>
      <c r="G274" t="s">
        <v>264</v>
      </c>
      <c r="I274" t="str">
        <f t="shared" si="88"/>
        <v>N/A</v>
      </c>
      <c r="J274" t="str">
        <f t="shared" si="89"/>
        <v>N/A</v>
      </c>
      <c r="K274" t="str">
        <f t="shared" si="90"/>
        <v>N/A</v>
      </c>
      <c r="L274" t="str">
        <f t="shared" si="91"/>
        <v>N/A</v>
      </c>
      <c r="M274" t="str">
        <f t="shared" si="92"/>
        <v>N/A</v>
      </c>
      <c r="N274" t="str">
        <f t="shared" si="93"/>
        <v>N/A</v>
      </c>
      <c r="P274">
        <f t="shared" si="94"/>
        <v>0</v>
      </c>
      <c r="Q274" t="str">
        <f>IFERROR(J144+MATCH(P274,J274:N274,0)-1,"")</f>
        <v/>
      </c>
      <c r="R274" t="str">
        <f t="shared" si="95"/>
        <v/>
      </c>
      <c r="S274" t="str">
        <f>IFERROR(J144+MATCH(R274,J274:N274,0)-1,"")</f>
        <v/>
      </c>
      <c r="T274" t="str">
        <f t="shared" si="96"/>
        <v/>
      </c>
      <c r="U274" t="str">
        <f t="shared" si="97"/>
        <v/>
      </c>
      <c r="V274" t="str">
        <f t="shared" si="98"/>
        <v/>
      </c>
      <c r="W274" t="str">
        <f t="shared" si="99"/>
        <v/>
      </c>
      <c r="X274" t="str">
        <f t="shared" si="100"/>
        <v/>
      </c>
      <c r="Y274" t="str">
        <f t="shared" si="101"/>
        <v/>
      </c>
      <c r="Z274" t="str">
        <f t="shared" si="102"/>
        <v/>
      </c>
      <c r="AA274">
        <f t="shared" si="103"/>
        <v>0</v>
      </c>
      <c r="AB274" t="str">
        <f>IFERROR(V144+MATCH(AA274,V274:Z274,0)-1,"")</f>
        <v/>
      </c>
      <c r="AC274" t="str">
        <f t="shared" si="104"/>
        <v/>
      </c>
      <c r="AE274" t="str">
        <f>IF(ISNUMBER(MATCH("N/A",J274:N274,0)),"",IFERROR((5 * SUMPRODUCT(J144:N144,J274:N274) - PRODUCT(SUM(J144:N144),SUM(J274:N274))) / ((5 * SUM((J144^2)+(K144^2)+(L144^2)+(M144^2)+(N144^2))) - SUM(J144:N144)^2),""))</f>
        <v/>
      </c>
      <c r="AF274" t="str">
        <f>IFERROR(CORREL(J144:N144,J274:N274),"")</f>
        <v/>
      </c>
      <c r="AZ274">
        <f t="shared" si="105"/>
        <v>0</v>
      </c>
      <c r="BA274" t="str">
        <f>IF(AZ274=1,IF(Q274="","",IF(Q274=N144,"Yes","No")),"")</f>
        <v/>
      </c>
      <c r="BB274" t="str">
        <f t="shared" si="106"/>
        <v/>
      </c>
      <c r="BC274" t="str">
        <f>IF(AZ274=1,IF(S274="","",IF(S274=N144,"Yes","No")),"")</f>
        <v/>
      </c>
      <c r="BD274" t="str">
        <f t="shared" si="107"/>
        <v/>
      </c>
      <c r="BE274" t="str">
        <f t="shared" si="108"/>
        <v/>
      </c>
      <c r="BF274" t="str">
        <f t="shared" si="109"/>
        <v>No</v>
      </c>
      <c r="BG274" t="str">
        <f t="shared" si="110"/>
        <v>No</v>
      </c>
      <c r="BH274" t="str">
        <f t="shared" si="111"/>
        <v/>
      </c>
    </row>
    <row r="275" spans="1:60" x14ac:dyDescent="0.3">
      <c r="A275" s="1">
        <v>28</v>
      </c>
      <c r="B275" t="s">
        <v>715</v>
      </c>
      <c r="C275" t="s">
        <v>4273</v>
      </c>
      <c r="D275" t="s">
        <v>4273</v>
      </c>
      <c r="E275" t="s">
        <v>264</v>
      </c>
      <c r="F275" t="s">
        <v>264</v>
      </c>
      <c r="G275" t="s">
        <v>264</v>
      </c>
      <c r="I275" t="str">
        <f t="shared" si="88"/>
        <v>N/A</v>
      </c>
      <c r="J275">
        <f t="shared" si="89"/>
        <v>14000</v>
      </c>
      <c r="K275">
        <f t="shared" si="90"/>
        <v>14000</v>
      </c>
      <c r="L275" t="str">
        <f t="shared" si="91"/>
        <v>N/A</v>
      </c>
      <c r="M275" t="str">
        <f t="shared" si="92"/>
        <v>N/A</v>
      </c>
      <c r="N275" t="str">
        <f t="shared" si="93"/>
        <v>N/A</v>
      </c>
      <c r="P275">
        <f t="shared" si="94"/>
        <v>14000</v>
      </c>
      <c r="Q275">
        <f>IFERROR(J144+MATCH(P275,J275:N275,0)-1,"")</f>
        <v>2012</v>
      </c>
      <c r="R275">
        <f t="shared" si="95"/>
        <v>14000</v>
      </c>
      <c r="S275">
        <f>IFERROR(J144+MATCH(R275,J275:N275,0)-1,"")</f>
        <v>2012</v>
      </c>
      <c r="T275">
        <f t="shared" si="96"/>
        <v>14000</v>
      </c>
      <c r="U275">
        <f t="shared" si="97"/>
        <v>0</v>
      </c>
      <c r="V275" t="str">
        <f t="shared" si="98"/>
        <v/>
      </c>
      <c r="W275" t="str">
        <f t="shared" si="99"/>
        <v/>
      </c>
      <c r="X275" t="str">
        <f t="shared" si="100"/>
        <v/>
      </c>
      <c r="Y275" t="str">
        <f t="shared" si="101"/>
        <v/>
      </c>
      <c r="Z275" t="str">
        <f t="shared" si="102"/>
        <v/>
      </c>
      <c r="AA275">
        <f t="shared" si="103"/>
        <v>0</v>
      </c>
      <c r="AB275" t="str">
        <f>IFERROR(V144+MATCH(AA275,V275:Z275,0)-1,"")</f>
        <v/>
      </c>
      <c r="AC275" t="str">
        <f t="shared" si="104"/>
        <v/>
      </c>
      <c r="AE275" t="str">
        <f>IF(ISNUMBER(MATCH("N/A",J275:N275,0)),"",IFERROR((5 * SUMPRODUCT(J144:N144,J275:N275) - PRODUCT(SUM(J144:N144),SUM(J275:N275))) / ((5 * SUM((J144^2)+(K144^2)+(L144^2)+(M144^2)+(N144^2))) - SUM(J144:N144)^2),""))</f>
        <v/>
      </c>
      <c r="AF275" t="str">
        <f>IFERROR(CORREL(J144:N144,J275:N275),"")</f>
        <v/>
      </c>
      <c r="AZ275">
        <f t="shared" si="105"/>
        <v>0</v>
      </c>
      <c r="BA275" t="str">
        <f>IF(AZ275=1,IF(Q275="","",IF(Q275=N144,"Yes","No")),"")</f>
        <v/>
      </c>
      <c r="BB275" t="str">
        <f t="shared" si="106"/>
        <v/>
      </c>
      <c r="BC275" t="str">
        <f>IF(AZ275=1,IF(S275="","",IF(S275=N144,"Yes","No")),"")</f>
        <v/>
      </c>
      <c r="BD275" t="str">
        <f t="shared" si="107"/>
        <v/>
      </c>
      <c r="BE275" t="str">
        <f t="shared" si="108"/>
        <v/>
      </c>
      <c r="BF275" t="str">
        <f t="shared" si="109"/>
        <v>No</v>
      </c>
      <c r="BG275" t="str">
        <f t="shared" si="110"/>
        <v>No</v>
      </c>
      <c r="BH275" t="str">
        <f t="shared" si="111"/>
        <v/>
      </c>
    </row>
    <row r="276" spans="1:60" x14ac:dyDescent="0.3">
      <c r="A276" s="1">
        <v>29</v>
      </c>
      <c r="B276" t="s">
        <v>716</v>
      </c>
      <c r="C276" t="s">
        <v>4274</v>
      </c>
      <c r="D276" t="s">
        <v>4275</v>
      </c>
      <c r="E276" t="s">
        <v>4276</v>
      </c>
      <c r="F276" t="s">
        <v>4277</v>
      </c>
      <c r="G276" t="s">
        <v>4278</v>
      </c>
      <c r="I276" t="str">
        <f t="shared" si="88"/>
        <v>N/A</v>
      </c>
      <c r="J276">
        <f t="shared" si="89"/>
        <v>1910000000</v>
      </c>
      <c r="K276">
        <f t="shared" si="90"/>
        <v>2510000000</v>
      </c>
      <c r="L276">
        <f t="shared" si="91"/>
        <v>3150000000</v>
      </c>
      <c r="M276">
        <f t="shared" si="92"/>
        <v>3070000000</v>
      </c>
      <c r="N276">
        <f t="shared" si="93"/>
        <v>2900000000</v>
      </c>
      <c r="P276">
        <f t="shared" si="94"/>
        <v>3150000000</v>
      </c>
      <c r="Q276">
        <f>IFERROR(J144+MATCH(P276,J276:N276,0)-1,"")</f>
        <v>2014</v>
      </c>
      <c r="R276">
        <f t="shared" si="95"/>
        <v>1910000000</v>
      </c>
      <c r="S276">
        <f>IFERROR(J144+MATCH(R276,J276:N276,0)-1,"")</f>
        <v>2012</v>
      </c>
      <c r="T276">
        <f t="shared" si="96"/>
        <v>2708000000</v>
      </c>
      <c r="U276">
        <f t="shared" si="97"/>
        <v>509725416.27821541</v>
      </c>
      <c r="V276">
        <f t="shared" si="98"/>
        <v>-1.5655487729582631</v>
      </c>
      <c r="W276">
        <f t="shared" si="99"/>
        <v>-0.38844443238814047</v>
      </c>
      <c r="X276">
        <f t="shared" si="100"/>
        <v>0.86713353088665701</v>
      </c>
      <c r="Y276">
        <f t="shared" si="101"/>
        <v>0.71018628547730733</v>
      </c>
      <c r="Z276">
        <f t="shared" si="102"/>
        <v>0.37667338898243924</v>
      </c>
      <c r="AA276">
        <f t="shared" si="103"/>
        <v>-1.5655487729582631</v>
      </c>
      <c r="AB276">
        <f>IFERROR(V144+MATCH(AA276,V276:Z276,0)-1,"")</f>
        <v>2012</v>
      </c>
      <c r="AC276" t="str">
        <f t="shared" si="104"/>
        <v>Low</v>
      </c>
      <c r="AE276">
        <f>IF(ISNUMBER(MATCH("N/A",J276:N276,0)),"",IFERROR((5 * SUMPRODUCT(J144:N144,J276:N276) - PRODUCT(SUM(J144:N144),SUM(J276:N276))) / ((5 * SUM((J144^2)+(K144^2)+(L144^2)+(M144^2)+(N144^2))) - SUM(J144:N144)^2),""))</f>
        <v>254000000</v>
      </c>
      <c r="AF276">
        <f>IFERROR(CORREL(J144:N144,J276:N276),"")</f>
        <v>0.78789334417293422</v>
      </c>
      <c r="AZ276">
        <f t="shared" si="105"/>
        <v>1</v>
      </c>
      <c r="BA276" t="str">
        <f>IF(AZ276=1,IF(Q276="","",IF(Q276=N144,"Yes","No")),"")</f>
        <v>No</v>
      </c>
      <c r="BB276" t="str">
        <f t="shared" si="106"/>
        <v/>
      </c>
      <c r="BC276" t="str">
        <f>IF(AZ276=1,IF(S276="","",IF(S276=N144,"Yes","No")),"")</f>
        <v>No</v>
      </c>
      <c r="BD276" t="str">
        <f t="shared" si="107"/>
        <v/>
      </c>
      <c r="BE276" t="str">
        <f t="shared" si="108"/>
        <v>Increasing</v>
      </c>
      <c r="BF276" t="str">
        <f t="shared" si="109"/>
        <v>No</v>
      </c>
      <c r="BG276" t="str">
        <f t="shared" si="110"/>
        <v>No</v>
      </c>
      <c r="BH276" t="str">
        <f t="shared" si="111"/>
        <v>No</v>
      </c>
    </row>
    <row r="277" spans="1:60" x14ac:dyDescent="0.3">
      <c r="A277" s="1">
        <v>30</v>
      </c>
      <c r="B277" t="s">
        <v>718</v>
      </c>
      <c r="C277" t="s">
        <v>4279</v>
      </c>
      <c r="D277" t="s">
        <v>3291</v>
      </c>
      <c r="E277" t="s">
        <v>4280</v>
      </c>
      <c r="F277" t="s">
        <v>4281</v>
      </c>
      <c r="G277" t="s">
        <v>4281</v>
      </c>
      <c r="I277" t="str">
        <f t="shared" si="88"/>
        <v>N/A</v>
      </c>
      <c r="J277">
        <f t="shared" si="89"/>
        <v>94000</v>
      </c>
      <c r="K277">
        <f t="shared" si="90"/>
        <v>102000</v>
      </c>
      <c r="L277">
        <f t="shared" si="91"/>
        <v>124000</v>
      </c>
      <c r="M277">
        <f t="shared" si="92"/>
        <v>123000</v>
      </c>
      <c r="N277">
        <f t="shared" si="93"/>
        <v>123000</v>
      </c>
      <c r="P277">
        <f t="shared" si="94"/>
        <v>124000</v>
      </c>
      <c r="Q277">
        <f>IFERROR(J144+MATCH(P277,J277:N277,0)-1,"")</f>
        <v>2014</v>
      </c>
      <c r="R277">
        <f t="shared" si="95"/>
        <v>94000</v>
      </c>
      <c r="S277">
        <f>IFERROR(J144+MATCH(R277,J277:N277,0)-1,"")</f>
        <v>2012</v>
      </c>
      <c r="T277">
        <f t="shared" si="96"/>
        <v>113200</v>
      </c>
      <c r="U277">
        <f t="shared" si="97"/>
        <v>14166.862743741114</v>
      </c>
      <c r="V277">
        <f t="shared" si="98"/>
        <v>-1.3552753596404055</v>
      </c>
      <c r="W277">
        <f t="shared" si="99"/>
        <v>-0.79057729312356984</v>
      </c>
      <c r="X277">
        <f t="shared" si="100"/>
        <v>0.76234238979772806</v>
      </c>
      <c r="Y277">
        <f t="shared" si="101"/>
        <v>0.69175513148312362</v>
      </c>
      <c r="Z277">
        <f t="shared" si="102"/>
        <v>0.69175513148312362</v>
      </c>
      <c r="AA277">
        <f t="shared" si="103"/>
        <v>-1.3552753596404055</v>
      </c>
      <c r="AB277">
        <f>IFERROR(V144+MATCH(AA277,V277:Z277,0)-1,"")</f>
        <v>2012</v>
      </c>
      <c r="AC277" t="str">
        <f t="shared" si="104"/>
        <v>Low</v>
      </c>
      <c r="AE277">
        <f>IF(ISNUMBER(MATCH("N/A",J277:N277,0)),"",IFERROR((5 * SUMPRODUCT(J144:N144,J277:N277) - PRODUCT(SUM(J144:N144),SUM(J277:N277))) / ((5 * SUM((J144^2)+(K144^2)+(L144^2)+(M144^2)+(N144^2))) - SUM(J144:N144)^2),""))</f>
        <v>7900</v>
      </c>
      <c r="AF277">
        <f>IFERROR(CORREL(J144:N144,J277:N277),"")</f>
        <v>0.88170521474019303</v>
      </c>
      <c r="AZ277">
        <f t="shared" si="105"/>
        <v>1</v>
      </c>
      <c r="BA277" t="str">
        <f>IF(AZ277=1,IF(Q277="","",IF(Q277=N144,"Yes","No")),"")</f>
        <v>No</v>
      </c>
      <c r="BB277" t="str">
        <f t="shared" si="106"/>
        <v/>
      </c>
      <c r="BC277" t="str">
        <f>IF(AZ277=1,IF(S277="","",IF(S277=N144,"Yes","No")),"")</f>
        <v>No</v>
      </c>
      <c r="BD277" t="str">
        <f t="shared" si="107"/>
        <v/>
      </c>
      <c r="BE277" t="str">
        <f t="shared" si="108"/>
        <v>Increasing</v>
      </c>
      <c r="BF277" t="str">
        <f t="shared" si="109"/>
        <v>No</v>
      </c>
      <c r="BG277" t="str">
        <f t="shared" si="110"/>
        <v>No</v>
      </c>
      <c r="BH277" t="str">
        <f t="shared" si="111"/>
        <v>Yes</v>
      </c>
    </row>
    <row r="278" spans="1:60" x14ac:dyDescent="0.3">
      <c r="A278" s="1">
        <v>31</v>
      </c>
      <c r="B278" t="s">
        <v>720</v>
      </c>
      <c r="C278" t="s">
        <v>4282</v>
      </c>
      <c r="D278" t="s">
        <v>4283</v>
      </c>
      <c r="E278" t="s">
        <v>4284</v>
      </c>
      <c r="F278" t="s">
        <v>4285</v>
      </c>
      <c r="G278" t="s">
        <v>4286</v>
      </c>
      <c r="I278" t="str">
        <f t="shared" si="88"/>
        <v>pos_trend</v>
      </c>
      <c r="J278">
        <f t="shared" si="89"/>
        <v>-138860000</v>
      </c>
      <c r="K278">
        <f t="shared" si="90"/>
        <v>19380000</v>
      </c>
      <c r="L278">
        <f t="shared" si="91"/>
        <v>389560000</v>
      </c>
      <c r="M278">
        <f t="shared" si="92"/>
        <v>557300000</v>
      </c>
      <c r="N278">
        <f t="shared" si="93"/>
        <v>685410000</v>
      </c>
      <c r="P278">
        <f t="shared" si="94"/>
        <v>685410000</v>
      </c>
      <c r="Q278">
        <f>IFERROR(J144+MATCH(P278,J278:N278,0)-1,"")</f>
        <v>2016</v>
      </c>
      <c r="R278">
        <f t="shared" si="95"/>
        <v>-138860000</v>
      </c>
      <c r="S278">
        <f>IFERROR(J144+MATCH(R278,J278:N278,0)-1,"")</f>
        <v>2012</v>
      </c>
      <c r="T278">
        <f t="shared" si="96"/>
        <v>302558000</v>
      </c>
      <c r="U278">
        <f t="shared" si="97"/>
        <v>351453453.13426644</v>
      </c>
      <c r="V278">
        <f t="shared" si="98"/>
        <v>-1.2559785543816075</v>
      </c>
      <c r="W278">
        <f t="shared" si="99"/>
        <v>-0.8057340096522454</v>
      </c>
      <c r="X278">
        <f t="shared" si="100"/>
        <v>0.24754913979110191</v>
      </c>
      <c r="Y278">
        <f t="shared" si="101"/>
        <v>0.72482429103543455</v>
      </c>
      <c r="Z278">
        <f t="shared" si="102"/>
        <v>1.0893391332073163</v>
      </c>
      <c r="AA278">
        <f t="shared" si="103"/>
        <v>-1.2559785543816075</v>
      </c>
      <c r="AB278">
        <f>IFERROR(V144+MATCH(AA278,V278:Z278,0)-1,"")</f>
        <v>2012</v>
      </c>
      <c r="AC278" t="str">
        <f t="shared" si="104"/>
        <v>Low</v>
      </c>
      <c r="AE278">
        <f>IF(ISNUMBER(MATCH("N/A",J278:N278,0)),"",IFERROR((5 * SUMPRODUCT(J144:N144,J278:N278) - PRODUCT(SUM(J144:N144),SUM(J278:N278))) / ((5 * SUM((J144^2)+(K144^2)+(L144^2)+(M144^2)+(N144^2))) - SUM(J144:N144)^2),""))</f>
        <v>218646000</v>
      </c>
      <c r="AF278">
        <f>IFERROR(CORREL(J144:N144,J278:N278),"")</f>
        <v>0.9836570890385179</v>
      </c>
      <c r="AZ278">
        <f t="shared" si="105"/>
        <v>1</v>
      </c>
      <c r="BA278" t="str">
        <f>IF(AZ278=1,IF(Q278="","",IF(Q278=N144,"Yes","No")),"")</f>
        <v>Yes</v>
      </c>
      <c r="BB278">
        <f t="shared" si="106"/>
        <v>685410000</v>
      </c>
      <c r="BC278" t="str">
        <f>IF(AZ278=1,IF(S278="","",IF(S278=N144,"Yes","No")),"")</f>
        <v>No</v>
      </c>
      <c r="BD278" t="str">
        <f t="shared" si="107"/>
        <v/>
      </c>
      <c r="BE278" t="str">
        <f t="shared" si="108"/>
        <v>Increasing</v>
      </c>
      <c r="BF278" t="str">
        <f t="shared" si="109"/>
        <v>Yes</v>
      </c>
      <c r="BG278" t="str">
        <f t="shared" si="110"/>
        <v>Yes</v>
      </c>
      <c r="BH278" t="str">
        <f t="shared" si="111"/>
        <v>Yes</v>
      </c>
    </row>
    <row r="279" spans="1:60" x14ac:dyDescent="0.3">
      <c r="A279" s="1">
        <v>32</v>
      </c>
      <c r="B279" t="s">
        <v>724</v>
      </c>
      <c r="C279" t="s">
        <v>264</v>
      </c>
      <c r="D279" t="s">
        <v>264</v>
      </c>
      <c r="E279" t="s">
        <v>264</v>
      </c>
      <c r="F279" t="s">
        <v>264</v>
      </c>
      <c r="G279" t="s">
        <v>264</v>
      </c>
      <c r="I279" t="str">
        <f t="shared" si="88"/>
        <v>N/A</v>
      </c>
      <c r="J279" t="str">
        <f t="shared" si="89"/>
        <v>N/A</v>
      </c>
      <c r="K279" t="str">
        <f t="shared" si="90"/>
        <v>N/A</v>
      </c>
      <c r="L279" t="str">
        <f t="shared" si="91"/>
        <v>N/A</v>
      </c>
      <c r="M279" t="str">
        <f t="shared" si="92"/>
        <v>N/A</v>
      </c>
      <c r="N279" t="str">
        <f t="shared" si="93"/>
        <v>N/A</v>
      </c>
      <c r="P279">
        <f t="shared" si="94"/>
        <v>0</v>
      </c>
      <c r="Q279" t="str">
        <f>IFERROR(J144+MATCH(P279,J279:N279,0)-1,"")</f>
        <v/>
      </c>
      <c r="R279" t="str">
        <f t="shared" si="95"/>
        <v/>
      </c>
      <c r="S279" t="str">
        <f>IFERROR(J144+MATCH(R279,J279:N279,0)-1,"")</f>
        <v/>
      </c>
      <c r="T279" t="str">
        <f t="shared" si="96"/>
        <v/>
      </c>
      <c r="U279" t="str">
        <f t="shared" si="97"/>
        <v/>
      </c>
      <c r="V279" t="str">
        <f t="shared" si="98"/>
        <v/>
      </c>
      <c r="W279" t="str">
        <f t="shared" si="99"/>
        <v/>
      </c>
      <c r="X279" t="str">
        <f t="shared" si="100"/>
        <v/>
      </c>
      <c r="Y279" t="str">
        <f t="shared" si="101"/>
        <v/>
      </c>
      <c r="Z279" t="str">
        <f t="shared" si="102"/>
        <v/>
      </c>
      <c r="AA279">
        <f t="shared" si="103"/>
        <v>0</v>
      </c>
      <c r="AB279" t="str">
        <f>IFERROR(V144+MATCH(AA279,V279:Z279,0)-1,"")</f>
        <v/>
      </c>
      <c r="AC279" t="str">
        <f t="shared" si="104"/>
        <v/>
      </c>
      <c r="AE279" t="str">
        <f>IF(ISNUMBER(MATCH("N/A",J279:N279,0)),"",IFERROR((5 * SUMPRODUCT(J144:N144,J279:N279) - PRODUCT(SUM(J144:N144),SUM(J279:N279))) / ((5 * SUM((J144^2)+(K144^2)+(L144^2)+(M144^2)+(N144^2))) - SUM(J144:N144)^2),""))</f>
        <v/>
      </c>
      <c r="AF279" t="str">
        <f>IFERROR(CORREL(J144:N144,J279:N279),"")</f>
        <v/>
      </c>
      <c r="AZ279">
        <f t="shared" si="105"/>
        <v>0</v>
      </c>
      <c r="BA279" t="str">
        <f>IF(AZ279=1,IF(Q279="","",IF(Q279=N144,"Yes","No")),"")</f>
        <v/>
      </c>
      <c r="BB279" t="str">
        <f t="shared" si="106"/>
        <v/>
      </c>
      <c r="BC279" t="str">
        <f>IF(AZ279=1,IF(S279="","",IF(S279=N144,"Yes","No")),"")</f>
        <v/>
      </c>
      <c r="BD279" t="str">
        <f t="shared" si="107"/>
        <v/>
      </c>
      <c r="BE279" t="str">
        <f t="shared" si="108"/>
        <v/>
      </c>
      <c r="BF279" t="str">
        <f t="shared" si="109"/>
        <v>No</v>
      </c>
      <c r="BG279" t="str">
        <f t="shared" si="110"/>
        <v>No</v>
      </c>
      <c r="BH279" t="str">
        <f t="shared" si="111"/>
        <v/>
      </c>
    </row>
    <row r="280" spans="1:60" x14ac:dyDescent="0.3">
      <c r="A280" s="1">
        <v>33</v>
      </c>
      <c r="B280" t="s">
        <v>725</v>
      </c>
      <c r="C280" t="s">
        <v>4287</v>
      </c>
      <c r="D280" t="s">
        <v>4288</v>
      </c>
      <c r="E280" t="s">
        <v>4289</v>
      </c>
      <c r="F280" t="s">
        <v>4290</v>
      </c>
      <c r="G280" t="s">
        <v>4291</v>
      </c>
      <c r="I280" t="str">
        <f t="shared" si="88"/>
        <v>N/A</v>
      </c>
      <c r="J280">
        <f t="shared" si="89"/>
        <v>104720000</v>
      </c>
      <c r="K280">
        <f t="shared" si="90"/>
        <v>127600000</v>
      </c>
      <c r="L280">
        <f t="shared" si="91"/>
        <v>-217770000</v>
      </c>
      <c r="M280">
        <f t="shared" si="92"/>
        <v>-528620000</v>
      </c>
      <c r="N280">
        <f t="shared" si="93"/>
        <v>-860790000</v>
      </c>
      <c r="P280">
        <f t="shared" si="94"/>
        <v>127600000</v>
      </c>
      <c r="Q280">
        <f>IFERROR(J144+MATCH(P280,J280:N280,0)-1,"")</f>
        <v>2013</v>
      </c>
      <c r="R280">
        <f t="shared" si="95"/>
        <v>-860790000</v>
      </c>
      <c r="S280">
        <f>IFERROR(J144+MATCH(R280,J280:N280,0)-1,"")</f>
        <v>2016</v>
      </c>
      <c r="T280">
        <f t="shared" si="96"/>
        <v>-274972000</v>
      </c>
      <c r="U280">
        <f t="shared" si="97"/>
        <v>423385857.07366276</v>
      </c>
      <c r="V280">
        <f t="shared" si="98"/>
        <v>0.89679896873347686</v>
      </c>
      <c r="W280">
        <f t="shared" si="99"/>
        <v>0.95083950791950644</v>
      </c>
      <c r="X280">
        <f t="shared" si="100"/>
        <v>0.13510607178842943</v>
      </c>
      <c r="Y280">
        <f t="shared" si="101"/>
        <v>-0.59909417322806102</v>
      </c>
      <c r="Z280">
        <f t="shared" si="102"/>
        <v>-1.3836503752133518</v>
      </c>
      <c r="AA280">
        <f t="shared" si="103"/>
        <v>-1.3836503752133518</v>
      </c>
      <c r="AB280">
        <f>IFERROR(V144+MATCH(AA280,V280:Z280,0)-1,"")</f>
        <v>2016</v>
      </c>
      <c r="AC280" t="str">
        <f t="shared" si="104"/>
        <v>Low</v>
      </c>
      <c r="AE280">
        <f>IF(ISNUMBER(MATCH("N/A",J280:N280,0)),"",IFERROR((5 * SUMPRODUCT(J144:N144,J280:N280) - PRODUCT(SUM(J144:N144),SUM(J280:N280))) / ((5 * SUM((J144^2)+(K144^2)+(L144^2)+(M144^2)+(N144^2))) - SUM(J144:N144)^2),""))</f>
        <v>-258724000</v>
      </c>
      <c r="AF280">
        <f>IFERROR(CORREL(J144:N144,J280:N280),"")</f>
        <v>-0.96620743428264388</v>
      </c>
      <c r="AZ280">
        <f t="shared" si="105"/>
        <v>1</v>
      </c>
      <c r="BA280" t="str">
        <f>IF(AZ280=1,IF(Q280="","",IF(Q280=N144,"Yes","No")),"")</f>
        <v>No</v>
      </c>
      <c r="BB280" t="str">
        <f t="shared" si="106"/>
        <v/>
      </c>
      <c r="BC280" t="str">
        <f>IF(AZ280=1,IF(S280="","",IF(S280=N144,"Yes","No")),"")</f>
        <v>Yes</v>
      </c>
      <c r="BD280">
        <f t="shared" si="107"/>
        <v>-860790000</v>
      </c>
      <c r="BE280" t="str">
        <f t="shared" si="108"/>
        <v>Decreasing</v>
      </c>
      <c r="BF280" t="str">
        <f t="shared" si="109"/>
        <v>Yes</v>
      </c>
      <c r="BG280" t="str">
        <f t="shared" si="110"/>
        <v>No</v>
      </c>
      <c r="BH280" t="str">
        <f t="shared" si="111"/>
        <v>Yes</v>
      </c>
    </row>
    <row r="281" spans="1:60" x14ac:dyDescent="0.3">
      <c r="A281" s="1">
        <v>34</v>
      </c>
      <c r="B281" t="s">
        <v>731</v>
      </c>
      <c r="C281" t="s">
        <v>264</v>
      </c>
      <c r="D281" t="s">
        <v>264</v>
      </c>
      <c r="E281" t="s">
        <v>264</v>
      </c>
      <c r="F281" t="s">
        <v>264</v>
      </c>
      <c r="G281" t="s">
        <v>264</v>
      </c>
      <c r="I281" t="str">
        <f t="shared" si="88"/>
        <v>N/A</v>
      </c>
      <c r="J281" t="str">
        <f t="shared" si="89"/>
        <v>N/A</v>
      </c>
      <c r="K281" t="str">
        <f t="shared" si="90"/>
        <v>N/A</v>
      </c>
      <c r="L281" t="str">
        <f t="shared" si="91"/>
        <v>N/A</v>
      </c>
      <c r="M281" t="str">
        <f t="shared" si="92"/>
        <v>N/A</v>
      </c>
      <c r="N281" t="str">
        <f t="shared" si="93"/>
        <v>N/A</v>
      </c>
      <c r="P281">
        <f t="shared" si="94"/>
        <v>0</v>
      </c>
      <c r="Q281" t="str">
        <f>IFERROR(J144+MATCH(P281,J281:N281,0)-1,"")</f>
        <v/>
      </c>
      <c r="R281" t="str">
        <f t="shared" si="95"/>
        <v/>
      </c>
      <c r="S281" t="str">
        <f>IFERROR(J144+MATCH(R281,J281:N281,0)-1,"")</f>
        <v/>
      </c>
      <c r="T281" t="str">
        <f t="shared" si="96"/>
        <v/>
      </c>
      <c r="U281" t="str">
        <f t="shared" si="97"/>
        <v/>
      </c>
      <c r="V281" t="str">
        <f t="shared" si="98"/>
        <v/>
      </c>
      <c r="W281" t="str">
        <f t="shared" si="99"/>
        <v/>
      </c>
      <c r="X281" t="str">
        <f t="shared" si="100"/>
        <v/>
      </c>
      <c r="Y281" t="str">
        <f t="shared" si="101"/>
        <v/>
      </c>
      <c r="Z281" t="str">
        <f t="shared" si="102"/>
        <v/>
      </c>
      <c r="AA281">
        <f t="shared" si="103"/>
        <v>0</v>
      </c>
      <c r="AB281" t="str">
        <f>IFERROR(V144+MATCH(AA281,V281:Z281,0)-1,"")</f>
        <v/>
      </c>
      <c r="AC281" t="str">
        <f t="shared" si="104"/>
        <v/>
      </c>
      <c r="AE281" t="str">
        <f>IF(ISNUMBER(MATCH("N/A",J281:N281,0)),"",IFERROR((5 * SUMPRODUCT(J144:N144,J281:N281) - PRODUCT(SUM(J144:N144),SUM(J281:N281))) / ((5 * SUM((J144^2)+(K144^2)+(L144^2)+(M144^2)+(N144^2))) - SUM(J144:N144)^2),""))</f>
        <v/>
      </c>
      <c r="AF281" t="str">
        <f>IFERROR(CORREL(J144:N144,J281:N281),"")</f>
        <v/>
      </c>
      <c r="AZ281">
        <f t="shared" si="105"/>
        <v>0</v>
      </c>
      <c r="BA281" t="str">
        <f>IF(AZ281=1,IF(Q281="","",IF(Q281=N144,"Yes","No")),"")</f>
        <v/>
      </c>
      <c r="BB281" t="str">
        <f t="shared" si="106"/>
        <v/>
      </c>
      <c r="BC281" t="str">
        <f>IF(AZ281=1,IF(S281="","",IF(S281=N144,"Yes","No")),"")</f>
        <v/>
      </c>
      <c r="BD281" t="str">
        <f t="shared" si="107"/>
        <v/>
      </c>
      <c r="BE281" t="str">
        <f t="shared" si="108"/>
        <v/>
      </c>
      <c r="BF281" t="str">
        <f t="shared" si="109"/>
        <v>No</v>
      </c>
      <c r="BG281" t="str">
        <f t="shared" si="110"/>
        <v>No</v>
      </c>
      <c r="BH281" t="str">
        <f t="shared" si="111"/>
        <v/>
      </c>
    </row>
    <row r="282" spans="1:60" x14ac:dyDescent="0.3">
      <c r="A282" s="1">
        <v>35</v>
      </c>
      <c r="B282" t="s">
        <v>732</v>
      </c>
      <c r="C282" t="s">
        <v>264</v>
      </c>
      <c r="D282" t="s">
        <v>264</v>
      </c>
      <c r="E282" t="s">
        <v>264</v>
      </c>
      <c r="F282" t="s">
        <v>264</v>
      </c>
      <c r="G282" t="s">
        <v>264</v>
      </c>
      <c r="I282" t="str">
        <f t="shared" si="88"/>
        <v>N/A</v>
      </c>
      <c r="J282" t="str">
        <f t="shared" si="89"/>
        <v>N/A</v>
      </c>
      <c r="K282" t="str">
        <f t="shared" si="90"/>
        <v>N/A</v>
      </c>
      <c r="L282" t="str">
        <f t="shared" si="91"/>
        <v>N/A</v>
      </c>
      <c r="M282" t="str">
        <f t="shared" si="92"/>
        <v>N/A</v>
      </c>
      <c r="N282" t="str">
        <f t="shared" si="93"/>
        <v>N/A</v>
      </c>
      <c r="P282">
        <f t="shared" si="94"/>
        <v>0</v>
      </c>
      <c r="Q282" t="str">
        <f>IFERROR(J144+MATCH(P282,J282:N282,0)-1,"")</f>
        <v/>
      </c>
      <c r="R282" t="str">
        <f t="shared" si="95"/>
        <v/>
      </c>
      <c r="S282" t="str">
        <f>IFERROR(J144+MATCH(R282,J282:N282,0)-1,"")</f>
        <v/>
      </c>
      <c r="T282" t="str">
        <f t="shared" si="96"/>
        <v/>
      </c>
      <c r="U282" t="str">
        <f t="shared" si="97"/>
        <v/>
      </c>
      <c r="V282" t="str">
        <f t="shared" si="98"/>
        <v/>
      </c>
      <c r="W282" t="str">
        <f t="shared" si="99"/>
        <v/>
      </c>
      <c r="X282" t="str">
        <f t="shared" si="100"/>
        <v/>
      </c>
      <c r="Y282" t="str">
        <f t="shared" si="101"/>
        <v/>
      </c>
      <c r="Z282" t="str">
        <f t="shared" si="102"/>
        <v/>
      </c>
      <c r="AA282">
        <f t="shared" si="103"/>
        <v>0</v>
      </c>
      <c r="AB282" t="str">
        <f>IFERROR(V144+MATCH(AA282,V282:Z282,0)-1,"")</f>
        <v/>
      </c>
      <c r="AC282" t="str">
        <f t="shared" si="104"/>
        <v/>
      </c>
      <c r="AE282" t="str">
        <f>IF(ISNUMBER(MATCH("N/A",J282:N282,0)),"",IFERROR((5 * SUMPRODUCT(J144:N144,J282:N282) - PRODUCT(SUM(J144:N144),SUM(J282:N282))) / ((5 * SUM((J144^2)+(K144^2)+(L144^2)+(M144^2)+(N144^2))) - SUM(J144:N144)^2),""))</f>
        <v/>
      </c>
      <c r="AF282" t="str">
        <f>IFERROR(CORREL(J144:N144,J282:N282),"")</f>
        <v/>
      </c>
      <c r="AZ282">
        <f t="shared" si="105"/>
        <v>0</v>
      </c>
      <c r="BA282" t="str">
        <f>IF(AZ282=1,IF(Q282="","",IF(Q282=N144,"Yes","No")),"")</f>
        <v/>
      </c>
      <c r="BB282" t="str">
        <f t="shared" si="106"/>
        <v/>
      </c>
      <c r="BC282" t="str">
        <f>IF(AZ282=1,IF(S282="","",IF(S282=N144,"Yes","No")),"")</f>
        <v/>
      </c>
      <c r="BD282" t="str">
        <f t="shared" si="107"/>
        <v/>
      </c>
      <c r="BE282" t="str">
        <f t="shared" si="108"/>
        <v/>
      </c>
      <c r="BF282" t="str">
        <f t="shared" si="109"/>
        <v>No</v>
      </c>
      <c r="BG282" t="str">
        <f t="shared" si="110"/>
        <v>No</v>
      </c>
      <c r="BH282" t="str">
        <f t="shared" si="111"/>
        <v/>
      </c>
    </row>
    <row r="283" spans="1:60" x14ac:dyDescent="0.3">
      <c r="A283" s="1">
        <v>36</v>
      </c>
      <c r="B283" t="s">
        <v>733</v>
      </c>
      <c r="C283" t="s">
        <v>264</v>
      </c>
      <c r="D283" t="s">
        <v>264</v>
      </c>
      <c r="E283" t="s">
        <v>264</v>
      </c>
      <c r="F283" t="s">
        <v>264</v>
      </c>
      <c r="G283" t="s">
        <v>264</v>
      </c>
      <c r="I283" t="str">
        <f t="shared" si="88"/>
        <v>N/A</v>
      </c>
      <c r="J283" t="str">
        <f t="shared" si="89"/>
        <v>N/A</v>
      </c>
      <c r="K283" t="str">
        <f t="shared" si="90"/>
        <v>N/A</v>
      </c>
      <c r="L283" t="str">
        <f t="shared" si="91"/>
        <v>N/A</v>
      </c>
      <c r="M283" t="str">
        <f t="shared" si="92"/>
        <v>N/A</v>
      </c>
      <c r="N283" t="str">
        <f t="shared" si="93"/>
        <v>N/A</v>
      </c>
      <c r="P283">
        <f t="shared" si="94"/>
        <v>0</v>
      </c>
      <c r="Q283" t="str">
        <f>IFERROR(J144+MATCH(P283,J283:N283,0)-1,"")</f>
        <v/>
      </c>
      <c r="R283" t="str">
        <f t="shared" si="95"/>
        <v/>
      </c>
      <c r="S283" t="str">
        <f>IFERROR(J144+MATCH(R283,J283:N283,0)-1,"")</f>
        <v/>
      </c>
      <c r="T283" t="str">
        <f t="shared" si="96"/>
        <v/>
      </c>
      <c r="U283" t="str">
        <f t="shared" si="97"/>
        <v/>
      </c>
      <c r="V283" t="str">
        <f t="shared" si="98"/>
        <v/>
      </c>
      <c r="W283" t="str">
        <f t="shared" si="99"/>
        <v/>
      </c>
      <c r="X283" t="str">
        <f t="shared" si="100"/>
        <v/>
      </c>
      <c r="Y283" t="str">
        <f t="shared" si="101"/>
        <v/>
      </c>
      <c r="Z283" t="str">
        <f t="shared" si="102"/>
        <v/>
      </c>
      <c r="AA283">
        <f t="shared" si="103"/>
        <v>0</v>
      </c>
      <c r="AB283" t="str">
        <f>IFERROR(V144+MATCH(AA283,V283:Z283,0)-1,"")</f>
        <v/>
      </c>
      <c r="AC283" t="str">
        <f t="shared" si="104"/>
        <v/>
      </c>
      <c r="AE283" t="str">
        <f>IF(ISNUMBER(MATCH("N/A",J283:N283,0)),"",IFERROR((5 * SUMPRODUCT(J144:N144,J283:N283) - PRODUCT(SUM(J144:N144),SUM(J283:N283))) / ((5 * SUM((J144^2)+(K144^2)+(L144^2)+(M144^2)+(N144^2))) - SUM(J144:N144)^2),""))</f>
        <v/>
      </c>
      <c r="AF283" t="str">
        <f>IFERROR(CORREL(J144:N144,J283:N283),"")</f>
        <v/>
      </c>
      <c r="AZ283">
        <f t="shared" si="105"/>
        <v>0</v>
      </c>
      <c r="BA283" t="str">
        <f>IF(AZ283=1,IF(Q283="","",IF(Q283=N144,"Yes","No")),"")</f>
        <v/>
      </c>
      <c r="BB283" t="str">
        <f t="shared" si="106"/>
        <v/>
      </c>
      <c r="BC283" t="str">
        <f>IF(AZ283=1,IF(S283="","",IF(S283=N144,"Yes","No")),"")</f>
        <v/>
      </c>
      <c r="BD283" t="str">
        <f t="shared" si="107"/>
        <v/>
      </c>
      <c r="BE283" t="str">
        <f t="shared" si="108"/>
        <v/>
      </c>
      <c r="BF283" t="str">
        <f t="shared" si="109"/>
        <v>No</v>
      </c>
      <c r="BG283" t="str">
        <f t="shared" si="110"/>
        <v>No</v>
      </c>
      <c r="BH283" t="str">
        <f t="shared" si="111"/>
        <v/>
      </c>
    </row>
    <row r="284" spans="1:60" x14ac:dyDescent="0.3">
      <c r="A284" s="1">
        <v>37</v>
      </c>
      <c r="B284" t="s">
        <v>739</v>
      </c>
      <c r="C284" t="s">
        <v>4292</v>
      </c>
      <c r="D284" t="s">
        <v>4293</v>
      </c>
      <c r="E284" t="s">
        <v>4294</v>
      </c>
      <c r="F284" t="s">
        <v>4295</v>
      </c>
      <c r="G284" t="s">
        <v>4296</v>
      </c>
      <c r="I284" t="str">
        <f t="shared" si="88"/>
        <v>N/A</v>
      </c>
      <c r="J284">
        <f t="shared" si="89"/>
        <v>0.312</v>
      </c>
      <c r="K284">
        <f t="shared" si="90"/>
        <v>0.38189999999999996</v>
      </c>
      <c r="L284">
        <f t="shared" si="91"/>
        <v>0.43430000000000002</v>
      </c>
      <c r="M284">
        <f t="shared" si="92"/>
        <v>0.45600000000000002</v>
      </c>
      <c r="N284">
        <f t="shared" si="93"/>
        <v>0.45369999999999999</v>
      </c>
      <c r="P284">
        <f t="shared" si="94"/>
        <v>0.45600000000000002</v>
      </c>
      <c r="Q284">
        <f>IFERROR(J144+MATCH(P284,J284:N284,0)-1,"")</f>
        <v>2015</v>
      </c>
      <c r="R284">
        <f t="shared" si="95"/>
        <v>0.312</v>
      </c>
      <c r="S284">
        <f>IFERROR(J144+MATCH(R284,J284:N284,0)-1,"")</f>
        <v>2012</v>
      </c>
      <c r="T284">
        <f t="shared" si="96"/>
        <v>0.40758</v>
      </c>
      <c r="U284">
        <f t="shared" si="97"/>
        <v>6.1197442757029964E-2</v>
      </c>
      <c r="V284">
        <f t="shared" si="98"/>
        <v>-1.5618299669722782</v>
      </c>
      <c r="W284">
        <f t="shared" si="99"/>
        <v>-0.41962537719029258</v>
      </c>
      <c r="X284">
        <f t="shared" si="100"/>
        <v>0.43661955134441627</v>
      </c>
      <c r="Y284">
        <f t="shared" si="101"/>
        <v>0.79120953129104143</v>
      </c>
      <c r="Z284">
        <f t="shared" si="102"/>
        <v>0.75362626152711309</v>
      </c>
      <c r="AA284">
        <f t="shared" si="103"/>
        <v>-1.5618299669722782</v>
      </c>
      <c r="AB284">
        <f>IFERROR(V144+MATCH(AA284,V284:Z284,0)-1,"")</f>
        <v>2012</v>
      </c>
      <c r="AC284" t="str">
        <f t="shared" si="104"/>
        <v>Low</v>
      </c>
      <c r="AE284">
        <f>IF(ISNUMBER(MATCH("N/A",J284:N284,0)),"",IFERROR((5 * SUMPRODUCT(J144:N144,J284:N284) - PRODUCT(SUM(J144:N144),SUM(J284:N284))) / ((5 * SUM((J144^2)+(K144^2)+(L144^2)+(M144^2)+(N144^2))) - SUM(J144:N144)^2),""))</f>
        <v>3.5749999999970895E-2</v>
      </c>
      <c r="AF284">
        <f>IFERROR(CORREL(J144:N144,J284:N284),"")</f>
        <v>0.92366135951025774</v>
      </c>
      <c r="AZ284">
        <f t="shared" si="105"/>
        <v>1</v>
      </c>
      <c r="BA284" t="str">
        <f>IF(AZ284=1,IF(Q284="","",IF(Q284=N144,"Yes","No")),"")</f>
        <v>No</v>
      </c>
      <c r="BB284" t="str">
        <f t="shared" si="106"/>
        <v/>
      </c>
      <c r="BC284" t="str">
        <f>IF(AZ284=1,IF(S284="","",IF(S284=N144,"Yes","No")),"")</f>
        <v>No</v>
      </c>
      <c r="BD284" t="str">
        <f t="shared" si="107"/>
        <v/>
      </c>
      <c r="BE284" t="str">
        <f t="shared" si="108"/>
        <v>Increasing</v>
      </c>
      <c r="BF284" t="str">
        <f t="shared" si="109"/>
        <v>No</v>
      </c>
      <c r="BG284" t="str">
        <f t="shared" si="110"/>
        <v>No</v>
      </c>
      <c r="BH284" t="str">
        <f t="shared" si="111"/>
        <v>Yes</v>
      </c>
    </row>
    <row r="285" spans="1:60" x14ac:dyDescent="0.3">
      <c r="A285" s="1">
        <v>38</v>
      </c>
      <c r="B285" t="s">
        <v>745</v>
      </c>
      <c r="C285" t="s">
        <v>4274</v>
      </c>
      <c r="D285" t="s">
        <v>4275</v>
      </c>
      <c r="E285" t="s">
        <v>4276</v>
      </c>
      <c r="F285" t="s">
        <v>4277</v>
      </c>
      <c r="G285" t="s">
        <v>4278</v>
      </c>
      <c r="I285" t="str">
        <f t="shared" si="88"/>
        <v>N/A</v>
      </c>
      <c r="J285">
        <f t="shared" si="89"/>
        <v>1910000000</v>
      </c>
      <c r="K285">
        <f t="shared" si="90"/>
        <v>2510000000</v>
      </c>
      <c r="L285">
        <f t="shared" si="91"/>
        <v>3150000000</v>
      </c>
      <c r="M285">
        <f t="shared" si="92"/>
        <v>3070000000</v>
      </c>
      <c r="N285">
        <f t="shared" si="93"/>
        <v>2900000000</v>
      </c>
      <c r="P285">
        <f t="shared" si="94"/>
        <v>3150000000</v>
      </c>
      <c r="Q285">
        <f>IFERROR(J144+MATCH(P285,J285:N285,0)-1,"")</f>
        <v>2014</v>
      </c>
      <c r="R285">
        <f t="shared" si="95"/>
        <v>1910000000</v>
      </c>
      <c r="S285">
        <f>IFERROR(J144+MATCH(R285,J285:N285,0)-1,"")</f>
        <v>2012</v>
      </c>
      <c r="T285">
        <f t="shared" si="96"/>
        <v>2708000000</v>
      </c>
      <c r="U285">
        <f t="shared" si="97"/>
        <v>509725416.27821541</v>
      </c>
      <c r="V285">
        <f t="shared" si="98"/>
        <v>-1.5655487729582631</v>
      </c>
      <c r="W285">
        <f t="shared" si="99"/>
        <v>-0.38844443238814047</v>
      </c>
      <c r="X285">
        <f t="shared" si="100"/>
        <v>0.86713353088665701</v>
      </c>
      <c r="Y285">
        <f t="shared" si="101"/>
        <v>0.71018628547730733</v>
      </c>
      <c r="Z285">
        <f t="shared" si="102"/>
        <v>0.37667338898243924</v>
      </c>
      <c r="AA285">
        <f t="shared" si="103"/>
        <v>-1.5655487729582631</v>
      </c>
      <c r="AB285">
        <f>IFERROR(V144+MATCH(AA285,V285:Z285,0)-1,"")</f>
        <v>2012</v>
      </c>
      <c r="AC285" t="str">
        <f t="shared" si="104"/>
        <v>Low</v>
      </c>
      <c r="AE285">
        <f>IF(ISNUMBER(MATCH("N/A",J285:N285,0)),"",IFERROR((5 * SUMPRODUCT(J144:N144,J285:N285) - PRODUCT(SUM(J144:N144),SUM(J285:N285))) / ((5 * SUM((J144^2)+(K144^2)+(L144^2)+(M144^2)+(N144^2))) - SUM(J144:N144)^2),""))</f>
        <v>254000000</v>
      </c>
      <c r="AF285">
        <f>IFERROR(CORREL(J144:N144,J285:N285),"")</f>
        <v>0.78789334417293422</v>
      </c>
      <c r="AZ285">
        <f t="shared" si="105"/>
        <v>1</v>
      </c>
      <c r="BA285" t="str">
        <f>IF(AZ285=1,IF(Q285="","",IF(Q285=N144,"Yes","No")),"")</f>
        <v>No</v>
      </c>
      <c r="BB285" t="str">
        <f t="shared" si="106"/>
        <v/>
      </c>
      <c r="BC285" t="str">
        <f>IF(AZ285=1,IF(S285="","",IF(S285=N144,"Yes","No")),"")</f>
        <v>No</v>
      </c>
      <c r="BD285" t="str">
        <f t="shared" si="107"/>
        <v/>
      </c>
      <c r="BE285" t="str">
        <f t="shared" si="108"/>
        <v>Increasing</v>
      </c>
      <c r="BF285" t="str">
        <f t="shared" si="109"/>
        <v>No</v>
      </c>
      <c r="BG285" t="str">
        <f t="shared" si="110"/>
        <v>No</v>
      </c>
      <c r="BH285" t="str">
        <f t="shared" si="111"/>
        <v>No</v>
      </c>
    </row>
    <row r="286" spans="1:60" x14ac:dyDescent="0.3">
      <c r="A286" s="1">
        <v>39</v>
      </c>
      <c r="B286" t="s">
        <v>746</v>
      </c>
      <c r="C286" t="s">
        <v>4292</v>
      </c>
      <c r="D286" t="s">
        <v>4293</v>
      </c>
      <c r="E286" t="s">
        <v>4294</v>
      </c>
      <c r="F286" t="s">
        <v>4295</v>
      </c>
      <c r="G286" t="s">
        <v>4296</v>
      </c>
      <c r="I286" t="str">
        <f t="shared" si="88"/>
        <v>N/A</v>
      </c>
      <c r="J286">
        <f t="shared" si="89"/>
        <v>0.312</v>
      </c>
      <c r="K286">
        <f t="shared" si="90"/>
        <v>0.38189999999999996</v>
      </c>
      <c r="L286">
        <f t="shared" si="91"/>
        <v>0.43430000000000002</v>
      </c>
      <c r="M286">
        <f t="shared" si="92"/>
        <v>0.45600000000000002</v>
      </c>
      <c r="N286">
        <f t="shared" si="93"/>
        <v>0.45369999999999999</v>
      </c>
      <c r="P286">
        <f t="shared" si="94"/>
        <v>0.45600000000000002</v>
      </c>
      <c r="Q286">
        <f>IFERROR(J144+MATCH(P286,J286:N286,0)-1,"")</f>
        <v>2015</v>
      </c>
      <c r="R286">
        <f t="shared" si="95"/>
        <v>0.312</v>
      </c>
      <c r="S286">
        <f>IFERROR(J144+MATCH(R286,J286:N286,0)-1,"")</f>
        <v>2012</v>
      </c>
      <c r="T286">
        <f t="shared" si="96"/>
        <v>0.40758</v>
      </c>
      <c r="U286">
        <f t="shared" si="97"/>
        <v>6.1197442757029964E-2</v>
      </c>
      <c r="V286">
        <f t="shared" si="98"/>
        <v>-1.5618299669722782</v>
      </c>
      <c r="W286">
        <f t="shared" si="99"/>
        <v>-0.41962537719029258</v>
      </c>
      <c r="X286">
        <f t="shared" si="100"/>
        <v>0.43661955134441627</v>
      </c>
      <c r="Y286">
        <f t="shared" si="101"/>
        <v>0.79120953129104143</v>
      </c>
      <c r="Z286">
        <f t="shared" si="102"/>
        <v>0.75362626152711309</v>
      </c>
      <c r="AA286">
        <f t="shared" si="103"/>
        <v>-1.5618299669722782</v>
      </c>
      <c r="AB286">
        <f>IFERROR(V144+MATCH(AA286,V286:Z286,0)-1,"")</f>
        <v>2012</v>
      </c>
      <c r="AC286" t="str">
        <f t="shared" si="104"/>
        <v>Low</v>
      </c>
      <c r="AE286">
        <f>IF(ISNUMBER(MATCH("N/A",J286:N286,0)),"",IFERROR((5 * SUMPRODUCT(J144:N144,J286:N286) - PRODUCT(SUM(J144:N144),SUM(J286:N286))) / ((5 * SUM((J144^2)+(K144^2)+(L144^2)+(M144^2)+(N144^2))) - SUM(J144:N144)^2),""))</f>
        <v>3.5749999999970895E-2</v>
      </c>
      <c r="AF286">
        <f>IFERROR(CORREL(J144:N144,J286:N286),"")</f>
        <v>0.92366135951025774</v>
      </c>
      <c r="AZ286">
        <f t="shared" si="105"/>
        <v>1</v>
      </c>
      <c r="BA286" t="str">
        <f>IF(AZ286=1,IF(Q286="","",IF(Q286=N144,"Yes","No")),"")</f>
        <v>No</v>
      </c>
      <c r="BB286" t="str">
        <f t="shared" si="106"/>
        <v/>
      </c>
      <c r="BC286" t="str">
        <f>IF(AZ286=1,IF(S286="","",IF(S286=N144,"Yes","No")),"")</f>
        <v>No</v>
      </c>
      <c r="BD286" t="str">
        <f t="shared" si="107"/>
        <v/>
      </c>
      <c r="BE286" t="str">
        <f t="shared" si="108"/>
        <v>Increasing</v>
      </c>
      <c r="BF286" t="str">
        <f t="shared" si="109"/>
        <v>No</v>
      </c>
      <c r="BG286" t="str">
        <f t="shared" si="110"/>
        <v>No</v>
      </c>
      <c r="BH286" t="str">
        <f t="shared" si="111"/>
        <v>Yes</v>
      </c>
    </row>
    <row r="287" spans="1:60" x14ac:dyDescent="0.3">
      <c r="A287" s="1">
        <v>40</v>
      </c>
      <c r="B287" t="s">
        <v>747</v>
      </c>
      <c r="C287" t="s">
        <v>4297</v>
      </c>
      <c r="D287" t="s">
        <v>4298</v>
      </c>
      <c r="E287" t="s">
        <v>4299</v>
      </c>
      <c r="F287" t="s">
        <v>4300</v>
      </c>
      <c r="G287" t="s">
        <v>4301</v>
      </c>
      <c r="I287" t="str">
        <f t="shared" si="88"/>
        <v>N/A</v>
      </c>
      <c r="J287">
        <f t="shared" si="89"/>
        <v>243930000</v>
      </c>
      <c r="K287">
        <f t="shared" si="90"/>
        <v>227230000</v>
      </c>
      <c r="L287">
        <f t="shared" si="91"/>
        <v>205620000</v>
      </c>
      <c r="M287">
        <f t="shared" si="92"/>
        <v>186580000</v>
      </c>
      <c r="N287">
        <f t="shared" si="93"/>
        <v>196470000</v>
      </c>
      <c r="P287">
        <f t="shared" si="94"/>
        <v>243930000</v>
      </c>
      <c r="Q287">
        <f>IFERROR(J144+MATCH(P287,J287:N287,0)-1,"")</f>
        <v>2012</v>
      </c>
      <c r="R287">
        <f t="shared" si="95"/>
        <v>186580000</v>
      </c>
      <c r="S287">
        <f>IFERROR(J144+MATCH(R287,J287:N287,0)-1,"")</f>
        <v>2015</v>
      </c>
      <c r="T287">
        <f t="shared" si="96"/>
        <v>211966000</v>
      </c>
      <c r="U287">
        <f t="shared" si="97"/>
        <v>23342738.2712483</v>
      </c>
      <c r="V287">
        <f t="shared" si="98"/>
        <v>1.3693337786068858</v>
      </c>
      <c r="W287">
        <f t="shared" si="99"/>
        <v>0.65390785873656321</v>
      </c>
      <c r="X287">
        <f t="shared" si="100"/>
        <v>-0.27186184955072262</v>
      </c>
      <c r="Y287">
        <f t="shared" si="101"/>
        <v>-1.0875330779537731</v>
      </c>
      <c r="Z287">
        <f t="shared" si="102"/>
        <v>-0.66384670983895333</v>
      </c>
      <c r="AA287">
        <f t="shared" si="103"/>
        <v>1.3693337786068858</v>
      </c>
      <c r="AB287">
        <f>IFERROR(V144+MATCH(AA287,V287:Z287,0)-1,"")</f>
        <v>2012</v>
      </c>
      <c r="AC287" t="str">
        <f t="shared" si="104"/>
        <v>High</v>
      </c>
      <c r="AE287">
        <f>IF(ISNUMBER(MATCH("N/A",J287:N287,0)),"",IFERROR((5 * SUMPRODUCT(J144:N144,J287:N287) - PRODUCT(SUM(J144:N144),SUM(J287:N287))) / ((5 * SUM((J144^2)+(K144^2)+(L144^2)+(M144^2)+(N144^2))) - SUM(J144:N144)^2),""))</f>
        <v>-13557000</v>
      </c>
      <c r="AF287">
        <f>IFERROR(CORREL(J144:N144,J287:N287),"")</f>
        <v>-0.91829411230017843</v>
      </c>
      <c r="AZ287">
        <f t="shared" si="105"/>
        <v>1</v>
      </c>
      <c r="BA287" t="str">
        <f>IF(AZ287=1,IF(Q287="","",IF(Q287=N144,"Yes","No")),"")</f>
        <v>No</v>
      </c>
      <c r="BB287" t="str">
        <f t="shared" si="106"/>
        <v/>
      </c>
      <c r="BC287" t="str">
        <f>IF(AZ287=1,IF(S287="","",IF(S287=N144,"Yes","No")),"")</f>
        <v>No</v>
      </c>
      <c r="BD287" t="str">
        <f t="shared" si="107"/>
        <v/>
      </c>
      <c r="BE287" t="str">
        <f t="shared" si="108"/>
        <v>Decreasing</v>
      </c>
      <c r="BF287" t="str">
        <f t="shared" si="109"/>
        <v>No</v>
      </c>
      <c r="BG287" t="str">
        <f t="shared" si="110"/>
        <v>No</v>
      </c>
      <c r="BH287" t="str">
        <f t="shared" si="111"/>
        <v>Yes</v>
      </c>
    </row>
    <row r="288" spans="1:60" x14ac:dyDescent="0.3">
      <c r="A288" s="1">
        <v>41</v>
      </c>
      <c r="B288" t="s">
        <v>748</v>
      </c>
      <c r="C288" t="s">
        <v>4302</v>
      </c>
      <c r="D288" t="s">
        <v>4303</v>
      </c>
      <c r="E288" t="s">
        <v>4304</v>
      </c>
      <c r="F288" t="s">
        <v>59</v>
      </c>
      <c r="G288" t="s">
        <v>4305</v>
      </c>
      <c r="I288" t="str">
        <f t="shared" si="88"/>
        <v>N/A</v>
      </c>
      <c r="J288">
        <f t="shared" si="89"/>
        <v>2160000000</v>
      </c>
      <c r="K288">
        <f t="shared" si="90"/>
        <v>2740000000</v>
      </c>
      <c r="L288">
        <f t="shared" si="91"/>
        <v>3350000000</v>
      </c>
      <c r="M288">
        <f t="shared" si="92"/>
        <v>3260000000</v>
      </c>
      <c r="N288">
        <f t="shared" si="93"/>
        <v>3090000000</v>
      </c>
      <c r="P288">
        <f t="shared" si="94"/>
        <v>3350000000</v>
      </c>
      <c r="Q288">
        <f>IFERROR(J144+MATCH(P288,J288:N288,0)-1,"")</f>
        <v>2014</v>
      </c>
      <c r="R288">
        <f t="shared" si="95"/>
        <v>2160000000</v>
      </c>
      <c r="S288">
        <f>IFERROR(J144+MATCH(R288,J288:N288,0)-1,"")</f>
        <v>2012</v>
      </c>
      <c r="T288">
        <f t="shared" si="96"/>
        <v>2920000000</v>
      </c>
      <c r="U288">
        <f t="shared" si="97"/>
        <v>484613247.8585372</v>
      </c>
      <c r="V288">
        <f t="shared" si="98"/>
        <v>-1.5682608829997371</v>
      </c>
      <c r="W288">
        <f t="shared" si="99"/>
        <v>-0.3714302091315167</v>
      </c>
      <c r="X288">
        <f t="shared" si="100"/>
        <v>0.88730549959195648</v>
      </c>
      <c r="Y288">
        <f t="shared" si="101"/>
        <v>0.70159039502619813</v>
      </c>
      <c r="Z288">
        <f t="shared" si="102"/>
        <v>0.35079519751309907</v>
      </c>
      <c r="AA288">
        <f t="shared" si="103"/>
        <v>-1.5682608829997371</v>
      </c>
      <c r="AB288">
        <f>IFERROR(V144+MATCH(AA288,V288:Z288,0)-1,"")</f>
        <v>2012</v>
      </c>
      <c r="AC288" t="str">
        <f t="shared" si="104"/>
        <v>Low</v>
      </c>
      <c r="AE288">
        <f>IF(ISNUMBER(MATCH("N/A",J288:N288,0)),"",IFERROR((5 * SUMPRODUCT(J144:N144,J288:N288) - PRODUCT(SUM(J144:N144),SUM(J288:N288))) / ((5 * SUM((J144^2)+(K144^2)+(L144^2)+(M144^2)+(N144^2))) - SUM(J144:N144)^2),""))</f>
        <v>238000000</v>
      </c>
      <c r="AF288">
        <f>IFERROR(CORREL(J144:N144,J288:N288),"")</f>
        <v>0.77651827147301922</v>
      </c>
      <c r="AZ288">
        <f t="shared" si="105"/>
        <v>1</v>
      </c>
      <c r="BA288" t="str">
        <f>IF(AZ288=1,IF(Q288="","",IF(Q288=N144,"Yes","No")),"")</f>
        <v>No</v>
      </c>
      <c r="BB288" t="str">
        <f t="shared" si="106"/>
        <v/>
      </c>
      <c r="BC288" t="str">
        <f>IF(AZ288=1,IF(S288="","",IF(S288=N144,"Yes","No")),"")</f>
        <v>No</v>
      </c>
      <c r="BD288" t="str">
        <f t="shared" si="107"/>
        <v/>
      </c>
      <c r="BE288" t="str">
        <f t="shared" si="108"/>
        <v>Increasing</v>
      </c>
      <c r="BF288" t="str">
        <f t="shared" si="109"/>
        <v>No</v>
      </c>
      <c r="BG288" t="str">
        <f t="shared" si="110"/>
        <v>No</v>
      </c>
      <c r="BH288" t="str">
        <f t="shared" si="111"/>
        <v>No</v>
      </c>
    </row>
    <row r="289" spans="1:60" x14ac:dyDescent="0.3">
      <c r="A289" s="1">
        <v>42</v>
      </c>
      <c r="B289" t="s">
        <v>749</v>
      </c>
      <c r="C289" t="s">
        <v>4221</v>
      </c>
      <c r="D289" t="s">
        <v>4222</v>
      </c>
      <c r="E289" t="s">
        <v>4223</v>
      </c>
      <c r="F289" t="s">
        <v>4224</v>
      </c>
      <c r="G289" t="s">
        <v>4225</v>
      </c>
      <c r="I289" t="str">
        <f t="shared" si="88"/>
        <v>N/A</v>
      </c>
      <c r="J289">
        <f t="shared" si="89"/>
        <v>6130000000</v>
      </c>
      <c r="K289">
        <f t="shared" si="90"/>
        <v>6580000000</v>
      </c>
      <c r="L289">
        <f t="shared" si="91"/>
        <v>7250000000</v>
      </c>
      <c r="M289">
        <f t="shared" si="92"/>
        <v>6730000000</v>
      </c>
      <c r="N289">
        <f t="shared" si="93"/>
        <v>6390000000</v>
      </c>
      <c r="P289">
        <f t="shared" si="94"/>
        <v>7250000000</v>
      </c>
      <c r="Q289">
        <f>IFERROR(J144+MATCH(P289,J289:N289,0)-1,"")</f>
        <v>2014</v>
      </c>
      <c r="R289">
        <f t="shared" si="95"/>
        <v>6130000000</v>
      </c>
      <c r="S289">
        <f>IFERROR(J144+MATCH(R289,J289:N289,0)-1,"")</f>
        <v>2012</v>
      </c>
      <c r="T289">
        <f t="shared" si="96"/>
        <v>6616000000</v>
      </c>
      <c r="U289">
        <f t="shared" si="97"/>
        <v>419380495.49305463</v>
      </c>
      <c r="V289">
        <f t="shared" si="98"/>
        <v>-1.1588521765386885</v>
      </c>
      <c r="W289">
        <f t="shared" si="99"/>
        <v>-8.5840901965828775E-2</v>
      </c>
      <c r="X289">
        <f t="shared" si="100"/>
        <v>1.5117536623982069</v>
      </c>
      <c r="Y289">
        <f t="shared" si="101"/>
        <v>0.27182952289179113</v>
      </c>
      <c r="Z289">
        <f t="shared" si="102"/>
        <v>-0.53889010678548066</v>
      </c>
      <c r="AA289">
        <f t="shared" si="103"/>
        <v>1.5117536623982069</v>
      </c>
      <c r="AB289">
        <f>IFERROR(V144+MATCH(AA289,V289:Z289,0)-1,"")</f>
        <v>2014</v>
      </c>
      <c r="AC289" t="str">
        <f t="shared" si="104"/>
        <v>High</v>
      </c>
      <c r="AE289">
        <f>IF(ISNUMBER(MATCH("N/A",J289:N289,0)),"",IFERROR((5 * SUMPRODUCT(J144:N144,J289:N289) - PRODUCT(SUM(J144:N144),SUM(J289:N289))) / ((5 * SUM((J144^2)+(K144^2)+(L144^2)+(M144^2)+(N144^2))) - SUM(J144:N144)^2),""))</f>
        <v>67000000</v>
      </c>
      <c r="AF289">
        <f>IFERROR(CORREL(J144:N144,J289:N289),"")</f>
        <v>0.25260188004474121</v>
      </c>
      <c r="AZ289">
        <f t="shared" si="105"/>
        <v>1</v>
      </c>
      <c r="BA289" t="str">
        <f>IF(AZ289=1,IF(Q289="","",IF(Q289=N144,"Yes","No")),"")</f>
        <v>No</v>
      </c>
      <c r="BB289" t="str">
        <f t="shared" si="106"/>
        <v/>
      </c>
      <c r="BC289" t="str">
        <f>IF(AZ289=1,IF(S289="","",IF(S289=N144,"Yes","No")),"")</f>
        <v>No</v>
      </c>
      <c r="BD289" t="str">
        <f t="shared" si="107"/>
        <v/>
      </c>
      <c r="BE289" t="str">
        <f t="shared" si="108"/>
        <v>Increasing</v>
      </c>
      <c r="BF289" t="str">
        <f t="shared" si="109"/>
        <v>No</v>
      </c>
      <c r="BG289" t="str">
        <f t="shared" si="110"/>
        <v>No</v>
      </c>
      <c r="BH289" t="str">
        <f t="shared" si="111"/>
        <v>No</v>
      </c>
    </row>
    <row r="290" spans="1:60" x14ac:dyDescent="0.3">
      <c r="I290" t="str">
        <f t="shared" si="88"/>
        <v>N/A</v>
      </c>
      <c r="J290" t="str">
        <f t="shared" si="89"/>
        <v>N/A</v>
      </c>
      <c r="K290" t="str">
        <f t="shared" si="90"/>
        <v>N/A</v>
      </c>
      <c r="L290" t="str">
        <f t="shared" si="91"/>
        <v>N/A</v>
      </c>
      <c r="M290" t="str">
        <f t="shared" si="92"/>
        <v>N/A</v>
      </c>
      <c r="N290" t="str">
        <f t="shared" si="93"/>
        <v>N/A</v>
      </c>
      <c r="P290">
        <f t="shared" si="94"/>
        <v>0</v>
      </c>
      <c r="Q290" t="str">
        <f>IFERROR(J144+MATCH(P290,J290:N290,0)-1,"")</f>
        <v/>
      </c>
      <c r="R290" t="str">
        <f t="shared" si="95"/>
        <v/>
      </c>
      <c r="S290" t="str">
        <f>IFERROR(J144+MATCH(R290,J290:N290,0)-1,"")</f>
        <v/>
      </c>
      <c r="T290" t="str">
        <f t="shared" si="96"/>
        <v/>
      </c>
      <c r="U290" t="str">
        <f t="shared" si="97"/>
        <v/>
      </c>
      <c r="V290" t="str">
        <f t="shared" si="98"/>
        <v/>
      </c>
      <c r="W290" t="str">
        <f t="shared" si="99"/>
        <v/>
      </c>
      <c r="X290" t="str">
        <f t="shared" si="100"/>
        <v/>
      </c>
      <c r="Y290" t="str">
        <f t="shared" si="101"/>
        <v/>
      </c>
      <c r="Z290" t="str">
        <f t="shared" si="102"/>
        <v/>
      </c>
      <c r="AA290">
        <f t="shared" si="103"/>
        <v>0</v>
      </c>
      <c r="AB290" t="str">
        <f>IFERROR(V144+MATCH(AA290,V290:Z290,0)-1,"")</f>
        <v/>
      </c>
      <c r="AC290" t="str">
        <f t="shared" si="104"/>
        <v/>
      </c>
      <c r="AE290" t="str">
        <f>IF(ISNUMBER(MATCH("N/A",J290:N290,0)),"",IFERROR((5 * SUMPRODUCT(J144:N144,J290:N290) - PRODUCT(SUM(J144:N144),SUM(J290:N290))) / ((5 * SUM((J144^2)+(K144^2)+(L144^2)+(M144^2)+(N144^2))) - SUM(J144:N144)^2),""))</f>
        <v/>
      </c>
      <c r="AF290" t="str">
        <f>IFERROR(CORREL(J144:N144,J290:N290),"")</f>
        <v/>
      </c>
      <c r="AZ290">
        <f t="shared" si="105"/>
        <v>0</v>
      </c>
      <c r="BA290" t="str">
        <f>IF(AZ290=1,IF(Q290="","",IF(Q290=N144,"Yes","No")),"")</f>
        <v/>
      </c>
      <c r="BB290" t="str">
        <f t="shared" si="106"/>
        <v/>
      </c>
      <c r="BC290" t="str">
        <f>IF(AZ290=1,IF(S290="","",IF(S290=N144,"Yes","No")),"")</f>
        <v/>
      </c>
      <c r="BD290" t="str">
        <f t="shared" si="107"/>
        <v/>
      </c>
      <c r="BE290" t="str">
        <f t="shared" si="108"/>
        <v/>
      </c>
      <c r="BF290" t="str">
        <f t="shared" si="109"/>
        <v>No</v>
      </c>
      <c r="BG290" t="str">
        <f t="shared" si="110"/>
        <v>No</v>
      </c>
      <c r="BH290" t="str">
        <f t="shared" si="111"/>
        <v/>
      </c>
    </row>
    <row r="291" spans="1:60" x14ac:dyDescent="0.3">
      <c r="B291" s="1" t="s">
        <v>251</v>
      </c>
      <c r="C291" s="1" t="s">
        <v>252</v>
      </c>
      <c r="D291" s="1" t="s">
        <v>253</v>
      </c>
      <c r="E291" s="1" t="s">
        <v>254</v>
      </c>
      <c r="F291" s="1" t="s">
        <v>255</v>
      </c>
      <c r="G291" s="1" t="s">
        <v>256</v>
      </c>
      <c r="H291" s="1" t="s">
        <v>257</v>
      </c>
      <c r="I291" t="str">
        <f t="shared" si="88"/>
        <v>pos_trend</v>
      </c>
      <c r="J291">
        <f t="shared" si="89"/>
        <v>2012</v>
      </c>
      <c r="K291">
        <f t="shared" si="90"/>
        <v>2013</v>
      </c>
      <c r="L291">
        <f t="shared" si="91"/>
        <v>2014</v>
      </c>
      <c r="M291">
        <f t="shared" si="92"/>
        <v>2015</v>
      </c>
      <c r="N291">
        <f t="shared" si="93"/>
        <v>2016</v>
      </c>
      <c r="P291">
        <f t="shared" si="94"/>
        <v>2016</v>
      </c>
      <c r="Q291">
        <f>IFERROR(J144+MATCH(P291,J291:N291,0)-1,"")</f>
        <v>2016</v>
      </c>
      <c r="R291">
        <f t="shared" si="95"/>
        <v>2012</v>
      </c>
      <c r="S291">
        <f>IFERROR(J144+MATCH(R291,J291:N291,0)-1,"")</f>
        <v>2012</v>
      </c>
      <c r="T291">
        <f t="shared" si="96"/>
        <v>2014</v>
      </c>
      <c r="U291">
        <f t="shared" si="97"/>
        <v>1.5811388300841898</v>
      </c>
      <c r="V291">
        <f t="shared" si="98"/>
        <v>-1.2649110640673518</v>
      </c>
      <c r="W291">
        <f t="shared" si="99"/>
        <v>-0.63245553203367588</v>
      </c>
      <c r="X291">
        <f t="shared" si="100"/>
        <v>0</v>
      </c>
      <c r="Y291">
        <f t="shared" si="101"/>
        <v>0.63245553203367588</v>
      </c>
      <c r="Z291">
        <f t="shared" si="102"/>
        <v>1.2649110640673518</v>
      </c>
      <c r="AA291">
        <f t="shared" si="103"/>
        <v>-1.2649110640673518</v>
      </c>
      <c r="AB291">
        <f>IFERROR(V144+MATCH(AA291,V291:Z291,0)-1,"")</f>
        <v>2012</v>
      </c>
      <c r="AC291" t="str">
        <f t="shared" si="104"/>
        <v>Low</v>
      </c>
      <c r="AE291">
        <f>IF(ISNUMBER(MATCH("N/A",J291:N291,0)),"",IFERROR((5 * SUMPRODUCT(J144:N144,J291:N291) - PRODUCT(SUM(J144:N144),SUM(J291:N291))) / ((5 * SUM((J144^2)+(K144^2)+(L144^2)+(M144^2)+(N144^2))) - SUM(J144:N144)^2),""))</f>
        <v>1</v>
      </c>
      <c r="AF291">
        <f>IFERROR(CORREL(J144:N144,J291:N291),"")</f>
        <v>0.99999999999999978</v>
      </c>
      <c r="AZ291">
        <f t="shared" si="105"/>
        <v>1</v>
      </c>
      <c r="BA291" t="str">
        <f>IF(AZ291=1,IF(Q291="","",IF(Q291=N144,"Yes","No")),"")</f>
        <v>Yes</v>
      </c>
      <c r="BB291">
        <f t="shared" si="106"/>
        <v>2016</v>
      </c>
      <c r="BC291" t="str">
        <f>IF(AZ291=1,IF(S291="","",IF(S291=N144,"Yes","No")),"")</f>
        <v>No</v>
      </c>
      <c r="BD291" t="str">
        <f t="shared" si="107"/>
        <v/>
      </c>
      <c r="BE291" t="str">
        <f t="shared" si="108"/>
        <v>Increasing</v>
      </c>
      <c r="BF291" t="str">
        <f t="shared" si="109"/>
        <v>Yes</v>
      </c>
      <c r="BG291" t="str">
        <f t="shared" si="110"/>
        <v>Yes</v>
      </c>
      <c r="BH291" t="str">
        <f t="shared" si="111"/>
        <v>Yes</v>
      </c>
    </row>
    <row r="292" spans="1:60" x14ac:dyDescent="0.3">
      <c r="A292" s="1">
        <v>0</v>
      </c>
      <c r="B292" t="s">
        <v>750</v>
      </c>
      <c r="C292" t="s">
        <v>4048</v>
      </c>
      <c r="D292" t="s">
        <v>4306</v>
      </c>
      <c r="E292" t="s">
        <v>4050</v>
      </c>
      <c r="F292" t="s">
        <v>4051</v>
      </c>
      <c r="G292" t="s">
        <v>4052</v>
      </c>
      <c r="I292" t="str">
        <f t="shared" si="88"/>
        <v>N/A</v>
      </c>
      <c r="J292">
        <f t="shared" si="89"/>
        <v>-42260000</v>
      </c>
      <c r="K292">
        <f t="shared" si="90"/>
        <v>209140000</v>
      </c>
      <c r="L292">
        <f t="shared" si="91"/>
        <v>420270000</v>
      </c>
      <c r="M292">
        <f t="shared" si="92"/>
        <v>187180000</v>
      </c>
      <c r="N292">
        <f t="shared" si="93"/>
        <v>145190000</v>
      </c>
      <c r="P292">
        <f t="shared" si="94"/>
        <v>420270000</v>
      </c>
      <c r="Q292">
        <f>IFERROR(J144+MATCH(P292,J292:N292,0)-1,"")</f>
        <v>2014</v>
      </c>
      <c r="R292">
        <f t="shared" si="95"/>
        <v>-42260000</v>
      </c>
      <c r="S292">
        <f>IFERROR(J144+MATCH(R292,J292:N292,0)-1,"")</f>
        <v>2012</v>
      </c>
      <c r="T292">
        <f t="shared" si="96"/>
        <v>183904000</v>
      </c>
      <c r="U292">
        <f t="shared" si="97"/>
        <v>165200940.160763</v>
      </c>
      <c r="V292">
        <f t="shared" si="98"/>
        <v>-1.3690236858211076</v>
      </c>
      <c r="W292">
        <f t="shared" si="99"/>
        <v>0.15275942119604125</v>
      </c>
      <c r="X292">
        <f t="shared" si="100"/>
        <v>1.4307787823119149</v>
      </c>
      <c r="Y292">
        <f t="shared" si="101"/>
        <v>1.9830395618886953E-2</v>
      </c>
      <c r="Z292">
        <f t="shared" si="102"/>
        <v>-0.23434491330573548</v>
      </c>
      <c r="AA292">
        <f t="shared" si="103"/>
        <v>1.4307787823119149</v>
      </c>
      <c r="AB292">
        <f>IFERROR(V144+MATCH(AA292,V292:Z292,0)-1,"")</f>
        <v>2014</v>
      </c>
      <c r="AC292" t="str">
        <f t="shared" si="104"/>
        <v>High</v>
      </c>
      <c r="AE292">
        <f>IF(ISNUMBER(MATCH("N/A",J292:N292,0)),"",IFERROR((5 * SUMPRODUCT(J144:N144,J292:N292) - PRODUCT(SUM(J144:N144),SUM(J292:N292))) / ((5 * SUM((J144^2)+(K144^2)+(L144^2)+(M144^2)+(N144^2))) - SUM(J144:N144)^2),""))</f>
        <v>35294000</v>
      </c>
      <c r="AF292">
        <f>IFERROR(CORREL(J144:N144,J292:N292),"")</f>
        <v>0.33779900898073462</v>
      </c>
      <c r="AZ292">
        <f t="shared" si="105"/>
        <v>1</v>
      </c>
      <c r="BA292" t="str">
        <f>IF(AZ292=1,IF(Q292="","",IF(Q292=N144,"Yes","No")),"")</f>
        <v>No</v>
      </c>
      <c r="BB292" t="str">
        <f t="shared" si="106"/>
        <v/>
      </c>
      <c r="BC292" t="str">
        <f>IF(AZ292=1,IF(S292="","",IF(S292=N144,"Yes","No")),"")</f>
        <v>No</v>
      </c>
      <c r="BD292" t="str">
        <f t="shared" si="107"/>
        <v/>
      </c>
      <c r="BE292" t="str">
        <f t="shared" si="108"/>
        <v>Increasing</v>
      </c>
      <c r="BF292" t="str">
        <f t="shared" si="109"/>
        <v>No</v>
      </c>
      <c r="BG292" t="str">
        <f t="shared" si="110"/>
        <v>No</v>
      </c>
      <c r="BH292" t="str">
        <f t="shared" si="111"/>
        <v>No</v>
      </c>
    </row>
    <row r="293" spans="1:60" x14ac:dyDescent="0.3">
      <c r="A293" s="1">
        <v>1</v>
      </c>
      <c r="B293" t="s">
        <v>409</v>
      </c>
      <c r="C293" t="s">
        <v>264</v>
      </c>
      <c r="D293" t="s">
        <v>4307</v>
      </c>
      <c r="E293" t="s">
        <v>4308</v>
      </c>
      <c r="F293" t="s">
        <v>4309</v>
      </c>
      <c r="G293" t="s">
        <v>4310</v>
      </c>
      <c r="I293" t="str">
        <f t="shared" si="88"/>
        <v>N/A</v>
      </c>
      <c r="J293" t="str">
        <f t="shared" si="89"/>
        <v>N/A</v>
      </c>
      <c r="K293">
        <f t="shared" si="90"/>
        <v>5.9485000000000001</v>
      </c>
      <c r="L293">
        <f t="shared" si="91"/>
        <v>1.0095000000000001</v>
      </c>
      <c r="M293">
        <f t="shared" si="92"/>
        <v>-0.55459999999999998</v>
      </c>
      <c r="N293">
        <f t="shared" si="93"/>
        <v>-0.2243</v>
      </c>
      <c r="P293">
        <f t="shared" si="94"/>
        <v>5.9485000000000001</v>
      </c>
      <c r="Q293">
        <f>IFERROR(J144+MATCH(P293,J293:N293,0)-1,"")</f>
        <v>2013</v>
      </c>
      <c r="R293">
        <f t="shared" si="95"/>
        <v>-0.55459999999999998</v>
      </c>
      <c r="S293">
        <f>IFERROR(J144+MATCH(R293,J293:N293,0)-1,"")</f>
        <v>2015</v>
      </c>
      <c r="T293">
        <f t="shared" si="96"/>
        <v>1.544775</v>
      </c>
      <c r="U293">
        <f t="shared" si="97"/>
        <v>3.0119935229844037</v>
      </c>
      <c r="V293" t="str">
        <f t="shared" si="98"/>
        <v/>
      </c>
      <c r="W293">
        <f t="shared" si="99"/>
        <v>1.4620632369875128</v>
      </c>
      <c r="X293">
        <f t="shared" si="100"/>
        <v>-0.17771452558424763</v>
      </c>
      <c r="Y293">
        <f t="shared" si="101"/>
        <v>-0.69700515090080783</v>
      </c>
      <c r="Z293">
        <f t="shared" si="102"/>
        <v>-0.5873435605024574</v>
      </c>
      <c r="AA293">
        <f t="shared" si="103"/>
        <v>1.4620632369875128</v>
      </c>
      <c r="AB293">
        <f>IFERROR(V144+MATCH(AA293,V293:Z293,0)-1,"")</f>
        <v>2013</v>
      </c>
      <c r="AC293" t="str">
        <f t="shared" si="104"/>
        <v>High</v>
      </c>
      <c r="AE293" t="str">
        <f>IF(ISNUMBER(MATCH("N/A",J293:N293,0)),"",IFERROR((5 * SUMPRODUCT(J144:N144,J293:N293) - PRODUCT(SUM(J144:N144),SUM(J293:N293))) / ((5 * SUM((J144^2)+(K144^2)+(L144^2)+(M144^2)+(N144^2))) - SUM(J144:N144)^2),""))</f>
        <v/>
      </c>
      <c r="AF293">
        <f>IFERROR(CORREL(J144:N144,J293:N293),"")</f>
        <v>-0.86077197108471559</v>
      </c>
      <c r="AZ293">
        <f t="shared" si="105"/>
        <v>1</v>
      </c>
      <c r="BA293" t="str">
        <f>IF(AZ293=1,IF(Q293="","",IF(Q293=N144,"Yes","No")),"")</f>
        <v>No</v>
      </c>
      <c r="BB293" t="str">
        <f t="shared" si="106"/>
        <v/>
      </c>
      <c r="BC293" t="str">
        <f>IF(AZ293=1,IF(S293="","",IF(S293=N144,"Yes","No")),"")</f>
        <v>No</v>
      </c>
      <c r="BD293" t="str">
        <f t="shared" si="107"/>
        <v/>
      </c>
      <c r="BE293" t="str">
        <f t="shared" si="108"/>
        <v/>
      </c>
      <c r="BF293" t="str">
        <f t="shared" si="109"/>
        <v>No</v>
      </c>
      <c r="BG293" t="str">
        <f t="shared" si="110"/>
        <v>No</v>
      </c>
      <c r="BH293" t="str">
        <f t="shared" si="111"/>
        <v>Yes</v>
      </c>
    </row>
    <row r="294" spans="1:60" x14ac:dyDescent="0.3">
      <c r="A294" s="1">
        <v>2</v>
      </c>
      <c r="B294" t="s">
        <v>751</v>
      </c>
      <c r="C294" t="s">
        <v>3943</v>
      </c>
      <c r="D294" t="s">
        <v>3944</v>
      </c>
      <c r="E294" t="s">
        <v>4311</v>
      </c>
      <c r="F294" t="s">
        <v>3946</v>
      </c>
      <c r="G294" t="s">
        <v>3947</v>
      </c>
      <c r="I294" t="str">
        <f t="shared" si="88"/>
        <v>N/A</v>
      </c>
      <c r="J294">
        <f t="shared" si="89"/>
        <v>200400000</v>
      </c>
      <c r="K294">
        <f t="shared" si="90"/>
        <v>119260000</v>
      </c>
      <c r="L294">
        <f t="shared" si="91"/>
        <v>174720000</v>
      </c>
      <c r="M294">
        <f t="shared" si="92"/>
        <v>154540000</v>
      </c>
      <c r="N294">
        <f t="shared" si="93"/>
        <v>143260000</v>
      </c>
      <c r="P294">
        <f t="shared" si="94"/>
        <v>200400000</v>
      </c>
      <c r="Q294">
        <f>IFERROR(J144+MATCH(P294,J294:N294,0)-1,"")</f>
        <v>2012</v>
      </c>
      <c r="R294">
        <f t="shared" si="95"/>
        <v>119260000</v>
      </c>
      <c r="S294">
        <f>IFERROR(J144+MATCH(R294,J294:N294,0)-1,"")</f>
        <v>2013</v>
      </c>
      <c r="T294">
        <f t="shared" si="96"/>
        <v>158436000</v>
      </c>
      <c r="U294">
        <f t="shared" si="97"/>
        <v>30847993.127592597</v>
      </c>
      <c r="V294">
        <f t="shared" si="98"/>
        <v>1.360347813435697</v>
      </c>
      <c r="W294">
        <f t="shared" si="99"/>
        <v>-1.2699691625954834</v>
      </c>
      <c r="X294">
        <f t="shared" si="100"/>
        <v>0.52787874830776116</v>
      </c>
      <c r="Y294">
        <f t="shared" si="101"/>
        <v>-0.12629670863467438</v>
      </c>
      <c r="Z294">
        <f t="shared" si="102"/>
        <v>-0.49196069051330044</v>
      </c>
      <c r="AA294">
        <f t="shared" si="103"/>
        <v>1.360347813435697</v>
      </c>
      <c r="AB294">
        <f>IFERROR(V144+MATCH(AA294,V294:Z294,0)-1,"")</f>
        <v>2012</v>
      </c>
      <c r="AC294" t="str">
        <f t="shared" si="104"/>
        <v>High</v>
      </c>
      <c r="AE294">
        <f>IF(ISNUMBER(MATCH("N/A",J294:N294,0)),"",IFERROR((5 * SUMPRODUCT(J144:N144,J294:N294) - PRODUCT(SUM(J144:N144),SUM(J294:N294))) / ((5 * SUM((J144^2)+(K144^2)+(L144^2)+(M144^2)+(N144^2))) - SUM(J144:N144)^2),""))</f>
        <v>-7900000</v>
      </c>
      <c r="AF294">
        <f>IFERROR(CORREL(J144:N144,J294:N294),"")</f>
        <v>-0.40492088759227191</v>
      </c>
      <c r="AZ294">
        <f t="shared" si="105"/>
        <v>1</v>
      </c>
      <c r="BA294" t="str">
        <f>IF(AZ294=1,IF(Q294="","",IF(Q294=N144,"Yes","No")),"")</f>
        <v>No</v>
      </c>
      <c r="BB294" t="str">
        <f t="shared" si="106"/>
        <v/>
      </c>
      <c r="BC294" t="str">
        <f>IF(AZ294=1,IF(S294="","",IF(S294=N144,"Yes","No")),"")</f>
        <v>No</v>
      </c>
      <c r="BD294" t="str">
        <f t="shared" si="107"/>
        <v/>
      </c>
      <c r="BE294" t="str">
        <f t="shared" si="108"/>
        <v>Decreasing</v>
      </c>
      <c r="BF294" t="str">
        <f t="shared" si="109"/>
        <v>No</v>
      </c>
      <c r="BG294" t="str">
        <f t="shared" si="110"/>
        <v>No</v>
      </c>
      <c r="BH294" t="str">
        <f t="shared" si="111"/>
        <v>No</v>
      </c>
    </row>
    <row r="295" spans="1:60" x14ac:dyDescent="0.3">
      <c r="A295" s="1">
        <v>3</v>
      </c>
      <c r="B295" t="s">
        <v>752</v>
      </c>
      <c r="C295" t="s">
        <v>3948</v>
      </c>
      <c r="D295" t="s">
        <v>3949</v>
      </c>
      <c r="E295" t="s">
        <v>4312</v>
      </c>
      <c r="F295" t="s">
        <v>3951</v>
      </c>
      <c r="G295" t="s">
        <v>3952</v>
      </c>
      <c r="I295" t="str">
        <f t="shared" si="88"/>
        <v>N/A</v>
      </c>
      <c r="J295">
        <f t="shared" si="89"/>
        <v>115290000</v>
      </c>
      <c r="K295">
        <f t="shared" si="90"/>
        <v>78090000</v>
      </c>
      <c r="L295">
        <f t="shared" si="91"/>
        <v>107670000</v>
      </c>
      <c r="M295">
        <f t="shared" si="92"/>
        <v>93910000</v>
      </c>
      <c r="N295">
        <f t="shared" si="93"/>
        <v>82640000</v>
      </c>
      <c r="P295">
        <f t="shared" si="94"/>
        <v>115290000</v>
      </c>
      <c r="Q295">
        <f>IFERROR(J144+MATCH(P295,J295:N295,0)-1,"")</f>
        <v>2012</v>
      </c>
      <c r="R295">
        <f t="shared" si="95"/>
        <v>78090000</v>
      </c>
      <c r="S295">
        <f>IFERROR(J144+MATCH(R295,J295:N295,0)-1,"")</f>
        <v>2013</v>
      </c>
      <c r="T295">
        <f t="shared" si="96"/>
        <v>95520000</v>
      </c>
      <c r="U295">
        <f t="shared" si="97"/>
        <v>15896279.438912742</v>
      </c>
      <c r="V295">
        <f t="shared" si="98"/>
        <v>1.2436872461869737</v>
      </c>
      <c r="W295">
        <f t="shared" si="99"/>
        <v>-1.0964829894303971</v>
      </c>
      <c r="X295">
        <f t="shared" si="100"/>
        <v>0.76432979469760909</v>
      </c>
      <c r="Y295">
        <f t="shared" si="101"/>
        <v>-0.1012815612726873</v>
      </c>
      <c r="Z295">
        <f t="shared" si="102"/>
        <v>-0.81025249018149836</v>
      </c>
      <c r="AA295">
        <f t="shared" si="103"/>
        <v>1.2436872461869737</v>
      </c>
      <c r="AB295">
        <f>IFERROR(V144+MATCH(AA295,V295:Z295,0)-1,"")</f>
        <v>2012</v>
      </c>
      <c r="AC295" t="str">
        <f t="shared" si="104"/>
        <v>High</v>
      </c>
      <c r="AE295">
        <f>IF(ISNUMBER(MATCH("N/A",J295:N295,0)),"",IFERROR((5 * SUMPRODUCT(J144:N144,J295:N295) - PRODUCT(SUM(J144:N144),SUM(J295:N295))) / ((5 * SUM((J144^2)+(K144^2)+(L144^2)+(M144^2)+(N144^2))) - SUM(J144:N144)^2),""))</f>
        <v>-4948000</v>
      </c>
      <c r="AF295">
        <f>IFERROR(CORREL(J144:N144,J295:N295),"")</f>
        <v>-0.49215761218347531</v>
      </c>
      <c r="AZ295">
        <f t="shared" si="105"/>
        <v>1</v>
      </c>
      <c r="BA295" t="str">
        <f>IF(AZ295=1,IF(Q295="","",IF(Q295=N144,"Yes","No")),"")</f>
        <v>No</v>
      </c>
      <c r="BB295" t="str">
        <f t="shared" si="106"/>
        <v/>
      </c>
      <c r="BC295" t="str">
        <f>IF(AZ295=1,IF(S295="","",IF(S295=N144,"Yes","No")),"")</f>
        <v>No</v>
      </c>
      <c r="BD295" t="str">
        <f t="shared" si="107"/>
        <v/>
      </c>
      <c r="BE295" t="str">
        <f t="shared" si="108"/>
        <v>Decreasing</v>
      </c>
      <c r="BF295" t="str">
        <f t="shared" si="109"/>
        <v>No</v>
      </c>
      <c r="BG295" t="str">
        <f t="shared" si="110"/>
        <v>No</v>
      </c>
      <c r="BH295" t="str">
        <f t="shared" si="111"/>
        <v>No</v>
      </c>
    </row>
    <row r="296" spans="1:60" x14ac:dyDescent="0.3">
      <c r="A296" s="1">
        <v>4</v>
      </c>
      <c r="B296" t="s">
        <v>753</v>
      </c>
      <c r="C296" t="s">
        <v>3953</v>
      </c>
      <c r="D296" t="s">
        <v>3954</v>
      </c>
      <c r="E296" t="s">
        <v>3955</v>
      </c>
      <c r="F296" t="s">
        <v>3956</v>
      </c>
      <c r="G296" t="s">
        <v>3957</v>
      </c>
      <c r="I296" t="str">
        <f t="shared" si="88"/>
        <v>N/A</v>
      </c>
      <c r="J296">
        <f t="shared" si="89"/>
        <v>85110000</v>
      </c>
      <c r="K296">
        <f t="shared" si="90"/>
        <v>41170000</v>
      </c>
      <c r="L296">
        <f t="shared" si="91"/>
        <v>67050000</v>
      </c>
      <c r="M296">
        <f t="shared" si="92"/>
        <v>60630000</v>
      </c>
      <c r="N296">
        <f t="shared" si="93"/>
        <v>60620000</v>
      </c>
      <c r="P296">
        <f t="shared" si="94"/>
        <v>85110000</v>
      </c>
      <c r="Q296">
        <f>IFERROR(J144+MATCH(P296,J296:N296,0)-1,"")</f>
        <v>2012</v>
      </c>
      <c r="R296">
        <f t="shared" si="95"/>
        <v>41170000</v>
      </c>
      <c r="S296">
        <f>IFERROR(J144+MATCH(R296,J296:N296,0)-1,"")</f>
        <v>2013</v>
      </c>
      <c r="T296">
        <f t="shared" si="96"/>
        <v>62916000</v>
      </c>
      <c r="U296">
        <f t="shared" si="97"/>
        <v>15756344.119115956</v>
      </c>
      <c r="V296">
        <f t="shared" si="98"/>
        <v>1.4085754812294138</v>
      </c>
      <c r="W296">
        <f t="shared" si="99"/>
        <v>-1.3801424896284955</v>
      </c>
      <c r="X296">
        <f t="shared" si="100"/>
        <v>0.26237050731740091</v>
      </c>
      <c r="Y296">
        <f t="shared" si="101"/>
        <v>-0.14508441696361357</v>
      </c>
      <c r="Z296">
        <f t="shared" si="102"/>
        <v>-0.14571908195470551</v>
      </c>
      <c r="AA296">
        <f t="shared" si="103"/>
        <v>1.4085754812294138</v>
      </c>
      <c r="AB296">
        <f>IFERROR(V144+MATCH(AA296,V296:Z296,0)-1,"")</f>
        <v>2012</v>
      </c>
      <c r="AC296" t="str">
        <f t="shared" si="104"/>
        <v>High</v>
      </c>
      <c r="AE296">
        <f>IF(ISNUMBER(MATCH("N/A",J296:N296,0)),"",IFERROR((5 * SUMPRODUCT(J144:N144,J296:N296) - PRODUCT(SUM(J144:N144),SUM(J296:N296))) / ((5 * SUM((J144^2)+(K144^2)+(L144^2)+(M144^2)+(N144^2))) - SUM(J144:N144)^2),""))</f>
        <v>-2952000</v>
      </c>
      <c r="AF296">
        <f>IFERROR(CORREL(J144:N144,J296:N296),"")</f>
        <v>-0.29623126983789239</v>
      </c>
      <c r="AZ296">
        <f t="shared" si="105"/>
        <v>1</v>
      </c>
      <c r="BA296" t="str">
        <f>IF(AZ296=1,IF(Q296="","",IF(Q296=N144,"Yes","No")),"")</f>
        <v>No</v>
      </c>
      <c r="BB296" t="str">
        <f t="shared" si="106"/>
        <v/>
      </c>
      <c r="BC296" t="str">
        <f>IF(AZ296=1,IF(S296="","",IF(S296=N144,"Yes","No")),"")</f>
        <v>No</v>
      </c>
      <c r="BD296" t="str">
        <f t="shared" si="107"/>
        <v/>
      </c>
      <c r="BE296" t="str">
        <f t="shared" si="108"/>
        <v>Decreasing</v>
      </c>
      <c r="BF296" t="str">
        <f t="shared" si="109"/>
        <v>No</v>
      </c>
      <c r="BG296" t="str">
        <f t="shared" si="110"/>
        <v>No</v>
      </c>
      <c r="BH296" t="str">
        <f t="shared" si="111"/>
        <v>No</v>
      </c>
    </row>
    <row r="297" spans="1:60" x14ac:dyDescent="0.3">
      <c r="A297" s="1">
        <v>5</v>
      </c>
      <c r="B297" t="s">
        <v>754</v>
      </c>
      <c r="C297" t="s">
        <v>4313</v>
      </c>
      <c r="D297" t="s">
        <v>4314</v>
      </c>
      <c r="E297" t="s">
        <v>4315</v>
      </c>
      <c r="F297" t="s">
        <v>4316</v>
      </c>
      <c r="G297" t="s">
        <v>4317</v>
      </c>
      <c r="I297" t="str">
        <f t="shared" si="88"/>
        <v>N/A</v>
      </c>
      <c r="J297">
        <f t="shared" si="89"/>
        <v>7220000</v>
      </c>
      <c r="K297">
        <f t="shared" si="90"/>
        <v>9950000</v>
      </c>
      <c r="L297">
        <f t="shared" si="91"/>
        <v>-139490000</v>
      </c>
      <c r="M297">
        <f t="shared" si="92"/>
        <v>-22720000</v>
      </c>
      <c r="N297">
        <f t="shared" si="93"/>
        <v>-1680000</v>
      </c>
      <c r="P297">
        <f t="shared" si="94"/>
        <v>9950000</v>
      </c>
      <c r="Q297">
        <f>IFERROR(J144+MATCH(P297,J297:N297,0)-1,"")</f>
        <v>2013</v>
      </c>
      <c r="R297">
        <f t="shared" si="95"/>
        <v>-139490000</v>
      </c>
      <c r="S297">
        <f>IFERROR(J144+MATCH(R297,J297:N297,0)-1,"")</f>
        <v>2014</v>
      </c>
      <c r="T297">
        <f t="shared" si="96"/>
        <v>-29344000</v>
      </c>
      <c r="U297">
        <f t="shared" si="97"/>
        <v>62893282.86868161</v>
      </c>
      <c r="V297">
        <f t="shared" si="98"/>
        <v>0.58136574101790828</v>
      </c>
      <c r="W297">
        <f t="shared" si="99"/>
        <v>0.6247726022196064</v>
      </c>
      <c r="X297">
        <f t="shared" si="100"/>
        <v>-1.7513157999715163</v>
      </c>
      <c r="Y297">
        <f t="shared" si="101"/>
        <v>0.1053212632234609</v>
      </c>
      <c r="Z297">
        <f t="shared" si="102"/>
        <v>0.43985619351054084</v>
      </c>
      <c r="AA297">
        <f t="shared" si="103"/>
        <v>-1.7513157999715163</v>
      </c>
      <c r="AB297">
        <f>IFERROR(V144+MATCH(AA297,V297:Z297,0)-1,"")</f>
        <v>2014</v>
      </c>
      <c r="AC297" t="str">
        <f t="shared" si="104"/>
        <v>Low</v>
      </c>
      <c r="AE297">
        <f>IF(ISNUMBER(MATCH("N/A",J297:N297,0)),"",IFERROR((5 * SUMPRODUCT(J144:N144,J297:N297) - PRODUCT(SUM(J144:N144),SUM(J297:N297))) / ((5 * SUM((J144^2)+(K144^2)+(L144^2)+(M144^2)+(N144^2))) - SUM(J144:N144)^2),""))</f>
        <v>-5047000</v>
      </c>
      <c r="AF297">
        <f>IFERROR(CORREL(J144:N144,J297:N297),"")</f>
        <v>-0.1268817163209115</v>
      </c>
      <c r="AZ297">
        <f t="shared" si="105"/>
        <v>1</v>
      </c>
      <c r="BA297" t="str">
        <f>IF(AZ297=1,IF(Q297="","",IF(Q297=N144,"Yes","No")),"")</f>
        <v>No</v>
      </c>
      <c r="BB297" t="str">
        <f t="shared" si="106"/>
        <v/>
      </c>
      <c r="BC297" t="str">
        <f>IF(AZ297=1,IF(S297="","",IF(S297=N144,"Yes","No")),"")</f>
        <v>No</v>
      </c>
      <c r="BD297" t="str">
        <f t="shared" si="107"/>
        <v/>
      </c>
      <c r="BE297" t="str">
        <f t="shared" si="108"/>
        <v>Decreasing</v>
      </c>
      <c r="BF297" t="str">
        <f t="shared" si="109"/>
        <v>No</v>
      </c>
      <c r="BG297" t="str">
        <f t="shared" si="110"/>
        <v>No</v>
      </c>
      <c r="BH297" t="str">
        <f t="shared" si="111"/>
        <v>No</v>
      </c>
    </row>
    <row r="298" spans="1:60" x14ac:dyDescent="0.3">
      <c r="A298" s="1">
        <v>6</v>
      </c>
      <c r="B298" t="s">
        <v>680</v>
      </c>
      <c r="C298" t="s">
        <v>4313</v>
      </c>
      <c r="D298" t="s">
        <v>4314</v>
      </c>
      <c r="E298" t="s">
        <v>4315</v>
      </c>
      <c r="F298" t="s">
        <v>4316</v>
      </c>
      <c r="G298" t="s">
        <v>4317</v>
      </c>
      <c r="I298" t="str">
        <f t="shared" si="88"/>
        <v>N/A</v>
      </c>
      <c r="J298">
        <f t="shared" si="89"/>
        <v>7220000</v>
      </c>
      <c r="K298">
        <f t="shared" si="90"/>
        <v>9950000</v>
      </c>
      <c r="L298">
        <f t="shared" si="91"/>
        <v>-139490000</v>
      </c>
      <c r="M298">
        <f t="shared" si="92"/>
        <v>-22720000</v>
      </c>
      <c r="N298">
        <f t="shared" si="93"/>
        <v>-1680000</v>
      </c>
      <c r="P298">
        <f t="shared" si="94"/>
        <v>9950000</v>
      </c>
      <c r="Q298">
        <f>IFERROR(J144+MATCH(P298,J298:N298,0)-1,"")</f>
        <v>2013</v>
      </c>
      <c r="R298">
        <f t="shared" si="95"/>
        <v>-139490000</v>
      </c>
      <c r="S298">
        <f>IFERROR(J144+MATCH(R298,J298:N298,0)-1,"")</f>
        <v>2014</v>
      </c>
      <c r="T298">
        <f t="shared" si="96"/>
        <v>-29344000</v>
      </c>
      <c r="U298">
        <f t="shared" si="97"/>
        <v>62893282.86868161</v>
      </c>
      <c r="V298">
        <f t="shared" si="98"/>
        <v>0.58136574101790828</v>
      </c>
      <c r="W298">
        <f t="shared" si="99"/>
        <v>0.6247726022196064</v>
      </c>
      <c r="X298">
        <f t="shared" si="100"/>
        <v>-1.7513157999715163</v>
      </c>
      <c r="Y298">
        <f t="shared" si="101"/>
        <v>0.1053212632234609</v>
      </c>
      <c r="Z298">
        <f t="shared" si="102"/>
        <v>0.43985619351054084</v>
      </c>
      <c r="AA298">
        <f t="shared" si="103"/>
        <v>-1.7513157999715163</v>
      </c>
      <c r="AB298">
        <f>IFERROR(V144+MATCH(AA298,V298:Z298,0)-1,"")</f>
        <v>2014</v>
      </c>
      <c r="AC298" t="str">
        <f t="shared" si="104"/>
        <v>Low</v>
      </c>
      <c r="AE298">
        <f>IF(ISNUMBER(MATCH("N/A",J298:N298,0)),"",IFERROR((5 * SUMPRODUCT(J144:N144,J298:N298) - PRODUCT(SUM(J144:N144),SUM(J298:N298))) / ((5 * SUM((J144^2)+(K144^2)+(L144^2)+(M144^2)+(N144^2))) - SUM(J144:N144)^2),""))</f>
        <v>-5047000</v>
      </c>
      <c r="AF298">
        <f>IFERROR(CORREL(J144:N144,J298:N298),"")</f>
        <v>-0.1268817163209115</v>
      </c>
      <c r="AZ298">
        <f t="shared" si="105"/>
        <v>1</v>
      </c>
      <c r="BA298" t="str">
        <f>IF(AZ298=1,IF(Q298="","",IF(Q298=N144,"Yes","No")),"")</f>
        <v>No</v>
      </c>
      <c r="BB298" t="str">
        <f t="shared" si="106"/>
        <v/>
      </c>
      <c r="BC298" t="str">
        <f>IF(AZ298=1,IF(S298="","",IF(S298=N144,"Yes","No")),"")</f>
        <v>No</v>
      </c>
      <c r="BD298" t="str">
        <f t="shared" si="107"/>
        <v/>
      </c>
      <c r="BE298" t="str">
        <f t="shared" si="108"/>
        <v>Decreasing</v>
      </c>
      <c r="BF298" t="str">
        <f t="shared" si="109"/>
        <v>No</v>
      </c>
      <c r="BG298" t="str">
        <f t="shared" si="110"/>
        <v>No</v>
      </c>
      <c r="BH298" t="str">
        <f t="shared" si="111"/>
        <v>No</v>
      </c>
    </row>
    <row r="299" spans="1:60" x14ac:dyDescent="0.3">
      <c r="A299" s="1">
        <v>7</v>
      </c>
      <c r="B299" t="s">
        <v>756</v>
      </c>
      <c r="C299" t="s">
        <v>264</v>
      </c>
      <c r="D299" t="s">
        <v>264</v>
      </c>
      <c r="E299" t="s">
        <v>264</v>
      </c>
      <c r="F299" t="s">
        <v>264</v>
      </c>
      <c r="G299" t="s">
        <v>264</v>
      </c>
      <c r="I299" t="str">
        <f t="shared" si="88"/>
        <v>N/A</v>
      </c>
      <c r="J299" t="str">
        <f t="shared" si="89"/>
        <v>N/A</v>
      </c>
      <c r="K299" t="str">
        <f t="shared" si="90"/>
        <v>N/A</v>
      </c>
      <c r="L299" t="str">
        <f t="shared" si="91"/>
        <v>N/A</v>
      </c>
      <c r="M299" t="str">
        <f t="shared" si="92"/>
        <v>N/A</v>
      </c>
      <c r="N299" t="str">
        <f t="shared" si="93"/>
        <v>N/A</v>
      </c>
      <c r="P299">
        <f t="shared" si="94"/>
        <v>0</v>
      </c>
      <c r="Q299" t="str">
        <f>IFERROR(J144+MATCH(P299,J299:N299,0)-1,"")</f>
        <v/>
      </c>
      <c r="R299" t="str">
        <f t="shared" si="95"/>
        <v/>
      </c>
      <c r="S299" t="str">
        <f>IFERROR(J144+MATCH(R299,J299:N299,0)-1,"")</f>
        <v/>
      </c>
      <c r="T299" t="str">
        <f t="shared" si="96"/>
        <v/>
      </c>
      <c r="U299" t="str">
        <f t="shared" si="97"/>
        <v/>
      </c>
      <c r="V299" t="str">
        <f t="shared" si="98"/>
        <v/>
      </c>
      <c r="W299" t="str">
        <f t="shared" si="99"/>
        <v/>
      </c>
      <c r="X299" t="str">
        <f t="shared" si="100"/>
        <v/>
      </c>
      <c r="Y299" t="str">
        <f t="shared" si="101"/>
        <v/>
      </c>
      <c r="Z299" t="str">
        <f t="shared" si="102"/>
        <v/>
      </c>
      <c r="AA299">
        <f t="shared" si="103"/>
        <v>0</v>
      </c>
      <c r="AB299" t="str">
        <f>IFERROR(V144+MATCH(AA299,V299:Z299,0)-1,"")</f>
        <v/>
      </c>
      <c r="AC299" t="str">
        <f t="shared" si="104"/>
        <v/>
      </c>
      <c r="AE299" t="str">
        <f>IF(ISNUMBER(MATCH("N/A",J299:N299,0)),"",IFERROR((5 * SUMPRODUCT(J144:N144,J299:N299) - PRODUCT(SUM(J144:N144),SUM(J299:N299))) / ((5 * SUM((J144^2)+(K144^2)+(L144^2)+(M144^2)+(N144^2))) - SUM(J144:N144)^2),""))</f>
        <v/>
      </c>
      <c r="AF299" t="str">
        <f>IFERROR(CORREL(J144:N144,J299:N299),"")</f>
        <v/>
      </c>
      <c r="AZ299">
        <f t="shared" si="105"/>
        <v>0</v>
      </c>
      <c r="BA299" t="str">
        <f>IF(AZ299=1,IF(Q299="","",IF(Q299=N144,"Yes","No")),"")</f>
        <v/>
      </c>
      <c r="BB299" t="str">
        <f t="shared" si="106"/>
        <v/>
      </c>
      <c r="BC299" t="str">
        <f>IF(AZ299=1,IF(S299="","",IF(S299=N144,"Yes","No")),"")</f>
        <v/>
      </c>
      <c r="BD299" t="str">
        <f t="shared" si="107"/>
        <v/>
      </c>
      <c r="BE299" t="str">
        <f t="shared" si="108"/>
        <v/>
      </c>
      <c r="BF299" t="str">
        <f t="shared" si="109"/>
        <v>No</v>
      </c>
      <c r="BG299" t="str">
        <f t="shared" si="110"/>
        <v>No</v>
      </c>
      <c r="BH299" t="str">
        <f t="shared" si="111"/>
        <v/>
      </c>
    </row>
    <row r="300" spans="1:60" x14ac:dyDescent="0.3">
      <c r="A300" s="1">
        <v>8</v>
      </c>
      <c r="B300" t="s">
        <v>757</v>
      </c>
      <c r="C300" t="s">
        <v>4318</v>
      </c>
      <c r="D300" t="s">
        <v>4319</v>
      </c>
      <c r="E300" t="s">
        <v>4320</v>
      </c>
      <c r="F300" t="s">
        <v>4321</v>
      </c>
      <c r="G300" t="s">
        <v>4322</v>
      </c>
      <c r="I300" t="str">
        <f t="shared" si="88"/>
        <v>N/A</v>
      </c>
      <c r="J300">
        <f t="shared" si="89"/>
        <v>9370000</v>
      </c>
      <c r="K300">
        <f t="shared" si="90"/>
        <v>43930000</v>
      </c>
      <c r="L300">
        <f t="shared" si="91"/>
        <v>26670000</v>
      </c>
      <c r="M300">
        <f t="shared" si="92"/>
        <v>26420000</v>
      </c>
      <c r="N300">
        <f t="shared" si="93"/>
        <v>23200000</v>
      </c>
      <c r="P300">
        <f t="shared" si="94"/>
        <v>43930000</v>
      </c>
      <c r="Q300">
        <f>IFERROR(J144+MATCH(P300,J300:N300,0)-1,"")</f>
        <v>2013</v>
      </c>
      <c r="R300">
        <f t="shared" si="95"/>
        <v>9370000</v>
      </c>
      <c r="S300">
        <f>IFERROR(J144+MATCH(R300,J300:N300,0)-1,"")</f>
        <v>2012</v>
      </c>
      <c r="T300">
        <f t="shared" si="96"/>
        <v>25918000</v>
      </c>
      <c r="U300">
        <f t="shared" si="97"/>
        <v>12313341.13878114</v>
      </c>
      <c r="V300">
        <f t="shared" si="98"/>
        <v>-1.3439081897830076</v>
      </c>
      <c r="W300">
        <f t="shared" si="99"/>
        <v>1.4628036206412578</v>
      </c>
      <c r="X300">
        <f t="shared" si="100"/>
        <v>6.1071969949046519E-2</v>
      </c>
      <c r="Y300">
        <f t="shared" si="101"/>
        <v>4.0768788450028397E-2</v>
      </c>
      <c r="Z300">
        <f t="shared" si="102"/>
        <v>-0.22073618925732505</v>
      </c>
      <c r="AA300">
        <f t="shared" si="103"/>
        <v>1.4628036206412578</v>
      </c>
      <c r="AB300">
        <f>IFERROR(V144+MATCH(AA300,V300:Z300,0)-1,"")</f>
        <v>2013</v>
      </c>
      <c r="AC300" t="str">
        <f t="shared" si="104"/>
        <v>High</v>
      </c>
      <c r="AE300">
        <f>IF(ISNUMBER(MATCH("N/A",J300:N300,0)),"",IFERROR((5 * SUMPRODUCT(J144:N144,J300:N300) - PRODUCT(SUM(J144:N144),SUM(J300:N300))) / ((5 * SUM((J144^2)+(K144^2)+(L144^2)+(M144^2)+(N144^2))) - SUM(J144:N144)^2),""))</f>
        <v>1015000</v>
      </c>
      <c r="AF300">
        <f>IFERROR(CORREL(J144:N144,J300:N300),"")</f>
        <v>0.13033472348791858</v>
      </c>
      <c r="AZ300">
        <f t="shared" si="105"/>
        <v>1</v>
      </c>
      <c r="BA300" t="str">
        <f>IF(AZ300=1,IF(Q300="","",IF(Q300=N144,"Yes","No")),"")</f>
        <v>No</v>
      </c>
      <c r="BB300" t="str">
        <f t="shared" si="106"/>
        <v/>
      </c>
      <c r="BC300" t="str">
        <f>IF(AZ300=1,IF(S300="","",IF(S300=N144,"Yes","No")),"")</f>
        <v>No</v>
      </c>
      <c r="BD300" t="str">
        <f t="shared" si="107"/>
        <v/>
      </c>
      <c r="BE300" t="str">
        <f t="shared" si="108"/>
        <v>Increasing</v>
      </c>
      <c r="BF300" t="str">
        <f t="shared" si="109"/>
        <v>No</v>
      </c>
      <c r="BG300" t="str">
        <f t="shared" si="110"/>
        <v>No</v>
      </c>
      <c r="BH300" t="str">
        <f t="shared" si="111"/>
        <v>No</v>
      </c>
    </row>
    <row r="301" spans="1:60" x14ac:dyDescent="0.3">
      <c r="A301" s="1">
        <v>9</v>
      </c>
      <c r="B301" t="s">
        <v>763</v>
      </c>
      <c r="C301" t="s">
        <v>4323</v>
      </c>
      <c r="D301" t="s">
        <v>4324</v>
      </c>
      <c r="E301" t="s">
        <v>4325</v>
      </c>
      <c r="F301" t="s">
        <v>4326</v>
      </c>
      <c r="G301" t="s">
        <v>4327</v>
      </c>
      <c r="I301" t="str">
        <f t="shared" si="88"/>
        <v>N/A</v>
      </c>
      <c r="J301">
        <f t="shared" si="89"/>
        <v>174730000</v>
      </c>
      <c r="K301">
        <f t="shared" si="90"/>
        <v>382270000</v>
      </c>
      <c r="L301">
        <f t="shared" si="91"/>
        <v>482180000</v>
      </c>
      <c r="M301">
        <f t="shared" si="92"/>
        <v>345430000</v>
      </c>
      <c r="N301">
        <f t="shared" si="93"/>
        <v>309960000</v>
      </c>
      <c r="P301">
        <f t="shared" si="94"/>
        <v>482180000</v>
      </c>
      <c r="Q301">
        <f>IFERROR(J144+MATCH(P301,J301:N301,0)-1,"")</f>
        <v>2014</v>
      </c>
      <c r="R301">
        <f t="shared" si="95"/>
        <v>174730000</v>
      </c>
      <c r="S301">
        <f>IFERROR(J144+MATCH(R301,J301:N301,0)-1,"")</f>
        <v>2012</v>
      </c>
      <c r="T301">
        <f t="shared" si="96"/>
        <v>338914000</v>
      </c>
      <c r="U301">
        <f t="shared" si="97"/>
        <v>112073712.03810471</v>
      </c>
      <c r="V301">
        <f t="shared" si="98"/>
        <v>-1.4649644150644172</v>
      </c>
      <c r="W301">
        <f t="shared" si="99"/>
        <v>0.38685253849055251</v>
      </c>
      <c r="X301">
        <f t="shared" si="100"/>
        <v>1.2783193970704745</v>
      </c>
      <c r="Y301">
        <f t="shared" si="101"/>
        <v>5.8140306781170777E-2</v>
      </c>
      <c r="Z301">
        <f t="shared" si="102"/>
        <v>-0.25834782727778061</v>
      </c>
      <c r="AA301">
        <f t="shared" si="103"/>
        <v>-1.4649644150644172</v>
      </c>
      <c r="AB301">
        <f>IFERROR(V144+MATCH(AA301,V301:Z301,0)-1,"")</f>
        <v>2012</v>
      </c>
      <c r="AC301" t="str">
        <f t="shared" si="104"/>
        <v>Low</v>
      </c>
      <c r="AE301">
        <f>IF(ISNUMBER(MATCH("N/A",J301:N301,0)),"",IFERROR((5 * SUMPRODUCT(J144:N144,J301:N301) - PRODUCT(SUM(J144:N144),SUM(J301:N301))) / ((5 * SUM((J144^2)+(K144^2)+(L144^2)+(M144^2)+(N144^2))) - SUM(J144:N144)^2),""))</f>
        <v>23362000</v>
      </c>
      <c r="AF301">
        <f>IFERROR(CORREL(J144:N144,J301:N301),"")</f>
        <v>0.32959170064669463</v>
      </c>
      <c r="AZ301">
        <f t="shared" si="105"/>
        <v>1</v>
      </c>
      <c r="BA301" t="str">
        <f>IF(AZ301=1,IF(Q301="","",IF(Q301=N144,"Yes","No")),"")</f>
        <v>No</v>
      </c>
      <c r="BB301" t="str">
        <f t="shared" si="106"/>
        <v/>
      </c>
      <c r="BC301" t="str">
        <f>IF(AZ301=1,IF(S301="","",IF(S301=N144,"Yes","No")),"")</f>
        <v>No</v>
      </c>
      <c r="BD301" t="str">
        <f t="shared" si="107"/>
        <v/>
      </c>
      <c r="BE301" t="str">
        <f t="shared" si="108"/>
        <v>Increasing</v>
      </c>
      <c r="BF301" t="str">
        <f t="shared" si="109"/>
        <v>No</v>
      </c>
      <c r="BG301" t="str">
        <f t="shared" si="110"/>
        <v>No</v>
      </c>
      <c r="BH301" t="str">
        <f t="shared" si="111"/>
        <v>No</v>
      </c>
    </row>
    <row r="302" spans="1:60" x14ac:dyDescent="0.3">
      <c r="A302" s="1">
        <v>10</v>
      </c>
      <c r="B302" t="s">
        <v>767</v>
      </c>
      <c r="C302" t="s">
        <v>264</v>
      </c>
      <c r="D302" t="s">
        <v>264</v>
      </c>
      <c r="E302" t="s">
        <v>264</v>
      </c>
      <c r="F302" t="s">
        <v>264</v>
      </c>
      <c r="G302" t="s">
        <v>264</v>
      </c>
      <c r="I302" t="str">
        <f t="shared" si="88"/>
        <v>N/A</v>
      </c>
      <c r="J302" t="str">
        <f t="shared" si="89"/>
        <v>N/A</v>
      </c>
      <c r="K302" t="str">
        <f t="shared" si="90"/>
        <v>N/A</v>
      </c>
      <c r="L302" t="str">
        <f t="shared" si="91"/>
        <v>N/A</v>
      </c>
      <c r="M302" t="str">
        <f t="shared" si="92"/>
        <v>N/A</v>
      </c>
      <c r="N302" t="str">
        <f t="shared" si="93"/>
        <v>N/A</v>
      </c>
      <c r="P302">
        <f t="shared" si="94"/>
        <v>0</v>
      </c>
      <c r="Q302" t="str">
        <f>IFERROR(J144+MATCH(P302,J302:N302,0)-1,"")</f>
        <v/>
      </c>
      <c r="R302" t="str">
        <f t="shared" si="95"/>
        <v/>
      </c>
      <c r="S302" t="str">
        <f>IFERROR(J144+MATCH(R302,J302:N302,0)-1,"")</f>
        <v/>
      </c>
      <c r="T302" t="str">
        <f t="shared" si="96"/>
        <v/>
      </c>
      <c r="U302" t="str">
        <f t="shared" si="97"/>
        <v/>
      </c>
      <c r="V302" t="str">
        <f t="shared" si="98"/>
        <v/>
      </c>
      <c r="W302" t="str">
        <f t="shared" si="99"/>
        <v/>
      </c>
      <c r="X302" t="str">
        <f t="shared" si="100"/>
        <v/>
      </c>
      <c r="Y302" t="str">
        <f t="shared" si="101"/>
        <v/>
      </c>
      <c r="Z302" t="str">
        <f t="shared" si="102"/>
        <v/>
      </c>
      <c r="AA302">
        <f t="shared" si="103"/>
        <v>0</v>
      </c>
      <c r="AB302" t="str">
        <f>IFERROR(V144+MATCH(AA302,V302:Z302,0)-1,"")</f>
        <v/>
      </c>
      <c r="AC302" t="str">
        <f t="shared" si="104"/>
        <v/>
      </c>
      <c r="AE302" t="str">
        <f>IF(ISNUMBER(MATCH("N/A",J302:N302,0)),"",IFERROR((5 * SUMPRODUCT(J144:N144,J302:N302) - PRODUCT(SUM(J144:N144),SUM(J302:N302))) / ((5 * SUM((J144^2)+(K144^2)+(L144^2)+(M144^2)+(N144^2))) - SUM(J144:N144)^2),""))</f>
        <v/>
      </c>
      <c r="AF302" t="str">
        <f>IFERROR(CORREL(J144:N144,J302:N302),"")</f>
        <v/>
      </c>
      <c r="AZ302">
        <f t="shared" si="105"/>
        <v>0</v>
      </c>
      <c r="BA302" t="str">
        <f>IF(AZ302=1,IF(Q302="","",IF(Q302=N144,"Yes","No")),"")</f>
        <v/>
      </c>
      <c r="BB302" t="str">
        <f t="shared" si="106"/>
        <v/>
      </c>
      <c r="BC302" t="str">
        <f>IF(AZ302=1,IF(S302="","",IF(S302=N144,"Yes","No")),"")</f>
        <v/>
      </c>
      <c r="BD302" t="str">
        <f t="shared" si="107"/>
        <v/>
      </c>
      <c r="BE302" t="str">
        <f t="shared" si="108"/>
        <v/>
      </c>
      <c r="BF302" t="str">
        <f t="shared" si="109"/>
        <v>No</v>
      </c>
      <c r="BG302" t="str">
        <f t="shared" si="110"/>
        <v>No</v>
      </c>
      <c r="BH302" t="str">
        <f t="shared" si="111"/>
        <v/>
      </c>
    </row>
    <row r="303" spans="1:60" x14ac:dyDescent="0.3">
      <c r="A303" s="1">
        <v>11</v>
      </c>
      <c r="B303" t="s">
        <v>768</v>
      </c>
      <c r="C303" t="s">
        <v>4328</v>
      </c>
      <c r="D303" t="s">
        <v>4329</v>
      </c>
      <c r="E303" t="s">
        <v>4330</v>
      </c>
      <c r="F303" t="s">
        <v>4331</v>
      </c>
      <c r="G303" t="s">
        <v>4332</v>
      </c>
      <c r="I303" t="str">
        <f t="shared" si="88"/>
        <v>N/A</v>
      </c>
      <c r="J303">
        <f t="shared" si="89"/>
        <v>-10430000</v>
      </c>
      <c r="K303">
        <f t="shared" si="90"/>
        <v>-20110000</v>
      </c>
      <c r="L303">
        <f t="shared" si="91"/>
        <v>-96430000</v>
      </c>
      <c r="M303">
        <f t="shared" si="92"/>
        <v>-41610000</v>
      </c>
      <c r="N303">
        <f t="shared" si="93"/>
        <v>-62990000</v>
      </c>
      <c r="P303">
        <f t="shared" si="94"/>
        <v>-10430000</v>
      </c>
      <c r="Q303">
        <f>IFERROR(J144+MATCH(P303,J303:N303,0)-1,"")</f>
        <v>2012</v>
      </c>
      <c r="R303">
        <f t="shared" si="95"/>
        <v>-96430000</v>
      </c>
      <c r="S303">
        <f>IFERROR(J144+MATCH(R303,J303:N303,0)-1,"")</f>
        <v>2014</v>
      </c>
      <c r="T303">
        <f t="shared" si="96"/>
        <v>-46314000</v>
      </c>
      <c r="U303">
        <f t="shared" si="97"/>
        <v>34590971.076279432</v>
      </c>
      <c r="V303">
        <f t="shared" si="98"/>
        <v>1.0373805326502457</v>
      </c>
      <c r="W303">
        <f t="shared" si="99"/>
        <v>0.75753872136793665</v>
      </c>
      <c r="X303">
        <f t="shared" si="100"/>
        <v>-1.4488173775025002</v>
      </c>
      <c r="Y303">
        <f t="shared" si="101"/>
        <v>0.13598924382975019</v>
      </c>
      <c r="Z303">
        <f t="shared" si="102"/>
        <v>-0.48209112034543244</v>
      </c>
      <c r="AA303">
        <f t="shared" si="103"/>
        <v>-1.4488173775025002</v>
      </c>
      <c r="AB303">
        <f>IFERROR(V144+MATCH(AA303,V303:Z303,0)-1,"")</f>
        <v>2014</v>
      </c>
      <c r="AC303" t="str">
        <f t="shared" si="104"/>
        <v>Low</v>
      </c>
      <c r="AE303">
        <f>IF(ISNUMBER(MATCH("N/A",J303:N303,0)),"",IFERROR((5 * SUMPRODUCT(J144:N144,J303:N303) - PRODUCT(SUM(J144:N144),SUM(J303:N303))) / ((5 * SUM((J144^2)+(K144^2)+(L144^2)+(M144^2)+(N144^2))) - SUM(J144:N144)^2),""))</f>
        <v>-12662000</v>
      </c>
      <c r="AF303">
        <f>IFERROR(CORREL(J144:N144,J303:N303),"")</f>
        <v>-0.57877472772815208</v>
      </c>
      <c r="AZ303">
        <f t="shared" si="105"/>
        <v>1</v>
      </c>
      <c r="BA303" t="str">
        <f>IF(AZ303=1,IF(Q303="","",IF(Q303=N144,"Yes","No")),"")</f>
        <v>No</v>
      </c>
      <c r="BB303" t="str">
        <f t="shared" si="106"/>
        <v/>
      </c>
      <c r="BC303" t="str">
        <f>IF(AZ303=1,IF(S303="","",IF(S303=N144,"Yes","No")),"")</f>
        <v>No</v>
      </c>
      <c r="BD303" t="str">
        <f t="shared" si="107"/>
        <v/>
      </c>
      <c r="BE303" t="str">
        <f t="shared" si="108"/>
        <v>Decreasing</v>
      </c>
      <c r="BF303" t="str">
        <f t="shared" si="109"/>
        <v>No</v>
      </c>
      <c r="BG303" t="str">
        <f t="shared" si="110"/>
        <v>No</v>
      </c>
      <c r="BH303" t="str">
        <f t="shared" si="111"/>
        <v>No</v>
      </c>
    </row>
    <row r="304" spans="1:60" x14ac:dyDescent="0.3">
      <c r="A304" s="1">
        <v>12</v>
      </c>
      <c r="B304" t="s">
        <v>774</v>
      </c>
      <c r="C304" t="s">
        <v>4333</v>
      </c>
      <c r="D304" t="s">
        <v>4334</v>
      </c>
      <c r="E304" t="s">
        <v>4335</v>
      </c>
      <c r="F304" t="s">
        <v>4336</v>
      </c>
      <c r="G304" t="s">
        <v>4337</v>
      </c>
      <c r="I304" t="str">
        <f t="shared" si="88"/>
        <v>N/A</v>
      </c>
      <c r="J304">
        <f t="shared" si="89"/>
        <v>-37340000</v>
      </c>
      <c r="K304">
        <f t="shared" si="90"/>
        <v>-98910000</v>
      </c>
      <c r="L304">
        <f t="shared" si="91"/>
        <v>-19920000</v>
      </c>
      <c r="M304">
        <f t="shared" si="92"/>
        <v>64050000</v>
      </c>
      <c r="N304">
        <f t="shared" si="93"/>
        <v>-50960000</v>
      </c>
      <c r="P304">
        <f t="shared" si="94"/>
        <v>64050000</v>
      </c>
      <c r="Q304">
        <f>IFERROR(J144+MATCH(P304,J304:N304,0)-1,"")</f>
        <v>2015</v>
      </c>
      <c r="R304">
        <f t="shared" si="95"/>
        <v>-98910000</v>
      </c>
      <c r="S304">
        <f>IFERROR(J144+MATCH(R304,J304:N304,0)-1,"")</f>
        <v>2013</v>
      </c>
      <c r="T304">
        <f t="shared" si="96"/>
        <v>-28616000</v>
      </c>
      <c r="U304">
        <f t="shared" si="97"/>
        <v>59538258.540202536</v>
      </c>
      <c r="V304">
        <f t="shared" si="98"/>
        <v>-0.14652763137351787</v>
      </c>
      <c r="W304">
        <f t="shared" si="99"/>
        <v>-1.180652604283593</v>
      </c>
      <c r="X304">
        <f t="shared" si="100"/>
        <v>0.1460573455323374</v>
      </c>
      <c r="Y304">
        <f t="shared" si="101"/>
        <v>1.5564109913867961</v>
      </c>
      <c r="Z304">
        <f t="shared" si="102"/>
        <v>-0.37528810126202239</v>
      </c>
      <c r="AA304">
        <f t="shared" si="103"/>
        <v>1.5564109913867961</v>
      </c>
      <c r="AB304">
        <f>IFERROR(V144+MATCH(AA304,V304:Z304,0)-1,"")</f>
        <v>2015</v>
      </c>
      <c r="AC304" t="str">
        <f t="shared" si="104"/>
        <v>High</v>
      </c>
      <c r="AE304">
        <f>IF(ISNUMBER(MATCH("N/A",J304:N304,0)),"",IFERROR((5 * SUMPRODUCT(J144:N144,J304:N304) - PRODUCT(SUM(J144:N144),SUM(J304:N304))) / ((5 * SUM((J144^2)+(K144^2)+(L144^2)+(M144^2)+(N144^2))) - SUM(J144:N144)^2),""))</f>
        <v>13572000</v>
      </c>
      <c r="AF304">
        <f>IFERROR(CORREL(J144:N144,J304:N304),"")</f>
        <v>0.36042734080662658</v>
      </c>
      <c r="AZ304">
        <f t="shared" si="105"/>
        <v>1</v>
      </c>
      <c r="BA304" t="str">
        <f>IF(AZ304=1,IF(Q304="","",IF(Q304=N144,"Yes","No")),"")</f>
        <v>No</v>
      </c>
      <c r="BB304" t="str">
        <f t="shared" si="106"/>
        <v/>
      </c>
      <c r="BC304" t="str">
        <f>IF(AZ304=1,IF(S304="","",IF(S304=N144,"Yes","No")),"")</f>
        <v>No</v>
      </c>
      <c r="BD304" t="str">
        <f t="shared" si="107"/>
        <v/>
      </c>
      <c r="BE304" t="str">
        <f t="shared" si="108"/>
        <v>Increasing</v>
      </c>
      <c r="BF304" t="str">
        <f t="shared" si="109"/>
        <v>No</v>
      </c>
      <c r="BG304" t="str">
        <f t="shared" si="110"/>
        <v>No</v>
      </c>
      <c r="BH304" t="str">
        <f t="shared" si="111"/>
        <v>No</v>
      </c>
    </row>
    <row r="305" spans="1:60" x14ac:dyDescent="0.3">
      <c r="A305" s="1">
        <v>13</v>
      </c>
      <c r="B305" t="s">
        <v>630</v>
      </c>
      <c r="C305" t="s">
        <v>4338</v>
      </c>
      <c r="D305" t="s">
        <v>4339</v>
      </c>
      <c r="E305" t="s">
        <v>4340</v>
      </c>
      <c r="F305" t="s">
        <v>4341</v>
      </c>
      <c r="G305" t="s">
        <v>4342</v>
      </c>
      <c r="I305" t="str">
        <f t="shared" si="88"/>
        <v>N/A</v>
      </c>
      <c r="J305">
        <f t="shared" si="89"/>
        <v>88930000</v>
      </c>
      <c r="K305">
        <f t="shared" si="90"/>
        <v>128889999.99999999</v>
      </c>
      <c r="L305">
        <f t="shared" si="91"/>
        <v>-54670000</v>
      </c>
      <c r="M305">
        <f t="shared" si="92"/>
        <v>-11180000</v>
      </c>
      <c r="N305">
        <f t="shared" si="93"/>
        <v>52310000</v>
      </c>
      <c r="P305">
        <f t="shared" si="94"/>
        <v>128889999.99999999</v>
      </c>
      <c r="Q305">
        <f>IFERROR(J144+MATCH(P305,J305:N305,0)-1,"")</f>
        <v>2013</v>
      </c>
      <c r="R305">
        <f t="shared" si="95"/>
        <v>-54670000</v>
      </c>
      <c r="S305">
        <f>IFERROR(J144+MATCH(R305,J305:N305,0)-1,"")</f>
        <v>2014</v>
      </c>
      <c r="T305">
        <f t="shared" si="96"/>
        <v>40856000</v>
      </c>
      <c r="U305">
        <f t="shared" si="97"/>
        <v>74204532.745648354</v>
      </c>
      <c r="V305">
        <f t="shared" si="98"/>
        <v>0.64785799763450769</v>
      </c>
      <c r="W305">
        <f t="shared" si="99"/>
        <v>1.186369575316309</v>
      </c>
      <c r="X305">
        <f t="shared" si="100"/>
        <v>-1.2873337579987931</v>
      </c>
      <c r="Y305">
        <f t="shared" si="101"/>
        <v>-0.70125096236862428</v>
      </c>
      <c r="Z305">
        <f t="shared" si="102"/>
        <v>0.15435714741660048</v>
      </c>
      <c r="AA305">
        <f t="shared" si="103"/>
        <v>-1.2873337579987931</v>
      </c>
      <c r="AB305">
        <f>IFERROR(V144+MATCH(AA305,V305:Z305,0)-1,"")</f>
        <v>2014</v>
      </c>
      <c r="AC305" t="str">
        <f t="shared" si="104"/>
        <v>Low</v>
      </c>
      <c r="AE305">
        <f>IF(ISNUMBER(MATCH("N/A",J305:N305,0)),"",IFERROR((5 * SUMPRODUCT(J144:N144,J305:N305) - PRODUCT(SUM(J144:N144),SUM(J305:N305))) / ((5 * SUM((J144^2)+(K144^2)+(L144^2)+(M144^2)+(N144^2))) - SUM(J144:N144)^2),""))</f>
        <v>-21331000</v>
      </c>
      <c r="AF305">
        <f>IFERROR(CORREL(J144:N144,J305:N305),"")</f>
        <v>-0.45451768425162342</v>
      </c>
      <c r="AZ305">
        <f t="shared" si="105"/>
        <v>1</v>
      </c>
      <c r="BA305" t="str">
        <f>IF(AZ305=1,IF(Q305="","",IF(Q305=N144,"Yes","No")),"")</f>
        <v>No</v>
      </c>
      <c r="BB305" t="str">
        <f t="shared" si="106"/>
        <v/>
      </c>
      <c r="BC305" t="str">
        <f>IF(AZ305=1,IF(S305="","",IF(S305=N144,"Yes","No")),"")</f>
        <v>No</v>
      </c>
      <c r="BD305" t="str">
        <f t="shared" si="107"/>
        <v/>
      </c>
      <c r="BE305" t="str">
        <f t="shared" si="108"/>
        <v>Decreasing</v>
      </c>
      <c r="BF305" t="str">
        <f t="shared" si="109"/>
        <v>No</v>
      </c>
      <c r="BG305" t="str">
        <f t="shared" si="110"/>
        <v>No</v>
      </c>
      <c r="BH305" t="str">
        <f t="shared" si="111"/>
        <v>No</v>
      </c>
    </row>
    <row r="306" spans="1:60" x14ac:dyDescent="0.3">
      <c r="A306" s="1">
        <v>14</v>
      </c>
      <c r="B306" t="s">
        <v>784</v>
      </c>
      <c r="C306" t="s">
        <v>4343</v>
      </c>
      <c r="D306" t="s">
        <v>4344</v>
      </c>
      <c r="E306" t="s">
        <v>4345</v>
      </c>
      <c r="F306" t="s">
        <v>4346</v>
      </c>
      <c r="G306" t="s">
        <v>4347</v>
      </c>
      <c r="I306" t="str">
        <f t="shared" si="88"/>
        <v>N/A</v>
      </c>
      <c r="J306">
        <f t="shared" si="89"/>
        <v>-88720000</v>
      </c>
      <c r="K306">
        <f t="shared" si="90"/>
        <v>-130070000</v>
      </c>
      <c r="L306">
        <f t="shared" si="91"/>
        <v>-79690000</v>
      </c>
      <c r="M306">
        <f t="shared" si="92"/>
        <v>-94090000</v>
      </c>
      <c r="N306">
        <f t="shared" si="93"/>
        <v>-84000000</v>
      </c>
      <c r="P306">
        <f t="shared" si="94"/>
        <v>-79690000</v>
      </c>
      <c r="Q306">
        <f>IFERROR(J144+MATCH(P306,J306:N306,0)-1,"")</f>
        <v>2014</v>
      </c>
      <c r="R306">
        <f t="shared" si="95"/>
        <v>-130070000</v>
      </c>
      <c r="S306">
        <f>IFERROR(J144+MATCH(R306,J306:N306,0)-1,"")</f>
        <v>2013</v>
      </c>
      <c r="T306">
        <f t="shared" si="96"/>
        <v>-95314000</v>
      </c>
      <c r="U306">
        <f t="shared" si="97"/>
        <v>20156106.518869165</v>
      </c>
      <c r="V306">
        <f t="shared" si="98"/>
        <v>0.32714651482055912</v>
      </c>
      <c r="W306">
        <f t="shared" si="99"/>
        <v>-1.7243409567945638</v>
      </c>
      <c r="X306">
        <f t="shared" si="100"/>
        <v>0.77514970390603821</v>
      </c>
      <c r="Y306">
        <f t="shared" si="101"/>
        <v>6.0726013670058296E-2</v>
      </c>
      <c r="Z306">
        <f t="shared" si="102"/>
        <v>0.56131872439790809</v>
      </c>
      <c r="AA306">
        <f t="shared" si="103"/>
        <v>-1.7243409567945638</v>
      </c>
      <c r="AB306">
        <f>IFERROR(V144+MATCH(AA306,V306:Z306,0)-1,"")</f>
        <v>2013</v>
      </c>
      <c r="AC306" t="str">
        <f t="shared" si="104"/>
        <v>Low</v>
      </c>
      <c r="AE306">
        <f>IF(ISNUMBER(MATCH("N/A",J306:N306,0)),"",IFERROR((5 * SUMPRODUCT(J144:N144,J306:N306) - PRODUCT(SUM(J144:N144),SUM(J306:N306))) / ((5 * SUM((J144^2)+(K144^2)+(L144^2)+(M144^2)+(N144^2))) - SUM(J144:N144)^2),""))</f>
        <v>4542000</v>
      </c>
      <c r="AF306">
        <f>IFERROR(CORREL(J144:N144,J306:N306),"")</f>
        <v>0.356295624828108</v>
      </c>
      <c r="AZ306">
        <f t="shared" si="105"/>
        <v>1</v>
      </c>
      <c r="BA306" t="str">
        <f>IF(AZ306=1,IF(Q306="","",IF(Q306=N144,"Yes","No")),"")</f>
        <v>No</v>
      </c>
      <c r="BB306" t="str">
        <f t="shared" si="106"/>
        <v/>
      </c>
      <c r="BC306" t="str">
        <f>IF(AZ306=1,IF(S306="","",IF(S306=N144,"Yes","No")),"")</f>
        <v>No</v>
      </c>
      <c r="BD306" t="str">
        <f t="shared" si="107"/>
        <v/>
      </c>
      <c r="BE306" t="str">
        <f t="shared" si="108"/>
        <v>Increasing</v>
      </c>
      <c r="BF306" t="str">
        <f t="shared" si="109"/>
        <v>No</v>
      </c>
      <c r="BG306" t="str">
        <f t="shared" si="110"/>
        <v>No</v>
      </c>
      <c r="BH306" t="str">
        <f t="shared" si="111"/>
        <v>No</v>
      </c>
    </row>
    <row r="307" spans="1:60" x14ac:dyDescent="0.3">
      <c r="A307" s="1">
        <v>15</v>
      </c>
      <c r="B307" t="s">
        <v>790</v>
      </c>
      <c r="C307" t="s">
        <v>4348</v>
      </c>
      <c r="D307" t="s">
        <v>4349</v>
      </c>
      <c r="E307" t="s">
        <v>4350</v>
      </c>
      <c r="F307" t="s">
        <v>4351</v>
      </c>
      <c r="G307" t="s">
        <v>4352</v>
      </c>
      <c r="I307" t="str">
        <f t="shared" si="88"/>
        <v>N/A</v>
      </c>
      <c r="J307">
        <f t="shared" si="89"/>
        <v>164300000</v>
      </c>
      <c r="K307">
        <f t="shared" si="90"/>
        <v>362170000</v>
      </c>
      <c r="L307">
        <f t="shared" si="91"/>
        <v>385760000</v>
      </c>
      <c r="M307">
        <f t="shared" si="92"/>
        <v>303810000</v>
      </c>
      <c r="N307">
        <f t="shared" si="93"/>
        <v>246970000</v>
      </c>
      <c r="P307">
        <f t="shared" si="94"/>
        <v>385760000</v>
      </c>
      <c r="Q307">
        <f>IFERROR(J144+MATCH(P307,J307:N307,0)-1,"")</f>
        <v>2014</v>
      </c>
      <c r="R307">
        <f t="shared" si="95"/>
        <v>164300000</v>
      </c>
      <c r="S307">
        <f>IFERROR(J144+MATCH(R307,J307:N307,0)-1,"")</f>
        <v>2012</v>
      </c>
      <c r="T307">
        <f t="shared" si="96"/>
        <v>292602000</v>
      </c>
      <c r="U307">
        <f t="shared" si="97"/>
        <v>89704266.175026476</v>
      </c>
      <c r="V307">
        <f t="shared" si="98"/>
        <v>-1.4302775717451783</v>
      </c>
      <c r="W307">
        <f t="shared" si="99"/>
        <v>0.77552610334342853</v>
      </c>
      <c r="X307">
        <f t="shared" si="100"/>
        <v>1.0385013330161441</v>
      </c>
      <c r="Y307">
        <f t="shared" si="101"/>
        <v>0.12494389038456109</v>
      </c>
      <c r="Z307">
        <f t="shared" si="102"/>
        <v>-0.50869375499895542</v>
      </c>
      <c r="AA307">
        <f t="shared" si="103"/>
        <v>-1.4302775717451783</v>
      </c>
      <c r="AB307">
        <f>IFERROR(V144+MATCH(AA307,V307:Z307,0)-1,"")</f>
        <v>2012</v>
      </c>
      <c r="AC307" t="str">
        <f t="shared" si="104"/>
        <v>Low</v>
      </c>
      <c r="AE307">
        <f>IF(ISNUMBER(MATCH("N/A",J307:N307,0)),"",IFERROR((5 * SUMPRODUCT(J144:N144,J307:N307) - PRODUCT(SUM(J144:N144),SUM(J307:N307))) / ((5 * SUM((J144^2)+(K144^2)+(L144^2)+(M144^2)+(N144^2))) - SUM(J144:N144)^2),""))</f>
        <v>10698000</v>
      </c>
      <c r="AF307">
        <f>IFERROR(CORREL(J144:N144,J307:N307),"")</f>
        <v>0.18856431165979232</v>
      </c>
      <c r="AZ307">
        <f t="shared" si="105"/>
        <v>1</v>
      </c>
      <c r="BA307" t="str">
        <f>IF(AZ307=1,IF(Q307="","",IF(Q307=N144,"Yes","No")),"")</f>
        <v>No</v>
      </c>
      <c r="BB307" t="str">
        <f t="shared" si="106"/>
        <v/>
      </c>
      <c r="BC307" t="str">
        <f>IF(AZ307=1,IF(S307="","",IF(S307=N144,"Yes","No")),"")</f>
        <v>No</v>
      </c>
      <c r="BD307" t="str">
        <f t="shared" si="107"/>
        <v/>
      </c>
      <c r="BE307" t="str">
        <f t="shared" si="108"/>
        <v>Increasing</v>
      </c>
      <c r="BF307" t="str">
        <f t="shared" si="109"/>
        <v>No</v>
      </c>
      <c r="BG307" t="str">
        <f t="shared" si="110"/>
        <v>No</v>
      </c>
      <c r="BH307" t="str">
        <f t="shared" si="111"/>
        <v>No</v>
      </c>
    </row>
    <row r="308" spans="1:60" x14ac:dyDescent="0.3">
      <c r="A308" s="1">
        <v>16</v>
      </c>
      <c r="B308" t="s">
        <v>796</v>
      </c>
      <c r="C308" t="s">
        <v>264</v>
      </c>
      <c r="D308" t="s">
        <v>4353</v>
      </c>
      <c r="E308" t="s">
        <v>4354</v>
      </c>
      <c r="F308" t="s">
        <v>2637</v>
      </c>
      <c r="G308" t="s">
        <v>4355</v>
      </c>
      <c r="I308" t="str">
        <f t="shared" si="88"/>
        <v>N/A</v>
      </c>
      <c r="J308" t="str">
        <f t="shared" si="89"/>
        <v>N/A</v>
      </c>
      <c r="K308">
        <f t="shared" si="90"/>
        <v>1.2043000000000001</v>
      </c>
      <c r="L308">
        <f t="shared" si="91"/>
        <v>6.5100000000000005E-2</v>
      </c>
      <c r="M308">
        <f t="shared" si="92"/>
        <v>-0.21239999999999998</v>
      </c>
      <c r="N308">
        <f t="shared" si="93"/>
        <v>-0.18710000000000002</v>
      </c>
      <c r="P308">
        <f t="shared" si="94"/>
        <v>1.2043000000000001</v>
      </c>
      <c r="Q308">
        <f>IFERROR(J144+MATCH(P308,J308:N308,0)-1,"")</f>
        <v>2013</v>
      </c>
      <c r="R308">
        <f t="shared" si="95"/>
        <v>-0.21239999999999998</v>
      </c>
      <c r="S308">
        <f>IFERROR(J144+MATCH(R308,J308:N308,0)-1,"")</f>
        <v>2015</v>
      </c>
      <c r="T308">
        <f t="shared" si="96"/>
        <v>0.21747500000000003</v>
      </c>
      <c r="U308">
        <f t="shared" si="97"/>
        <v>0.66970520069156803</v>
      </c>
      <c r="V308" t="str">
        <f t="shared" si="98"/>
        <v/>
      </c>
      <c r="W308">
        <f t="shared" si="99"/>
        <v>1.4735214822595968</v>
      </c>
      <c r="X308">
        <f t="shared" si="100"/>
        <v>-0.22752548411248813</v>
      </c>
      <c r="Y308">
        <f t="shared" si="101"/>
        <v>-0.64188690718855335</v>
      </c>
      <c r="Z308">
        <f t="shared" si="102"/>
        <v>-0.60410909095855536</v>
      </c>
      <c r="AA308">
        <f t="shared" si="103"/>
        <v>1.4735214822595968</v>
      </c>
      <c r="AB308">
        <f>IFERROR(V144+MATCH(AA308,V308:Z308,0)-1,"")</f>
        <v>2013</v>
      </c>
      <c r="AC308" t="str">
        <f t="shared" si="104"/>
        <v>High</v>
      </c>
      <c r="AE308" t="str">
        <f>IF(ISNUMBER(MATCH("N/A",J308:N308,0)),"",IFERROR((5 * SUMPRODUCT(J144:N144,J308:N308) - PRODUCT(SUM(J144:N144),SUM(J308:N308))) / ((5 * SUM((J144^2)+(K144^2)+(L144^2)+(M144^2)+(N144^2))) - SUM(J144:N144)^2),""))</f>
        <v/>
      </c>
      <c r="AF308">
        <f>IFERROR(CORREL(J144:N144,J308:N308),"")</f>
        <v>-0.85815669066067402</v>
      </c>
      <c r="AZ308">
        <f t="shared" si="105"/>
        <v>1</v>
      </c>
      <c r="BA308" t="str">
        <f>IF(AZ308=1,IF(Q308="","",IF(Q308=N144,"Yes","No")),"")</f>
        <v>No</v>
      </c>
      <c r="BB308" t="str">
        <f t="shared" si="106"/>
        <v/>
      </c>
      <c r="BC308" t="str">
        <f>IF(AZ308=1,IF(S308="","",IF(S308=N144,"Yes","No")),"")</f>
        <v>No</v>
      </c>
      <c r="BD308" t="str">
        <f t="shared" si="107"/>
        <v/>
      </c>
      <c r="BE308" t="str">
        <f t="shared" si="108"/>
        <v/>
      </c>
      <c r="BF308" t="str">
        <f t="shared" si="109"/>
        <v>No</v>
      </c>
      <c r="BG308" t="str">
        <f t="shared" si="110"/>
        <v>No</v>
      </c>
      <c r="BH308" t="str">
        <f t="shared" si="111"/>
        <v>Yes</v>
      </c>
    </row>
    <row r="309" spans="1:60" x14ac:dyDescent="0.3">
      <c r="A309" s="1">
        <v>17</v>
      </c>
      <c r="B309" t="s">
        <v>801</v>
      </c>
      <c r="C309" t="s">
        <v>4356</v>
      </c>
      <c r="D309" t="s">
        <v>4357</v>
      </c>
      <c r="E309" t="s">
        <v>3591</v>
      </c>
      <c r="F309" t="s">
        <v>4358</v>
      </c>
      <c r="G309" t="s">
        <v>4359</v>
      </c>
      <c r="I309" t="str">
        <f t="shared" si="88"/>
        <v>N/A</v>
      </c>
      <c r="J309">
        <f t="shared" si="89"/>
        <v>4.2000000000000003E-2</v>
      </c>
      <c r="K309">
        <f t="shared" si="90"/>
        <v>8.6099999999999996E-2</v>
      </c>
      <c r="L309">
        <f t="shared" si="91"/>
        <v>8.3400000000000002E-2</v>
      </c>
      <c r="M309">
        <f t="shared" si="92"/>
        <v>7.6600000000000001E-2</v>
      </c>
      <c r="N309">
        <f t="shared" si="93"/>
        <v>6.7699999999999996E-2</v>
      </c>
      <c r="P309">
        <f t="shared" si="94"/>
        <v>8.6099999999999996E-2</v>
      </c>
      <c r="Q309">
        <f>IFERROR(J144+MATCH(P309,J309:N309,0)-1,"")</f>
        <v>2013</v>
      </c>
      <c r="R309">
        <f t="shared" si="95"/>
        <v>4.2000000000000003E-2</v>
      </c>
      <c r="S309">
        <f>IFERROR(J144+MATCH(R309,J309:N309,0)-1,"")</f>
        <v>2012</v>
      </c>
      <c r="T309">
        <f t="shared" si="96"/>
        <v>7.1160000000000001E-2</v>
      </c>
      <c r="U309">
        <f t="shared" si="97"/>
        <v>1.7782660093473079E-2</v>
      </c>
      <c r="V309">
        <f t="shared" si="98"/>
        <v>-1.6397996613961507</v>
      </c>
      <c r="W309">
        <f t="shared" si="99"/>
        <v>0.84014427096222521</v>
      </c>
      <c r="X309">
        <f t="shared" si="100"/>
        <v>0.68831096898110045</v>
      </c>
      <c r="Y309">
        <f t="shared" si="101"/>
        <v>0.30591598621382243</v>
      </c>
      <c r="Z309">
        <f t="shared" si="102"/>
        <v>-0.1945715647609976</v>
      </c>
      <c r="AA309">
        <f t="shared" si="103"/>
        <v>-1.6397996613961507</v>
      </c>
      <c r="AB309">
        <f>IFERROR(V144+MATCH(AA309,V309:Z309,0)-1,"")</f>
        <v>2012</v>
      </c>
      <c r="AC309" t="str">
        <f t="shared" si="104"/>
        <v>Low</v>
      </c>
      <c r="AE309">
        <f>IF(ISNUMBER(MATCH("N/A",J309:N309,0)),"",IFERROR((5 * SUMPRODUCT(J144:N144,J309:N309) - PRODUCT(SUM(J144:N144),SUM(J309:N309))) / ((5 * SUM((J144^2)+(K144^2)+(L144^2)+(M144^2)+(N144^2))) - SUM(J144:N144)^2),""))</f>
        <v>4.1899999999986904E-3</v>
      </c>
      <c r="AF309">
        <f>IFERROR(CORREL(J144:N144,J309:N309),"")</f>
        <v>0.37255234386920399</v>
      </c>
      <c r="AZ309">
        <f t="shared" si="105"/>
        <v>1</v>
      </c>
      <c r="BA309" t="str">
        <f>IF(AZ309=1,IF(Q309="","",IF(Q309=N144,"Yes","No")),"")</f>
        <v>No</v>
      </c>
      <c r="BB309" t="str">
        <f t="shared" si="106"/>
        <v/>
      </c>
      <c r="BC309" t="str">
        <f>IF(AZ309=1,IF(S309="","",IF(S309=N144,"Yes","No")),"")</f>
        <v>No</v>
      </c>
      <c r="BD309" t="str">
        <f t="shared" si="107"/>
        <v/>
      </c>
      <c r="BE309" t="str">
        <f t="shared" si="108"/>
        <v>Increasing</v>
      </c>
      <c r="BF309" t="str">
        <f t="shared" si="109"/>
        <v>No</v>
      </c>
      <c r="BG309" t="str">
        <f t="shared" si="110"/>
        <v>No</v>
      </c>
      <c r="BH309" t="str">
        <f t="shared" si="111"/>
        <v>No</v>
      </c>
    </row>
    <row r="310" spans="1:60" x14ac:dyDescent="0.3">
      <c r="I310" t="str">
        <f t="shared" si="88"/>
        <v>N/A</v>
      </c>
      <c r="J310" t="str">
        <f t="shared" si="89"/>
        <v>N/A</v>
      </c>
      <c r="K310" t="str">
        <f t="shared" si="90"/>
        <v>N/A</v>
      </c>
      <c r="L310" t="str">
        <f t="shared" si="91"/>
        <v>N/A</v>
      </c>
      <c r="M310" t="str">
        <f t="shared" si="92"/>
        <v>N/A</v>
      </c>
      <c r="N310" t="str">
        <f t="shared" si="93"/>
        <v>N/A</v>
      </c>
      <c r="P310">
        <f t="shared" si="94"/>
        <v>0</v>
      </c>
      <c r="Q310" t="str">
        <f>IFERROR(J144+MATCH(P310,J310:N310,0)-1,"")</f>
        <v/>
      </c>
      <c r="R310" t="str">
        <f t="shared" si="95"/>
        <v/>
      </c>
      <c r="S310" t="str">
        <f>IFERROR(J144+MATCH(R310,J310:N310,0)-1,"")</f>
        <v/>
      </c>
      <c r="T310" t="str">
        <f t="shared" si="96"/>
        <v/>
      </c>
      <c r="U310" t="str">
        <f t="shared" si="97"/>
        <v/>
      </c>
      <c r="V310" t="str">
        <f t="shared" si="98"/>
        <v/>
      </c>
      <c r="W310" t="str">
        <f t="shared" si="99"/>
        <v/>
      </c>
      <c r="X310" t="str">
        <f t="shared" si="100"/>
        <v/>
      </c>
      <c r="Y310" t="str">
        <f t="shared" si="101"/>
        <v/>
      </c>
      <c r="Z310" t="str">
        <f t="shared" si="102"/>
        <v/>
      </c>
      <c r="AA310">
        <f t="shared" si="103"/>
        <v>0</v>
      </c>
      <c r="AB310" t="str">
        <f>IFERROR(V144+MATCH(AA310,V310:Z310,0)-1,"")</f>
        <v/>
      </c>
      <c r="AC310" t="str">
        <f t="shared" si="104"/>
        <v/>
      </c>
      <c r="AE310" t="str">
        <f>IF(ISNUMBER(MATCH("N/A",J310:N310,0)),"",IFERROR((5 * SUMPRODUCT(J144:N144,J310:N310) - PRODUCT(SUM(J144:N144),SUM(J310:N310))) / ((5 * SUM((J144^2)+(K144^2)+(L144^2)+(M144^2)+(N144^2))) - SUM(J144:N144)^2),""))</f>
        <v/>
      </c>
      <c r="AF310" t="str">
        <f>IFERROR(CORREL(J144:N144,J310:N310),"")</f>
        <v/>
      </c>
      <c r="AZ310">
        <f t="shared" si="105"/>
        <v>0</v>
      </c>
      <c r="BA310" t="str">
        <f>IF(AZ310=1,IF(Q310="","",IF(Q310=N144,"Yes","No")),"")</f>
        <v/>
      </c>
      <c r="BB310" t="str">
        <f t="shared" si="106"/>
        <v/>
      </c>
      <c r="BC310" t="str">
        <f>IF(AZ310=1,IF(S310="","",IF(S310=N144,"Yes","No")),"")</f>
        <v/>
      </c>
      <c r="BD310" t="str">
        <f t="shared" si="107"/>
        <v/>
      </c>
      <c r="BE310" t="str">
        <f t="shared" si="108"/>
        <v/>
      </c>
      <c r="BF310" t="str">
        <f t="shared" si="109"/>
        <v>No</v>
      </c>
      <c r="BG310" t="str">
        <f t="shared" si="110"/>
        <v>No</v>
      </c>
      <c r="BH310" t="str">
        <f t="shared" si="111"/>
        <v/>
      </c>
    </row>
    <row r="311" spans="1:60" x14ac:dyDescent="0.3">
      <c r="B311" s="1" t="s">
        <v>316</v>
      </c>
      <c r="C311" s="1" t="s">
        <v>252</v>
      </c>
      <c r="D311" s="1" t="s">
        <v>253</v>
      </c>
      <c r="E311" s="1" t="s">
        <v>254</v>
      </c>
      <c r="F311" s="1" t="s">
        <v>255</v>
      </c>
      <c r="G311" s="1" t="s">
        <v>256</v>
      </c>
      <c r="H311" s="1" t="s">
        <v>257</v>
      </c>
      <c r="P311">
        <f t="shared" si="94"/>
        <v>0</v>
      </c>
      <c r="Q311" t="str">
        <f>IFERROR(J144+MATCH(P311,J311:N311,0)-1,"")</f>
        <v/>
      </c>
      <c r="R311" t="str">
        <f t="shared" si="95"/>
        <v/>
      </c>
      <c r="S311" t="str">
        <f>IFERROR(J144+MATCH(R311,J311:N311,0)-1,"")</f>
        <v/>
      </c>
      <c r="T311" t="str">
        <f t="shared" si="96"/>
        <v/>
      </c>
      <c r="U311" t="str">
        <f t="shared" si="97"/>
        <v/>
      </c>
      <c r="V311" t="str">
        <f t="shared" si="98"/>
        <v/>
      </c>
      <c r="W311" t="str">
        <f t="shared" si="99"/>
        <v/>
      </c>
      <c r="X311" t="str">
        <f t="shared" si="100"/>
        <v/>
      </c>
      <c r="Y311" t="str">
        <f t="shared" si="101"/>
        <v/>
      </c>
      <c r="Z311" t="str">
        <f t="shared" si="102"/>
        <v/>
      </c>
      <c r="AA311">
        <f t="shared" si="103"/>
        <v>0</v>
      </c>
      <c r="AB311" t="str">
        <f>IFERROR(V144+MATCH(AA311,V311:Z311,0)-1,"")</f>
        <v/>
      </c>
      <c r="AC311" t="str">
        <f t="shared" si="104"/>
        <v/>
      </c>
      <c r="AE311">
        <f>IF(ISNUMBER(MATCH("N/A",J311:N311,0)),"",IFERROR((5 * SUMPRODUCT(J144:N144,J311:N311) - PRODUCT(SUM(J144:N144),SUM(J311:N311))) / ((5 * SUM((J144^2)+(K144^2)+(L144^2)+(M144^2)+(N144^2))) - SUM(J144:N144)^2),""))</f>
        <v>0</v>
      </c>
      <c r="AF311" t="str">
        <f>IFERROR(CORREL(J144:N144,J311:N311),"")</f>
        <v/>
      </c>
      <c r="AZ311">
        <f t="shared" si="105"/>
        <v>0</v>
      </c>
      <c r="BA311" t="str">
        <f>IF(AZ311=1,IF(Q311="","",IF(Q311=N144,"Yes","No")),"")</f>
        <v/>
      </c>
      <c r="BB311" t="str">
        <f t="shared" si="106"/>
        <v/>
      </c>
      <c r="BC311" t="str">
        <f>IF(AZ311=1,IF(S311="","",IF(S311=N144,"Yes","No")),"")</f>
        <v/>
      </c>
      <c r="BD311" t="str">
        <f t="shared" si="107"/>
        <v/>
      </c>
      <c r="BE311" t="str">
        <f t="shared" si="108"/>
        <v/>
      </c>
      <c r="BF311" t="str">
        <f t="shared" si="109"/>
        <v>No</v>
      </c>
      <c r="BG311" t="str">
        <f t="shared" si="110"/>
        <v>No</v>
      </c>
      <c r="BH311" t="str">
        <f t="shared" si="111"/>
        <v/>
      </c>
    </row>
    <row r="312" spans="1:60" x14ac:dyDescent="0.3">
      <c r="A312" s="1">
        <v>0</v>
      </c>
      <c r="B312" t="s">
        <v>805</v>
      </c>
      <c r="C312" t="s">
        <v>4360</v>
      </c>
      <c r="D312" t="s">
        <v>4361</v>
      </c>
      <c r="E312" t="s">
        <v>4362</v>
      </c>
      <c r="F312" t="s">
        <v>4363</v>
      </c>
      <c r="G312" t="s">
        <v>4364</v>
      </c>
      <c r="I312" t="str">
        <f t="shared" ref="I312:I327" si="112">IF(AND(K312&gt; J312, L312&gt; K312, M312&gt; L312, N312&gt; M312), "pos_trend", IF(AND(K312&lt; J312, L312&lt; K312, M312&lt; L312, N312&lt; M312), "neg_trend", "N/A"))</f>
        <v>N/A</v>
      </c>
      <c r="J312">
        <f t="shared" ref="J312:J327" si="113">IFERROR(IF(TRIM(C312)="-", "N/A", IF(RIGHT(C312,1)=")",IF(RIGHT(C312,2)="T)",-1000000000000*VALUE(MID(C312,2,LEN(C312)-3)),IF(RIGHT(C312,2)="M)",-1000000*VALUE(MID(C312,2,LEN(C312)-3)),IF(RIGHT(C312,2)="B)",-1000000000*VALUE(MID(C312,2,LEN(C312)-3)),IF(RIGHT(C312,2)="k)",-1000*VALUE(MID(C312,2,LEN(C312)-3)),VALUE(SUBSTITUTE(C312,",","")))))),IF(RIGHT(C312,1)="T",1000000000000*VALUE(LEFT(C312,LEN(C312)-1)),IF(RIGHT(C312,1)="M",1000000*VALUE(LEFT(C312,LEN(C312)-1)),IF(RIGHT(C312,1)="B",1000000000*VALUE(LEFT(C312,LEN(C312)-1)),IF(RIGHT(C312,1)="%",0.01*VALUE(LEFT(C312,LEN(C312)-1)),IF(RIGHT(C312,1)="k",1000*VALUE(LEFT(C312,LEN(C312)-1)),VALUE(SUBSTITUTE(C312,",",""))))))))),"N/A")</f>
        <v>-83590000</v>
      </c>
      <c r="K312">
        <f t="shared" ref="K312:K327" si="114">IFERROR(IF(TRIM(D312)="-", "N/A", IF(RIGHT(D312,1)=")",IF(RIGHT(D312,2)="T)",-1000000000000*VALUE(MID(D312,2,LEN(D312)-3)),IF(RIGHT(D312,2)="M)",-1000000*VALUE(MID(D312,2,LEN(D312)-3)),IF(RIGHT(D312,2)="B)",-1000000000*VALUE(MID(D312,2,LEN(D312)-3)),IF(RIGHT(D312,2)="k)",-1000*VALUE(MID(D312,2,LEN(D312)-3)),VALUE(SUBSTITUTE(D312,",","")))))),IF(RIGHT(D312,1)="T",1000000000000*VALUE(LEFT(D312,LEN(D312)-1)),IF(RIGHT(D312,1)="M",1000000*VALUE(LEFT(D312,LEN(D312)-1)),IF(RIGHT(D312,1)="B",1000000000*VALUE(LEFT(D312,LEN(D312)-1)),IF(RIGHT(D312,1)="%",0.01*VALUE(LEFT(D312,LEN(D312)-1)),IF(RIGHT(D312,1)="k",1000*VALUE(LEFT(D312,LEN(D312)-1)),VALUE(SUBSTITUTE(D312,",",""))))))))),"N/A")</f>
        <v>-71480000</v>
      </c>
      <c r="L312">
        <f t="shared" ref="L312:L327" si="115">IFERROR(IF(TRIM(E312)="-", "N/A", IF(RIGHT(E312,1)=")",IF(RIGHT(E312,2)="T)",-1000000000000*VALUE(MID(E312,2,LEN(E312)-3)),IF(RIGHT(E312,2)="M)",-1000000*VALUE(MID(E312,2,LEN(E312)-3)),IF(RIGHT(E312,2)="B)",-1000000000*VALUE(MID(E312,2,LEN(E312)-3)),IF(RIGHT(E312,2)="k)",-1000*VALUE(MID(E312,2,LEN(E312)-3)),VALUE(SUBSTITUTE(E312,",","")))))),IF(RIGHT(E312,1)="T",1000000000000*VALUE(LEFT(E312,LEN(E312)-1)),IF(RIGHT(E312,1)="M",1000000*VALUE(LEFT(E312,LEN(E312)-1)),IF(RIGHT(E312,1)="B",1000000000*VALUE(LEFT(E312,LEN(E312)-1)),IF(RIGHT(E312,1)="%",0.01*VALUE(LEFT(E312,LEN(E312)-1)),IF(RIGHT(E312,1)="k",1000*VALUE(LEFT(E312,LEN(E312)-1)),VALUE(SUBSTITUTE(E312,",",""))))))))),"N/A")</f>
        <v>-81340000</v>
      </c>
      <c r="M312">
        <f t="shared" ref="M312:M327" si="116">IFERROR(IF(TRIM(F312)="-", "N/A", IF(RIGHT(F312,1)=")",IF(RIGHT(F312,2)="T)",-1000000000000*VALUE(MID(F312,2,LEN(F312)-3)),IF(RIGHT(F312,2)="M)",-1000000*VALUE(MID(F312,2,LEN(F312)-3)),IF(RIGHT(F312,2)="B)",-1000000000*VALUE(MID(F312,2,LEN(F312)-3)),IF(RIGHT(F312,2)="k)",-1000*VALUE(MID(F312,2,LEN(F312)-3)),VALUE(SUBSTITUTE(F312,",","")))))),IF(RIGHT(F312,1)="T",1000000000000*VALUE(LEFT(F312,LEN(F312)-1)),IF(RIGHT(F312,1)="M",1000000*VALUE(LEFT(F312,LEN(F312)-1)),IF(RIGHT(F312,1)="B",1000000000*VALUE(LEFT(F312,LEN(F312)-1)),IF(RIGHT(F312,1)="%",0.01*VALUE(LEFT(F312,LEN(F312)-1)),IF(RIGHT(F312,1)="k",1000*VALUE(LEFT(F312,LEN(F312)-1)),VALUE(SUBSTITUTE(F312,",",""))))))))),"N/A")</f>
        <v>-69880000</v>
      </c>
      <c r="N312">
        <f t="shared" ref="N312:N327" si="117">IFERROR(IF(TRIM(G312)="-", "N/A", IF(RIGHT(G312,1)=")",IF(RIGHT(G312,2)="T)",-1000000000000*VALUE(MID(G312,2,LEN(G312)-3)),IF(RIGHT(G312,2)="M)",-1000000*VALUE(MID(G312,2,LEN(G312)-3)),IF(RIGHT(G312,2)="B)",-1000000000*VALUE(MID(G312,2,LEN(G312)-3)),IF(RIGHT(G312,2)="k)",-1000*VALUE(MID(G312,2,LEN(G312)-3)),VALUE(SUBSTITUTE(G312,",","")))))),IF(RIGHT(G312,1)="T",1000000000000*VALUE(LEFT(G312,LEN(G312)-1)),IF(RIGHT(G312,1)="M",1000000*VALUE(LEFT(G312,LEN(G312)-1)),IF(RIGHT(G312,1)="B",1000000000*VALUE(LEFT(G312,LEN(G312)-1)),IF(RIGHT(G312,1)="%",0.01*VALUE(LEFT(G312,LEN(G312)-1)),IF(RIGHT(G312,1)="k",1000*VALUE(LEFT(G312,LEN(G312)-1)),VALUE(SUBSTITUTE(G312,",",""))))))))),"N/A")</f>
        <v>-63250000</v>
      </c>
      <c r="P312">
        <f t="shared" si="94"/>
        <v>-63250000</v>
      </c>
      <c r="Q312">
        <f>IFERROR(J144+MATCH(P312,J312:N312,0)-1,"")</f>
        <v>2016</v>
      </c>
      <c r="R312">
        <f t="shared" si="95"/>
        <v>-83590000</v>
      </c>
      <c r="S312">
        <f>IFERROR(J144+MATCH(R312,J312:N312,0)-1,"")</f>
        <v>2012</v>
      </c>
      <c r="T312">
        <f t="shared" si="96"/>
        <v>-73908000</v>
      </c>
      <c r="U312">
        <f t="shared" si="97"/>
        <v>8436359.9970603436</v>
      </c>
      <c r="V312">
        <f t="shared" si="98"/>
        <v>-1.1476513571461744</v>
      </c>
      <c r="W312">
        <f t="shared" si="99"/>
        <v>0.28780184829073657</v>
      </c>
      <c r="X312">
        <f t="shared" si="100"/>
        <v>-0.8809486558882843</v>
      </c>
      <c r="Y312">
        <f t="shared" si="101"/>
        <v>0.4774571025185696</v>
      </c>
      <c r="Z312">
        <f t="shared" si="102"/>
        <v>1.2633410622251526</v>
      </c>
      <c r="AA312">
        <f t="shared" si="103"/>
        <v>1.2633410622251526</v>
      </c>
      <c r="AB312">
        <f>IFERROR(V144+MATCH(AA312,V312:Z312,0)-1,"")</f>
        <v>2016</v>
      </c>
      <c r="AC312" t="str">
        <f t="shared" si="104"/>
        <v>High</v>
      </c>
      <c r="AE312">
        <f>IF(ISNUMBER(MATCH("N/A",J312:N312,0)),"",IFERROR((5 * SUMPRODUCT(J144:N144,J312:N312) - PRODUCT(SUM(J144:N144),SUM(J312:N312))) / ((5 * SUM((J144^2)+(K144^2)+(L144^2)+(M144^2)+(N144^2))) - SUM(J144:N144)^2),""))</f>
        <v>4228000</v>
      </c>
      <c r="AF312">
        <f>IFERROR(CORREL(J144:N144,J312:N312),"")</f>
        <v>0.79240987534023755</v>
      </c>
      <c r="AZ312">
        <f t="shared" si="105"/>
        <v>1</v>
      </c>
      <c r="BA312" t="str">
        <f>IF(AZ312=1,IF(Q312="","",IF(Q312=N144,"Yes","No")),"")</f>
        <v>Yes</v>
      </c>
      <c r="BB312">
        <f t="shared" si="106"/>
        <v>-63250000</v>
      </c>
      <c r="BC312" t="str">
        <f>IF(AZ312=1,IF(S312="","",IF(S312=N144,"Yes","No")),"")</f>
        <v>No</v>
      </c>
      <c r="BD312" t="str">
        <f t="shared" si="107"/>
        <v/>
      </c>
      <c r="BE312" t="str">
        <f t="shared" si="108"/>
        <v>Increasing</v>
      </c>
      <c r="BF312" t="str">
        <f t="shared" si="109"/>
        <v>Yes</v>
      </c>
      <c r="BG312" t="str">
        <f t="shared" si="110"/>
        <v>No</v>
      </c>
      <c r="BH312" t="str">
        <f t="shared" si="111"/>
        <v>No</v>
      </c>
    </row>
    <row r="313" spans="1:60" x14ac:dyDescent="0.3">
      <c r="A313" s="1">
        <v>1</v>
      </c>
      <c r="B313" t="s">
        <v>811</v>
      </c>
      <c r="C313" t="s">
        <v>4360</v>
      </c>
      <c r="D313" t="s">
        <v>4361</v>
      </c>
      <c r="E313" t="s">
        <v>4362</v>
      </c>
      <c r="F313" t="s">
        <v>4363</v>
      </c>
      <c r="G313" t="s">
        <v>4364</v>
      </c>
      <c r="I313" t="str">
        <f t="shared" si="112"/>
        <v>N/A</v>
      </c>
      <c r="J313">
        <f t="shared" si="113"/>
        <v>-83590000</v>
      </c>
      <c r="K313">
        <f t="shared" si="114"/>
        <v>-71480000</v>
      </c>
      <c r="L313">
        <f t="shared" si="115"/>
        <v>-81340000</v>
      </c>
      <c r="M313">
        <f t="shared" si="116"/>
        <v>-69880000</v>
      </c>
      <c r="N313">
        <f t="shared" si="117"/>
        <v>-63250000</v>
      </c>
      <c r="P313">
        <f t="shared" si="94"/>
        <v>-63250000</v>
      </c>
      <c r="Q313">
        <f>IFERROR(J144+MATCH(P313,J313:N313,0)-1,"")</f>
        <v>2016</v>
      </c>
      <c r="R313">
        <f t="shared" si="95"/>
        <v>-83590000</v>
      </c>
      <c r="S313">
        <f>IFERROR(J144+MATCH(R313,J313:N313,0)-1,"")</f>
        <v>2012</v>
      </c>
      <c r="T313">
        <f t="shared" si="96"/>
        <v>-73908000</v>
      </c>
      <c r="U313">
        <f t="shared" si="97"/>
        <v>8436359.9970603436</v>
      </c>
      <c r="V313">
        <f t="shared" si="98"/>
        <v>-1.1476513571461744</v>
      </c>
      <c r="W313">
        <f t="shared" si="99"/>
        <v>0.28780184829073657</v>
      </c>
      <c r="X313">
        <f t="shared" si="100"/>
        <v>-0.8809486558882843</v>
      </c>
      <c r="Y313">
        <f t="shared" si="101"/>
        <v>0.4774571025185696</v>
      </c>
      <c r="Z313">
        <f t="shared" si="102"/>
        <v>1.2633410622251526</v>
      </c>
      <c r="AA313">
        <f t="shared" si="103"/>
        <v>1.2633410622251526</v>
      </c>
      <c r="AB313">
        <f>IFERROR(V144+MATCH(AA313,V313:Z313,0)-1,"")</f>
        <v>2016</v>
      </c>
      <c r="AC313" t="str">
        <f t="shared" si="104"/>
        <v>High</v>
      </c>
      <c r="AE313">
        <f>IF(ISNUMBER(MATCH("N/A",J313:N313,0)),"",IFERROR((5 * SUMPRODUCT(J144:N144,J313:N313) - PRODUCT(SUM(J144:N144),SUM(J313:N313))) / ((5 * SUM((J144^2)+(K144^2)+(L144^2)+(M144^2)+(N144^2))) - SUM(J144:N144)^2),""))</f>
        <v>4228000</v>
      </c>
      <c r="AF313">
        <f>IFERROR(CORREL(J144:N144,J313:N313),"")</f>
        <v>0.79240987534023755</v>
      </c>
      <c r="AZ313">
        <f t="shared" si="105"/>
        <v>1</v>
      </c>
      <c r="BA313" t="str">
        <f>IF(AZ313=1,IF(Q313="","",IF(Q313=N144,"Yes","No")),"")</f>
        <v>Yes</v>
      </c>
      <c r="BB313">
        <f t="shared" si="106"/>
        <v>-63250000</v>
      </c>
      <c r="BC313" t="str">
        <f>IF(AZ313=1,IF(S313="","",IF(S313=N144,"Yes","No")),"")</f>
        <v>No</v>
      </c>
      <c r="BD313" t="str">
        <f t="shared" si="107"/>
        <v/>
      </c>
      <c r="BE313" t="str">
        <f t="shared" si="108"/>
        <v>Increasing</v>
      </c>
      <c r="BF313" t="str">
        <f t="shared" si="109"/>
        <v>Yes</v>
      </c>
      <c r="BG313" t="str">
        <f t="shared" si="110"/>
        <v>No</v>
      </c>
      <c r="BH313" t="str">
        <f t="shared" si="111"/>
        <v>No</v>
      </c>
    </row>
    <row r="314" spans="1:60" x14ac:dyDescent="0.3">
      <c r="A314" s="1">
        <v>2</v>
      </c>
      <c r="B314" t="s">
        <v>812</v>
      </c>
      <c r="C314" t="s">
        <v>264</v>
      </c>
      <c r="D314" t="s">
        <v>264</v>
      </c>
      <c r="E314" t="s">
        <v>264</v>
      </c>
      <c r="F314" t="s">
        <v>264</v>
      </c>
      <c r="G314" t="s">
        <v>264</v>
      </c>
      <c r="I314" t="str">
        <f t="shared" si="112"/>
        <v>N/A</v>
      </c>
      <c r="J314" t="str">
        <f t="shared" si="113"/>
        <v>N/A</v>
      </c>
      <c r="K314" t="str">
        <f t="shared" si="114"/>
        <v>N/A</v>
      </c>
      <c r="L314" t="str">
        <f t="shared" si="115"/>
        <v>N/A</v>
      </c>
      <c r="M314" t="str">
        <f t="shared" si="116"/>
        <v>N/A</v>
      </c>
      <c r="N314" t="str">
        <f t="shared" si="117"/>
        <v>N/A</v>
      </c>
      <c r="P314">
        <f t="shared" si="94"/>
        <v>0</v>
      </c>
      <c r="Q314" t="str">
        <f>IFERROR(J144+MATCH(P314,J314:N314,0)-1,"")</f>
        <v/>
      </c>
      <c r="R314" t="str">
        <f t="shared" si="95"/>
        <v/>
      </c>
      <c r="S314" t="str">
        <f>IFERROR(J144+MATCH(R314,J314:N314,0)-1,"")</f>
        <v/>
      </c>
      <c r="T314" t="str">
        <f t="shared" si="96"/>
        <v/>
      </c>
      <c r="U314" t="str">
        <f t="shared" si="97"/>
        <v/>
      </c>
      <c r="V314" t="str">
        <f t="shared" si="98"/>
        <v/>
      </c>
      <c r="W314" t="str">
        <f t="shared" si="99"/>
        <v/>
      </c>
      <c r="X314" t="str">
        <f t="shared" si="100"/>
        <v/>
      </c>
      <c r="Y314" t="str">
        <f t="shared" si="101"/>
        <v/>
      </c>
      <c r="Z314" t="str">
        <f t="shared" si="102"/>
        <v/>
      </c>
      <c r="AA314">
        <f t="shared" si="103"/>
        <v>0</v>
      </c>
      <c r="AB314" t="str">
        <f>IFERROR(V144+MATCH(AA314,V314:Z314,0)-1,"")</f>
        <v/>
      </c>
      <c r="AC314" t="str">
        <f t="shared" si="104"/>
        <v/>
      </c>
      <c r="AE314" t="str">
        <f>IF(ISNUMBER(MATCH("N/A",J314:N314,0)),"",IFERROR((5 * SUMPRODUCT(J144:N144,J314:N314) - PRODUCT(SUM(J144:N144),SUM(J314:N314))) / ((5 * SUM((J144^2)+(K144^2)+(L144^2)+(M144^2)+(N144^2))) - SUM(J144:N144)^2),""))</f>
        <v/>
      </c>
      <c r="AF314" t="str">
        <f>IFERROR(CORREL(J144:N144,J314:N314),"")</f>
        <v/>
      </c>
      <c r="AZ314">
        <f t="shared" si="105"/>
        <v>0</v>
      </c>
      <c r="BA314" t="str">
        <f>IF(AZ314=1,IF(Q314="","",IF(Q314=N144,"Yes","No")),"")</f>
        <v/>
      </c>
      <c r="BB314" t="str">
        <f t="shared" si="106"/>
        <v/>
      </c>
      <c r="BC314" t="str">
        <f>IF(AZ314=1,IF(S314="","",IF(S314=N144,"Yes","No")),"")</f>
        <v/>
      </c>
      <c r="BD314" t="str">
        <f t="shared" si="107"/>
        <v/>
      </c>
      <c r="BE314" t="str">
        <f t="shared" si="108"/>
        <v/>
      </c>
      <c r="BF314" t="str">
        <f t="shared" si="109"/>
        <v>No</v>
      </c>
      <c r="BG314" t="str">
        <f t="shared" si="110"/>
        <v>No</v>
      </c>
      <c r="BH314" t="str">
        <f t="shared" si="111"/>
        <v/>
      </c>
    </row>
    <row r="315" spans="1:60" x14ac:dyDescent="0.3">
      <c r="A315" s="1">
        <v>3</v>
      </c>
      <c r="B315" t="s">
        <v>813</v>
      </c>
      <c r="C315" t="s">
        <v>264</v>
      </c>
      <c r="D315" t="s">
        <v>4365</v>
      </c>
      <c r="E315" t="s">
        <v>4366</v>
      </c>
      <c r="F315" t="s">
        <v>4367</v>
      </c>
      <c r="G315" t="s">
        <v>3694</v>
      </c>
      <c r="I315" t="str">
        <f t="shared" si="112"/>
        <v>N/A</v>
      </c>
      <c r="J315" t="str">
        <f t="shared" si="113"/>
        <v>N/A</v>
      </c>
      <c r="K315">
        <f t="shared" si="114"/>
        <v>0.14480000000000001</v>
      </c>
      <c r="L315">
        <f t="shared" si="115"/>
        <v>-0.13800000000000001</v>
      </c>
      <c r="M315">
        <f t="shared" si="116"/>
        <v>0.14099999999999999</v>
      </c>
      <c r="N315">
        <f t="shared" si="117"/>
        <v>9.4800000000000009E-2</v>
      </c>
      <c r="P315">
        <f t="shared" si="94"/>
        <v>0.14480000000000001</v>
      </c>
      <c r="Q315">
        <f>IFERROR(J144+MATCH(P315,J315:N315,0)-1,"")</f>
        <v>2013</v>
      </c>
      <c r="R315">
        <f t="shared" si="95"/>
        <v>-0.13800000000000001</v>
      </c>
      <c r="S315">
        <f>IFERROR(J144+MATCH(R315,J315:N315,0)-1,"")</f>
        <v>2014</v>
      </c>
      <c r="T315">
        <f t="shared" si="96"/>
        <v>6.0649999999999996E-2</v>
      </c>
      <c r="U315">
        <f t="shared" si="97"/>
        <v>0.13436937895220027</v>
      </c>
      <c r="V315" t="str">
        <f t="shared" si="98"/>
        <v/>
      </c>
      <c r="W315">
        <f t="shared" si="99"/>
        <v>0.62625875520296193</v>
      </c>
      <c r="X315">
        <f t="shared" si="100"/>
        <v>-1.4783874238986139</v>
      </c>
      <c r="Y315">
        <f t="shared" si="101"/>
        <v>0.59797850244275663</v>
      </c>
      <c r="Z315">
        <f t="shared" si="102"/>
        <v>0.25415016625289549</v>
      </c>
      <c r="AA315">
        <f t="shared" si="103"/>
        <v>-1.4783874238986139</v>
      </c>
      <c r="AB315">
        <f>IFERROR(V144+MATCH(AA315,V315:Z315,0)-1,"")</f>
        <v>2014</v>
      </c>
      <c r="AC315" t="str">
        <f t="shared" si="104"/>
        <v>Low</v>
      </c>
      <c r="AE315" t="str">
        <f>IF(ISNUMBER(MATCH("N/A",J315:N315,0)),"",IFERROR((5 * SUMPRODUCT(J144:N144,J315:N315) - PRODUCT(SUM(J144:N144),SUM(J315:N315))) / ((5 * SUM((J144^2)+(K144^2)+(L144^2)+(M144^2)+(N144^2))) - SUM(J144:N144)^2),""))</f>
        <v/>
      </c>
      <c r="AF315">
        <f>IFERROR(CORREL(J144:N144,J315:N315),"")</f>
        <v>0.12394065164665392</v>
      </c>
      <c r="AZ315">
        <f t="shared" si="105"/>
        <v>1</v>
      </c>
      <c r="BA315" t="str">
        <f>IF(AZ315=1,IF(Q315="","",IF(Q315=N144,"Yes","No")),"")</f>
        <v>No</v>
      </c>
      <c r="BB315" t="str">
        <f t="shared" si="106"/>
        <v/>
      </c>
      <c r="BC315" t="str">
        <f>IF(AZ315=1,IF(S315="","",IF(S315=N144,"Yes","No")),"")</f>
        <v>No</v>
      </c>
      <c r="BD315" t="str">
        <f t="shared" si="107"/>
        <v/>
      </c>
      <c r="BE315" t="str">
        <f t="shared" si="108"/>
        <v/>
      </c>
      <c r="BF315" t="str">
        <f t="shared" si="109"/>
        <v>No</v>
      </c>
      <c r="BG315" t="str">
        <f t="shared" si="110"/>
        <v>No</v>
      </c>
      <c r="BH315" t="str">
        <f t="shared" si="111"/>
        <v>No</v>
      </c>
    </row>
    <row r="316" spans="1:60" x14ac:dyDescent="0.3">
      <c r="A316" s="1">
        <v>4</v>
      </c>
      <c r="B316" t="s">
        <v>818</v>
      </c>
      <c r="C316" t="s">
        <v>4368</v>
      </c>
      <c r="D316" t="s">
        <v>111</v>
      </c>
      <c r="E316" t="s">
        <v>821</v>
      </c>
      <c r="F316" t="s">
        <v>821</v>
      </c>
      <c r="G316" t="s">
        <v>4369</v>
      </c>
      <c r="I316" t="str">
        <f t="shared" si="112"/>
        <v>N/A</v>
      </c>
      <c r="J316">
        <f t="shared" si="113"/>
        <v>-2.1400000000000002E-2</v>
      </c>
      <c r="K316">
        <f t="shared" si="114"/>
        <v>-1.7000000000000001E-2</v>
      </c>
      <c r="L316">
        <f t="shared" si="115"/>
        <v>-1.7600000000000001E-2</v>
      </c>
      <c r="M316">
        <f t="shared" si="116"/>
        <v>-1.7600000000000001E-2</v>
      </c>
      <c r="N316">
        <f t="shared" si="117"/>
        <v>-1.7299999999999999E-2</v>
      </c>
      <c r="P316">
        <f t="shared" si="94"/>
        <v>-1.7000000000000001E-2</v>
      </c>
      <c r="Q316">
        <f>IFERROR(J144+MATCH(P316,J316:N316,0)-1,"")</f>
        <v>2013</v>
      </c>
      <c r="R316">
        <f t="shared" si="95"/>
        <v>-2.1400000000000002E-2</v>
      </c>
      <c r="S316">
        <f>IFERROR(J144+MATCH(R316,J316:N316,0)-1,"")</f>
        <v>2012</v>
      </c>
      <c r="T316">
        <f t="shared" si="96"/>
        <v>-1.8180000000000002E-2</v>
      </c>
      <c r="U316">
        <f t="shared" si="97"/>
        <v>1.817140610959978E-3</v>
      </c>
      <c r="V316">
        <f t="shared" si="98"/>
        <v>-1.7720147690160892</v>
      </c>
      <c r="W316">
        <f t="shared" si="99"/>
        <v>0.64937187187546141</v>
      </c>
      <c r="X316">
        <f t="shared" si="100"/>
        <v>0.31918278448115922</v>
      </c>
      <c r="Y316">
        <f t="shared" si="101"/>
        <v>0.31918278448115922</v>
      </c>
      <c r="Z316">
        <f t="shared" si="102"/>
        <v>0.48427732817831126</v>
      </c>
      <c r="AA316">
        <f t="shared" si="103"/>
        <v>-1.7720147690160892</v>
      </c>
      <c r="AB316">
        <f>IFERROR(V144+MATCH(AA316,V316:Z316,0)-1,"")</f>
        <v>2012</v>
      </c>
      <c r="AC316" t="str">
        <f t="shared" si="104"/>
        <v>Low</v>
      </c>
      <c r="AE316">
        <f>IF(ISNUMBER(MATCH("N/A",J316:N316,0)),"",IFERROR((5 * SUMPRODUCT(J144:N144,J316:N316) - PRODUCT(SUM(J144:N144),SUM(J316:N316))) / ((5 * SUM((J144^2)+(K144^2)+(L144^2)+(M144^2)+(N144^2))) - SUM(J144:N144)^2),""))</f>
        <v>7.599999999979445E-4</v>
      </c>
      <c r="AF316">
        <f>IFERROR(CORREL(J144:N144,J316:N316),"")</f>
        <v>0.66129473064231192</v>
      </c>
      <c r="AZ316">
        <f t="shared" si="105"/>
        <v>1</v>
      </c>
      <c r="BA316" t="str">
        <f>IF(AZ316=1,IF(Q316="","",IF(Q316=N144,"Yes","No")),"")</f>
        <v>No</v>
      </c>
      <c r="BB316" t="str">
        <f t="shared" si="106"/>
        <v/>
      </c>
      <c r="BC316" t="str">
        <f>IF(AZ316=1,IF(S316="","",IF(S316=N144,"Yes","No")),"")</f>
        <v>No</v>
      </c>
      <c r="BD316" t="str">
        <f t="shared" si="107"/>
        <v/>
      </c>
      <c r="BE316" t="str">
        <f t="shared" si="108"/>
        <v>Increasing</v>
      </c>
      <c r="BF316" t="str">
        <f t="shared" si="109"/>
        <v>No</v>
      </c>
      <c r="BG316" t="str">
        <f t="shared" si="110"/>
        <v>No</v>
      </c>
      <c r="BH316" t="str">
        <f t="shared" si="111"/>
        <v>No</v>
      </c>
    </row>
    <row r="317" spans="1:60" x14ac:dyDescent="0.3">
      <c r="A317" s="1">
        <v>5</v>
      </c>
      <c r="B317" t="s">
        <v>824</v>
      </c>
      <c r="C317" t="s">
        <v>4370</v>
      </c>
      <c r="D317" t="s">
        <v>4371</v>
      </c>
      <c r="E317" t="s">
        <v>4372</v>
      </c>
      <c r="F317" t="s">
        <v>4373</v>
      </c>
      <c r="G317" t="s">
        <v>4374</v>
      </c>
      <c r="I317" t="str">
        <f t="shared" si="112"/>
        <v>N/A</v>
      </c>
      <c r="J317">
        <f t="shared" si="113"/>
        <v>-1860000000</v>
      </c>
      <c r="K317">
        <f t="shared" si="114"/>
        <v>-372480000</v>
      </c>
      <c r="L317">
        <f t="shared" si="115"/>
        <v>-948800000</v>
      </c>
      <c r="M317">
        <f t="shared" si="116"/>
        <v>-196010000</v>
      </c>
      <c r="N317">
        <f t="shared" si="117"/>
        <v>-25990000</v>
      </c>
      <c r="P317">
        <f t="shared" si="94"/>
        <v>-25990000</v>
      </c>
      <c r="Q317">
        <f>IFERROR(J144+MATCH(P317,J317:N317,0)-1,"")</f>
        <v>2016</v>
      </c>
      <c r="R317">
        <f t="shared" si="95"/>
        <v>-1860000000</v>
      </c>
      <c r="S317">
        <f>IFERROR(J144+MATCH(R317,J317:N317,0)-1,"")</f>
        <v>2012</v>
      </c>
      <c r="T317">
        <f t="shared" si="96"/>
        <v>-680656000</v>
      </c>
      <c r="U317">
        <f t="shared" si="97"/>
        <v>745183742.26092708</v>
      </c>
      <c r="V317">
        <f t="shared" si="98"/>
        <v>-1.5826217523503769</v>
      </c>
      <c r="W317">
        <f t="shared" si="99"/>
        <v>0.41355706320830032</v>
      </c>
      <c r="X317">
        <f t="shared" si="100"/>
        <v>-0.35983608443527881</v>
      </c>
      <c r="Y317">
        <f t="shared" si="101"/>
        <v>0.65037114004870566</v>
      </c>
      <c r="Z317">
        <f t="shared" si="102"/>
        <v>0.87852963352864966</v>
      </c>
      <c r="AA317">
        <f t="shared" si="103"/>
        <v>-1.5826217523503769</v>
      </c>
      <c r="AB317">
        <f>IFERROR(V144+MATCH(AA317,V317:Z317,0)-1,"")</f>
        <v>2012</v>
      </c>
      <c r="AC317" t="str">
        <f t="shared" si="104"/>
        <v>Low</v>
      </c>
      <c r="AE317">
        <f>IF(ISNUMBER(MATCH("N/A",J317:N317,0)),"",IFERROR((5 * SUMPRODUCT(J144:N144,J317:N317) - PRODUCT(SUM(J144:N144),SUM(J317:N317))) / ((5 * SUM((J144^2)+(K144^2)+(L144^2)+(M144^2)+(N144^2))) - SUM(J144:N144)^2),""))</f>
        <v>384449000</v>
      </c>
      <c r="AF317">
        <f>IFERROR(CORREL(J144:N144,J317:N317),"")</f>
        <v>0.81572799782605954</v>
      </c>
      <c r="AZ317">
        <f t="shared" si="105"/>
        <v>1</v>
      </c>
      <c r="BA317" t="str">
        <f>IF(AZ317=1,IF(Q317="","",IF(Q317=N144,"Yes","No")),"")</f>
        <v>Yes</v>
      </c>
      <c r="BB317">
        <f t="shared" si="106"/>
        <v>-25990000</v>
      </c>
      <c r="BC317" t="str">
        <f>IF(AZ317=1,IF(S317="","",IF(S317=N144,"Yes","No")),"")</f>
        <v>No</v>
      </c>
      <c r="BD317" t="str">
        <f t="shared" si="107"/>
        <v/>
      </c>
      <c r="BE317" t="str">
        <f t="shared" si="108"/>
        <v>Increasing</v>
      </c>
      <c r="BF317" t="str">
        <f t="shared" si="109"/>
        <v>Yes</v>
      </c>
      <c r="BG317" t="str">
        <f t="shared" si="110"/>
        <v>No</v>
      </c>
      <c r="BH317" t="str">
        <f t="shared" si="111"/>
        <v>Yes</v>
      </c>
    </row>
    <row r="318" spans="1:60" x14ac:dyDescent="0.3">
      <c r="A318" s="1">
        <v>6</v>
      </c>
      <c r="B318" t="s">
        <v>830</v>
      </c>
      <c r="C318" t="s">
        <v>4375</v>
      </c>
      <c r="D318" t="s">
        <v>264</v>
      </c>
      <c r="E318" t="s">
        <v>264</v>
      </c>
      <c r="F318" t="s">
        <v>264</v>
      </c>
      <c r="G318" t="s">
        <v>264</v>
      </c>
      <c r="I318" t="str">
        <f t="shared" si="112"/>
        <v>N/A</v>
      </c>
      <c r="J318">
        <f t="shared" si="113"/>
        <v>399000</v>
      </c>
      <c r="K318" t="str">
        <f t="shared" si="114"/>
        <v>N/A</v>
      </c>
      <c r="L318" t="str">
        <f t="shared" si="115"/>
        <v>N/A</v>
      </c>
      <c r="M318" t="str">
        <f t="shared" si="116"/>
        <v>N/A</v>
      </c>
      <c r="N318" t="str">
        <f t="shared" si="117"/>
        <v>N/A</v>
      </c>
      <c r="P318">
        <f t="shared" si="94"/>
        <v>399000</v>
      </c>
      <c r="Q318">
        <f>IFERROR(J144+MATCH(P318,J318:N318,0)-1,"")</f>
        <v>2012</v>
      </c>
      <c r="R318">
        <f t="shared" si="95"/>
        <v>399000</v>
      </c>
      <c r="S318">
        <f>IFERROR(J144+MATCH(R318,J318:N318,0)-1,"")</f>
        <v>2012</v>
      </c>
      <c r="T318">
        <f t="shared" si="96"/>
        <v>399000</v>
      </c>
      <c r="U318" t="str">
        <f t="shared" si="97"/>
        <v/>
      </c>
      <c r="V318" t="str">
        <f t="shared" si="98"/>
        <v/>
      </c>
      <c r="W318" t="str">
        <f t="shared" si="99"/>
        <v/>
      </c>
      <c r="X318" t="str">
        <f t="shared" si="100"/>
        <v/>
      </c>
      <c r="Y318" t="str">
        <f t="shared" si="101"/>
        <v/>
      </c>
      <c r="Z318" t="str">
        <f t="shared" si="102"/>
        <v/>
      </c>
      <c r="AA318">
        <f t="shared" si="103"/>
        <v>0</v>
      </c>
      <c r="AB318" t="str">
        <f>IFERROR(V144+MATCH(AA318,V318:Z318,0)-1,"")</f>
        <v/>
      </c>
      <c r="AC318" t="str">
        <f t="shared" si="104"/>
        <v/>
      </c>
      <c r="AE318" t="str">
        <f>IF(ISNUMBER(MATCH("N/A",J318:N318,0)),"",IFERROR((5 * SUMPRODUCT(J144:N144,J318:N318) - PRODUCT(SUM(J144:N144),SUM(J318:N318))) / ((5 * SUM((J144^2)+(K144^2)+(L144^2)+(M144^2)+(N144^2))) - SUM(J144:N144)^2),""))</f>
        <v/>
      </c>
      <c r="AF318" t="str">
        <f>IFERROR(CORREL(J144:N144,J318:N318),"")</f>
        <v/>
      </c>
      <c r="AZ318">
        <f t="shared" si="105"/>
        <v>0</v>
      </c>
      <c r="BA318" t="str">
        <f>IF(AZ318=1,IF(Q318="","",IF(Q318=N144,"Yes","No")),"")</f>
        <v/>
      </c>
      <c r="BB318" t="str">
        <f t="shared" si="106"/>
        <v/>
      </c>
      <c r="BC318" t="str">
        <f>IF(AZ318=1,IF(S318="","",IF(S318=N144,"Yes","No")),"")</f>
        <v/>
      </c>
      <c r="BD318" t="str">
        <f t="shared" si="107"/>
        <v/>
      </c>
      <c r="BE318" t="str">
        <f t="shared" si="108"/>
        <v/>
      </c>
      <c r="BF318" t="str">
        <f t="shared" si="109"/>
        <v>No</v>
      </c>
      <c r="BG318" t="str">
        <f t="shared" si="110"/>
        <v>No</v>
      </c>
      <c r="BH318" t="str">
        <f t="shared" si="111"/>
        <v/>
      </c>
    </row>
    <row r="319" spans="1:60" x14ac:dyDescent="0.3">
      <c r="A319" s="1">
        <v>7</v>
      </c>
      <c r="B319" t="s">
        <v>836</v>
      </c>
      <c r="C319" t="s">
        <v>264</v>
      </c>
      <c r="D319" t="s">
        <v>264</v>
      </c>
      <c r="E319" t="s">
        <v>264</v>
      </c>
      <c r="F319" t="s">
        <v>264</v>
      </c>
      <c r="G319" t="s">
        <v>264</v>
      </c>
      <c r="I319" t="str">
        <f t="shared" si="112"/>
        <v>N/A</v>
      </c>
      <c r="J319" t="str">
        <f t="shared" si="113"/>
        <v>N/A</v>
      </c>
      <c r="K319" t="str">
        <f t="shared" si="114"/>
        <v>N/A</v>
      </c>
      <c r="L319" t="str">
        <f t="shared" si="115"/>
        <v>N/A</v>
      </c>
      <c r="M319" t="str">
        <f t="shared" si="116"/>
        <v>N/A</v>
      </c>
      <c r="N319" t="str">
        <f t="shared" si="117"/>
        <v>N/A</v>
      </c>
      <c r="P319">
        <f t="shared" si="94"/>
        <v>0</v>
      </c>
      <c r="Q319" t="str">
        <f>IFERROR(J144+MATCH(P319,J319:N319,0)-1,"")</f>
        <v/>
      </c>
      <c r="R319" t="str">
        <f t="shared" si="95"/>
        <v/>
      </c>
      <c r="S319" t="str">
        <f>IFERROR(J144+MATCH(R319,J319:N319,0)-1,"")</f>
        <v/>
      </c>
      <c r="T319" t="str">
        <f t="shared" si="96"/>
        <v/>
      </c>
      <c r="U319" t="str">
        <f t="shared" si="97"/>
        <v/>
      </c>
      <c r="V319" t="str">
        <f t="shared" si="98"/>
        <v/>
      </c>
      <c r="W319" t="str">
        <f t="shared" si="99"/>
        <v/>
      </c>
      <c r="X319" t="str">
        <f t="shared" si="100"/>
        <v/>
      </c>
      <c r="Y319" t="str">
        <f t="shared" si="101"/>
        <v/>
      </c>
      <c r="Z319" t="str">
        <f t="shared" si="102"/>
        <v/>
      </c>
      <c r="AA319">
        <f t="shared" si="103"/>
        <v>0</v>
      </c>
      <c r="AB319" t="str">
        <f>IFERROR(V144+MATCH(AA319,V319:Z319,0)-1,"")</f>
        <v/>
      </c>
      <c r="AC319" t="str">
        <f t="shared" si="104"/>
        <v/>
      </c>
      <c r="AE319" t="str">
        <f>IF(ISNUMBER(MATCH("N/A",J319:N319,0)),"",IFERROR((5 * SUMPRODUCT(J144:N144,J319:N319) - PRODUCT(SUM(J144:N144),SUM(J319:N319))) / ((5 * SUM((J144^2)+(K144^2)+(L144^2)+(M144^2)+(N144^2))) - SUM(J144:N144)^2),""))</f>
        <v/>
      </c>
      <c r="AF319" t="str">
        <f>IFERROR(CORREL(J144:N144,J319:N319),"")</f>
        <v/>
      </c>
      <c r="AZ319">
        <f t="shared" si="105"/>
        <v>0</v>
      </c>
      <c r="BA319" t="str">
        <f>IF(AZ319=1,IF(Q319="","",IF(Q319=N144,"Yes","No")),"")</f>
        <v/>
      </c>
      <c r="BB319" t="str">
        <f t="shared" si="106"/>
        <v/>
      </c>
      <c r="BC319" t="str">
        <f>IF(AZ319=1,IF(S319="","",IF(S319=N144,"Yes","No")),"")</f>
        <v/>
      </c>
      <c r="BD319" t="str">
        <f t="shared" si="107"/>
        <v/>
      </c>
      <c r="BE319" t="str">
        <f t="shared" si="108"/>
        <v/>
      </c>
      <c r="BF319" t="str">
        <f t="shared" si="109"/>
        <v>No</v>
      </c>
      <c r="BG319" t="str">
        <f t="shared" si="110"/>
        <v>No</v>
      </c>
      <c r="BH319" t="str">
        <f t="shared" si="111"/>
        <v/>
      </c>
    </row>
    <row r="320" spans="1:60" x14ac:dyDescent="0.3">
      <c r="A320" s="1">
        <v>8</v>
      </c>
      <c r="B320" t="s">
        <v>840</v>
      </c>
      <c r="C320" t="s">
        <v>264</v>
      </c>
      <c r="D320" t="s">
        <v>264</v>
      </c>
      <c r="E320" t="s">
        <v>264</v>
      </c>
      <c r="F320" t="s">
        <v>264</v>
      </c>
      <c r="G320" t="s">
        <v>264</v>
      </c>
      <c r="I320" t="str">
        <f t="shared" si="112"/>
        <v>N/A</v>
      </c>
      <c r="J320" t="str">
        <f t="shared" si="113"/>
        <v>N/A</v>
      </c>
      <c r="K320" t="str">
        <f t="shared" si="114"/>
        <v>N/A</v>
      </c>
      <c r="L320" t="str">
        <f t="shared" si="115"/>
        <v>N/A</v>
      </c>
      <c r="M320" t="str">
        <f t="shared" si="116"/>
        <v>N/A</v>
      </c>
      <c r="N320" t="str">
        <f t="shared" si="117"/>
        <v>N/A</v>
      </c>
      <c r="P320">
        <f t="shared" si="94"/>
        <v>0</v>
      </c>
      <c r="Q320" t="str">
        <f>IFERROR(J144+MATCH(P320,J320:N320,0)-1,"")</f>
        <v/>
      </c>
      <c r="R320" t="str">
        <f t="shared" si="95"/>
        <v/>
      </c>
      <c r="S320" t="str">
        <f>IFERROR(J144+MATCH(R320,J320:N320,0)-1,"")</f>
        <v/>
      </c>
      <c r="T320" t="str">
        <f t="shared" si="96"/>
        <v/>
      </c>
      <c r="U320" t="str">
        <f t="shared" si="97"/>
        <v/>
      </c>
      <c r="V320" t="str">
        <f t="shared" si="98"/>
        <v/>
      </c>
      <c r="W320" t="str">
        <f t="shared" si="99"/>
        <v/>
      </c>
      <c r="X320" t="str">
        <f t="shared" si="100"/>
        <v/>
      </c>
      <c r="Y320" t="str">
        <f t="shared" si="101"/>
        <v/>
      </c>
      <c r="Z320" t="str">
        <f t="shared" si="102"/>
        <v/>
      </c>
      <c r="AA320">
        <f t="shared" si="103"/>
        <v>0</v>
      </c>
      <c r="AB320" t="str">
        <f>IFERROR(V144+MATCH(AA320,V320:Z320,0)-1,"")</f>
        <v/>
      </c>
      <c r="AC320" t="str">
        <f t="shared" si="104"/>
        <v/>
      </c>
      <c r="AE320" t="str">
        <f>IF(ISNUMBER(MATCH("N/A",J320:N320,0)),"",IFERROR((5 * SUMPRODUCT(J144:N144,J320:N320) - PRODUCT(SUM(J144:N144),SUM(J320:N320))) / ((5 * SUM((J144^2)+(K144^2)+(L144^2)+(M144^2)+(N144^2))) - SUM(J144:N144)^2),""))</f>
        <v/>
      </c>
      <c r="AF320" t="str">
        <f>IFERROR(CORREL(J144:N144,J320:N320),"")</f>
        <v/>
      </c>
      <c r="AZ320">
        <f t="shared" si="105"/>
        <v>0</v>
      </c>
      <c r="BA320" t="str">
        <f>IF(AZ320=1,IF(Q320="","",IF(Q320=N144,"Yes","No")),"")</f>
        <v/>
      </c>
      <c r="BB320" t="str">
        <f t="shared" si="106"/>
        <v/>
      </c>
      <c r="BC320" t="str">
        <f>IF(AZ320=1,IF(S320="","",IF(S320=N144,"Yes","No")),"")</f>
        <v/>
      </c>
      <c r="BD320" t="str">
        <f t="shared" si="107"/>
        <v/>
      </c>
      <c r="BE320" t="str">
        <f t="shared" si="108"/>
        <v/>
      </c>
      <c r="BF320" t="str">
        <f t="shared" si="109"/>
        <v>No</v>
      </c>
      <c r="BG320" t="str">
        <f t="shared" si="110"/>
        <v>No</v>
      </c>
      <c r="BH320" t="str">
        <f t="shared" si="111"/>
        <v/>
      </c>
    </row>
    <row r="321" spans="1:60" x14ac:dyDescent="0.3">
      <c r="A321" s="1">
        <v>9</v>
      </c>
      <c r="B321" t="s">
        <v>843</v>
      </c>
      <c r="C321" t="s">
        <v>264</v>
      </c>
      <c r="D321" t="s">
        <v>264</v>
      </c>
      <c r="E321" t="s">
        <v>264</v>
      </c>
      <c r="F321" t="s">
        <v>264</v>
      </c>
      <c r="G321" t="s">
        <v>264</v>
      </c>
      <c r="I321" t="str">
        <f t="shared" si="112"/>
        <v>N/A</v>
      </c>
      <c r="J321" t="str">
        <f t="shared" si="113"/>
        <v>N/A</v>
      </c>
      <c r="K321" t="str">
        <f t="shared" si="114"/>
        <v>N/A</v>
      </c>
      <c r="L321" t="str">
        <f t="shared" si="115"/>
        <v>N/A</v>
      </c>
      <c r="M321" t="str">
        <f t="shared" si="116"/>
        <v>N/A</v>
      </c>
      <c r="N321" t="str">
        <f t="shared" si="117"/>
        <v>N/A</v>
      </c>
      <c r="P321">
        <f t="shared" si="94"/>
        <v>0</v>
      </c>
      <c r="Q321" t="str">
        <f>IFERROR(J144+MATCH(P321,J321:N321,0)-1,"")</f>
        <v/>
      </c>
      <c r="R321" t="str">
        <f t="shared" si="95"/>
        <v/>
      </c>
      <c r="S321" t="str">
        <f>IFERROR(J144+MATCH(R321,J321:N321,0)-1,"")</f>
        <v/>
      </c>
      <c r="T321" t="str">
        <f t="shared" si="96"/>
        <v/>
      </c>
      <c r="U321" t="str">
        <f t="shared" si="97"/>
        <v/>
      </c>
      <c r="V321" t="str">
        <f t="shared" si="98"/>
        <v/>
      </c>
      <c r="W321" t="str">
        <f t="shared" si="99"/>
        <v/>
      </c>
      <c r="X321" t="str">
        <f t="shared" si="100"/>
        <v/>
      </c>
      <c r="Y321" t="str">
        <f t="shared" si="101"/>
        <v/>
      </c>
      <c r="Z321" t="str">
        <f t="shared" si="102"/>
        <v/>
      </c>
      <c r="AA321">
        <f t="shared" si="103"/>
        <v>0</v>
      </c>
      <c r="AB321" t="str">
        <f>IFERROR(V144+MATCH(AA321,V321:Z321,0)-1,"")</f>
        <v/>
      </c>
      <c r="AC321" t="str">
        <f t="shared" si="104"/>
        <v/>
      </c>
      <c r="AE321" t="str">
        <f>IF(ISNUMBER(MATCH("N/A",J321:N321,0)),"",IFERROR((5 * SUMPRODUCT(J144:N144,J321:N321) - PRODUCT(SUM(J144:N144),SUM(J321:N321))) / ((5 * SUM((J144^2)+(K144^2)+(L144^2)+(M144^2)+(N144^2))) - SUM(J144:N144)^2),""))</f>
        <v/>
      </c>
      <c r="AF321" t="str">
        <f>IFERROR(CORREL(J144:N144,J321:N321),"")</f>
        <v/>
      </c>
      <c r="AZ321">
        <f t="shared" si="105"/>
        <v>0</v>
      </c>
      <c r="BA321" t="str">
        <f>IF(AZ321=1,IF(Q321="","",IF(Q321=N144,"Yes","No")),"")</f>
        <v/>
      </c>
      <c r="BB321" t="str">
        <f t="shared" si="106"/>
        <v/>
      </c>
      <c r="BC321" t="str">
        <f>IF(AZ321=1,IF(S321="","",IF(S321=N144,"Yes","No")),"")</f>
        <v/>
      </c>
      <c r="BD321" t="str">
        <f t="shared" si="107"/>
        <v/>
      </c>
      <c r="BE321" t="str">
        <f t="shared" si="108"/>
        <v/>
      </c>
      <c r="BF321" t="str">
        <f t="shared" si="109"/>
        <v>No</v>
      </c>
      <c r="BG321" t="str">
        <f t="shared" si="110"/>
        <v>No</v>
      </c>
      <c r="BH321" t="str">
        <f t="shared" si="111"/>
        <v/>
      </c>
    </row>
    <row r="322" spans="1:60" x14ac:dyDescent="0.3">
      <c r="A322" s="1">
        <v>10</v>
      </c>
      <c r="B322" t="s">
        <v>846</v>
      </c>
      <c r="C322" t="s">
        <v>4376</v>
      </c>
      <c r="D322" t="s">
        <v>4377</v>
      </c>
      <c r="E322" t="s">
        <v>264</v>
      </c>
      <c r="F322" t="s">
        <v>264</v>
      </c>
      <c r="G322" t="s">
        <v>264</v>
      </c>
      <c r="I322" t="str">
        <f t="shared" si="112"/>
        <v>N/A</v>
      </c>
      <c r="J322">
        <f t="shared" si="113"/>
        <v>-2870000</v>
      </c>
      <c r="K322">
        <f t="shared" si="114"/>
        <v>-31010000</v>
      </c>
      <c r="L322" t="str">
        <f t="shared" si="115"/>
        <v>N/A</v>
      </c>
      <c r="M322" t="str">
        <f t="shared" si="116"/>
        <v>N/A</v>
      </c>
      <c r="N322" t="str">
        <f t="shared" si="117"/>
        <v>N/A</v>
      </c>
      <c r="P322">
        <f t="shared" si="94"/>
        <v>-2870000</v>
      </c>
      <c r="Q322">
        <f>IFERROR(J144+MATCH(P322,J322:N322,0)-1,"")</f>
        <v>2012</v>
      </c>
      <c r="R322">
        <f t="shared" si="95"/>
        <v>-31010000</v>
      </c>
      <c r="S322">
        <f>IFERROR(J144+MATCH(R322,J322:N322,0)-1,"")</f>
        <v>2013</v>
      </c>
      <c r="T322">
        <f t="shared" si="96"/>
        <v>-16940000</v>
      </c>
      <c r="U322">
        <f t="shared" si="97"/>
        <v>19897984.822589446</v>
      </c>
      <c r="V322">
        <f t="shared" si="98"/>
        <v>0.70710678118654757</v>
      </c>
      <c r="W322">
        <f t="shared" si="99"/>
        <v>-0.70710678118654757</v>
      </c>
      <c r="X322" t="str">
        <f t="shared" si="100"/>
        <v/>
      </c>
      <c r="Y322" t="str">
        <f t="shared" si="101"/>
        <v/>
      </c>
      <c r="Z322" t="str">
        <f t="shared" si="102"/>
        <v/>
      </c>
      <c r="AA322">
        <f t="shared" si="103"/>
        <v>-0.70710678118654757</v>
      </c>
      <c r="AB322">
        <f>IFERROR(V144+MATCH(AA322,V322:Z322,0)-1,"")</f>
        <v>2013</v>
      </c>
      <c r="AC322" t="str">
        <f t="shared" si="104"/>
        <v>Low</v>
      </c>
      <c r="AE322" t="str">
        <f>IF(ISNUMBER(MATCH("N/A",J322:N322,0)),"",IFERROR((5 * SUMPRODUCT(J144:N144,J322:N322) - PRODUCT(SUM(J144:N144),SUM(J322:N322))) / ((5 * SUM((J144^2)+(K144^2)+(L144^2)+(M144^2)+(N144^2))) - SUM(J144:N144)^2),""))</f>
        <v/>
      </c>
      <c r="AF322">
        <f>IFERROR(CORREL(J144:N144,J322:N322),"")</f>
        <v>-1</v>
      </c>
      <c r="AZ322">
        <f t="shared" si="105"/>
        <v>1</v>
      </c>
      <c r="BA322" t="str">
        <f>IF(AZ322=1,IF(Q322="","",IF(Q322=N144,"Yes","No")),"")</f>
        <v>No</v>
      </c>
      <c r="BB322" t="str">
        <f t="shared" si="106"/>
        <v/>
      </c>
      <c r="BC322" t="str">
        <f>IF(AZ322=1,IF(S322="","",IF(S322=N144,"Yes","No")),"")</f>
        <v>No</v>
      </c>
      <c r="BD322" t="str">
        <f t="shared" si="107"/>
        <v/>
      </c>
      <c r="BE322" t="str">
        <f t="shared" si="108"/>
        <v/>
      </c>
      <c r="BF322" t="str">
        <f t="shared" si="109"/>
        <v>No</v>
      </c>
      <c r="BG322" t="str">
        <f t="shared" si="110"/>
        <v>No</v>
      </c>
      <c r="BH322" t="str">
        <f t="shared" si="111"/>
        <v>Yes</v>
      </c>
    </row>
    <row r="323" spans="1:60" x14ac:dyDescent="0.3">
      <c r="A323" s="1">
        <v>11</v>
      </c>
      <c r="B323" t="s">
        <v>849</v>
      </c>
      <c r="C323" t="s">
        <v>4378</v>
      </c>
      <c r="D323" t="s">
        <v>264</v>
      </c>
      <c r="E323" t="s">
        <v>264</v>
      </c>
      <c r="F323" t="s">
        <v>4379</v>
      </c>
      <c r="G323" t="s">
        <v>4380</v>
      </c>
      <c r="I323" t="str">
        <f t="shared" si="112"/>
        <v>N/A</v>
      </c>
      <c r="J323">
        <f t="shared" si="113"/>
        <v>4730000</v>
      </c>
      <c r="K323" t="str">
        <f t="shared" si="114"/>
        <v>N/A</v>
      </c>
      <c r="L323" t="str">
        <f t="shared" si="115"/>
        <v>N/A</v>
      </c>
      <c r="M323">
        <f t="shared" si="116"/>
        <v>18930000</v>
      </c>
      <c r="N323">
        <f t="shared" si="117"/>
        <v>7250000</v>
      </c>
      <c r="P323">
        <f t="shared" si="94"/>
        <v>18930000</v>
      </c>
      <c r="Q323">
        <f>IFERROR(J144+MATCH(P323,J323:N323,0)-1,"")</f>
        <v>2015</v>
      </c>
      <c r="R323">
        <f t="shared" si="95"/>
        <v>4730000</v>
      </c>
      <c r="S323">
        <f>IFERROR(J144+MATCH(R323,J323:N323,0)-1,"")</f>
        <v>2012</v>
      </c>
      <c r="T323">
        <f t="shared" si="96"/>
        <v>10303333.333333334</v>
      </c>
      <c r="U323">
        <f t="shared" si="97"/>
        <v>7576419.5589561528</v>
      </c>
      <c r="V323">
        <f t="shared" si="98"/>
        <v>-0.73561572058731184</v>
      </c>
      <c r="W323" t="str">
        <f t="shared" si="99"/>
        <v/>
      </c>
      <c r="X323" t="str">
        <f t="shared" si="100"/>
        <v/>
      </c>
      <c r="Y323">
        <f t="shared" si="101"/>
        <v>1.1386205053109826</v>
      </c>
      <c r="Z323">
        <f t="shared" si="102"/>
        <v>-0.40300478472367091</v>
      </c>
      <c r="AA323">
        <f t="shared" si="103"/>
        <v>1.1386205053109826</v>
      </c>
      <c r="AB323">
        <f>IFERROR(V144+MATCH(AA323,V323:Z323,0)-1,"")</f>
        <v>2015</v>
      </c>
      <c r="AC323" t="str">
        <f t="shared" si="104"/>
        <v>High</v>
      </c>
      <c r="AE323" t="str">
        <f>IF(ISNUMBER(MATCH("N/A",J323:N323,0)),"",IFERROR((5 * SUMPRODUCT(J144:N144,J323:N323) - PRODUCT(SUM(J144:N144),SUM(J323:N323))) / ((5 * SUM((J144^2)+(K144^2)+(L144^2)+(M144^2)+(N144^2))) - SUM(J144:N144)^2),""))</f>
        <v/>
      </c>
      <c r="AF323">
        <f>IFERROR(CORREL(J144:N144,J323:N323),"")</f>
        <v>0.4332689243857758</v>
      </c>
      <c r="AZ323">
        <f t="shared" si="105"/>
        <v>1</v>
      </c>
      <c r="BA323" t="str">
        <f>IF(AZ323=1,IF(Q323="","",IF(Q323=N144,"Yes","No")),"")</f>
        <v>No</v>
      </c>
      <c r="BB323" t="str">
        <f t="shared" si="106"/>
        <v/>
      </c>
      <c r="BC323" t="str">
        <f>IF(AZ323=1,IF(S323="","",IF(S323=N144,"Yes","No")),"")</f>
        <v>No</v>
      </c>
      <c r="BD323" t="str">
        <f t="shared" si="107"/>
        <v/>
      </c>
      <c r="BE323" t="str">
        <f t="shared" si="108"/>
        <v/>
      </c>
      <c r="BF323" t="str">
        <f t="shared" si="109"/>
        <v>No</v>
      </c>
      <c r="BG323" t="str">
        <f t="shared" si="110"/>
        <v>No</v>
      </c>
      <c r="BH323" t="str">
        <f t="shared" si="111"/>
        <v>No</v>
      </c>
    </row>
    <row r="324" spans="1:60" x14ac:dyDescent="0.3">
      <c r="A324" s="1">
        <v>12</v>
      </c>
      <c r="B324" t="s">
        <v>852</v>
      </c>
      <c r="C324" t="s">
        <v>4381</v>
      </c>
      <c r="D324" t="s">
        <v>4382</v>
      </c>
      <c r="E324" t="s">
        <v>4383</v>
      </c>
      <c r="F324" t="s">
        <v>4384</v>
      </c>
      <c r="G324" t="s">
        <v>4385</v>
      </c>
      <c r="I324" t="str">
        <f t="shared" si="112"/>
        <v>N/A</v>
      </c>
      <c r="J324">
        <f t="shared" si="113"/>
        <v>-1940000000</v>
      </c>
      <c r="K324">
        <f t="shared" si="114"/>
        <v>-474970000</v>
      </c>
      <c r="L324">
        <f t="shared" si="115"/>
        <v>-1030000000</v>
      </c>
      <c r="M324">
        <f t="shared" si="116"/>
        <v>-246960000</v>
      </c>
      <c r="N324">
        <f t="shared" si="117"/>
        <v>-81990000</v>
      </c>
      <c r="P324">
        <f t="shared" si="94"/>
        <v>-81990000</v>
      </c>
      <c r="Q324">
        <f>IFERROR(J144+MATCH(P324,J324:N324,0)-1,"")</f>
        <v>2016</v>
      </c>
      <c r="R324">
        <f t="shared" si="95"/>
        <v>-1940000000</v>
      </c>
      <c r="S324">
        <f>IFERROR(J144+MATCH(R324,J324:N324,0)-1,"")</f>
        <v>2012</v>
      </c>
      <c r="T324">
        <f t="shared" si="96"/>
        <v>-754784000</v>
      </c>
      <c r="U324">
        <f t="shared" si="97"/>
        <v>753212066.63860607</v>
      </c>
      <c r="V324">
        <f t="shared" si="98"/>
        <v>-1.5735488748730722</v>
      </c>
      <c r="W324">
        <f t="shared" si="99"/>
        <v>0.37149431401004862</v>
      </c>
      <c r="X324">
        <f t="shared" si="100"/>
        <v>-0.36538979152075857</v>
      </c>
      <c r="Y324">
        <f t="shared" si="101"/>
        <v>0.674211184993742</v>
      </c>
      <c r="Z324">
        <f t="shared" si="102"/>
        <v>0.89323316739003999</v>
      </c>
      <c r="AA324">
        <f t="shared" si="103"/>
        <v>-1.5735488748730722</v>
      </c>
      <c r="AB324">
        <f>IFERROR(V144+MATCH(AA324,V324:Z324,0)-1,"")</f>
        <v>2012</v>
      </c>
      <c r="AC324" t="str">
        <f t="shared" si="104"/>
        <v>Low</v>
      </c>
      <c r="AE324">
        <f>IF(ISNUMBER(MATCH("N/A",J324:N324,0)),"",IFERROR((5 * SUMPRODUCT(J144:N144,J324:N324) - PRODUCT(SUM(J144:N144),SUM(J324:N324))) / ((5 * SUM((J144^2)+(K144^2)+(L144^2)+(M144^2)+(N144^2))) - SUM(J144:N144)^2),""))</f>
        <v>394403000</v>
      </c>
      <c r="AF324">
        <f>IFERROR(CORREL(J144:N144,J324:N324),"")</f>
        <v>0.8279287143987073</v>
      </c>
      <c r="AZ324">
        <f t="shared" si="105"/>
        <v>1</v>
      </c>
      <c r="BA324" t="str">
        <f>IF(AZ324=1,IF(Q324="","",IF(Q324=N144,"Yes","No")),"")</f>
        <v>Yes</v>
      </c>
      <c r="BB324">
        <f t="shared" si="106"/>
        <v>-81990000</v>
      </c>
      <c r="BC324" t="str">
        <f>IF(AZ324=1,IF(S324="","",IF(S324=N144,"Yes","No")),"")</f>
        <v>No</v>
      </c>
      <c r="BD324" t="str">
        <f t="shared" si="107"/>
        <v/>
      </c>
      <c r="BE324" t="str">
        <f t="shared" si="108"/>
        <v>Increasing</v>
      </c>
      <c r="BF324" t="str">
        <f t="shared" si="109"/>
        <v>Yes</v>
      </c>
      <c r="BG324" t="str">
        <f t="shared" si="110"/>
        <v>No</v>
      </c>
      <c r="BH324" t="str">
        <f t="shared" si="111"/>
        <v>Yes</v>
      </c>
    </row>
    <row r="325" spans="1:60" x14ac:dyDescent="0.3">
      <c r="A325" s="1">
        <v>13</v>
      </c>
      <c r="B325" t="s">
        <v>858</v>
      </c>
      <c r="C325" t="s">
        <v>264</v>
      </c>
      <c r="D325" t="s">
        <v>4386</v>
      </c>
      <c r="E325" t="s">
        <v>4387</v>
      </c>
      <c r="F325" t="s">
        <v>4388</v>
      </c>
      <c r="G325" t="s">
        <v>4389</v>
      </c>
      <c r="I325" t="str">
        <f t="shared" si="112"/>
        <v>N/A</v>
      </c>
      <c r="J325" t="str">
        <f t="shared" si="113"/>
        <v>N/A</v>
      </c>
      <c r="K325">
        <f t="shared" si="114"/>
        <v>0.75530000000000008</v>
      </c>
      <c r="L325">
        <f t="shared" si="115"/>
        <v>-1.1689000000000001</v>
      </c>
      <c r="M325">
        <f t="shared" si="116"/>
        <v>0.76029999999999998</v>
      </c>
      <c r="N325">
        <f t="shared" si="117"/>
        <v>0.66800000000000004</v>
      </c>
      <c r="P325">
        <f t="shared" si="94"/>
        <v>0.76029999999999998</v>
      </c>
      <c r="Q325">
        <f>IFERROR(J144+MATCH(P325,J325:N325,0)-1,"")</f>
        <v>2015</v>
      </c>
      <c r="R325">
        <f t="shared" si="95"/>
        <v>-1.1689000000000001</v>
      </c>
      <c r="S325">
        <f>IFERROR(J144+MATCH(R325,J325:N325,0)-1,"")</f>
        <v>2014</v>
      </c>
      <c r="T325">
        <f t="shared" si="96"/>
        <v>0.25367499999999998</v>
      </c>
      <c r="U325">
        <f t="shared" si="97"/>
        <v>0.94932982808926847</v>
      </c>
      <c r="V325" t="str">
        <f t="shared" si="98"/>
        <v/>
      </c>
      <c r="W325">
        <f t="shared" si="99"/>
        <v>0.52839907180587475</v>
      </c>
      <c r="X325">
        <f t="shared" si="100"/>
        <v>-1.4985044795898175</v>
      </c>
      <c r="Y325">
        <f t="shared" si="101"/>
        <v>0.53366594518544974</v>
      </c>
      <c r="Z325">
        <f t="shared" si="102"/>
        <v>0.43643946259849298</v>
      </c>
      <c r="AA325">
        <f t="shared" si="103"/>
        <v>-1.4985044795898175</v>
      </c>
      <c r="AB325">
        <f>IFERROR(V144+MATCH(AA325,V325:Z325,0)-1,"")</f>
        <v>2014</v>
      </c>
      <c r="AC325" t="str">
        <f t="shared" si="104"/>
        <v>Low</v>
      </c>
      <c r="AE325" t="str">
        <f>IF(ISNUMBER(MATCH("N/A",J325:N325,0)),"",IFERROR((5 * SUMPRODUCT(J144:N144,J325:N325) - PRODUCT(SUM(J144:N144),SUM(J325:N325))) / ((5 * SUM((J144^2)+(K144^2)+(L144^2)+(M144^2)+(N144^2))) - SUM(J144:N144)^2),""))</f>
        <v/>
      </c>
      <c r="AF325">
        <f>IFERROR(CORREL(J144:N144,J325:N325),"")</f>
        <v>0.22673627022860221</v>
      </c>
      <c r="AZ325">
        <f t="shared" si="105"/>
        <v>1</v>
      </c>
      <c r="BA325" t="str">
        <f>IF(AZ325=1,IF(Q325="","",IF(Q325=N144,"Yes","No")),"")</f>
        <v>No</v>
      </c>
      <c r="BB325" t="str">
        <f t="shared" si="106"/>
        <v/>
      </c>
      <c r="BC325" t="str">
        <f>IF(AZ325=1,IF(S325="","",IF(S325=N144,"Yes","No")),"")</f>
        <v>No</v>
      </c>
      <c r="BD325" t="str">
        <f t="shared" si="107"/>
        <v/>
      </c>
      <c r="BE325" t="str">
        <f t="shared" si="108"/>
        <v/>
      </c>
      <c r="BF325" t="str">
        <f t="shared" si="109"/>
        <v>No</v>
      </c>
      <c r="BG325" t="str">
        <f t="shared" si="110"/>
        <v>No</v>
      </c>
      <c r="BH325" t="str">
        <f t="shared" si="111"/>
        <v>No</v>
      </c>
    </row>
    <row r="326" spans="1:60" x14ac:dyDescent="0.3">
      <c r="A326" s="1">
        <v>14</v>
      </c>
      <c r="B326" t="s">
        <v>863</v>
      </c>
      <c r="C326" t="s">
        <v>4390</v>
      </c>
      <c r="D326" t="s">
        <v>4391</v>
      </c>
      <c r="E326" t="s">
        <v>4392</v>
      </c>
      <c r="F326" t="s">
        <v>4393</v>
      </c>
      <c r="G326" t="s">
        <v>4394</v>
      </c>
      <c r="I326" t="str">
        <f t="shared" si="112"/>
        <v>N/A</v>
      </c>
      <c r="J326">
        <f t="shared" si="113"/>
        <v>-0.49590000000000006</v>
      </c>
      <c r="K326">
        <f t="shared" si="114"/>
        <v>-0.1129</v>
      </c>
      <c r="L326">
        <f t="shared" si="115"/>
        <v>-0.22280000000000003</v>
      </c>
      <c r="M326">
        <f t="shared" si="116"/>
        <v>-6.2300000000000008E-2</v>
      </c>
      <c r="N326">
        <f t="shared" si="117"/>
        <v>-2.2499999999999999E-2</v>
      </c>
      <c r="P326">
        <f t="shared" si="94"/>
        <v>-2.2499999999999999E-2</v>
      </c>
      <c r="Q326">
        <f>IFERROR(J144+MATCH(P326,J326:N326,0)-1,"")</f>
        <v>2016</v>
      </c>
      <c r="R326">
        <f t="shared" si="95"/>
        <v>-0.49590000000000006</v>
      </c>
      <c r="S326">
        <f>IFERROR(J144+MATCH(R326,J326:N326,0)-1,"")</f>
        <v>2012</v>
      </c>
      <c r="T326">
        <f t="shared" si="96"/>
        <v>-0.18328</v>
      </c>
      <c r="U326">
        <f t="shared" si="97"/>
        <v>0.19021882661818731</v>
      </c>
      <c r="V326">
        <f t="shared" si="98"/>
        <v>-1.6434755989085135</v>
      </c>
      <c r="W326">
        <f t="shared" si="99"/>
        <v>0.36999492243356519</v>
      </c>
      <c r="X326">
        <f t="shared" si="100"/>
        <v>-0.20776071802464488</v>
      </c>
      <c r="Y326">
        <f t="shared" si="101"/>
        <v>0.63600434379103032</v>
      </c>
      <c r="Z326">
        <f t="shared" si="102"/>
        <v>0.84523705070856225</v>
      </c>
      <c r="AA326">
        <f t="shared" si="103"/>
        <v>-1.6434755989085135</v>
      </c>
      <c r="AB326">
        <f>IFERROR(V144+MATCH(AA326,V326:Z326,0)-1,"")</f>
        <v>2012</v>
      </c>
      <c r="AC326" t="str">
        <f t="shared" si="104"/>
        <v>Low</v>
      </c>
      <c r="AE326">
        <f>IF(ISNUMBER(MATCH("N/A",J326:N326,0)),"",IFERROR((5 * SUMPRODUCT(J144:N144,J326:N326) - PRODUCT(SUM(J144:N144),SUM(J326:N326))) / ((5 * SUM((J144^2)+(K144^2)+(L144^2)+(M144^2)+(N144^2))) - SUM(J144:N144)^2),""))</f>
        <v>9.9739999999983411E-2</v>
      </c>
      <c r="AF326">
        <f>IFERROR(CORREL(J144:N144,J326:N326),"")</f>
        <v>0.82905982397390465</v>
      </c>
      <c r="AZ326">
        <f t="shared" si="105"/>
        <v>1</v>
      </c>
      <c r="BA326" t="str">
        <f>IF(AZ326=1,IF(Q326="","",IF(Q326=N144,"Yes","No")),"")</f>
        <v>Yes</v>
      </c>
      <c r="BB326">
        <f t="shared" si="106"/>
        <v>-2.2499999999999999E-2</v>
      </c>
      <c r="BC326" t="str">
        <f>IF(AZ326=1,IF(S326="","",IF(S326=N144,"Yes","No")),"")</f>
        <v>No</v>
      </c>
      <c r="BD326" t="str">
        <f t="shared" si="107"/>
        <v/>
      </c>
      <c r="BE326" t="str">
        <f t="shared" si="108"/>
        <v>Increasing</v>
      </c>
      <c r="BF326" t="str">
        <f t="shared" si="109"/>
        <v>Yes</v>
      </c>
      <c r="BG326" t="str">
        <f t="shared" si="110"/>
        <v>No</v>
      </c>
      <c r="BH326" t="str">
        <f t="shared" si="111"/>
        <v>Yes</v>
      </c>
    </row>
    <row r="327" spans="1:60" x14ac:dyDescent="0.3">
      <c r="I327" t="str">
        <f t="shared" si="112"/>
        <v>N/A</v>
      </c>
      <c r="J327" t="str">
        <f t="shared" si="113"/>
        <v>N/A</v>
      </c>
      <c r="K327" t="str">
        <f t="shared" si="114"/>
        <v>N/A</v>
      </c>
      <c r="L327" t="str">
        <f t="shared" si="115"/>
        <v>N/A</v>
      </c>
      <c r="M327" t="str">
        <f t="shared" si="116"/>
        <v>N/A</v>
      </c>
      <c r="N327" t="str">
        <f t="shared" si="117"/>
        <v>N/A</v>
      </c>
      <c r="P327">
        <f t="shared" si="94"/>
        <v>0</v>
      </c>
      <c r="Q327" t="str">
        <f>IFERROR(J144+MATCH(P327,J327:N327,0)-1,"")</f>
        <v/>
      </c>
      <c r="R327" t="str">
        <f t="shared" si="95"/>
        <v/>
      </c>
      <c r="S327" t="str">
        <f>IFERROR(J144+MATCH(R327,J327:N327,0)-1,"")</f>
        <v/>
      </c>
      <c r="T327" t="str">
        <f t="shared" si="96"/>
        <v/>
      </c>
      <c r="U327" t="str">
        <f t="shared" si="97"/>
        <v/>
      </c>
      <c r="V327" t="str">
        <f t="shared" si="98"/>
        <v/>
      </c>
      <c r="W327" t="str">
        <f t="shared" si="99"/>
        <v/>
      </c>
      <c r="X327" t="str">
        <f t="shared" si="100"/>
        <v/>
      </c>
      <c r="Y327" t="str">
        <f t="shared" si="101"/>
        <v/>
      </c>
      <c r="Z327" t="str">
        <f t="shared" si="102"/>
        <v/>
      </c>
      <c r="AA327">
        <f t="shared" si="103"/>
        <v>0</v>
      </c>
      <c r="AB327" t="str">
        <f>IFERROR(V144+MATCH(AA327,V327:Z327,0)-1,"")</f>
        <v/>
      </c>
      <c r="AC327" t="str">
        <f t="shared" si="104"/>
        <v/>
      </c>
      <c r="AE327" t="str">
        <f>IF(ISNUMBER(MATCH("N/A",J327:N327,0)),"",IFERROR((5 * SUMPRODUCT(J144:N144,J327:N327) - PRODUCT(SUM(J144:N144),SUM(J327:N327))) / ((5 * SUM((J144^2)+(K144^2)+(L144^2)+(M144^2)+(N144^2))) - SUM(J144:N144)^2),""))</f>
        <v/>
      </c>
      <c r="AF327" t="str">
        <f>IFERROR(CORREL(J144:N144,J327:N327),"")</f>
        <v/>
      </c>
      <c r="AZ327">
        <f t="shared" si="105"/>
        <v>0</v>
      </c>
      <c r="BA327" t="str">
        <f>IF(AZ327=1,IF(Q327="","",IF(Q327=N144,"Yes","No")),"")</f>
        <v/>
      </c>
      <c r="BB327" t="str">
        <f t="shared" si="106"/>
        <v/>
      </c>
      <c r="BC327" t="str">
        <f>IF(AZ327=1,IF(S327="","",IF(S327=N144,"Yes","No")),"")</f>
        <v/>
      </c>
      <c r="BD327" t="str">
        <f t="shared" si="107"/>
        <v/>
      </c>
      <c r="BE327" t="str">
        <f t="shared" si="108"/>
        <v/>
      </c>
      <c r="BF327" t="str">
        <f t="shared" si="109"/>
        <v>No</v>
      </c>
      <c r="BG327" t="str">
        <f t="shared" si="110"/>
        <v>No</v>
      </c>
      <c r="BH327" t="str">
        <f t="shared" si="111"/>
        <v/>
      </c>
    </row>
    <row r="328" spans="1:60" x14ac:dyDescent="0.3">
      <c r="B328" s="1" t="s">
        <v>316</v>
      </c>
      <c r="C328" s="1" t="s">
        <v>252</v>
      </c>
      <c r="D328" s="1" t="s">
        <v>253</v>
      </c>
      <c r="E328" s="1" t="s">
        <v>254</v>
      </c>
      <c r="F328" s="1" t="s">
        <v>255</v>
      </c>
      <c r="G328" s="1" t="s">
        <v>256</v>
      </c>
      <c r="H328" s="1" t="s">
        <v>257</v>
      </c>
      <c r="P328">
        <f t="shared" si="94"/>
        <v>0</v>
      </c>
      <c r="Q328" t="str">
        <f>IFERROR(J144+MATCH(P328,J328:N328,0)-1,"")</f>
        <v/>
      </c>
      <c r="R328" t="str">
        <f t="shared" si="95"/>
        <v/>
      </c>
      <c r="S328" t="str">
        <f>IFERROR(J144+MATCH(R328,J328:N328,0)-1,"")</f>
        <v/>
      </c>
      <c r="T328" t="str">
        <f t="shared" si="96"/>
        <v/>
      </c>
      <c r="U328" t="str">
        <f t="shared" si="97"/>
        <v/>
      </c>
      <c r="V328" t="str">
        <f t="shared" si="98"/>
        <v/>
      </c>
      <c r="W328" t="str">
        <f t="shared" si="99"/>
        <v/>
      </c>
      <c r="X328" t="str">
        <f t="shared" si="100"/>
        <v/>
      </c>
      <c r="Y328" t="str">
        <f t="shared" si="101"/>
        <v/>
      </c>
      <c r="Z328" t="str">
        <f t="shared" si="102"/>
        <v/>
      </c>
      <c r="AA328">
        <f t="shared" si="103"/>
        <v>0</v>
      </c>
      <c r="AB328" t="str">
        <f>IFERROR(V144+MATCH(AA328,V328:Z328,0)-1,"")</f>
        <v/>
      </c>
      <c r="AC328" t="str">
        <f t="shared" si="104"/>
        <v/>
      </c>
      <c r="AE328">
        <f>IF(ISNUMBER(MATCH("N/A",J328:N328,0)),"",IFERROR((5 * SUMPRODUCT(J144:N144,J328:N328) - PRODUCT(SUM(J144:N144),SUM(J328:N328))) / ((5 * SUM((J144^2)+(K144^2)+(L144^2)+(M144^2)+(N144^2))) - SUM(J144:N144)^2),""))</f>
        <v>0</v>
      </c>
      <c r="AF328" t="str">
        <f>IFERROR(CORREL(J144:N144,J328:N328),"")</f>
        <v/>
      </c>
      <c r="AZ328">
        <f t="shared" si="105"/>
        <v>0</v>
      </c>
      <c r="BA328" t="str">
        <f>IF(AZ328=1,IF(Q328="","",IF(Q328=N144,"Yes","No")),"")</f>
        <v/>
      </c>
      <c r="BB328" t="str">
        <f t="shared" si="106"/>
        <v/>
      </c>
      <c r="BC328" t="str">
        <f>IF(AZ328=1,IF(S328="","",IF(S328=N144,"Yes","No")),"")</f>
        <v/>
      </c>
      <c r="BD328" t="str">
        <f t="shared" si="107"/>
        <v/>
      </c>
      <c r="BE328" t="str">
        <f t="shared" si="108"/>
        <v/>
      </c>
      <c r="BF328" t="str">
        <f t="shared" si="109"/>
        <v>No</v>
      </c>
      <c r="BG328" t="str">
        <f t="shared" si="110"/>
        <v>No</v>
      </c>
      <c r="BH328" t="str">
        <f t="shared" si="111"/>
        <v/>
      </c>
    </row>
    <row r="329" spans="1:60" x14ac:dyDescent="0.3">
      <c r="A329" s="1">
        <v>0</v>
      </c>
      <c r="B329" t="s">
        <v>868</v>
      </c>
      <c r="C329" t="s">
        <v>4395</v>
      </c>
      <c r="D329" t="s">
        <v>4396</v>
      </c>
      <c r="E329" t="s">
        <v>4397</v>
      </c>
      <c r="F329" t="s">
        <v>264</v>
      </c>
      <c r="G329" t="s">
        <v>264</v>
      </c>
      <c r="I329" t="str">
        <f t="shared" ref="I329:I360" si="118">IF(AND(K329&gt; J329, L329&gt; K329, M329&gt; L329, N329&gt; M329), "pos_trend", IF(AND(K329&lt; J329, L329&lt; K329, M329&lt; L329, N329&lt; M329), "neg_trend", "N/A"))</f>
        <v>N/A</v>
      </c>
      <c r="J329">
        <f t="shared" ref="J329:J360" si="119">IFERROR(IF(TRIM(C329)="-", "N/A", IF(RIGHT(C329,1)=")",IF(RIGHT(C329,2)="T)",-1000000000000*VALUE(MID(C329,2,LEN(C329)-3)),IF(RIGHT(C329,2)="M)",-1000000*VALUE(MID(C329,2,LEN(C329)-3)),IF(RIGHT(C329,2)="B)",-1000000000*VALUE(MID(C329,2,LEN(C329)-3)),IF(RIGHT(C329,2)="k)",-1000*VALUE(MID(C329,2,LEN(C329)-3)),VALUE(SUBSTITUTE(C329,",","")))))),IF(RIGHT(C329,1)="T",1000000000000*VALUE(LEFT(C329,LEN(C329)-1)),IF(RIGHT(C329,1)="M",1000000*VALUE(LEFT(C329,LEN(C329)-1)),IF(RIGHT(C329,1)="B",1000000000*VALUE(LEFT(C329,LEN(C329)-1)),IF(RIGHT(C329,1)="%",0.01*VALUE(LEFT(C329,LEN(C329)-1)),IF(RIGHT(C329,1)="k",1000*VALUE(LEFT(C329,LEN(C329)-1)),VALUE(SUBSTITUTE(C329,",",""))))))))),"N/A")</f>
        <v>-17450000</v>
      </c>
      <c r="K329">
        <f t="shared" ref="K329:K360" si="120">IFERROR(IF(TRIM(D329)="-", "N/A", IF(RIGHT(D329,1)=")",IF(RIGHT(D329,2)="T)",-1000000000000*VALUE(MID(D329,2,LEN(D329)-3)),IF(RIGHT(D329,2)="M)",-1000000*VALUE(MID(D329,2,LEN(D329)-3)),IF(RIGHT(D329,2)="B)",-1000000000*VALUE(MID(D329,2,LEN(D329)-3)),IF(RIGHT(D329,2)="k)",-1000*VALUE(MID(D329,2,LEN(D329)-3)),VALUE(SUBSTITUTE(D329,",","")))))),IF(RIGHT(D329,1)="T",1000000000000*VALUE(LEFT(D329,LEN(D329)-1)),IF(RIGHT(D329,1)="M",1000000*VALUE(LEFT(D329,LEN(D329)-1)),IF(RIGHT(D329,1)="B",1000000000*VALUE(LEFT(D329,LEN(D329)-1)),IF(RIGHT(D329,1)="%",0.01*VALUE(LEFT(D329,LEN(D329)-1)),IF(RIGHT(D329,1)="k",1000*VALUE(LEFT(D329,LEN(D329)-1)),VALUE(SUBSTITUTE(D329,",",""))))))))),"N/A")</f>
        <v>-20400000</v>
      </c>
      <c r="L329">
        <f t="shared" ref="L329:L360" si="121">IFERROR(IF(TRIM(E329)="-", "N/A", IF(RIGHT(E329,1)=")",IF(RIGHT(E329,2)="T)",-1000000000000*VALUE(MID(E329,2,LEN(E329)-3)),IF(RIGHT(E329,2)="M)",-1000000*VALUE(MID(E329,2,LEN(E329)-3)),IF(RIGHT(E329,2)="B)",-1000000000*VALUE(MID(E329,2,LEN(E329)-3)),IF(RIGHT(E329,2)="k)",-1000*VALUE(MID(E329,2,LEN(E329)-3)),VALUE(SUBSTITUTE(E329,",","")))))),IF(RIGHT(E329,1)="T",1000000000000*VALUE(LEFT(E329,LEN(E329)-1)),IF(RIGHT(E329,1)="M",1000000*VALUE(LEFT(E329,LEN(E329)-1)),IF(RIGHT(E329,1)="B",1000000000*VALUE(LEFT(E329,LEN(E329)-1)),IF(RIGHT(E329,1)="%",0.01*VALUE(LEFT(E329,LEN(E329)-1)),IF(RIGHT(E329,1)="k",1000*VALUE(LEFT(E329,LEN(E329)-1)),VALUE(SUBSTITUTE(E329,",",""))))))))),"N/A")</f>
        <v>-3850000</v>
      </c>
      <c r="M329" t="str">
        <f t="shared" ref="M329:M360" si="122">IFERROR(IF(TRIM(F329)="-", "N/A", IF(RIGHT(F329,1)=")",IF(RIGHT(F329,2)="T)",-1000000000000*VALUE(MID(F329,2,LEN(F329)-3)),IF(RIGHT(F329,2)="M)",-1000000*VALUE(MID(F329,2,LEN(F329)-3)),IF(RIGHT(F329,2)="B)",-1000000000*VALUE(MID(F329,2,LEN(F329)-3)),IF(RIGHT(F329,2)="k)",-1000*VALUE(MID(F329,2,LEN(F329)-3)),VALUE(SUBSTITUTE(F329,",","")))))),IF(RIGHT(F329,1)="T",1000000000000*VALUE(LEFT(F329,LEN(F329)-1)),IF(RIGHT(F329,1)="M",1000000*VALUE(LEFT(F329,LEN(F329)-1)),IF(RIGHT(F329,1)="B",1000000000*VALUE(LEFT(F329,LEN(F329)-1)),IF(RIGHT(F329,1)="%",0.01*VALUE(LEFT(F329,LEN(F329)-1)),IF(RIGHT(F329,1)="k",1000*VALUE(LEFT(F329,LEN(F329)-1)),VALUE(SUBSTITUTE(F329,",",""))))))))),"N/A")</f>
        <v>N/A</v>
      </c>
      <c r="N329" t="str">
        <f t="shared" ref="N329:N360" si="123">IFERROR(IF(TRIM(G329)="-", "N/A", IF(RIGHT(G329,1)=")",IF(RIGHT(G329,2)="T)",-1000000000000*VALUE(MID(G329,2,LEN(G329)-3)),IF(RIGHT(G329,2)="M)",-1000000*VALUE(MID(G329,2,LEN(G329)-3)),IF(RIGHT(G329,2)="B)",-1000000000*VALUE(MID(G329,2,LEN(G329)-3)),IF(RIGHT(G329,2)="k)",-1000*VALUE(MID(G329,2,LEN(G329)-3)),VALUE(SUBSTITUTE(G329,",","")))))),IF(RIGHT(G329,1)="T",1000000000000*VALUE(LEFT(G329,LEN(G329)-1)),IF(RIGHT(G329,1)="M",1000000*VALUE(LEFT(G329,LEN(G329)-1)),IF(RIGHT(G329,1)="B",1000000000*VALUE(LEFT(G329,LEN(G329)-1)),IF(RIGHT(G329,1)="%",0.01*VALUE(LEFT(G329,LEN(G329)-1)),IF(RIGHT(G329,1)="k",1000*VALUE(LEFT(G329,LEN(G329)-1)),VALUE(SUBSTITUTE(G329,",",""))))))))),"N/A")</f>
        <v>N/A</v>
      </c>
      <c r="P329">
        <f t="shared" si="94"/>
        <v>-3850000</v>
      </c>
      <c r="Q329">
        <f>IFERROR(J144+MATCH(P329,J329:N329,0)-1,"")</f>
        <v>2014</v>
      </c>
      <c r="R329">
        <f t="shared" si="95"/>
        <v>-20400000</v>
      </c>
      <c r="S329">
        <f>IFERROR(J144+MATCH(R329,J329:N329,0)-1,"")</f>
        <v>2013</v>
      </c>
      <c r="T329">
        <f t="shared" si="96"/>
        <v>-13900000</v>
      </c>
      <c r="U329">
        <f t="shared" si="97"/>
        <v>8827655.4078645371</v>
      </c>
      <c r="V329">
        <f t="shared" si="98"/>
        <v>-0.40214528501387964</v>
      </c>
      <c r="W329">
        <f t="shared" si="99"/>
        <v>-0.73632235284231484</v>
      </c>
      <c r="X329">
        <f t="shared" si="100"/>
        <v>1.1384676378561944</v>
      </c>
      <c r="Y329" t="str">
        <f t="shared" si="101"/>
        <v/>
      </c>
      <c r="Z329" t="str">
        <f t="shared" si="102"/>
        <v/>
      </c>
      <c r="AA329">
        <f t="shared" si="103"/>
        <v>1.1384676378561944</v>
      </c>
      <c r="AB329">
        <f>IFERROR(V144+MATCH(AA329,V329:Z329,0)-1,"")</f>
        <v>2014</v>
      </c>
      <c r="AC329" t="str">
        <f t="shared" si="104"/>
        <v>High</v>
      </c>
      <c r="AE329" t="str">
        <f>IF(ISNUMBER(MATCH("N/A",J329:N329,0)),"",IFERROR((5 * SUMPRODUCT(J144:N144,J329:N329) - PRODUCT(SUM(J144:N144),SUM(J329:N329))) / ((5 * SUM((J144^2)+(K144^2)+(L144^2)+(M144^2)+(N144^2))) - SUM(J144:N144)^2),""))</f>
        <v/>
      </c>
      <c r="AF329">
        <f>IFERROR(CORREL(J144:N144,J329:N329),"")</f>
        <v>0.770306461435037</v>
      </c>
      <c r="AZ329">
        <f t="shared" si="105"/>
        <v>1</v>
      </c>
      <c r="BA329" t="str">
        <f>IF(AZ329=1,IF(Q329="","",IF(Q329=N144,"Yes","No")),"")</f>
        <v>No</v>
      </c>
      <c r="BB329" t="str">
        <f t="shared" si="106"/>
        <v/>
      </c>
      <c r="BC329" t="str">
        <f>IF(AZ329=1,IF(S329="","",IF(S329=N144,"Yes","No")),"")</f>
        <v>No</v>
      </c>
      <c r="BD329" t="str">
        <f t="shared" si="107"/>
        <v/>
      </c>
      <c r="BE329" t="str">
        <f t="shared" si="108"/>
        <v/>
      </c>
      <c r="BF329" t="str">
        <f t="shared" si="109"/>
        <v>No</v>
      </c>
      <c r="BG329" t="str">
        <f t="shared" si="110"/>
        <v>No</v>
      </c>
      <c r="BH329" t="str">
        <f t="shared" si="111"/>
        <v>No</v>
      </c>
    </row>
    <row r="330" spans="1:60" x14ac:dyDescent="0.3">
      <c r="A330" s="1">
        <v>1</v>
      </c>
      <c r="B330" t="s">
        <v>874</v>
      </c>
      <c r="C330" t="s">
        <v>264</v>
      </c>
      <c r="D330" t="s">
        <v>264</v>
      </c>
      <c r="E330" t="s">
        <v>264</v>
      </c>
      <c r="F330" t="s">
        <v>264</v>
      </c>
      <c r="G330" t="s">
        <v>264</v>
      </c>
      <c r="I330" t="str">
        <f t="shared" si="118"/>
        <v>N/A</v>
      </c>
      <c r="J330" t="str">
        <f t="shared" si="119"/>
        <v>N/A</v>
      </c>
      <c r="K330" t="str">
        <f t="shared" si="120"/>
        <v>N/A</v>
      </c>
      <c r="L330" t="str">
        <f t="shared" si="121"/>
        <v>N/A</v>
      </c>
      <c r="M330" t="str">
        <f t="shared" si="122"/>
        <v>N/A</v>
      </c>
      <c r="N330" t="str">
        <f t="shared" si="123"/>
        <v>N/A</v>
      </c>
      <c r="P330">
        <f t="shared" si="94"/>
        <v>0</v>
      </c>
      <c r="Q330" t="str">
        <f>IFERROR(J144+MATCH(P330,J330:N330,0)-1,"")</f>
        <v/>
      </c>
      <c r="R330" t="str">
        <f t="shared" si="95"/>
        <v/>
      </c>
      <c r="S330" t="str">
        <f>IFERROR(J144+MATCH(R330,J330:N330,0)-1,"")</f>
        <v/>
      </c>
      <c r="T330" t="str">
        <f t="shared" si="96"/>
        <v/>
      </c>
      <c r="U330" t="str">
        <f t="shared" si="97"/>
        <v/>
      </c>
      <c r="V330" t="str">
        <f t="shared" si="98"/>
        <v/>
      </c>
      <c r="W330" t="str">
        <f t="shared" si="99"/>
        <v/>
      </c>
      <c r="X330" t="str">
        <f t="shared" si="100"/>
        <v/>
      </c>
      <c r="Y330" t="str">
        <f t="shared" si="101"/>
        <v/>
      </c>
      <c r="Z330" t="str">
        <f t="shared" si="102"/>
        <v/>
      </c>
      <c r="AA330">
        <f t="shared" si="103"/>
        <v>0</v>
      </c>
      <c r="AB330" t="str">
        <f>IFERROR(V144+MATCH(AA330,V330:Z330,0)-1,"")</f>
        <v/>
      </c>
      <c r="AC330" t="str">
        <f t="shared" si="104"/>
        <v/>
      </c>
      <c r="AE330" t="str">
        <f>IF(ISNUMBER(MATCH("N/A",J330:N330,0)),"",IFERROR((5 * SUMPRODUCT(J144:N144,J330:N330) - PRODUCT(SUM(J144:N144),SUM(J330:N330))) / ((5 * SUM((J144^2)+(K144^2)+(L144^2)+(M144^2)+(N144^2))) - SUM(J144:N144)^2),""))</f>
        <v/>
      </c>
      <c r="AF330" t="str">
        <f>IFERROR(CORREL(J144:N144,J330:N330),"")</f>
        <v/>
      </c>
      <c r="AZ330">
        <f t="shared" si="105"/>
        <v>0</v>
      </c>
      <c r="BA330" t="str">
        <f>IF(AZ330=1,IF(Q330="","",IF(Q330=N144,"Yes","No")),"")</f>
        <v/>
      </c>
      <c r="BB330" t="str">
        <f t="shared" si="106"/>
        <v/>
      </c>
      <c r="BC330" t="str">
        <f>IF(AZ330=1,IF(S330="","",IF(S330=N144,"Yes","No")),"")</f>
        <v/>
      </c>
      <c r="BD330" t="str">
        <f t="shared" si="107"/>
        <v/>
      </c>
      <c r="BE330" t="str">
        <f t="shared" si="108"/>
        <v/>
      </c>
      <c r="BF330" t="str">
        <f t="shared" si="109"/>
        <v>No</v>
      </c>
      <c r="BG330" t="str">
        <f t="shared" si="110"/>
        <v>No</v>
      </c>
      <c r="BH330" t="str">
        <f t="shared" si="111"/>
        <v/>
      </c>
    </row>
    <row r="331" spans="1:60" x14ac:dyDescent="0.3">
      <c r="A331" s="1">
        <v>2</v>
      </c>
      <c r="B331" t="s">
        <v>421</v>
      </c>
      <c r="C331" t="s">
        <v>4395</v>
      </c>
      <c r="D331" t="s">
        <v>4396</v>
      </c>
      <c r="E331" t="s">
        <v>4397</v>
      </c>
      <c r="F331" t="s">
        <v>264</v>
      </c>
      <c r="G331" t="s">
        <v>264</v>
      </c>
      <c r="I331" t="str">
        <f t="shared" si="118"/>
        <v>N/A</v>
      </c>
      <c r="J331">
        <f t="shared" si="119"/>
        <v>-17450000</v>
      </c>
      <c r="K331">
        <f t="shared" si="120"/>
        <v>-20400000</v>
      </c>
      <c r="L331">
        <f t="shared" si="121"/>
        <v>-3850000</v>
      </c>
      <c r="M331" t="str">
        <f t="shared" si="122"/>
        <v>N/A</v>
      </c>
      <c r="N331" t="str">
        <f t="shared" si="123"/>
        <v>N/A</v>
      </c>
      <c r="P331">
        <f t="shared" si="94"/>
        <v>-3850000</v>
      </c>
      <c r="Q331">
        <f>IFERROR(J144+MATCH(P331,J331:N331,0)-1,"")</f>
        <v>2014</v>
      </c>
      <c r="R331">
        <f t="shared" si="95"/>
        <v>-20400000</v>
      </c>
      <c r="S331">
        <f>IFERROR(J144+MATCH(R331,J331:N331,0)-1,"")</f>
        <v>2013</v>
      </c>
      <c r="T331">
        <f t="shared" si="96"/>
        <v>-13900000</v>
      </c>
      <c r="U331">
        <f t="shared" si="97"/>
        <v>8827655.4078645371</v>
      </c>
      <c r="V331">
        <f t="shared" si="98"/>
        <v>-0.40214528501387964</v>
      </c>
      <c r="W331">
        <f t="shared" si="99"/>
        <v>-0.73632235284231484</v>
      </c>
      <c r="X331">
        <f t="shared" si="100"/>
        <v>1.1384676378561944</v>
      </c>
      <c r="Y331" t="str">
        <f t="shared" si="101"/>
        <v/>
      </c>
      <c r="Z331" t="str">
        <f t="shared" si="102"/>
        <v/>
      </c>
      <c r="AA331">
        <f t="shared" si="103"/>
        <v>1.1384676378561944</v>
      </c>
      <c r="AB331">
        <f>IFERROR(V144+MATCH(AA331,V331:Z331,0)-1,"")</f>
        <v>2014</v>
      </c>
      <c r="AC331" t="str">
        <f t="shared" si="104"/>
        <v>High</v>
      </c>
      <c r="AE331" t="str">
        <f>IF(ISNUMBER(MATCH("N/A",J331:N331,0)),"",IFERROR((5 * SUMPRODUCT(J144:N144,J331:N331) - PRODUCT(SUM(J144:N144),SUM(J331:N331))) / ((5 * SUM((J144^2)+(K144^2)+(L144^2)+(M144^2)+(N144^2))) - SUM(J144:N144)^2),""))</f>
        <v/>
      </c>
      <c r="AF331">
        <f>IFERROR(CORREL(J144:N144,J331:N331),"")</f>
        <v>0.770306461435037</v>
      </c>
      <c r="AZ331">
        <f t="shared" si="105"/>
        <v>1</v>
      </c>
      <c r="BA331" t="str">
        <f>IF(AZ331=1,IF(Q331="","",IF(Q331=N144,"Yes","No")),"")</f>
        <v>No</v>
      </c>
      <c r="BB331" t="str">
        <f t="shared" si="106"/>
        <v/>
      </c>
      <c r="BC331" t="str">
        <f>IF(AZ331=1,IF(S331="","",IF(S331=N144,"Yes","No")),"")</f>
        <v>No</v>
      </c>
      <c r="BD331" t="str">
        <f t="shared" si="107"/>
        <v/>
      </c>
      <c r="BE331" t="str">
        <f t="shared" si="108"/>
        <v/>
      </c>
      <c r="BF331" t="str">
        <f t="shared" si="109"/>
        <v>No</v>
      </c>
      <c r="BG331" t="str">
        <f t="shared" si="110"/>
        <v>No</v>
      </c>
      <c r="BH331" t="str">
        <f t="shared" si="111"/>
        <v>No</v>
      </c>
    </row>
    <row r="332" spans="1:60" x14ac:dyDescent="0.3">
      <c r="A332" s="1">
        <v>3</v>
      </c>
      <c r="B332" t="s">
        <v>875</v>
      </c>
      <c r="C332" t="s">
        <v>533</v>
      </c>
      <c r="D332" t="s">
        <v>4398</v>
      </c>
      <c r="E332" t="s">
        <v>4399</v>
      </c>
      <c r="F332" t="s">
        <v>4400</v>
      </c>
      <c r="G332" t="s">
        <v>4401</v>
      </c>
      <c r="I332" t="str">
        <f t="shared" si="118"/>
        <v>N/A</v>
      </c>
      <c r="J332">
        <f t="shared" si="119"/>
        <v>1090000000</v>
      </c>
      <c r="K332">
        <f t="shared" si="120"/>
        <v>324150000</v>
      </c>
      <c r="L332">
        <f t="shared" si="121"/>
        <v>613930000</v>
      </c>
      <c r="M332">
        <f t="shared" si="122"/>
        <v>-21320000</v>
      </c>
      <c r="N332">
        <f t="shared" si="123"/>
        <v>-18610000</v>
      </c>
      <c r="P332">
        <f t="shared" si="94"/>
        <v>1090000000</v>
      </c>
      <c r="Q332">
        <f>IFERROR(J144+MATCH(P332,J332:N332,0)-1,"")</f>
        <v>2012</v>
      </c>
      <c r="R332">
        <f t="shared" si="95"/>
        <v>-21320000</v>
      </c>
      <c r="S332">
        <f>IFERROR(J144+MATCH(R332,J332:N332,0)-1,"")</f>
        <v>2015</v>
      </c>
      <c r="T332">
        <f t="shared" si="96"/>
        <v>397630000</v>
      </c>
      <c r="U332">
        <f t="shared" si="97"/>
        <v>469131127.03166479</v>
      </c>
      <c r="V332">
        <f t="shared" si="98"/>
        <v>1.4758560242651888</v>
      </c>
      <c r="W332">
        <f t="shared" si="99"/>
        <v>-0.15662998203706988</v>
      </c>
      <c r="X332">
        <f t="shared" si="100"/>
        <v>0.46106512132033495</v>
      </c>
      <c r="Y332">
        <f t="shared" si="101"/>
        <v>-0.89303390003307592</v>
      </c>
      <c r="Z332">
        <f t="shared" si="102"/>
        <v>-0.88725726351537781</v>
      </c>
      <c r="AA332">
        <f t="shared" si="103"/>
        <v>1.4758560242651888</v>
      </c>
      <c r="AB332">
        <f>IFERROR(V144+MATCH(AA332,V332:Z332,0)-1,"")</f>
        <v>2012</v>
      </c>
      <c r="AC332" t="str">
        <f t="shared" si="104"/>
        <v>High</v>
      </c>
      <c r="AE332">
        <f>IF(ISNUMBER(MATCH("N/A",J332:N332,0)),"",IFERROR((5 * SUMPRODUCT(J144:N144,J332:N332) - PRODUCT(SUM(J144:N144),SUM(J332:N332))) / ((5 * SUM((J144^2)+(K144^2)+(L144^2)+(M144^2)+(N144^2))) - SUM(J144:N144)^2),""))</f>
        <v>-256269000</v>
      </c>
      <c r="AF332">
        <f>IFERROR(CORREL(J144:N144,J332:N332),"")</f>
        <v>-0.86371771877651538</v>
      </c>
      <c r="AZ332">
        <f t="shared" si="105"/>
        <v>1</v>
      </c>
      <c r="BA332" t="str">
        <f>IF(AZ332=1,IF(Q332="","",IF(Q332=N144,"Yes","No")),"")</f>
        <v>No</v>
      </c>
      <c r="BB332" t="str">
        <f t="shared" si="106"/>
        <v/>
      </c>
      <c r="BC332" t="str">
        <f>IF(AZ332=1,IF(S332="","",IF(S332=N144,"Yes","No")),"")</f>
        <v>No</v>
      </c>
      <c r="BD332" t="str">
        <f t="shared" si="107"/>
        <v/>
      </c>
      <c r="BE332" t="str">
        <f t="shared" si="108"/>
        <v>Decreasing</v>
      </c>
      <c r="BF332" t="str">
        <f t="shared" si="109"/>
        <v>No</v>
      </c>
      <c r="BG332" t="str">
        <f t="shared" si="110"/>
        <v>No</v>
      </c>
      <c r="BH332" t="str">
        <f t="shared" si="111"/>
        <v>Yes</v>
      </c>
    </row>
    <row r="333" spans="1:60" x14ac:dyDescent="0.3">
      <c r="A333" s="1">
        <v>4</v>
      </c>
      <c r="B333" t="s">
        <v>881</v>
      </c>
      <c r="C333" t="s">
        <v>264</v>
      </c>
      <c r="D333" t="s">
        <v>264</v>
      </c>
      <c r="E333" t="s">
        <v>264</v>
      </c>
      <c r="F333" t="s">
        <v>4402</v>
      </c>
      <c r="G333" t="s">
        <v>4403</v>
      </c>
      <c r="I333" t="str">
        <f t="shared" si="118"/>
        <v>N/A</v>
      </c>
      <c r="J333" t="str">
        <f t="shared" si="119"/>
        <v>N/A</v>
      </c>
      <c r="K333" t="str">
        <f t="shared" si="120"/>
        <v>N/A</v>
      </c>
      <c r="L333" t="str">
        <f t="shared" si="121"/>
        <v>N/A</v>
      </c>
      <c r="M333">
        <f t="shared" si="122"/>
        <v>-27370000</v>
      </c>
      <c r="N333">
        <f t="shared" si="123"/>
        <v>-20810000</v>
      </c>
      <c r="P333">
        <f t="shared" si="94"/>
        <v>-20810000</v>
      </c>
      <c r="Q333">
        <f>IFERROR(J144+MATCH(P333,J333:N333,0)-1,"")</f>
        <v>2016</v>
      </c>
      <c r="R333">
        <f t="shared" si="95"/>
        <v>-27370000</v>
      </c>
      <c r="S333">
        <f>IFERROR(J144+MATCH(R333,J333:N333,0)-1,"")</f>
        <v>2015</v>
      </c>
      <c r="T333">
        <f t="shared" si="96"/>
        <v>-24090000</v>
      </c>
      <c r="U333">
        <f t="shared" si="97"/>
        <v>4638620.4845837513</v>
      </c>
      <c r="V333" t="str">
        <f t="shared" si="98"/>
        <v/>
      </c>
      <c r="W333" t="str">
        <f t="shared" si="99"/>
        <v/>
      </c>
      <c r="X333" t="str">
        <f t="shared" si="100"/>
        <v/>
      </c>
      <c r="Y333">
        <f t="shared" si="101"/>
        <v>-0.70710678118654757</v>
      </c>
      <c r="Z333">
        <f t="shared" si="102"/>
        <v>0.70710678118654757</v>
      </c>
      <c r="AA333">
        <f t="shared" si="103"/>
        <v>-0.70710678118654757</v>
      </c>
      <c r="AB333">
        <f>IFERROR(V144+MATCH(AA333,V333:Z333,0)-1,"")</f>
        <v>2015</v>
      </c>
      <c r="AC333" t="str">
        <f t="shared" si="104"/>
        <v>Low</v>
      </c>
      <c r="AE333" t="str">
        <f>IF(ISNUMBER(MATCH("N/A",J333:N333,0)),"",IFERROR((5 * SUMPRODUCT(J144:N144,J333:N333) - PRODUCT(SUM(J144:N144),SUM(J333:N333))) / ((5 * SUM((J144^2)+(K144^2)+(L144^2)+(M144^2)+(N144^2))) - SUM(J144:N144)^2),""))</f>
        <v/>
      </c>
      <c r="AF333">
        <f>IFERROR(CORREL(J144:N144,J333:N333),"")</f>
        <v>1</v>
      </c>
      <c r="AZ333">
        <f t="shared" si="105"/>
        <v>1</v>
      </c>
      <c r="BA333" t="str">
        <f>IF(AZ333=1,IF(Q333="","",IF(Q333=N144,"Yes","No")),"")</f>
        <v>Yes</v>
      </c>
      <c r="BB333">
        <f t="shared" si="106"/>
        <v>-20810000</v>
      </c>
      <c r="BC333" t="str">
        <f>IF(AZ333=1,IF(S333="","",IF(S333=N144,"Yes","No")),"")</f>
        <v>No</v>
      </c>
      <c r="BD333" t="str">
        <f t="shared" si="107"/>
        <v/>
      </c>
      <c r="BE333" t="str">
        <f t="shared" si="108"/>
        <v/>
      </c>
      <c r="BF333" t="str">
        <f t="shared" si="109"/>
        <v>No</v>
      </c>
      <c r="BG333" t="str">
        <f t="shared" si="110"/>
        <v>No</v>
      </c>
      <c r="BH333" t="str">
        <f t="shared" si="111"/>
        <v>Yes</v>
      </c>
    </row>
    <row r="334" spans="1:60" x14ac:dyDescent="0.3">
      <c r="A334" s="1">
        <v>5</v>
      </c>
      <c r="B334" t="s">
        <v>885</v>
      </c>
      <c r="C334" t="s">
        <v>533</v>
      </c>
      <c r="D334" t="s">
        <v>4398</v>
      </c>
      <c r="E334" t="s">
        <v>4399</v>
      </c>
      <c r="F334" t="s">
        <v>4404</v>
      </c>
      <c r="G334" t="s">
        <v>4405</v>
      </c>
      <c r="I334" t="str">
        <f t="shared" si="118"/>
        <v>N/A</v>
      </c>
      <c r="J334">
        <f t="shared" si="119"/>
        <v>1090000000</v>
      </c>
      <c r="K334">
        <f t="shared" si="120"/>
        <v>324150000</v>
      </c>
      <c r="L334">
        <f t="shared" si="121"/>
        <v>613930000</v>
      </c>
      <c r="M334">
        <f t="shared" si="122"/>
        <v>6050000</v>
      </c>
      <c r="N334">
        <f t="shared" si="123"/>
        <v>2210000</v>
      </c>
      <c r="P334">
        <f t="shared" si="94"/>
        <v>1090000000</v>
      </c>
      <c r="Q334">
        <f>IFERROR(J144+MATCH(P334,J334:N334,0)-1,"")</f>
        <v>2012</v>
      </c>
      <c r="R334">
        <f t="shared" si="95"/>
        <v>2210000</v>
      </c>
      <c r="S334">
        <f>IFERROR(J144+MATCH(R334,J334:N334,0)-1,"")</f>
        <v>2016</v>
      </c>
      <c r="T334">
        <f t="shared" si="96"/>
        <v>407268000</v>
      </c>
      <c r="U334">
        <f t="shared" si="97"/>
        <v>458472636.82797909</v>
      </c>
      <c r="V334">
        <f t="shared" si="98"/>
        <v>1.4891444879319242</v>
      </c>
      <c r="W334">
        <f t="shared" si="99"/>
        <v>-0.18129326228728943</v>
      </c>
      <c r="X334">
        <f t="shared" si="100"/>
        <v>0.45076190681700484</v>
      </c>
      <c r="Y334">
        <f t="shared" si="101"/>
        <v>-0.87511874814578894</v>
      </c>
      <c r="Z334">
        <f t="shared" si="102"/>
        <v>-0.8834943843158507</v>
      </c>
      <c r="AA334">
        <f t="shared" si="103"/>
        <v>1.4891444879319242</v>
      </c>
      <c r="AB334">
        <f>IFERROR(V144+MATCH(AA334,V334:Z334,0)-1,"")</f>
        <v>2012</v>
      </c>
      <c r="AC334" t="str">
        <f t="shared" si="104"/>
        <v>High</v>
      </c>
      <c r="AE334">
        <f>IF(ISNUMBER(MATCH("N/A",J334:N334,0)),"",IFERROR((5 * SUMPRODUCT(J144:N144,J334:N334) - PRODUCT(SUM(J144:N144),SUM(J334:N334))) / ((5 * SUM((J144^2)+(K144^2)+(L144^2)+(M144^2)+(N144^2))) - SUM(J144:N144)^2),""))</f>
        <v>-249368000</v>
      </c>
      <c r="AF334">
        <f>IFERROR(CORREL(J144:N144,J334:N334),"")</f>
        <v>-0.8599977318349139</v>
      </c>
      <c r="AZ334">
        <f t="shared" si="105"/>
        <v>1</v>
      </c>
      <c r="BA334" t="str">
        <f>IF(AZ334=1,IF(Q334="","",IF(Q334=N144,"Yes","No")),"")</f>
        <v>No</v>
      </c>
      <c r="BB334" t="str">
        <f t="shared" si="106"/>
        <v/>
      </c>
      <c r="BC334" t="str">
        <f>IF(AZ334=1,IF(S334="","",IF(S334=N144,"Yes","No")),"")</f>
        <v>Yes</v>
      </c>
      <c r="BD334">
        <f t="shared" si="107"/>
        <v>2210000</v>
      </c>
      <c r="BE334" t="str">
        <f t="shared" si="108"/>
        <v>Decreasing</v>
      </c>
      <c r="BF334" t="str">
        <f t="shared" si="109"/>
        <v>Yes</v>
      </c>
      <c r="BG334" t="str">
        <f t="shared" si="110"/>
        <v>No</v>
      </c>
      <c r="BH334" t="str">
        <f t="shared" si="111"/>
        <v>Yes</v>
      </c>
    </row>
    <row r="335" spans="1:60" x14ac:dyDescent="0.3">
      <c r="A335" s="1">
        <v>6</v>
      </c>
      <c r="B335" t="s">
        <v>889</v>
      </c>
      <c r="C335" t="s">
        <v>533</v>
      </c>
      <c r="D335" t="s">
        <v>4398</v>
      </c>
      <c r="E335" t="s">
        <v>4399</v>
      </c>
      <c r="F335" t="s">
        <v>4404</v>
      </c>
      <c r="G335" t="s">
        <v>4405</v>
      </c>
      <c r="I335" t="str">
        <f t="shared" si="118"/>
        <v>N/A</v>
      </c>
      <c r="J335">
        <f t="shared" si="119"/>
        <v>1090000000</v>
      </c>
      <c r="K335">
        <f t="shared" si="120"/>
        <v>324150000</v>
      </c>
      <c r="L335">
        <f t="shared" si="121"/>
        <v>613930000</v>
      </c>
      <c r="M335">
        <f t="shared" si="122"/>
        <v>6050000</v>
      </c>
      <c r="N335">
        <f t="shared" si="123"/>
        <v>2210000</v>
      </c>
      <c r="P335">
        <f t="shared" si="94"/>
        <v>1090000000</v>
      </c>
      <c r="Q335">
        <f>IFERROR(J144+MATCH(P335,J335:N335,0)-1,"")</f>
        <v>2012</v>
      </c>
      <c r="R335">
        <f t="shared" si="95"/>
        <v>2210000</v>
      </c>
      <c r="S335">
        <f>IFERROR(J144+MATCH(R335,J335:N335,0)-1,"")</f>
        <v>2016</v>
      </c>
      <c r="T335">
        <f t="shared" si="96"/>
        <v>407268000</v>
      </c>
      <c r="U335">
        <f t="shared" si="97"/>
        <v>458472636.82797909</v>
      </c>
      <c r="V335">
        <f t="shared" si="98"/>
        <v>1.4891444879319242</v>
      </c>
      <c r="W335">
        <f t="shared" si="99"/>
        <v>-0.18129326228728943</v>
      </c>
      <c r="X335">
        <f t="shared" si="100"/>
        <v>0.45076190681700484</v>
      </c>
      <c r="Y335">
        <f t="shared" si="101"/>
        <v>-0.87511874814578894</v>
      </c>
      <c r="Z335">
        <f t="shared" si="102"/>
        <v>-0.8834943843158507</v>
      </c>
      <c r="AA335">
        <f t="shared" si="103"/>
        <v>1.4891444879319242</v>
      </c>
      <c r="AB335">
        <f>IFERROR(V144+MATCH(AA335,V335:Z335,0)-1,"")</f>
        <v>2012</v>
      </c>
      <c r="AC335" t="str">
        <f t="shared" si="104"/>
        <v>High</v>
      </c>
      <c r="AE335">
        <f>IF(ISNUMBER(MATCH("N/A",J335:N335,0)),"",IFERROR((5 * SUMPRODUCT(J144:N144,J335:N335) - PRODUCT(SUM(J144:N144),SUM(J335:N335))) / ((5 * SUM((J144^2)+(K144^2)+(L144^2)+(M144^2)+(N144^2))) - SUM(J144:N144)^2),""))</f>
        <v>-249368000</v>
      </c>
      <c r="AF335">
        <f>IFERROR(CORREL(J144:N144,J335:N335),"")</f>
        <v>-0.8599977318349139</v>
      </c>
      <c r="AZ335">
        <f t="shared" si="105"/>
        <v>1</v>
      </c>
      <c r="BA335" t="str">
        <f>IF(AZ335=1,IF(Q335="","",IF(Q335=N144,"Yes","No")),"")</f>
        <v>No</v>
      </c>
      <c r="BB335" t="str">
        <f t="shared" si="106"/>
        <v/>
      </c>
      <c r="BC335" t="str">
        <f>IF(AZ335=1,IF(S335="","",IF(S335=N144,"Yes","No")),"")</f>
        <v>Yes</v>
      </c>
      <c r="BD335">
        <f t="shared" si="107"/>
        <v>2210000</v>
      </c>
      <c r="BE335" t="str">
        <f t="shared" si="108"/>
        <v>Decreasing</v>
      </c>
      <c r="BF335" t="str">
        <f t="shared" si="109"/>
        <v>Yes</v>
      </c>
      <c r="BG335" t="str">
        <f t="shared" si="110"/>
        <v>No</v>
      </c>
      <c r="BH335" t="str">
        <f t="shared" si="111"/>
        <v>Yes</v>
      </c>
    </row>
    <row r="336" spans="1:60" x14ac:dyDescent="0.3">
      <c r="A336" s="1">
        <v>7</v>
      </c>
      <c r="B336" t="s">
        <v>890</v>
      </c>
      <c r="C336" t="s">
        <v>264</v>
      </c>
      <c r="D336" t="s">
        <v>264</v>
      </c>
      <c r="E336" t="s">
        <v>264</v>
      </c>
      <c r="F336" t="s">
        <v>264</v>
      </c>
      <c r="G336" t="s">
        <v>264</v>
      </c>
      <c r="I336" t="str">
        <f t="shared" si="118"/>
        <v>N/A</v>
      </c>
      <c r="J336" t="str">
        <f t="shared" si="119"/>
        <v>N/A</v>
      </c>
      <c r="K336" t="str">
        <f t="shared" si="120"/>
        <v>N/A</v>
      </c>
      <c r="L336" t="str">
        <f t="shared" si="121"/>
        <v>N/A</v>
      </c>
      <c r="M336" t="str">
        <f t="shared" si="122"/>
        <v>N/A</v>
      </c>
      <c r="N336" t="str">
        <f t="shared" si="123"/>
        <v>N/A</v>
      </c>
      <c r="P336">
        <f t="shared" si="94"/>
        <v>0</v>
      </c>
      <c r="Q336" t="str">
        <f>IFERROR(J144+MATCH(P336,J336:N336,0)-1,"")</f>
        <v/>
      </c>
      <c r="R336" t="str">
        <f t="shared" si="95"/>
        <v/>
      </c>
      <c r="S336" t="str">
        <f>IFERROR(J144+MATCH(R336,J336:N336,0)-1,"")</f>
        <v/>
      </c>
      <c r="T336" t="str">
        <f t="shared" si="96"/>
        <v/>
      </c>
      <c r="U336" t="str">
        <f t="shared" si="97"/>
        <v/>
      </c>
      <c r="V336" t="str">
        <f t="shared" si="98"/>
        <v/>
      </c>
      <c r="W336" t="str">
        <f t="shared" si="99"/>
        <v/>
      </c>
      <c r="X336" t="str">
        <f t="shared" si="100"/>
        <v/>
      </c>
      <c r="Y336" t="str">
        <f t="shared" si="101"/>
        <v/>
      </c>
      <c r="Z336" t="str">
        <f t="shared" si="102"/>
        <v/>
      </c>
      <c r="AA336">
        <f t="shared" si="103"/>
        <v>0</v>
      </c>
      <c r="AB336" t="str">
        <f>IFERROR(V144+MATCH(AA336,V336:Z336,0)-1,"")</f>
        <v/>
      </c>
      <c r="AC336" t="str">
        <f t="shared" si="104"/>
        <v/>
      </c>
      <c r="AE336" t="str">
        <f>IF(ISNUMBER(MATCH("N/A",J336:N336,0)),"",IFERROR((5 * SUMPRODUCT(J144:N144,J336:N336) - PRODUCT(SUM(J144:N144),SUM(J336:N336))) / ((5 * SUM((J144^2)+(K144^2)+(L144^2)+(M144^2)+(N144^2))) - SUM(J144:N144)^2),""))</f>
        <v/>
      </c>
      <c r="AF336" t="str">
        <f>IFERROR(CORREL(J144:N144,J336:N336),"")</f>
        <v/>
      </c>
      <c r="AZ336">
        <f t="shared" si="105"/>
        <v>0</v>
      </c>
      <c r="BA336" t="str">
        <f>IF(AZ336=1,IF(Q336="","",IF(Q336=N144,"Yes","No")),"")</f>
        <v/>
      </c>
      <c r="BB336" t="str">
        <f t="shared" si="106"/>
        <v/>
      </c>
      <c r="BC336" t="str">
        <f>IF(AZ336=1,IF(S336="","",IF(S336=N144,"Yes","No")),"")</f>
        <v/>
      </c>
      <c r="BD336" t="str">
        <f t="shared" si="107"/>
        <v/>
      </c>
      <c r="BE336" t="str">
        <f t="shared" si="108"/>
        <v/>
      </c>
      <c r="BF336" t="str">
        <f t="shared" si="109"/>
        <v>No</v>
      </c>
      <c r="BG336" t="str">
        <f t="shared" si="110"/>
        <v>No</v>
      </c>
      <c r="BH336" t="str">
        <f t="shared" si="111"/>
        <v/>
      </c>
    </row>
    <row r="337" spans="1:60" x14ac:dyDescent="0.3">
      <c r="A337" s="1">
        <v>8</v>
      </c>
      <c r="B337" t="s">
        <v>891</v>
      </c>
      <c r="C337" t="s">
        <v>304</v>
      </c>
      <c r="D337" t="s">
        <v>4406</v>
      </c>
      <c r="E337" t="s">
        <v>4407</v>
      </c>
      <c r="F337" t="s">
        <v>4408</v>
      </c>
      <c r="G337" t="s">
        <v>4409</v>
      </c>
      <c r="I337" t="str">
        <f t="shared" si="118"/>
        <v>N/A</v>
      </c>
      <c r="J337">
        <f t="shared" si="119"/>
        <v>1150000000</v>
      </c>
      <c r="K337">
        <f t="shared" si="120"/>
        <v>-309030000</v>
      </c>
      <c r="L337">
        <f t="shared" si="121"/>
        <v>90940000</v>
      </c>
      <c r="M337">
        <f t="shared" si="122"/>
        <v>-88890000</v>
      </c>
      <c r="N337">
        <f t="shared" si="123"/>
        <v>-118780000</v>
      </c>
      <c r="P337">
        <f t="shared" ref="P337:P353" si="124">MAX(J337:N337)</f>
        <v>1150000000</v>
      </c>
      <c r="Q337">
        <f>IFERROR(J144+MATCH(P337,J337:N337,0)-1,"")</f>
        <v>2012</v>
      </c>
      <c r="R337">
        <f t="shared" ref="R337:R400" si="125">IF(Q337="","",MIN(J337:N337))</f>
        <v>-309030000</v>
      </c>
      <c r="S337">
        <f>IFERROR(J144+MATCH(R337,J337:N337,0)-1,"")</f>
        <v>2013</v>
      </c>
      <c r="T337">
        <f t="shared" ref="T337:T353" si="126">IFERROR(AVERAGE(J337:N337),"")</f>
        <v>144848000</v>
      </c>
      <c r="U337">
        <f t="shared" ref="U337:U353" si="127">IFERROR(STDEV(J337:N337),"")</f>
        <v>579520282.10408652</v>
      </c>
      <c r="V337">
        <f t="shared" ref="V337:V400" si="128">IFERROR(IF(C337="-","",IF(ISBLANK(B337),"",IF(OR(ISNUMBER(FIND("Growth",B337)),ISNUMBER(FIND("Margin",B337))),"",(J337-T337)/U337))),"")</f>
        <v>1.7344552572872101</v>
      </c>
      <c r="W337">
        <f t="shared" ref="W337:W353" si="129">IFERROR(IF(OR(D337="-",ISBLANK(D337)),"",(K337-T337)/U337),"")</f>
        <v>-0.78319605718041085</v>
      </c>
      <c r="X337">
        <f t="shared" ref="X337:X353" si="130">IFERROR(IF(OR(E337="-",ISBLANK(E337)),"",(L337-T337)/U337),"")</f>
        <v>-9.3021765872066037E-2</v>
      </c>
      <c r="Y337">
        <f t="shared" ref="Y337:Y353" si="131">IFERROR(IF(OR(F337="-",ISBLANK(F337)),"",(M337-T337)/U337),"")</f>
        <v>-0.40333014601552591</v>
      </c>
      <c r="Z337">
        <f t="shared" ref="Z337:Z353" si="132">IFERROR(IF(OR(G337="-",ISBLANK(G337)),"",(N337-T337)/U337),"")</f>
        <v>-0.45490728821920728</v>
      </c>
      <c r="AA337">
        <f t="shared" ref="AA337:AA400" si="133">IF(MAX(MAX(V337:Z337),ABS(MIN(V337:Z337)))=ABS(MIN(V337:Z337)),MIN(V337:Z337),MAX(V337:Z337))</f>
        <v>1.7344552572872101</v>
      </c>
      <c r="AB337">
        <f>IFERROR(V144+MATCH(AA337,V337:Z337,0)-1,"")</f>
        <v>2012</v>
      </c>
      <c r="AC337" t="str">
        <f t="shared" ref="AC337:AC400" si="134">IF(AB337&lt;&gt;"",IF(S337=AB337,"Low",IF(AB337=Q337,"High","")),"")</f>
        <v>High</v>
      </c>
      <c r="AE337">
        <f>IF(ISNUMBER(MATCH("N/A",J337:N337,0)),"",IFERROR((5 * SUMPRODUCT(J144:N144,J337:N337) - PRODUCT(SUM(J144:N144),SUM(J337:N337))) / ((5 * SUM((J144^2)+(K144^2)+(L144^2)+(M144^2)+(N144^2))) - SUM(J144:N144)^2),""))</f>
        <v>-231742000</v>
      </c>
      <c r="AF337">
        <f>IFERROR(CORREL(J144:N144,J337:N337),"")</f>
        <v>-0.63227515252962097</v>
      </c>
      <c r="AZ337">
        <f t="shared" ref="AZ337:AZ352" si="135">IF(Q337=S337,0,1)</f>
        <v>1</v>
      </c>
      <c r="BA337" t="str">
        <f>IF(AZ337=1,IF(Q337="","",IF(Q337=N144,"Yes","No")),"")</f>
        <v>No</v>
      </c>
      <c r="BB337" t="str">
        <f t="shared" ref="BB337:BB400" si="136">IF(BA337="Yes",P337,"")</f>
        <v/>
      </c>
      <c r="BC337" t="str">
        <f>IF(AZ337=1,IF(S337="","",IF(S337=N144,"Yes","No")),"")</f>
        <v>No</v>
      </c>
      <c r="BD337" t="str">
        <f t="shared" ref="BD337:BD400" si="137">IF(BC337="Yes",R337,"")</f>
        <v/>
      </c>
      <c r="BE337" t="str">
        <f t="shared" ref="BE337:BE352" si="138">IFERROR(IF(SIGN(AE337)=1,"Increasing",IF(SIGN(AE337)=-1,"Decreasing","")),"")</f>
        <v>Decreasing</v>
      </c>
      <c r="BF337" t="str">
        <f t="shared" ref="BF337:BF400" si="139">IF(OR(AND(BE337="Increasing",BA337="Yes"),AND(BE337="Decreasing",BC337="Yes")),"Yes","No")</f>
        <v>No</v>
      </c>
      <c r="BG337" t="str">
        <f t="shared" ref="BG337:BG352" si="140">IF(I337="pos_trend","Yes","No")</f>
        <v>No</v>
      </c>
      <c r="BH337" t="str">
        <f t="shared" ref="BH337:BH352" si="141">IF(AF337&lt;&gt;"",IF(ABS(AF337)&gt;0.8,"Yes","No"),"")</f>
        <v>No</v>
      </c>
    </row>
    <row r="338" spans="1:60" x14ac:dyDescent="0.3">
      <c r="A338" s="1">
        <v>9</v>
      </c>
      <c r="B338" t="s">
        <v>897</v>
      </c>
      <c r="C338" t="s">
        <v>264</v>
      </c>
      <c r="D338" t="s">
        <v>264</v>
      </c>
      <c r="E338" t="s">
        <v>264</v>
      </c>
      <c r="F338" t="s">
        <v>264</v>
      </c>
      <c r="G338" t="s">
        <v>264</v>
      </c>
      <c r="I338" t="str">
        <f t="shared" si="118"/>
        <v>N/A</v>
      </c>
      <c r="J338" t="str">
        <f t="shared" si="119"/>
        <v>N/A</v>
      </c>
      <c r="K338" t="str">
        <f t="shared" si="120"/>
        <v>N/A</v>
      </c>
      <c r="L338" t="str">
        <f t="shared" si="121"/>
        <v>N/A</v>
      </c>
      <c r="M338" t="str">
        <f t="shared" si="122"/>
        <v>N/A</v>
      </c>
      <c r="N338" t="str">
        <f t="shared" si="123"/>
        <v>N/A</v>
      </c>
      <c r="P338">
        <f t="shared" si="124"/>
        <v>0</v>
      </c>
      <c r="Q338" t="str">
        <f>IFERROR(J144+MATCH(P338,J338:N338,0)-1,"")</f>
        <v/>
      </c>
      <c r="R338" t="str">
        <f t="shared" si="125"/>
        <v/>
      </c>
      <c r="S338" t="str">
        <f>IFERROR(J144+MATCH(R338,J338:N338,0)-1,"")</f>
        <v/>
      </c>
      <c r="T338" t="str">
        <f t="shared" si="126"/>
        <v/>
      </c>
      <c r="U338" t="str">
        <f t="shared" si="127"/>
        <v/>
      </c>
      <c r="V338" t="str">
        <f t="shared" si="128"/>
        <v/>
      </c>
      <c r="W338" t="str">
        <f t="shared" si="129"/>
        <v/>
      </c>
      <c r="X338" t="str">
        <f t="shared" si="130"/>
        <v/>
      </c>
      <c r="Y338" t="str">
        <f t="shared" si="131"/>
        <v/>
      </c>
      <c r="Z338" t="str">
        <f t="shared" si="132"/>
        <v/>
      </c>
      <c r="AA338">
        <f t="shared" si="133"/>
        <v>0</v>
      </c>
      <c r="AB338" t="str">
        <f>IFERROR(V144+MATCH(AA338,V338:Z338,0)-1,"")</f>
        <v/>
      </c>
      <c r="AC338" t="str">
        <f t="shared" si="134"/>
        <v/>
      </c>
      <c r="AE338" t="str">
        <f>IF(ISNUMBER(MATCH("N/A",J338:N338,0)),"",IFERROR((5 * SUMPRODUCT(J144:N144,J338:N338) - PRODUCT(SUM(J144:N144),SUM(J338:N338))) / ((5 * SUM((J144^2)+(K144^2)+(L144^2)+(M144^2)+(N144^2))) - SUM(J144:N144)^2),""))</f>
        <v/>
      </c>
      <c r="AF338" t="str">
        <f>IFERROR(CORREL(J144:N144,J338:N338),"")</f>
        <v/>
      </c>
      <c r="AZ338">
        <f t="shared" si="135"/>
        <v>0</v>
      </c>
      <c r="BA338" t="str">
        <f>IF(AZ338=1,IF(Q338="","",IF(Q338=N144,"Yes","No")),"")</f>
        <v/>
      </c>
      <c r="BB338" t="str">
        <f t="shared" si="136"/>
        <v/>
      </c>
      <c r="BC338" t="str">
        <f>IF(AZ338=1,IF(S338="","",IF(S338=N144,"Yes","No")),"")</f>
        <v/>
      </c>
      <c r="BD338" t="str">
        <f t="shared" si="137"/>
        <v/>
      </c>
      <c r="BE338" t="str">
        <f t="shared" si="138"/>
        <v/>
      </c>
      <c r="BF338" t="str">
        <f t="shared" si="139"/>
        <v>No</v>
      </c>
      <c r="BG338" t="str">
        <f t="shared" si="140"/>
        <v>No</v>
      </c>
      <c r="BH338" t="str">
        <f t="shared" si="141"/>
        <v/>
      </c>
    </row>
    <row r="339" spans="1:60" x14ac:dyDescent="0.3">
      <c r="A339" s="1">
        <v>10</v>
      </c>
      <c r="B339" t="s">
        <v>898</v>
      </c>
      <c r="C339" t="s">
        <v>304</v>
      </c>
      <c r="D339" t="s">
        <v>4406</v>
      </c>
      <c r="E339" t="s">
        <v>4407</v>
      </c>
      <c r="F339" t="s">
        <v>4408</v>
      </c>
      <c r="G339" t="s">
        <v>4409</v>
      </c>
      <c r="I339" t="str">
        <f t="shared" si="118"/>
        <v>N/A</v>
      </c>
      <c r="J339">
        <f t="shared" si="119"/>
        <v>1150000000</v>
      </c>
      <c r="K339">
        <f t="shared" si="120"/>
        <v>-309030000</v>
      </c>
      <c r="L339">
        <f t="shared" si="121"/>
        <v>90940000</v>
      </c>
      <c r="M339">
        <f t="shared" si="122"/>
        <v>-88890000</v>
      </c>
      <c r="N339">
        <f t="shared" si="123"/>
        <v>-118780000</v>
      </c>
      <c r="P339">
        <f t="shared" si="124"/>
        <v>1150000000</v>
      </c>
      <c r="Q339">
        <f>IFERROR(J144+MATCH(P339,J339:N339,0)-1,"")</f>
        <v>2012</v>
      </c>
      <c r="R339">
        <f t="shared" si="125"/>
        <v>-309030000</v>
      </c>
      <c r="S339">
        <f>IFERROR(J144+MATCH(R339,J339:N339,0)-1,"")</f>
        <v>2013</v>
      </c>
      <c r="T339">
        <f t="shared" si="126"/>
        <v>144848000</v>
      </c>
      <c r="U339">
        <f t="shared" si="127"/>
        <v>579520282.10408652</v>
      </c>
      <c r="V339">
        <f t="shared" si="128"/>
        <v>1.7344552572872101</v>
      </c>
      <c r="W339">
        <f t="shared" si="129"/>
        <v>-0.78319605718041085</v>
      </c>
      <c r="X339">
        <f t="shared" si="130"/>
        <v>-9.3021765872066037E-2</v>
      </c>
      <c r="Y339">
        <f t="shared" si="131"/>
        <v>-0.40333014601552591</v>
      </c>
      <c r="Z339">
        <f t="shared" si="132"/>
        <v>-0.45490728821920728</v>
      </c>
      <c r="AA339">
        <f t="shared" si="133"/>
        <v>1.7344552572872101</v>
      </c>
      <c r="AB339">
        <f>IFERROR(V144+MATCH(AA339,V339:Z339,0)-1,"")</f>
        <v>2012</v>
      </c>
      <c r="AC339" t="str">
        <f t="shared" si="134"/>
        <v>High</v>
      </c>
      <c r="AE339">
        <f>IF(ISNUMBER(MATCH("N/A",J339:N339,0)),"",IFERROR((5 * SUMPRODUCT(J144:N144,J339:N339) - PRODUCT(SUM(J144:N144),SUM(J339:N339))) / ((5 * SUM((J144^2)+(K144^2)+(L144^2)+(M144^2)+(N144^2))) - SUM(J144:N144)^2),""))</f>
        <v>-231742000</v>
      </c>
      <c r="AF339">
        <f>IFERROR(CORREL(J144:N144,J339:N339),"")</f>
        <v>-0.63227515252962097</v>
      </c>
      <c r="AZ339">
        <f t="shared" si="135"/>
        <v>1</v>
      </c>
      <c r="BA339" t="str">
        <f>IF(AZ339=1,IF(Q339="","",IF(Q339=N144,"Yes","No")),"")</f>
        <v>No</v>
      </c>
      <c r="BB339" t="str">
        <f t="shared" si="136"/>
        <v/>
      </c>
      <c r="BC339" t="str">
        <f>IF(AZ339=1,IF(S339="","",IF(S339=N144,"Yes","No")),"")</f>
        <v>No</v>
      </c>
      <c r="BD339" t="str">
        <f t="shared" si="137"/>
        <v/>
      </c>
      <c r="BE339" t="str">
        <f t="shared" si="138"/>
        <v>Decreasing</v>
      </c>
      <c r="BF339" t="str">
        <f t="shared" si="139"/>
        <v>No</v>
      </c>
      <c r="BG339" t="str">
        <f t="shared" si="140"/>
        <v>No</v>
      </c>
      <c r="BH339" t="str">
        <f t="shared" si="141"/>
        <v>No</v>
      </c>
    </row>
    <row r="340" spans="1:60" x14ac:dyDescent="0.3">
      <c r="A340" s="1">
        <v>11</v>
      </c>
      <c r="B340" t="s">
        <v>899</v>
      </c>
      <c r="C340" t="s">
        <v>4410</v>
      </c>
      <c r="D340" t="s">
        <v>4411</v>
      </c>
      <c r="E340" t="s">
        <v>4412</v>
      </c>
      <c r="F340" t="s">
        <v>4413</v>
      </c>
      <c r="G340" t="s">
        <v>4414</v>
      </c>
      <c r="I340" t="str">
        <f t="shared" si="118"/>
        <v>N/A</v>
      </c>
      <c r="J340">
        <f t="shared" si="119"/>
        <v>1730000000</v>
      </c>
      <c r="K340">
        <f t="shared" si="120"/>
        <v>698860000</v>
      </c>
      <c r="L340">
        <f t="shared" si="121"/>
        <v>1520000000</v>
      </c>
      <c r="M340">
        <f t="shared" si="122"/>
        <v>2250000000</v>
      </c>
      <c r="N340">
        <f t="shared" si="123"/>
        <v>896740000</v>
      </c>
      <c r="P340">
        <f t="shared" si="124"/>
        <v>2250000000</v>
      </c>
      <c r="Q340">
        <f>IFERROR(J144+MATCH(P340,J340:N340,0)-1,"")</f>
        <v>2015</v>
      </c>
      <c r="R340">
        <f t="shared" si="125"/>
        <v>698860000</v>
      </c>
      <c r="S340">
        <f>IFERROR(J144+MATCH(R340,J340:N340,0)-1,"")</f>
        <v>2013</v>
      </c>
      <c r="T340">
        <f t="shared" si="126"/>
        <v>1419120000</v>
      </c>
      <c r="U340">
        <f t="shared" si="127"/>
        <v>630245994.67192137</v>
      </c>
      <c r="V340">
        <f t="shared" si="128"/>
        <v>0.49326771233481714</v>
      </c>
      <c r="W340">
        <f t="shared" si="129"/>
        <v>-1.1428236055271339</v>
      </c>
      <c r="X340">
        <f t="shared" si="130"/>
        <v>0.16006448411070623</v>
      </c>
      <c r="Y340">
        <f t="shared" si="131"/>
        <v>1.3183423726992822</v>
      </c>
      <c r="Z340">
        <f t="shared" si="132"/>
        <v>-0.82885096361767163</v>
      </c>
      <c r="AA340">
        <f t="shared" si="133"/>
        <v>1.3183423726992822</v>
      </c>
      <c r="AB340">
        <f>IFERROR(V144+MATCH(AA340,V340:Z340,0)-1,"")</f>
        <v>2015</v>
      </c>
      <c r="AC340" t="str">
        <f t="shared" si="134"/>
        <v>High</v>
      </c>
      <c r="AE340">
        <f>IF(ISNUMBER(MATCH("N/A",J340:N340,0)),"",IFERROR((5 * SUMPRODUCT(J144:N144,J340:N340) - PRODUCT(SUM(J144:N144),SUM(J340:N340))) / ((5 * SUM((J144^2)+(K144^2)+(L144^2)+(M144^2)+(N144^2))) - SUM(J144:N144)^2),""))</f>
        <v>-11538000</v>
      </c>
      <c r="AF340">
        <f>IFERROR(CORREL(J144:N144,J340:N340),"")</f>
        <v>-2.8946125760002609E-2</v>
      </c>
      <c r="AZ340">
        <f t="shared" si="135"/>
        <v>1</v>
      </c>
      <c r="BA340" t="str">
        <f>IF(AZ340=1,IF(Q340="","",IF(Q340=N144,"Yes","No")),"")</f>
        <v>No</v>
      </c>
      <c r="BB340" t="str">
        <f t="shared" si="136"/>
        <v/>
      </c>
      <c r="BC340" t="str">
        <f>IF(AZ340=1,IF(S340="","",IF(S340=N144,"Yes","No")),"")</f>
        <v>No</v>
      </c>
      <c r="BD340" t="str">
        <f t="shared" si="137"/>
        <v/>
      </c>
      <c r="BE340" t="str">
        <f t="shared" si="138"/>
        <v>Decreasing</v>
      </c>
      <c r="BF340" t="str">
        <f t="shared" si="139"/>
        <v>No</v>
      </c>
      <c r="BG340" t="str">
        <f t="shared" si="140"/>
        <v>No</v>
      </c>
      <c r="BH340" t="str">
        <f t="shared" si="141"/>
        <v>No</v>
      </c>
    </row>
    <row r="341" spans="1:60" x14ac:dyDescent="0.3">
      <c r="A341" s="1">
        <v>12</v>
      </c>
      <c r="B341" t="s">
        <v>905</v>
      </c>
      <c r="C341" t="s">
        <v>4415</v>
      </c>
      <c r="D341" t="s">
        <v>4416</v>
      </c>
      <c r="E341" t="s">
        <v>4417</v>
      </c>
      <c r="F341" t="s">
        <v>4418</v>
      </c>
      <c r="G341" t="s">
        <v>4419</v>
      </c>
      <c r="I341" t="str">
        <f t="shared" si="118"/>
        <v>N/A</v>
      </c>
      <c r="J341">
        <f t="shared" si="119"/>
        <v>-584830000</v>
      </c>
      <c r="K341">
        <f t="shared" si="120"/>
        <v>-1010000000</v>
      </c>
      <c r="L341">
        <f t="shared" si="121"/>
        <v>-1430000000</v>
      </c>
      <c r="M341">
        <f t="shared" si="122"/>
        <v>-2340000000</v>
      </c>
      <c r="N341">
        <f t="shared" si="123"/>
        <v>-1020000000</v>
      </c>
      <c r="P341">
        <f t="shared" si="124"/>
        <v>-584830000</v>
      </c>
      <c r="Q341">
        <f>IFERROR(J144+MATCH(P341,J341:N341,0)-1,"")</f>
        <v>2012</v>
      </c>
      <c r="R341">
        <f t="shared" si="125"/>
        <v>-2340000000</v>
      </c>
      <c r="S341">
        <f>IFERROR(J144+MATCH(R341,J341:N341,0)-1,"")</f>
        <v>2015</v>
      </c>
      <c r="T341">
        <f t="shared" si="126"/>
        <v>-1276966000</v>
      </c>
      <c r="U341">
        <f t="shared" si="127"/>
        <v>665172027.20799983</v>
      </c>
      <c r="V341">
        <f t="shared" si="128"/>
        <v>1.0405368411314273</v>
      </c>
      <c r="W341">
        <f t="shared" si="129"/>
        <v>0.4013488076468969</v>
      </c>
      <c r="X341">
        <f t="shared" si="130"/>
        <v>-0.23006680037695895</v>
      </c>
      <c r="Y341">
        <f t="shared" si="131"/>
        <v>-1.5981339510953132</v>
      </c>
      <c r="Z341">
        <f t="shared" si="132"/>
        <v>0.38631510269394798</v>
      </c>
      <c r="AA341">
        <f t="shared" si="133"/>
        <v>-1.5981339510953132</v>
      </c>
      <c r="AB341">
        <f>IFERROR(V144+MATCH(AA341,V341:Z341,0)-1,"")</f>
        <v>2015</v>
      </c>
      <c r="AC341" t="str">
        <f t="shared" si="134"/>
        <v>Low</v>
      </c>
      <c r="AE341">
        <f>IF(ISNUMBER(MATCH("N/A",J341:N341,0)),"",IFERROR((5 * SUMPRODUCT(J144:N144,J341:N341) - PRODUCT(SUM(J144:N144),SUM(J341:N341))) / ((5 * SUM((J144^2)+(K144^2)+(L144^2)+(M144^2)+(N144^2))) - SUM(J144:N144)^2),""))</f>
        <v>-220034000</v>
      </c>
      <c r="AF341">
        <f>IFERROR(CORREL(J144:N144,J341:N341),"")</f>
        <v>-0.52302906181885278</v>
      </c>
      <c r="AZ341">
        <f t="shared" si="135"/>
        <v>1</v>
      </c>
      <c r="BA341" t="str">
        <f>IF(AZ341=1,IF(Q341="","",IF(Q341=N144,"Yes","No")),"")</f>
        <v>No</v>
      </c>
      <c r="BB341" t="str">
        <f t="shared" si="136"/>
        <v/>
      </c>
      <c r="BC341" t="str">
        <f>IF(AZ341=1,IF(S341="","",IF(S341=N144,"Yes","No")),"")</f>
        <v>No</v>
      </c>
      <c r="BD341" t="str">
        <f t="shared" si="137"/>
        <v/>
      </c>
      <c r="BE341" t="str">
        <f t="shared" si="138"/>
        <v>Decreasing</v>
      </c>
      <c r="BF341" t="str">
        <f t="shared" si="139"/>
        <v>No</v>
      </c>
      <c r="BG341" t="str">
        <f t="shared" si="140"/>
        <v>No</v>
      </c>
      <c r="BH341" t="str">
        <f t="shared" si="141"/>
        <v>No</v>
      </c>
    </row>
    <row r="342" spans="1:60" x14ac:dyDescent="0.3">
      <c r="A342" s="1">
        <v>13</v>
      </c>
      <c r="B342" t="s">
        <v>757</v>
      </c>
      <c r="C342" t="s">
        <v>4420</v>
      </c>
      <c r="D342" t="s">
        <v>4421</v>
      </c>
      <c r="E342" t="s">
        <v>4337</v>
      </c>
      <c r="F342" t="s">
        <v>4422</v>
      </c>
      <c r="G342" t="s">
        <v>4423</v>
      </c>
      <c r="I342" t="str">
        <f t="shared" si="118"/>
        <v>N/A</v>
      </c>
      <c r="J342">
        <f t="shared" si="119"/>
        <v>-29290000</v>
      </c>
      <c r="K342">
        <f t="shared" si="120"/>
        <v>-39780000</v>
      </c>
      <c r="L342">
        <f t="shared" si="121"/>
        <v>-50960000</v>
      </c>
      <c r="M342">
        <f t="shared" si="122"/>
        <v>-21070000</v>
      </c>
      <c r="N342">
        <f t="shared" si="123"/>
        <v>-7830000</v>
      </c>
      <c r="P342">
        <f t="shared" si="124"/>
        <v>-7830000</v>
      </c>
      <c r="Q342">
        <f>IFERROR(J144+MATCH(P342,J342:N342,0)-1,"")</f>
        <v>2016</v>
      </c>
      <c r="R342">
        <f t="shared" si="125"/>
        <v>-50960000</v>
      </c>
      <c r="S342">
        <f>IFERROR(J144+MATCH(R342,J342:N342,0)-1,"")</f>
        <v>2014</v>
      </c>
      <c r="T342">
        <f t="shared" si="126"/>
        <v>-29786000</v>
      </c>
      <c r="U342">
        <f t="shared" si="127"/>
        <v>16632039.261617921</v>
      </c>
      <c r="V342">
        <f t="shared" si="128"/>
        <v>2.9821959424099532E-2</v>
      </c>
      <c r="W342">
        <f t="shared" si="129"/>
        <v>-0.60088843242832812</v>
      </c>
      <c r="X342">
        <f t="shared" si="130"/>
        <v>-1.2730850178344426</v>
      </c>
      <c r="Y342">
        <f t="shared" si="131"/>
        <v>0.52404878697671675</v>
      </c>
      <c r="Z342">
        <f t="shared" si="132"/>
        <v>1.3201027038619544</v>
      </c>
      <c r="AA342">
        <f t="shared" si="133"/>
        <v>1.3201027038619544</v>
      </c>
      <c r="AB342">
        <f>IFERROR(V144+MATCH(AA342,V342:Z342,0)-1,"")</f>
        <v>2016</v>
      </c>
      <c r="AC342" t="str">
        <f t="shared" si="134"/>
        <v>High</v>
      </c>
      <c r="AE342">
        <f>IF(ISNUMBER(MATCH("N/A",J342:N342,0)),"",IFERROR((5 * SUMPRODUCT(J144:N144,J342:N342) - PRODUCT(SUM(J144:N144),SUM(J342:N342))) / ((5 * SUM((J144^2)+(K144^2)+(L144^2)+(M144^2)+(N144^2))) - SUM(J144:N144)^2),""))</f>
        <v>6163000</v>
      </c>
      <c r="AF342">
        <f>IFERROR(CORREL(J144:N144,J342:N342),"")</f>
        <v>0.58589078924895077</v>
      </c>
      <c r="AZ342">
        <f t="shared" si="135"/>
        <v>1</v>
      </c>
      <c r="BA342" t="str">
        <f>IF(AZ342=1,IF(Q342="","",IF(Q342=N144,"Yes","No")),"")</f>
        <v>Yes</v>
      </c>
      <c r="BB342">
        <f t="shared" si="136"/>
        <v>-7830000</v>
      </c>
      <c r="BC342" t="str">
        <f>IF(AZ342=1,IF(S342="","",IF(S342=N144,"Yes","No")),"")</f>
        <v>No</v>
      </c>
      <c r="BD342" t="str">
        <f t="shared" si="137"/>
        <v/>
      </c>
      <c r="BE342" t="str">
        <f t="shared" si="138"/>
        <v>Increasing</v>
      </c>
      <c r="BF342" t="str">
        <f t="shared" si="139"/>
        <v>Yes</v>
      </c>
      <c r="BG342" t="str">
        <f t="shared" si="140"/>
        <v>No</v>
      </c>
      <c r="BH342" t="str">
        <f t="shared" si="141"/>
        <v>No</v>
      </c>
    </row>
    <row r="343" spans="1:60" x14ac:dyDescent="0.3">
      <c r="A343" s="1">
        <v>14</v>
      </c>
      <c r="B343" t="s">
        <v>846</v>
      </c>
      <c r="C343" t="s">
        <v>4420</v>
      </c>
      <c r="D343" t="s">
        <v>4421</v>
      </c>
      <c r="E343" t="s">
        <v>4337</v>
      </c>
      <c r="F343" t="s">
        <v>4422</v>
      </c>
      <c r="G343" t="s">
        <v>4423</v>
      </c>
      <c r="I343" t="str">
        <f t="shared" si="118"/>
        <v>N/A</v>
      </c>
      <c r="J343">
        <f t="shared" si="119"/>
        <v>-29290000</v>
      </c>
      <c r="K343">
        <f t="shared" si="120"/>
        <v>-39780000</v>
      </c>
      <c r="L343">
        <f t="shared" si="121"/>
        <v>-50960000</v>
      </c>
      <c r="M343">
        <f t="shared" si="122"/>
        <v>-21070000</v>
      </c>
      <c r="N343">
        <f t="shared" si="123"/>
        <v>-7830000</v>
      </c>
      <c r="P343">
        <f t="shared" si="124"/>
        <v>-7830000</v>
      </c>
      <c r="Q343">
        <f>IFERROR(J144+MATCH(P343,J343:N343,0)-1,"")</f>
        <v>2016</v>
      </c>
      <c r="R343">
        <f t="shared" si="125"/>
        <v>-50960000</v>
      </c>
      <c r="S343">
        <f>IFERROR(J144+MATCH(R343,J343:N343,0)-1,"")</f>
        <v>2014</v>
      </c>
      <c r="T343">
        <f t="shared" si="126"/>
        <v>-29786000</v>
      </c>
      <c r="U343">
        <f t="shared" si="127"/>
        <v>16632039.261617921</v>
      </c>
      <c r="V343">
        <f t="shared" si="128"/>
        <v>2.9821959424099532E-2</v>
      </c>
      <c r="W343">
        <f t="shared" si="129"/>
        <v>-0.60088843242832812</v>
      </c>
      <c r="X343">
        <f t="shared" si="130"/>
        <v>-1.2730850178344426</v>
      </c>
      <c r="Y343">
        <f t="shared" si="131"/>
        <v>0.52404878697671675</v>
      </c>
      <c r="Z343">
        <f t="shared" si="132"/>
        <v>1.3201027038619544</v>
      </c>
      <c r="AA343">
        <f t="shared" si="133"/>
        <v>1.3201027038619544</v>
      </c>
      <c r="AB343">
        <f>IFERROR(V144+MATCH(AA343,V343:Z343,0)-1,"")</f>
        <v>2016</v>
      </c>
      <c r="AC343" t="str">
        <f t="shared" si="134"/>
        <v>High</v>
      </c>
      <c r="AE343">
        <f>IF(ISNUMBER(MATCH("N/A",J343:N343,0)),"",IFERROR((5 * SUMPRODUCT(J144:N144,J343:N343) - PRODUCT(SUM(J144:N144),SUM(J343:N343))) / ((5 * SUM((J144^2)+(K144^2)+(L144^2)+(M144^2)+(N144^2))) - SUM(J144:N144)^2),""))</f>
        <v>6163000</v>
      </c>
      <c r="AF343">
        <f>IFERROR(CORREL(J144:N144,J343:N343),"")</f>
        <v>0.58589078924895077</v>
      </c>
      <c r="AZ343">
        <f t="shared" si="135"/>
        <v>1</v>
      </c>
      <c r="BA343" t="str">
        <f>IF(AZ343=1,IF(Q343="","",IF(Q343=N144,"Yes","No")),"")</f>
        <v>Yes</v>
      </c>
      <c r="BB343">
        <f t="shared" si="136"/>
        <v>-7830000</v>
      </c>
      <c r="BC343" t="str">
        <f>IF(AZ343=1,IF(S343="","",IF(S343=N144,"Yes","No")),"")</f>
        <v>No</v>
      </c>
      <c r="BD343" t="str">
        <f t="shared" si="137"/>
        <v/>
      </c>
      <c r="BE343" t="str">
        <f t="shared" si="138"/>
        <v>Increasing</v>
      </c>
      <c r="BF343" t="str">
        <f t="shared" si="139"/>
        <v>Yes</v>
      </c>
      <c r="BG343" t="str">
        <f t="shared" si="140"/>
        <v>No</v>
      </c>
      <c r="BH343" t="str">
        <f t="shared" si="141"/>
        <v>No</v>
      </c>
    </row>
    <row r="344" spans="1:60" x14ac:dyDescent="0.3">
      <c r="A344" s="1">
        <v>15</v>
      </c>
      <c r="B344" t="s">
        <v>849</v>
      </c>
      <c r="C344" t="s">
        <v>264</v>
      </c>
      <c r="D344" t="s">
        <v>264</v>
      </c>
      <c r="E344" t="s">
        <v>264</v>
      </c>
      <c r="F344" t="s">
        <v>264</v>
      </c>
      <c r="G344" t="s">
        <v>264</v>
      </c>
      <c r="I344" t="str">
        <f t="shared" si="118"/>
        <v>N/A</v>
      </c>
      <c r="J344" t="str">
        <f t="shared" si="119"/>
        <v>N/A</v>
      </c>
      <c r="K344" t="str">
        <f t="shared" si="120"/>
        <v>N/A</v>
      </c>
      <c r="L344" t="str">
        <f t="shared" si="121"/>
        <v>N/A</v>
      </c>
      <c r="M344" t="str">
        <f t="shared" si="122"/>
        <v>N/A</v>
      </c>
      <c r="N344" t="str">
        <f t="shared" si="123"/>
        <v>N/A</v>
      </c>
      <c r="P344">
        <f t="shared" si="124"/>
        <v>0</v>
      </c>
      <c r="Q344" t="str">
        <f>IFERROR(J144+MATCH(P344,J344:N344,0)-1,"")</f>
        <v/>
      </c>
      <c r="R344" t="str">
        <f t="shared" si="125"/>
        <v/>
      </c>
      <c r="S344" t="str">
        <f>IFERROR(J144+MATCH(R344,J344:N344,0)-1,"")</f>
        <v/>
      </c>
      <c r="T344" t="str">
        <f t="shared" si="126"/>
        <v/>
      </c>
      <c r="U344" t="str">
        <f t="shared" si="127"/>
        <v/>
      </c>
      <c r="V344" t="str">
        <f t="shared" si="128"/>
        <v/>
      </c>
      <c r="W344" t="str">
        <f t="shared" si="129"/>
        <v/>
      </c>
      <c r="X344" t="str">
        <f t="shared" si="130"/>
        <v/>
      </c>
      <c r="Y344" t="str">
        <f t="shared" si="131"/>
        <v/>
      </c>
      <c r="Z344" t="str">
        <f t="shared" si="132"/>
        <v/>
      </c>
      <c r="AA344">
        <f t="shared" si="133"/>
        <v>0</v>
      </c>
      <c r="AB344" t="str">
        <f>IFERROR(V144+MATCH(AA344,V344:Z344,0)-1,"")</f>
        <v/>
      </c>
      <c r="AC344" t="str">
        <f t="shared" si="134"/>
        <v/>
      </c>
      <c r="AE344" t="str">
        <f>IF(ISNUMBER(MATCH("N/A",J344:N344,0)),"",IFERROR((5 * SUMPRODUCT(J144:N144,J344:N344) - PRODUCT(SUM(J144:N144),SUM(J344:N344))) / ((5 * SUM((J144^2)+(K144^2)+(L144^2)+(M144^2)+(N144^2))) - SUM(J144:N144)^2),""))</f>
        <v/>
      </c>
      <c r="AF344" t="str">
        <f>IFERROR(CORREL(J144:N144,J344:N344),"")</f>
        <v/>
      </c>
      <c r="AZ344">
        <f t="shared" si="135"/>
        <v>0</v>
      </c>
      <c r="BA344" t="str">
        <f>IF(AZ344=1,IF(Q344="","",IF(Q344=N144,"Yes","No")),"")</f>
        <v/>
      </c>
      <c r="BB344" t="str">
        <f t="shared" si="136"/>
        <v/>
      </c>
      <c r="BC344" t="str">
        <f>IF(AZ344=1,IF(S344="","",IF(S344=N144,"Yes","No")),"")</f>
        <v/>
      </c>
      <c r="BD344" t="str">
        <f t="shared" si="137"/>
        <v/>
      </c>
      <c r="BE344" t="str">
        <f t="shared" si="138"/>
        <v/>
      </c>
      <c r="BF344" t="str">
        <f t="shared" si="139"/>
        <v>No</v>
      </c>
      <c r="BG344" t="str">
        <f t="shared" si="140"/>
        <v>No</v>
      </c>
      <c r="BH344" t="str">
        <f t="shared" si="141"/>
        <v/>
      </c>
    </row>
    <row r="345" spans="1:60" x14ac:dyDescent="0.3">
      <c r="A345" s="1">
        <v>16</v>
      </c>
      <c r="B345" t="s">
        <v>920</v>
      </c>
      <c r="C345" t="s">
        <v>1114</v>
      </c>
      <c r="D345" t="s">
        <v>4424</v>
      </c>
      <c r="E345" t="s">
        <v>4425</v>
      </c>
      <c r="F345" t="s">
        <v>4426</v>
      </c>
      <c r="G345" t="s">
        <v>4427</v>
      </c>
      <c r="I345" t="str">
        <f t="shared" si="118"/>
        <v>N/A</v>
      </c>
      <c r="J345">
        <f t="shared" si="119"/>
        <v>2190000000</v>
      </c>
      <c r="K345">
        <f t="shared" si="120"/>
        <v>-45050000</v>
      </c>
      <c r="L345">
        <f t="shared" si="121"/>
        <v>650050000</v>
      </c>
      <c r="M345">
        <f t="shared" si="122"/>
        <v>-131270000.00000001</v>
      </c>
      <c r="N345">
        <f t="shared" si="123"/>
        <v>-145220000</v>
      </c>
      <c r="P345">
        <f t="shared" si="124"/>
        <v>2190000000</v>
      </c>
      <c r="Q345">
        <f>IFERROR(J144+MATCH(P345,J345:N345,0)-1,"")</f>
        <v>2012</v>
      </c>
      <c r="R345">
        <f t="shared" si="125"/>
        <v>-145220000</v>
      </c>
      <c r="S345">
        <f>IFERROR(J144+MATCH(R345,J345:N345,0)-1,"")</f>
        <v>2016</v>
      </c>
      <c r="T345">
        <f t="shared" si="126"/>
        <v>503702000</v>
      </c>
      <c r="U345">
        <f t="shared" si="127"/>
        <v>998803864.91542971</v>
      </c>
      <c r="V345">
        <f t="shared" si="128"/>
        <v>1.6883174557427063</v>
      </c>
      <c r="W345">
        <f t="shared" si="129"/>
        <v>-0.54940916758112834</v>
      </c>
      <c r="X345">
        <f t="shared" si="130"/>
        <v>0.1465232616139221</v>
      </c>
      <c r="Y345">
        <f t="shared" si="131"/>
        <v>-0.63573242185417866</v>
      </c>
      <c r="Z345">
        <f t="shared" si="132"/>
        <v>-0.64969912792132145</v>
      </c>
      <c r="AA345">
        <f t="shared" si="133"/>
        <v>1.6883174557427063</v>
      </c>
      <c r="AB345">
        <f>IFERROR(V144+MATCH(AA345,V345:Z345,0)-1,"")</f>
        <v>2012</v>
      </c>
      <c r="AC345" t="str">
        <f t="shared" si="134"/>
        <v>High</v>
      </c>
      <c r="AE345">
        <f>IF(ISNUMBER(MATCH("N/A",J345:N345,0)),"",IFERROR((5 * SUMPRODUCT(J144:N144,J345:N345) - PRODUCT(SUM(J144:N144),SUM(J345:N345))) / ((5 * SUM((J144^2)+(K144^2)+(L144^2)+(M144^2)+(N144^2))) - SUM(J144:N144)^2),""))</f>
        <v>-475666000</v>
      </c>
      <c r="AF345">
        <f>IFERROR(CORREL(J144:N144,J345:N345),"")</f>
        <v>-0.75299466608943</v>
      </c>
      <c r="AZ345">
        <f t="shared" si="135"/>
        <v>1</v>
      </c>
      <c r="BA345" t="str">
        <f>IF(AZ345=1,IF(Q345="","",IF(Q345=N144,"Yes","No")),"")</f>
        <v>No</v>
      </c>
      <c r="BB345" t="str">
        <f t="shared" si="136"/>
        <v/>
      </c>
      <c r="BC345" t="str">
        <f>IF(AZ345=1,IF(S345="","",IF(S345=N144,"Yes","No")),"")</f>
        <v>Yes</v>
      </c>
      <c r="BD345">
        <f t="shared" si="137"/>
        <v>-145220000</v>
      </c>
      <c r="BE345" t="str">
        <f t="shared" si="138"/>
        <v>Decreasing</v>
      </c>
      <c r="BF345" t="str">
        <f t="shared" si="139"/>
        <v>Yes</v>
      </c>
      <c r="BG345" t="str">
        <f t="shared" si="140"/>
        <v>No</v>
      </c>
      <c r="BH345" t="str">
        <f t="shared" si="141"/>
        <v>No</v>
      </c>
    </row>
    <row r="346" spans="1:60" x14ac:dyDescent="0.3">
      <c r="A346" s="1">
        <v>17</v>
      </c>
      <c r="B346" t="s">
        <v>926</v>
      </c>
      <c r="C346" t="s">
        <v>264</v>
      </c>
      <c r="D346" t="s">
        <v>4428</v>
      </c>
      <c r="E346" t="s">
        <v>4429</v>
      </c>
      <c r="F346" t="s">
        <v>4430</v>
      </c>
      <c r="G346" t="s">
        <v>4431</v>
      </c>
      <c r="I346" t="str">
        <f t="shared" si="118"/>
        <v>N/A</v>
      </c>
      <c r="J346" t="str">
        <f t="shared" si="119"/>
        <v>N/A</v>
      </c>
      <c r="K346">
        <f t="shared" si="120"/>
        <v>-1.0205</v>
      </c>
      <c r="L346">
        <f t="shared" si="121"/>
        <v>15.4285</v>
      </c>
      <c r="M346">
        <f t="shared" si="122"/>
        <v>-1.2019</v>
      </c>
      <c r="N346">
        <f t="shared" si="123"/>
        <v>-0.10630000000000001</v>
      </c>
      <c r="P346">
        <f t="shared" si="124"/>
        <v>15.4285</v>
      </c>
      <c r="Q346">
        <f>IFERROR(J144+MATCH(P346,J346:N346,0)-1,"")</f>
        <v>2014</v>
      </c>
      <c r="R346">
        <f t="shared" si="125"/>
        <v>-1.2019</v>
      </c>
      <c r="S346">
        <f>IFERROR(J144+MATCH(R346,J346:N346,0)-1,"")</f>
        <v>2015</v>
      </c>
      <c r="T346">
        <f t="shared" si="126"/>
        <v>3.27495</v>
      </c>
      <c r="U346">
        <f t="shared" si="127"/>
        <v>8.1165408434463835</v>
      </c>
      <c r="V346" t="str">
        <f t="shared" si="128"/>
        <v/>
      </c>
      <c r="W346">
        <f t="shared" si="129"/>
        <v>-0.52922175626927526</v>
      </c>
      <c r="X346">
        <f t="shared" si="130"/>
        <v>1.4973805016718738</v>
      </c>
      <c r="Y346">
        <f t="shared" si="131"/>
        <v>-0.55157117870167383</v>
      </c>
      <c r="Z346">
        <f t="shared" si="132"/>
        <v>-0.41658756670092473</v>
      </c>
      <c r="AA346">
        <f t="shared" si="133"/>
        <v>1.4973805016718738</v>
      </c>
      <c r="AB346">
        <f>IFERROR(V144+MATCH(AA346,V346:Z346,0)-1,"")</f>
        <v>2014</v>
      </c>
      <c r="AC346" t="str">
        <f t="shared" si="134"/>
        <v>High</v>
      </c>
      <c r="AE346" t="str">
        <f>IF(ISNUMBER(MATCH("N/A",J346:N346,0)),"",IFERROR((5 * SUMPRODUCT(J144:N144,J346:N346) - PRODUCT(SUM(J144:N144),SUM(J346:N346))) / ((5 * SUM((J144^2)+(K144^2)+(L144^2)+(M144^2)+(N144^2))) - SUM(J144:N144)^2),""))</f>
        <v/>
      </c>
      <c r="AF346">
        <f>IFERROR(CORREL(J144:N144,J346:N346),"")</f>
        <v>-0.22089549046783599</v>
      </c>
      <c r="AZ346">
        <f t="shared" si="135"/>
        <v>1</v>
      </c>
      <c r="BA346" t="str">
        <f>IF(AZ346=1,IF(Q346="","",IF(Q346=N144,"Yes","No")),"")</f>
        <v>No</v>
      </c>
      <c r="BB346" t="str">
        <f t="shared" si="136"/>
        <v/>
      </c>
      <c r="BC346" t="str">
        <f>IF(AZ346=1,IF(S346="","",IF(S346=N144,"Yes","No")),"")</f>
        <v>No</v>
      </c>
      <c r="BD346" t="str">
        <f t="shared" si="137"/>
        <v/>
      </c>
      <c r="BE346" t="str">
        <f t="shared" si="138"/>
        <v/>
      </c>
      <c r="BF346" t="str">
        <f t="shared" si="139"/>
        <v>No</v>
      </c>
      <c r="BG346" t="str">
        <f t="shared" si="140"/>
        <v>No</v>
      </c>
      <c r="BH346" t="str">
        <f t="shared" si="141"/>
        <v>No</v>
      </c>
    </row>
    <row r="347" spans="1:60" x14ac:dyDescent="0.3">
      <c r="A347" s="1">
        <v>18</v>
      </c>
      <c r="B347" t="s">
        <v>931</v>
      </c>
      <c r="C347" t="s">
        <v>4432</v>
      </c>
      <c r="D347" t="s">
        <v>4433</v>
      </c>
      <c r="E347" t="s">
        <v>4434</v>
      </c>
      <c r="F347" t="s">
        <v>4435</v>
      </c>
      <c r="G347" t="s">
        <v>4436</v>
      </c>
      <c r="I347" t="str">
        <f t="shared" si="118"/>
        <v>N/A</v>
      </c>
      <c r="J347">
        <f t="shared" si="119"/>
        <v>0.56030000000000002</v>
      </c>
      <c r="K347">
        <f t="shared" si="120"/>
        <v>-1.0700000000000001E-2</v>
      </c>
      <c r="L347">
        <f t="shared" si="121"/>
        <v>0.1406</v>
      </c>
      <c r="M347">
        <f t="shared" si="122"/>
        <v>-3.3100000000000004E-2</v>
      </c>
      <c r="N347">
        <f t="shared" si="123"/>
        <v>-3.9800000000000002E-2</v>
      </c>
      <c r="P347">
        <f t="shared" si="124"/>
        <v>0.56030000000000002</v>
      </c>
      <c r="Q347">
        <f>IFERROR(J144+MATCH(P347,J347:N347,0)-1,"")</f>
        <v>2012</v>
      </c>
      <c r="R347">
        <f t="shared" si="125"/>
        <v>-3.9800000000000002E-2</v>
      </c>
      <c r="S347">
        <f>IFERROR(J144+MATCH(R347,J347:N347,0)-1,"")</f>
        <v>2016</v>
      </c>
      <c r="T347">
        <f t="shared" si="126"/>
        <v>0.12345999999999999</v>
      </c>
      <c r="U347">
        <f t="shared" si="127"/>
        <v>0.2550915188711691</v>
      </c>
      <c r="V347">
        <f t="shared" si="128"/>
        <v>1.7124834331345244</v>
      </c>
      <c r="W347">
        <f t="shared" si="129"/>
        <v>-0.52592889247625629</v>
      </c>
      <c r="X347">
        <f t="shared" si="130"/>
        <v>6.7191571385234364E-2</v>
      </c>
      <c r="Y347">
        <f t="shared" si="131"/>
        <v>-0.61374051435660915</v>
      </c>
      <c r="Z347">
        <f t="shared" si="132"/>
        <v>-0.64000559768689325</v>
      </c>
      <c r="AA347">
        <f t="shared" si="133"/>
        <v>1.7124834331345244</v>
      </c>
      <c r="AB347">
        <f>IFERROR(V144+MATCH(AA347,V347:Z347,0)-1,"")</f>
        <v>2012</v>
      </c>
      <c r="AC347" t="str">
        <f t="shared" si="134"/>
        <v>High</v>
      </c>
      <c r="AE347">
        <f>IF(ISNUMBER(MATCH("N/A",J347:N347,0)),"",IFERROR((5 * SUMPRODUCT(J144:N144,J347:N347) - PRODUCT(SUM(J144:N144),SUM(J347:N347))) / ((5 * SUM((J144^2)+(K144^2)+(L144^2)+(M144^2)+(N144^2))) - SUM(J144:N144)^2),""))</f>
        <v>-0.12225999999998749</v>
      </c>
      <c r="AF347">
        <f>IFERROR(CORREL(J144:N144,J347:N347),"")</f>
        <v>-0.75780658730454287</v>
      </c>
      <c r="AZ347">
        <f t="shared" si="135"/>
        <v>1</v>
      </c>
      <c r="BA347" t="str">
        <f>IF(AZ347=1,IF(Q347="","",IF(Q347=N144,"Yes","No")),"")</f>
        <v>No</v>
      </c>
      <c r="BB347" t="str">
        <f t="shared" si="136"/>
        <v/>
      </c>
      <c r="BC347" t="str">
        <f>IF(AZ347=1,IF(S347="","",IF(S347=N144,"Yes","No")),"")</f>
        <v>Yes</v>
      </c>
      <c r="BD347">
        <f t="shared" si="137"/>
        <v>-3.9800000000000002E-2</v>
      </c>
      <c r="BE347" t="str">
        <f t="shared" si="138"/>
        <v>Decreasing</v>
      </c>
      <c r="BF347" t="str">
        <f t="shared" si="139"/>
        <v>Yes</v>
      </c>
      <c r="BG347" t="str">
        <f t="shared" si="140"/>
        <v>No</v>
      </c>
      <c r="BH347" t="str">
        <f t="shared" si="141"/>
        <v>No</v>
      </c>
    </row>
    <row r="348" spans="1:60" x14ac:dyDescent="0.3">
      <c r="A348" s="1">
        <v>19</v>
      </c>
      <c r="B348" t="s">
        <v>937</v>
      </c>
      <c r="C348" t="s">
        <v>4437</v>
      </c>
      <c r="D348" t="s">
        <v>4438</v>
      </c>
      <c r="E348" t="s">
        <v>4439</v>
      </c>
      <c r="F348" t="s">
        <v>4440</v>
      </c>
      <c r="G348" t="s">
        <v>4441</v>
      </c>
      <c r="I348" t="str">
        <f t="shared" si="118"/>
        <v>N/A</v>
      </c>
      <c r="J348">
        <f t="shared" si="119"/>
        <v>-8930000</v>
      </c>
      <c r="K348">
        <f t="shared" si="120"/>
        <v>-13290000</v>
      </c>
      <c r="L348">
        <f t="shared" si="121"/>
        <v>-11520000</v>
      </c>
      <c r="M348">
        <f t="shared" si="122"/>
        <v>-33570000</v>
      </c>
      <c r="N348">
        <f t="shared" si="123"/>
        <v>4500000</v>
      </c>
      <c r="P348">
        <f t="shared" si="124"/>
        <v>4500000</v>
      </c>
      <c r="Q348">
        <f>IFERROR(J144+MATCH(P348,J348:N348,0)-1,"")</f>
        <v>2016</v>
      </c>
      <c r="R348">
        <f t="shared" si="125"/>
        <v>-33570000</v>
      </c>
      <c r="S348">
        <f>IFERROR(J144+MATCH(R348,J348:N348,0)-1,"")</f>
        <v>2015</v>
      </c>
      <c r="T348">
        <f t="shared" si="126"/>
        <v>-12562000</v>
      </c>
      <c r="U348">
        <f t="shared" si="127"/>
        <v>13667983.391854119</v>
      </c>
      <c r="V348">
        <f t="shared" si="128"/>
        <v>0.26573049555829936</v>
      </c>
      <c r="W348">
        <f t="shared" si="129"/>
        <v>-5.3263161003976302E-2</v>
      </c>
      <c r="X348">
        <f t="shared" si="130"/>
        <v>7.6236557371075972E-2</v>
      </c>
      <c r="Y348">
        <f t="shared" si="131"/>
        <v>-1.5370226461147447</v>
      </c>
      <c r="Z348">
        <f t="shared" si="132"/>
        <v>1.2483187541893457</v>
      </c>
      <c r="AA348">
        <f t="shared" si="133"/>
        <v>-1.5370226461147447</v>
      </c>
      <c r="AB348">
        <f>IFERROR(V144+MATCH(AA348,V348:Z348,0)-1,"")</f>
        <v>2015</v>
      </c>
      <c r="AC348" t="str">
        <f t="shared" si="134"/>
        <v>Low</v>
      </c>
      <c r="AE348">
        <f>IF(ISNUMBER(MATCH("N/A",J348:N348,0)),"",IFERROR((5 * SUMPRODUCT(J144:N144,J348:N348) - PRODUCT(SUM(J144:N144),SUM(J348:N348))) / ((5 * SUM((J144^2)+(K144^2)+(L144^2)+(M144^2)+(N144^2))) - SUM(J144:N144)^2),""))</f>
        <v>658000</v>
      </c>
      <c r="AF348">
        <f>IFERROR(CORREL(J144:N144,J348:N348),"")</f>
        <v>7.6118716299834757E-2</v>
      </c>
      <c r="AZ348">
        <f t="shared" si="135"/>
        <v>1</v>
      </c>
      <c r="BA348" t="str">
        <f>IF(AZ348=1,IF(Q348="","",IF(Q348=N144,"Yes","No")),"")</f>
        <v>Yes</v>
      </c>
      <c r="BB348">
        <f t="shared" si="136"/>
        <v>4500000</v>
      </c>
      <c r="BC348" t="str">
        <f>IF(AZ348=1,IF(S348="","",IF(S348=N144,"Yes","No")),"")</f>
        <v>No</v>
      </c>
      <c r="BD348" t="str">
        <f t="shared" si="137"/>
        <v/>
      </c>
      <c r="BE348" t="str">
        <f t="shared" si="138"/>
        <v>Increasing</v>
      </c>
      <c r="BF348" t="str">
        <f t="shared" si="139"/>
        <v>Yes</v>
      </c>
      <c r="BG348" t="str">
        <f t="shared" si="140"/>
        <v>No</v>
      </c>
      <c r="BH348" t="str">
        <f t="shared" si="141"/>
        <v>No</v>
      </c>
    </row>
    <row r="349" spans="1:60" x14ac:dyDescent="0.3">
      <c r="A349" s="1">
        <v>20</v>
      </c>
      <c r="B349" t="s">
        <v>939</v>
      </c>
      <c r="C349" t="s">
        <v>698</v>
      </c>
      <c r="D349" t="s">
        <v>698</v>
      </c>
      <c r="E349" t="s">
        <v>698</v>
      </c>
      <c r="F349" t="s">
        <v>698</v>
      </c>
      <c r="G349" t="s">
        <v>698</v>
      </c>
      <c r="I349" t="str">
        <f t="shared" si="118"/>
        <v>N/A</v>
      </c>
      <c r="J349">
        <f t="shared" si="119"/>
        <v>0</v>
      </c>
      <c r="K349">
        <f t="shared" si="120"/>
        <v>0</v>
      </c>
      <c r="L349">
        <f t="shared" si="121"/>
        <v>0</v>
      </c>
      <c r="M349">
        <f t="shared" si="122"/>
        <v>0</v>
      </c>
      <c r="N349">
        <f t="shared" si="123"/>
        <v>0</v>
      </c>
      <c r="P349">
        <f t="shared" si="124"/>
        <v>0</v>
      </c>
      <c r="Q349">
        <f>IFERROR(J144+MATCH(P349,J349:N349,0)-1,"")</f>
        <v>2012</v>
      </c>
      <c r="R349">
        <f t="shared" si="125"/>
        <v>0</v>
      </c>
      <c r="S349">
        <f>IFERROR(J144+MATCH(R349,J349:N349,0)-1,"")</f>
        <v>2012</v>
      </c>
      <c r="T349">
        <f t="shared" si="126"/>
        <v>0</v>
      </c>
      <c r="U349">
        <f t="shared" si="127"/>
        <v>0</v>
      </c>
      <c r="V349" t="str">
        <f t="shared" si="128"/>
        <v/>
      </c>
      <c r="W349" t="str">
        <f t="shared" si="129"/>
        <v/>
      </c>
      <c r="X349" t="str">
        <f t="shared" si="130"/>
        <v/>
      </c>
      <c r="Y349" t="str">
        <f t="shared" si="131"/>
        <v/>
      </c>
      <c r="Z349" t="str">
        <f t="shared" si="132"/>
        <v/>
      </c>
      <c r="AA349">
        <f t="shared" si="133"/>
        <v>0</v>
      </c>
      <c r="AB349" t="str">
        <f>IFERROR(V144+MATCH(AA349,V349:Z349,0)-1,"")</f>
        <v/>
      </c>
      <c r="AC349" t="str">
        <f t="shared" si="134"/>
        <v/>
      </c>
      <c r="AE349">
        <f>IF(ISNUMBER(MATCH("N/A",J349:N349,0)),"",IFERROR((5 * SUMPRODUCT(J144:N144,J349:N349) - PRODUCT(SUM(J144:N144),SUM(J349:N349))) / ((5 * SUM((J144^2)+(K144^2)+(L144^2)+(M144^2)+(N144^2))) - SUM(J144:N144)^2),""))</f>
        <v>0</v>
      </c>
      <c r="AF349" t="str">
        <f>IFERROR(CORREL(J144:N144,J349:N349),"")</f>
        <v/>
      </c>
      <c r="AZ349">
        <f t="shared" si="135"/>
        <v>0</v>
      </c>
      <c r="BA349" t="str">
        <f>IF(AZ349=1,IF(Q349="","",IF(Q349=N144,"Yes","No")),"")</f>
        <v/>
      </c>
      <c r="BB349" t="str">
        <f t="shared" si="136"/>
        <v/>
      </c>
      <c r="BC349" t="str">
        <f>IF(AZ349=1,IF(S349="","",IF(S349=N144,"Yes","No")),"")</f>
        <v/>
      </c>
      <c r="BD349" t="str">
        <f t="shared" si="137"/>
        <v/>
      </c>
      <c r="BE349" t="str">
        <f t="shared" si="138"/>
        <v/>
      </c>
      <c r="BF349" t="str">
        <f t="shared" si="139"/>
        <v>No</v>
      </c>
      <c r="BG349" t="str">
        <f t="shared" si="140"/>
        <v>No</v>
      </c>
      <c r="BH349" t="str">
        <f t="shared" si="141"/>
        <v/>
      </c>
    </row>
    <row r="350" spans="1:60" x14ac:dyDescent="0.3">
      <c r="A350" s="1">
        <v>21</v>
      </c>
      <c r="B350" t="s">
        <v>940</v>
      </c>
      <c r="C350" t="s">
        <v>4442</v>
      </c>
      <c r="D350" t="s">
        <v>4443</v>
      </c>
      <c r="E350" t="s">
        <v>1291</v>
      </c>
      <c r="F350" t="s">
        <v>4444</v>
      </c>
      <c r="G350" t="s">
        <v>4445</v>
      </c>
      <c r="I350" t="str">
        <f t="shared" si="118"/>
        <v>N/A</v>
      </c>
      <c r="J350">
        <f t="shared" si="119"/>
        <v>407340000</v>
      </c>
      <c r="K350">
        <f t="shared" si="120"/>
        <v>-171150000</v>
      </c>
      <c r="L350">
        <f t="shared" si="121"/>
        <v>-5850000</v>
      </c>
      <c r="M350">
        <f t="shared" si="122"/>
        <v>-107980000</v>
      </c>
      <c r="N350">
        <f t="shared" si="123"/>
        <v>24260000</v>
      </c>
      <c r="P350">
        <f t="shared" si="124"/>
        <v>407340000</v>
      </c>
      <c r="Q350">
        <f>IFERROR(J144+MATCH(P350,J350:N350,0)-1,"")</f>
        <v>2012</v>
      </c>
      <c r="R350">
        <f t="shared" si="125"/>
        <v>-171150000</v>
      </c>
      <c r="S350">
        <f>IFERROR(J144+MATCH(R350,J350:N350,0)-1,"")</f>
        <v>2013</v>
      </c>
      <c r="T350">
        <f t="shared" si="126"/>
        <v>29324000</v>
      </c>
      <c r="U350">
        <f t="shared" si="127"/>
        <v>225389198.78734207</v>
      </c>
      <c r="V350">
        <f t="shared" si="128"/>
        <v>1.6771699887742335</v>
      </c>
      <c r="W350">
        <f t="shared" si="129"/>
        <v>-0.88945699740097162</v>
      </c>
      <c r="X350">
        <f t="shared" si="130"/>
        <v>-0.15605894243932769</v>
      </c>
      <c r="Y350">
        <f t="shared" si="131"/>
        <v>-0.60918624645162467</v>
      </c>
      <c r="Z350">
        <f t="shared" si="132"/>
        <v>-2.2467802482309528E-2</v>
      </c>
      <c r="AA350">
        <f t="shared" si="133"/>
        <v>1.6771699887742335</v>
      </c>
      <c r="AB350">
        <f>IFERROR(V144+MATCH(AA350,V350:Z350,0)-1,"")</f>
        <v>2012</v>
      </c>
      <c r="AC350" t="str">
        <f t="shared" si="134"/>
        <v>High</v>
      </c>
      <c r="AE350">
        <f>IF(ISNUMBER(MATCH("N/A",J350:N350,0)),"",IFERROR((5 * SUMPRODUCT(J144:N144,J350:N350) - PRODUCT(SUM(J144:N144),SUM(J350:N350))) / ((5 * SUM((J144^2)+(K144^2)+(L144^2)+(M144^2)+(N144^2))) - SUM(J144:N144)^2),""))</f>
        <v>-70299000</v>
      </c>
      <c r="AF350">
        <f>IFERROR(CORREL(J144:N144,J350:N350),"")</f>
        <v>-0.49315796504056247</v>
      </c>
      <c r="AZ350">
        <f t="shared" si="135"/>
        <v>1</v>
      </c>
      <c r="BA350" t="str">
        <f>IF(AZ350=1,IF(Q350="","",IF(Q350=N144,"Yes","No")),"")</f>
        <v>No</v>
      </c>
      <c r="BB350" t="str">
        <f t="shared" si="136"/>
        <v/>
      </c>
      <c r="BC350" t="str">
        <f>IF(AZ350=1,IF(S350="","",IF(S350=N144,"Yes","No")),"")</f>
        <v>No</v>
      </c>
      <c r="BD350" t="str">
        <f t="shared" si="137"/>
        <v/>
      </c>
      <c r="BE350" t="str">
        <f t="shared" si="138"/>
        <v>Decreasing</v>
      </c>
      <c r="BF350" t="str">
        <f t="shared" si="139"/>
        <v>No</v>
      </c>
      <c r="BG350" t="str">
        <f t="shared" si="140"/>
        <v>No</v>
      </c>
      <c r="BH350" t="str">
        <f t="shared" si="141"/>
        <v>No</v>
      </c>
    </row>
    <row r="351" spans="1:60" x14ac:dyDescent="0.3">
      <c r="A351" s="1">
        <v>22</v>
      </c>
      <c r="B351" t="s">
        <v>946</v>
      </c>
      <c r="C351" t="s">
        <v>4446</v>
      </c>
      <c r="D351" t="s">
        <v>4447</v>
      </c>
      <c r="E351" t="s">
        <v>4448</v>
      </c>
      <c r="F351" t="s">
        <v>4449</v>
      </c>
      <c r="G351" t="s">
        <v>4450</v>
      </c>
      <c r="I351" t="str">
        <f t="shared" si="118"/>
        <v>N/A</v>
      </c>
      <c r="J351">
        <f t="shared" si="119"/>
        <v>80710000</v>
      </c>
      <c r="K351">
        <f t="shared" si="120"/>
        <v>290690000</v>
      </c>
      <c r="L351">
        <f t="shared" si="121"/>
        <v>304420000</v>
      </c>
      <c r="M351">
        <f t="shared" si="122"/>
        <v>233940000</v>
      </c>
      <c r="N351">
        <f t="shared" si="123"/>
        <v>183720000</v>
      </c>
      <c r="P351">
        <f t="shared" si="124"/>
        <v>304420000</v>
      </c>
      <c r="Q351">
        <f>IFERROR(J144+MATCH(P351,J351:N351,0)-1,"")</f>
        <v>2014</v>
      </c>
      <c r="R351">
        <f t="shared" si="125"/>
        <v>80710000</v>
      </c>
      <c r="S351">
        <f>IFERROR(J144+MATCH(R351,J351:N351,0)-1,"")</f>
        <v>2012</v>
      </c>
      <c r="T351">
        <f t="shared" si="126"/>
        <v>218696000</v>
      </c>
      <c r="U351">
        <f t="shared" si="127"/>
        <v>90867453.634400919</v>
      </c>
      <c r="V351">
        <f t="shared" si="128"/>
        <v>-1.5185415072285109</v>
      </c>
      <c r="W351">
        <f t="shared" si="129"/>
        <v>0.79229687991107367</v>
      </c>
      <c r="X351">
        <f t="shared" si="130"/>
        <v>0.94339608486119508</v>
      </c>
      <c r="Y351">
        <f t="shared" si="131"/>
        <v>0.16776083614418433</v>
      </c>
      <c r="Z351">
        <f t="shared" si="132"/>
        <v>-0.38491229368794222</v>
      </c>
      <c r="AA351">
        <f t="shared" si="133"/>
        <v>-1.5185415072285109</v>
      </c>
      <c r="AB351">
        <f>IFERROR(V144+MATCH(AA351,V351:Z351,0)-1,"")</f>
        <v>2012</v>
      </c>
      <c r="AC351" t="str">
        <f t="shared" si="134"/>
        <v>Low</v>
      </c>
      <c r="AE351">
        <f>IF(ISNUMBER(MATCH("N/A",J351:N351,0)),"",IFERROR((5 * SUMPRODUCT(J144:N144,J351:N351) - PRODUCT(SUM(J144:N144),SUM(J351:N351))) / ((5 * SUM((J144^2)+(K144^2)+(L144^2)+(M144^2)+(N144^2))) - SUM(J144:N144)^2),""))</f>
        <v>14927000</v>
      </c>
      <c r="AF351">
        <f>IFERROR(CORREL(J144:N144,J351:N351),"")</f>
        <v>0.25973721473066014</v>
      </c>
      <c r="AZ351">
        <f t="shared" si="135"/>
        <v>1</v>
      </c>
      <c r="BA351" t="str">
        <f>IF(AZ351=1,IF(Q351="","",IF(Q351=N144,"Yes","No")),"")</f>
        <v>No</v>
      </c>
      <c r="BB351" t="str">
        <f t="shared" si="136"/>
        <v/>
      </c>
      <c r="BC351" t="str">
        <f>IF(AZ351=1,IF(S351="","",IF(S351=N144,"Yes","No")),"")</f>
        <v>No</v>
      </c>
      <c r="BD351" t="str">
        <f t="shared" si="137"/>
        <v/>
      </c>
      <c r="BE351" t="str">
        <f t="shared" si="138"/>
        <v>Increasing</v>
      </c>
      <c r="BF351" t="str">
        <f t="shared" si="139"/>
        <v>No</v>
      </c>
      <c r="BG351" t="str">
        <f t="shared" si="140"/>
        <v>No</v>
      </c>
      <c r="BH351" t="str">
        <f t="shared" si="141"/>
        <v>No</v>
      </c>
    </row>
    <row r="352" spans="1:60" x14ac:dyDescent="0.3">
      <c r="A352" s="1">
        <v>23</v>
      </c>
      <c r="B352" t="s">
        <v>952</v>
      </c>
      <c r="C352" t="s">
        <v>264</v>
      </c>
      <c r="D352" t="s">
        <v>4451</v>
      </c>
      <c r="E352" t="s">
        <v>4452</v>
      </c>
      <c r="F352" t="s">
        <v>4453</v>
      </c>
      <c r="G352" t="s">
        <v>4454</v>
      </c>
      <c r="I352" t="str">
        <f t="shared" si="118"/>
        <v>N/A</v>
      </c>
      <c r="J352" t="str">
        <f t="shared" si="119"/>
        <v>N/A</v>
      </c>
      <c r="K352">
        <f t="shared" si="120"/>
        <v>2.6014999999999997</v>
      </c>
      <c r="L352">
        <f t="shared" si="121"/>
        <v>4.7199999999999999E-2</v>
      </c>
      <c r="M352">
        <f t="shared" si="122"/>
        <v>-0.23149999999999998</v>
      </c>
      <c r="N352">
        <f t="shared" si="123"/>
        <v>-0.21460000000000001</v>
      </c>
      <c r="P352">
        <f t="shared" si="124"/>
        <v>2.6014999999999997</v>
      </c>
      <c r="Q352">
        <f>IFERROR(J144+MATCH(P352,J352:N352,0)-1,"")</f>
        <v>2013</v>
      </c>
      <c r="R352">
        <f t="shared" si="125"/>
        <v>-0.23149999999999998</v>
      </c>
      <c r="S352">
        <f>IFERROR(J144+MATCH(R352,J352:N352,0)-1,"")</f>
        <v>2015</v>
      </c>
      <c r="T352">
        <f t="shared" si="126"/>
        <v>0.55064999999999997</v>
      </c>
      <c r="U352">
        <f t="shared" si="127"/>
        <v>1.3731731876691056</v>
      </c>
      <c r="V352" t="str">
        <f t="shared" si="128"/>
        <v/>
      </c>
      <c r="W352">
        <f t="shared" si="129"/>
        <v>1.493511538396127</v>
      </c>
      <c r="X352">
        <f t="shared" si="130"/>
        <v>-0.36663255918547444</v>
      </c>
      <c r="Y352">
        <f t="shared" si="131"/>
        <v>-0.5695931198071682</v>
      </c>
      <c r="Z352">
        <f t="shared" si="132"/>
        <v>-0.55728585940348463</v>
      </c>
      <c r="AA352">
        <f t="shared" si="133"/>
        <v>1.493511538396127</v>
      </c>
      <c r="AB352">
        <f>IFERROR(V144+MATCH(AA352,V352:Z352,0)-1,"")</f>
        <v>2013</v>
      </c>
      <c r="AC352" t="str">
        <f t="shared" si="134"/>
        <v>High</v>
      </c>
      <c r="AE352" t="str">
        <f>IF(ISNUMBER(MATCH("N/A",J352:N352,0)),"",IFERROR((5 * SUMPRODUCT(J144:N144,J352:N352) - PRODUCT(SUM(J144:N144),SUM(J352:N352))) / ((5 * SUM((J144^2)+(K144^2)+(L144^2)+(M144^2)+(N144^2))) - SUM(J144:N144)^2),""))</f>
        <v/>
      </c>
      <c r="AF352">
        <f>IFERROR(CORREL(J144:N144,J352:N352),"")</f>
        <v>-0.82047251251983166</v>
      </c>
      <c r="AZ352">
        <f t="shared" si="135"/>
        <v>1</v>
      </c>
      <c r="BA352" t="str">
        <f>IF(AZ352=1,IF(Q352="","",IF(Q352=N144,"Yes","No")),"")</f>
        <v>No</v>
      </c>
      <c r="BB352" t="str">
        <f t="shared" si="136"/>
        <v/>
      </c>
      <c r="BC352" t="str">
        <f>IF(AZ352=1,IF(S352="","",IF(S352=N144,"Yes","No")),"")</f>
        <v>No</v>
      </c>
      <c r="BD352" t="str">
        <f t="shared" si="137"/>
        <v/>
      </c>
      <c r="BE352" t="str">
        <f t="shared" si="138"/>
        <v/>
      </c>
      <c r="BF352" t="str">
        <f t="shared" si="139"/>
        <v>No</v>
      </c>
      <c r="BG352" t="str">
        <f t="shared" si="140"/>
        <v>No</v>
      </c>
      <c r="BH352" t="str">
        <f t="shared" si="141"/>
        <v>Yes</v>
      </c>
    </row>
    <row r="353" spans="1:29" x14ac:dyDescent="0.3">
      <c r="A353" s="1">
        <v>24</v>
      </c>
      <c r="B353" t="s">
        <v>957</v>
      </c>
      <c r="C353" t="s">
        <v>264</v>
      </c>
      <c r="D353" t="s">
        <v>264</v>
      </c>
      <c r="E353" t="s">
        <v>264</v>
      </c>
      <c r="F353" t="s">
        <v>264</v>
      </c>
      <c r="G353" t="s">
        <v>4455</v>
      </c>
      <c r="I353" t="str">
        <f t="shared" si="118"/>
        <v>N/A</v>
      </c>
      <c r="J353" t="str">
        <f t="shared" si="119"/>
        <v>N/A</v>
      </c>
      <c r="K353" t="str">
        <f t="shared" si="120"/>
        <v>N/A</v>
      </c>
      <c r="L353" t="str">
        <f t="shared" si="121"/>
        <v>N/A</v>
      </c>
      <c r="M353" t="str">
        <f t="shared" si="122"/>
        <v>N/A</v>
      </c>
      <c r="N353">
        <f t="shared" si="123"/>
        <v>4.1500000000000002E-2</v>
      </c>
      <c r="P353">
        <f t="shared" si="124"/>
        <v>4.1500000000000002E-2</v>
      </c>
      <c r="Q353">
        <f>IFERROR(J144+MATCH(P353,J353:N353,0)-1,"")</f>
        <v>2016</v>
      </c>
      <c r="R353">
        <f t="shared" si="125"/>
        <v>4.1500000000000002E-2</v>
      </c>
      <c r="T353">
        <f t="shared" si="126"/>
        <v>4.1500000000000002E-2</v>
      </c>
      <c r="U353" t="str">
        <f t="shared" si="127"/>
        <v/>
      </c>
      <c r="V353" t="str">
        <f t="shared" si="128"/>
        <v/>
      </c>
      <c r="W353" t="str">
        <f t="shared" si="129"/>
        <v/>
      </c>
      <c r="X353" t="str">
        <f t="shared" si="130"/>
        <v/>
      </c>
      <c r="Y353" t="str">
        <f t="shared" si="131"/>
        <v/>
      </c>
      <c r="Z353" t="str">
        <f t="shared" si="132"/>
        <v/>
      </c>
      <c r="AA353">
        <f t="shared" si="133"/>
        <v>0</v>
      </c>
      <c r="AB353" t="str">
        <f>IFERROR(V144+MATCH(AA353,V353:Z353,0)-1,"")</f>
        <v/>
      </c>
      <c r="AC353" t="str">
        <f>IF(S353=AB353,"Low",IF(AB353=Q353,"High",""))</f>
        <v>Low</v>
      </c>
    </row>
    <row r="354" spans="1:29" x14ac:dyDescent="0.3">
      <c r="I354" t="str">
        <f t="shared" si="118"/>
        <v>N/A</v>
      </c>
      <c r="J354" t="str">
        <f t="shared" si="119"/>
        <v>N/A</v>
      </c>
      <c r="K354" t="str">
        <f t="shared" si="120"/>
        <v>N/A</v>
      </c>
      <c r="L354" t="str">
        <f t="shared" si="121"/>
        <v>N/A</v>
      </c>
      <c r="M354" t="str">
        <f t="shared" si="122"/>
        <v>N/A</v>
      </c>
      <c r="N354" t="str">
        <f t="shared" si="123"/>
        <v>N/A</v>
      </c>
      <c r="V354">
        <f>MAX(V145:V353)</f>
        <v>1.7344552572872101</v>
      </c>
      <c r="W354">
        <f>MAX(W145:W353)</f>
        <v>1.5254731264555981</v>
      </c>
      <c r="X354">
        <f>MAX(X145:X353)</f>
        <v>1.6196372223953417</v>
      </c>
      <c r="Y354">
        <f>MAX(Y145:Y353)</f>
        <v>1.5564109913867961</v>
      </c>
      <c r="Z354">
        <f>MAX(Z145:Z353)</f>
        <v>1.3201027038619544</v>
      </c>
    </row>
    <row r="355" spans="1:29" x14ac:dyDescent="0.3">
      <c r="A355" s="1">
        <v>0</v>
      </c>
      <c r="B355" t="s">
        <v>4456</v>
      </c>
      <c r="C355" t="s">
        <v>4457</v>
      </c>
      <c r="I355" t="str">
        <f t="shared" si="118"/>
        <v>N/A</v>
      </c>
      <c r="J355" t="str">
        <f t="shared" si="119"/>
        <v>N/A</v>
      </c>
      <c r="K355" t="str">
        <f t="shared" si="120"/>
        <v>N/A</v>
      </c>
      <c r="L355" t="str">
        <f t="shared" si="121"/>
        <v>N/A</v>
      </c>
      <c r="M355" t="str">
        <f t="shared" si="122"/>
        <v>N/A</v>
      </c>
      <c r="N355" t="str">
        <f t="shared" si="123"/>
        <v>N/A</v>
      </c>
      <c r="V355">
        <f>MIN(V145:V353)</f>
        <v>-1.7720147690160892</v>
      </c>
      <c r="W355">
        <f>MIN(W145:W353)</f>
        <v>-1.7243409567945638</v>
      </c>
      <c r="X355">
        <f>MIN(X145:X353)</f>
        <v>-1.7513157999715163</v>
      </c>
      <c r="Y355">
        <f>MIN(Y145:Y353)</f>
        <v>-1.6868684355024457</v>
      </c>
      <c r="Z355">
        <f>MIN(Z145:Z353)</f>
        <v>-1.3836503752133518</v>
      </c>
    </row>
    <row r="356" spans="1:29" x14ac:dyDescent="0.3">
      <c r="A356" s="1">
        <v>1</v>
      </c>
      <c r="B356" t="s">
        <v>4458</v>
      </c>
      <c r="C356" t="s">
        <v>4459</v>
      </c>
      <c r="I356" t="str">
        <f t="shared" si="118"/>
        <v>N/A</v>
      </c>
      <c r="J356" t="str">
        <f t="shared" si="119"/>
        <v>N/A</v>
      </c>
      <c r="K356" t="str">
        <f t="shared" si="120"/>
        <v>N/A</v>
      </c>
      <c r="L356" t="str">
        <f t="shared" si="121"/>
        <v>N/A</v>
      </c>
      <c r="M356" t="str">
        <f t="shared" si="122"/>
        <v>N/A</v>
      </c>
      <c r="N356" t="str">
        <f t="shared" si="123"/>
        <v>N/A</v>
      </c>
      <c r="V356">
        <f>COUNTIF(V145:V353,"&gt;1.5")</f>
        <v>12</v>
      </c>
      <c r="W356">
        <f>COUNTIF(W145:W353,"&gt;1.5")</f>
        <v>1</v>
      </c>
      <c r="X356">
        <f>COUNTIF(X145:X353,"&gt;1.5")</f>
        <v>5</v>
      </c>
      <c r="Y356">
        <f>COUNTIF(Y145:Y353,"&gt;1.5")</f>
        <v>1</v>
      </c>
      <c r="Z356">
        <f>COUNTIF(Z145:Z353,"&gt;1.5")</f>
        <v>0</v>
      </c>
    </row>
    <row r="357" spans="1:29" x14ac:dyDescent="0.3">
      <c r="A357" s="1">
        <v>2</v>
      </c>
      <c r="B357" t="s">
        <v>4460</v>
      </c>
      <c r="C357" t="s">
        <v>4461</v>
      </c>
      <c r="I357" t="str">
        <f t="shared" si="118"/>
        <v>N/A</v>
      </c>
      <c r="J357" t="str">
        <f t="shared" si="119"/>
        <v>N/A</v>
      </c>
      <c r="K357" t="str">
        <f t="shared" si="120"/>
        <v>N/A</v>
      </c>
      <c r="L357" t="str">
        <f t="shared" si="121"/>
        <v>N/A</v>
      </c>
      <c r="M357" t="str">
        <f t="shared" si="122"/>
        <v>N/A</v>
      </c>
      <c r="N357" t="str">
        <f t="shared" si="123"/>
        <v>N/A</v>
      </c>
      <c r="V357">
        <f>COUNTIF(V145:V353,"&lt;-1.5")</f>
        <v>15</v>
      </c>
      <c r="W357">
        <f>COUNTIF(W145:W353,"&lt;-1.5")</f>
        <v>1</v>
      </c>
      <c r="X357">
        <f>COUNTIF(X145:X353,"&lt;-1.5")</f>
        <v>5</v>
      </c>
      <c r="Y357">
        <f>COUNTIF(Y145:Y353,"&lt;-1.5")</f>
        <v>3</v>
      </c>
      <c r="Z357">
        <f>COUNTIF(Z145:Z353,"&lt;-1.5")</f>
        <v>0</v>
      </c>
    </row>
    <row r="358" spans="1:29" x14ac:dyDescent="0.3">
      <c r="A358" s="1">
        <v>3</v>
      </c>
      <c r="B358" t="s">
        <v>2387</v>
      </c>
      <c r="C358" t="s">
        <v>2388</v>
      </c>
      <c r="I358" t="str">
        <f t="shared" si="118"/>
        <v>N/A</v>
      </c>
      <c r="J358" t="str">
        <f t="shared" si="119"/>
        <v>N/A</v>
      </c>
      <c r="K358" t="str">
        <f t="shared" si="120"/>
        <v>N/A</v>
      </c>
      <c r="L358" t="str">
        <f t="shared" si="121"/>
        <v>N/A</v>
      </c>
      <c r="M358" t="str">
        <f t="shared" si="122"/>
        <v>N/A</v>
      </c>
      <c r="N358" t="str">
        <f t="shared" si="123"/>
        <v>N/A</v>
      </c>
      <c r="V358">
        <f>SUM(V356:V357)</f>
        <v>27</v>
      </c>
      <c r="W358">
        <f>SUM(W356:W357)</f>
        <v>2</v>
      </c>
      <c r="X358">
        <f>SUM(X356:X357)</f>
        <v>10</v>
      </c>
      <c r="Y358">
        <f>SUM(Y356:Y357)</f>
        <v>4</v>
      </c>
      <c r="Z358">
        <f>SUM(Z356:Z357)</f>
        <v>0</v>
      </c>
    </row>
    <row r="359" spans="1:29" x14ac:dyDescent="0.3">
      <c r="A359" s="1">
        <v>4</v>
      </c>
      <c r="B359" t="s">
        <v>4462</v>
      </c>
      <c r="C359" t="s">
        <v>4463</v>
      </c>
      <c r="I359" t="str">
        <f t="shared" si="118"/>
        <v>N/A</v>
      </c>
      <c r="J359" t="str">
        <f t="shared" si="119"/>
        <v>N/A</v>
      </c>
      <c r="K359" t="str">
        <f t="shared" si="120"/>
        <v>N/A</v>
      </c>
      <c r="L359" t="str">
        <f t="shared" si="121"/>
        <v>N/A</v>
      </c>
      <c r="M359" t="str">
        <f t="shared" si="122"/>
        <v>N/A</v>
      </c>
      <c r="N359" t="str">
        <f t="shared" si="123"/>
        <v>N/A</v>
      </c>
    </row>
    <row r="360" spans="1:29" x14ac:dyDescent="0.3">
      <c r="A360" s="1">
        <v>5</v>
      </c>
      <c r="B360" t="s">
        <v>4464</v>
      </c>
      <c r="C360" t="s">
        <v>4465</v>
      </c>
      <c r="I360" t="str">
        <f t="shared" si="118"/>
        <v>N/A</v>
      </c>
      <c r="J360" t="str">
        <f t="shared" si="119"/>
        <v>N/A</v>
      </c>
      <c r="K360" t="str">
        <f t="shared" si="120"/>
        <v>N/A</v>
      </c>
      <c r="L360" t="str">
        <f t="shared" si="121"/>
        <v>N/A</v>
      </c>
      <c r="M360" t="str">
        <f t="shared" si="122"/>
        <v>N/A</v>
      </c>
      <c r="N360" t="str">
        <f t="shared" si="123"/>
        <v>N/A</v>
      </c>
      <c r="V360" t="str">
        <f>"Most Variable Year"</f>
        <v>Most Variable Year</v>
      </c>
      <c r="X360">
        <f>V144+MATCH(MAX(V358:Z358),V358:Z358,0)-1</f>
        <v>2012</v>
      </c>
    </row>
    <row r="361" spans="1:29" x14ac:dyDescent="0.3">
      <c r="I361" t="str">
        <f t="shared" ref="I361:I392" si="142">IF(AND(K361&gt; J361, L361&gt; K361, M361&gt; L361, N361&gt; M361), "pos_trend", IF(AND(K361&lt; J361, L361&lt; K361, M361&lt; L361, N361&lt; M361), "neg_trend", "N/A"))</f>
        <v>N/A</v>
      </c>
      <c r="J361" t="str">
        <f t="shared" ref="J361:J392" si="143">IFERROR(IF(TRIM(C361)="-", "N/A", IF(RIGHT(C361,1)=")",IF(RIGHT(C361,2)="T)",-1000000000000*VALUE(MID(C361,2,LEN(C361)-3)),IF(RIGHT(C361,2)="M)",-1000000*VALUE(MID(C361,2,LEN(C361)-3)),IF(RIGHT(C361,2)="B)",-1000000000*VALUE(MID(C361,2,LEN(C361)-3)),IF(RIGHT(C361,2)="k)",-1000*VALUE(MID(C361,2,LEN(C361)-3)),VALUE(SUBSTITUTE(C361,",","")))))),IF(RIGHT(C361,1)="T",1000000000000*VALUE(LEFT(C361,LEN(C361)-1)),IF(RIGHT(C361,1)="M",1000000*VALUE(LEFT(C361,LEN(C361)-1)),IF(RIGHT(C361,1)="B",1000000000*VALUE(LEFT(C361,LEN(C361)-1)),IF(RIGHT(C361,1)="%",0.01*VALUE(LEFT(C361,LEN(C361)-1)),IF(RIGHT(C361,1)="k",1000*VALUE(LEFT(C361,LEN(C361)-1)),VALUE(SUBSTITUTE(C361,",",""))))))))),"N/A")</f>
        <v>N/A</v>
      </c>
      <c r="K361" t="str">
        <f t="shared" ref="K361:K392" si="144">IFERROR(IF(TRIM(D361)="-", "N/A", IF(RIGHT(D361,1)=")",IF(RIGHT(D361,2)="T)",-1000000000000*VALUE(MID(D361,2,LEN(D361)-3)),IF(RIGHT(D361,2)="M)",-1000000*VALUE(MID(D361,2,LEN(D361)-3)),IF(RIGHT(D361,2)="B)",-1000000000*VALUE(MID(D361,2,LEN(D361)-3)),IF(RIGHT(D361,2)="k)",-1000*VALUE(MID(D361,2,LEN(D361)-3)),VALUE(SUBSTITUTE(D361,",","")))))),IF(RIGHT(D361,1)="T",1000000000000*VALUE(LEFT(D361,LEN(D361)-1)),IF(RIGHT(D361,1)="M",1000000*VALUE(LEFT(D361,LEN(D361)-1)),IF(RIGHT(D361,1)="B",1000000000*VALUE(LEFT(D361,LEN(D361)-1)),IF(RIGHT(D361,1)="%",0.01*VALUE(LEFT(D361,LEN(D361)-1)),IF(RIGHT(D361,1)="k",1000*VALUE(LEFT(D361,LEN(D361)-1)),VALUE(SUBSTITUTE(D361,",",""))))))))),"N/A")</f>
        <v>N/A</v>
      </c>
      <c r="L361" t="str">
        <f t="shared" ref="L361:L392" si="145">IFERROR(IF(TRIM(E361)="-", "N/A", IF(RIGHT(E361,1)=")",IF(RIGHT(E361,2)="T)",-1000000000000*VALUE(MID(E361,2,LEN(E361)-3)),IF(RIGHT(E361,2)="M)",-1000000*VALUE(MID(E361,2,LEN(E361)-3)),IF(RIGHT(E361,2)="B)",-1000000000*VALUE(MID(E361,2,LEN(E361)-3)),IF(RIGHT(E361,2)="k)",-1000*VALUE(MID(E361,2,LEN(E361)-3)),VALUE(SUBSTITUTE(E361,",","")))))),IF(RIGHT(E361,1)="T",1000000000000*VALUE(LEFT(E361,LEN(E361)-1)),IF(RIGHT(E361,1)="M",1000000*VALUE(LEFT(E361,LEN(E361)-1)),IF(RIGHT(E361,1)="B",1000000000*VALUE(LEFT(E361,LEN(E361)-1)),IF(RIGHT(E361,1)="%",0.01*VALUE(LEFT(E361,LEN(E361)-1)),IF(RIGHT(E361,1)="k",1000*VALUE(LEFT(E361,LEN(E361)-1)),VALUE(SUBSTITUTE(E361,",",""))))))))),"N/A")</f>
        <v>N/A</v>
      </c>
      <c r="M361" t="str">
        <f t="shared" ref="M361:M392" si="146">IFERROR(IF(TRIM(F361)="-", "N/A", IF(RIGHT(F361,1)=")",IF(RIGHT(F361,2)="T)",-1000000000000*VALUE(MID(F361,2,LEN(F361)-3)),IF(RIGHT(F361,2)="M)",-1000000*VALUE(MID(F361,2,LEN(F361)-3)),IF(RIGHT(F361,2)="B)",-1000000000*VALUE(MID(F361,2,LEN(F361)-3)),IF(RIGHT(F361,2)="k)",-1000*VALUE(MID(F361,2,LEN(F361)-3)),VALUE(SUBSTITUTE(F361,",","")))))),IF(RIGHT(F361,1)="T",1000000000000*VALUE(LEFT(F361,LEN(F361)-1)),IF(RIGHT(F361,1)="M",1000000*VALUE(LEFT(F361,LEN(F361)-1)),IF(RIGHT(F361,1)="B",1000000000*VALUE(LEFT(F361,LEN(F361)-1)),IF(RIGHT(F361,1)="%",0.01*VALUE(LEFT(F361,LEN(F361)-1)),IF(RIGHT(F361,1)="k",1000*VALUE(LEFT(F361,LEN(F361)-1)),VALUE(SUBSTITUTE(F361,",",""))))))))),"N/A")</f>
        <v>N/A</v>
      </c>
      <c r="N361" t="str">
        <f t="shared" ref="N361:N392" si="147">IFERROR(IF(TRIM(G361)="-", "N/A", IF(RIGHT(G361,1)=")",IF(RIGHT(G361,2)="T)",-1000000000000*VALUE(MID(G361,2,LEN(G361)-3)),IF(RIGHT(G361,2)="M)",-1000000*VALUE(MID(G361,2,LEN(G361)-3)),IF(RIGHT(G361,2)="B)",-1000000000*VALUE(MID(G361,2,LEN(G361)-3)),IF(RIGHT(G361,2)="k)",-1000*VALUE(MID(G361,2,LEN(G361)-3)),VALUE(SUBSTITUTE(G361,",","")))))),IF(RIGHT(G361,1)="T",1000000000000*VALUE(LEFT(G361,LEN(G361)-1)),IF(RIGHT(G361,1)="M",1000000*VALUE(LEFT(G361,LEN(G361)-1)),IF(RIGHT(G361,1)="B",1000000000*VALUE(LEFT(G361,LEN(G361)-1)),IF(RIGHT(G361,1)="%",0.01*VALUE(LEFT(G361,LEN(G361)-1)),IF(RIGHT(G361,1)="k",1000*VALUE(LEFT(G361,LEN(G361)-1)),VALUE(SUBSTITUTE(G361,",",""))))))))),"N/A")</f>
        <v>N/A</v>
      </c>
    </row>
    <row r="362" spans="1:29" x14ac:dyDescent="0.3">
      <c r="I362" t="str">
        <f t="shared" si="142"/>
        <v>N/A</v>
      </c>
      <c r="J362" t="str">
        <f t="shared" si="143"/>
        <v>N/A</v>
      </c>
      <c r="K362" t="str">
        <f t="shared" si="144"/>
        <v>N/A</v>
      </c>
      <c r="L362" t="str">
        <f t="shared" si="145"/>
        <v>N/A</v>
      </c>
      <c r="M362" t="str">
        <f t="shared" si="146"/>
        <v>N/A</v>
      </c>
      <c r="N362" t="str">
        <f t="shared" si="147"/>
        <v>N/A</v>
      </c>
    </row>
    <row r="363" spans="1:29" x14ac:dyDescent="0.3">
      <c r="A363" s="1">
        <v>0</v>
      </c>
      <c r="B363" t="s">
        <v>123</v>
      </c>
      <c r="C363" t="s">
        <v>4466</v>
      </c>
      <c r="I363" t="str">
        <f t="shared" si="142"/>
        <v>N/A</v>
      </c>
      <c r="J363">
        <f t="shared" si="143"/>
        <v>6060000000</v>
      </c>
      <c r="K363" t="str">
        <f t="shared" si="144"/>
        <v>N/A</v>
      </c>
      <c r="L363" t="str">
        <f t="shared" si="145"/>
        <v>N/A</v>
      </c>
      <c r="M363" t="str">
        <f t="shared" si="146"/>
        <v>N/A</v>
      </c>
      <c r="N363" t="str">
        <f t="shared" si="147"/>
        <v>N/A</v>
      </c>
    </row>
    <row r="364" spans="1:29" x14ac:dyDescent="0.3">
      <c r="A364" s="1">
        <v>1</v>
      </c>
      <c r="B364" t="s">
        <v>124</v>
      </c>
      <c r="I364" t="str">
        <f t="shared" si="142"/>
        <v>N/A</v>
      </c>
      <c r="J364" t="str">
        <f t="shared" si="143"/>
        <v>N/A</v>
      </c>
      <c r="K364" t="str">
        <f t="shared" si="144"/>
        <v>N/A</v>
      </c>
      <c r="L364" t="str">
        <f t="shared" si="145"/>
        <v>N/A</v>
      </c>
      <c r="M364" t="str">
        <f t="shared" si="146"/>
        <v>N/A</v>
      </c>
      <c r="N364" t="str">
        <f t="shared" si="147"/>
        <v>N/A</v>
      </c>
    </row>
    <row r="365" spans="1:29" x14ac:dyDescent="0.3">
      <c r="A365" s="1">
        <v>2</v>
      </c>
      <c r="B365" t="s">
        <v>125</v>
      </c>
      <c r="C365" t="s">
        <v>4467</v>
      </c>
      <c r="I365" t="str">
        <f t="shared" si="142"/>
        <v>N/A</v>
      </c>
      <c r="J365">
        <f t="shared" si="143"/>
        <v>49.85</v>
      </c>
      <c r="K365" t="str">
        <f t="shared" si="144"/>
        <v>N/A</v>
      </c>
      <c r="L365" t="str">
        <f t="shared" si="145"/>
        <v>N/A</v>
      </c>
      <c r="M365" t="str">
        <f t="shared" si="146"/>
        <v>N/A</v>
      </c>
      <c r="N365" t="str">
        <f t="shared" si="147"/>
        <v>N/A</v>
      </c>
    </row>
    <row r="366" spans="1:29" x14ac:dyDescent="0.3">
      <c r="A366" s="1">
        <v>3</v>
      </c>
      <c r="B366" t="s">
        <v>126</v>
      </c>
      <c r="C366" t="s">
        <v>4468</v>
      </c>
      <c r="I366" t="str">
        <f t="shared" si="142"/>
        <v>N/A</v>
      </c>
      <c r="J366">
        <f t="shared" si="143"/>
        <v>20.51</v>
      </c>
      <c r="K366" t="str">
        <f t="shared" si="144"/>
        <v>N/A</v>
      </c>
      <c r="L366" t="str">
        <f t="shared" si="145"/>
        <v>N/A</v>
      </c>
      <c r="M366" t="str">
        <f t="shared" si="146"/>
        <v>N/A</v>
      </c>
      <c r="N366" t="str">
        <f t="shared" si="147"/>
        <v>N/A</v>
      </c>
    </row>
    <row r="367" spans="1:29" x14ac:dyDescent="0.3">
      <c r="A367" s="1">
        <v>4</v>
      </c>
      <c r="B367" t="s">
        <v>128</v>
      </c>
      <c r="C367" t="s">
        <v>4469</v>
      </c>
      <c r="I367" t="str">
        <f t="shared" si="142"/>
        <v>N/A</v>
      </c>
      <c r="J367">
        <f t="shared" si="143"/>
        <v>1.72</v>
      </c>
      <c r="K367" t="str">
        <f t="shared" si="144"/>
        <v>N/A</v>
      </c>
      <c r="L367" t="str">
        <f t="shared" si="145"/>
        <v>N/A</v>
      </c>
      <c r="M367" t="str">
        <f t="shared" si="146"/>
        <v>N/A</v>
      </c>
      <c r="N367" t="str">
        <f t="shared" si="147"/>
        <v>N/A</v>
      </c>
    </row>
    <row r="368" spans="1:29" x14ac:dyDescent="0.3">
      <c r="A368" s="1">
        <v>5</v>
      </c>
      <c r="B368" t="s">
        <v>130</v>
      </c>
      <c r="C368" t="s">
        <v>1077</v>
      </c>
      <c r="I368" t="str">
        <f t="shared" si="142"/>
        <v>N/A</v>
      </c>
      <c r="J368">
        <f t="shared" si="143"/>
        <v>1.55</v>
      </c>
      <c r="K368" t="str">
        <f t="shared" si="144"/>
        <v>N/A</v>
      </c>
      <c r="L368" t="str">
        <f t="shared" si="145"/>
        <v>N/A</v>
      </c>
      <c r="M368" t="str">
        <f t="shared" si="146"/>
        <v>N/A</v>
      </c>
      <c r="N368" t="str">
        <f t="shared" si="147"/>
        <v>N/A</v>
      </c>
    </row>
    <row r="369" spans="1:14" x14ac:dyDescent="0.3">
      <c r="A369" s="1">
        <v>6</v>
      </c>
      <c r="B369" t="s">
        <v>132</v>
      </c>
      <c r="C369" t="s">
        <v>4470</v>
      </c>
      <c r="I369" t="str">
        <f t="shared" si="142"/>
        <v>N/A</v>
      </c>
      <c r="J369">
        <f t="shared" si="143"/>
        <v>3.59</v>
      </c>
      <c r="K369" t="str">
        <f t="shared" si="144"/>
        <v>N/A</v>
      </c>
      <c r="L369" t="str">
        <f t="shared" si="145"/>
        <v>N/A</v>
      </c>
      <c r="M369" t="str">
        <f t="shared" si="146"/>
        <v>N/A</v>
      </c>
      <c r="N369" t="str">
        <f t="shared" si="147"/>
        <v>N/A</v>
      </c>
    </row>
    <row r="370" spans="1:14" x14ac:dyDescent="0.3">
      <c r="A370" s="1">
        <v>7</v>
      </c>
      <c r="B370" t="s">
        <v>134</v>
      </c>
      <c r="I370" t="str">
        <f t="shared" si="142"/>
        <v>N/A</v>
      </c>
      <c r="J370" t="str">
        <f t="shared" si="143"/>
        <v>N/A</v>
      </c>
      <c r="K370" t="str">
        <f t="shared" si="144"/>
        <v>N/A</v>
      </c>
      <c r="L370" t="str">
        <f t="shared" si="145"/>
        <v>N/A</v>
      </c>
      <c r="M370" t="str">
        <f t="shared" si="146"/>
        <v>N/A</v>
      </c>
      <c r="N370" t="str">
        <f t="shared" si="147"/>
        <v>N/A</v>
      </c>
    </row>
    <row r="371" spans="1:14" x14ac:dyDescent="0.3">
      <c r="A371" s="1">
        <v>8</v>
      </c>
      <c r="B371" t="s">
        <v>135</v>
      </c>
      <c r="I371" t="str">
        <f t="shared" si="142"/>
        <v>N/A</v>
      </c>
      <c r="J371" t="str">
        <f t="shared" si="143"/>
        <v>N/A</v>
      </c>
      <c r="K371" t="str">
        <f t="shared" si="144"/>
        <v>N/A</v>
      </c>
      <c r="L371" t="str">
        <f t="shared" si="145"/>
        <v>N/A</v>
      </c>
      <c r="M371" t="str">
        <f t="shared" si="146"/>
        <v>N/A</v>
      </c>
      <c r="N371" t="str">
        <f t="shared" si="147"/>
        <v>N/A</v>
      </c>
    </row>
    <row r="372" spans="1:14" x14ac:dyDescent="0.3">
      <c r="I372" t="str">
        <f t="shared" si="142"/>
        <v>N/A</v>
      </c>
      <c r="J372" t="str">
        <f t="shared" si="143"/>
        <v>N/A</v>
      </c>
      <c r="K372" t="str">
        <f t="shared" si="144"/>
        <v>N/A</v>
      </c>
      <c r="L372" t="str">
        <f t="shared" si="145"/>
        <v>N/A</v>
      </c>
      <c r="M372" t="str">
        <f t="shared" si="146"/>
        <v>N/A</v>
      </c>
      <c r="N372" t="str">
        <f t="shared" si="147"/>
        <v>N/A</v>
      </c>
    </row>
    <row r="373" spans="1:14" x14ac:dyDescent="0.3">
      <c r="I373" t="str">
        <f t="shared" si="142"/>
        <v>N/A</v>
      </c>
      <c r="J373" t="str">
        <f t="shared" si="143"/>
        <v>N/A</v>
      </c>
      <c r="K373" t="str">
        <f t="shared" si="144"/>
        <v>N/A</v>
      </c>
      <c r="L373" t="str">
        <f t="shared" si="145"/>
        <v>N/A</v>
      </c>
      <c r="M373" t="str">
        <f t="shared" si="146"/>
        <v>N/A</v>
      </c>
      <c r="N373" t="str">
        <f t="shared" si="147"/>
        <v>N/A</v>
      </c>
    </row>
    <row r="374" spans="1:14" x14ac:dyDescent="0.3">
      <c r="A374" s="1">
        <v>0</v>
      </c>
      <c r="B374" t="s">
        <v>123</v>
      </c>
      <c r="C374" t="s">
        <v>4471</v>
      </c>
      <c r="I374" t="str">
        <f t="shared" si="142"/>
        <v>N/A</v>
      </c>
      <c r="J374">
        <f t="shared" si="143"/>
        <v>6410000000</v>
      </c>
      <c r="K374" t="str">
        <f t="shared" si="144"/>
        <v>N/A</v>
      </c>
      <c r="L374" t="str">
        <f t="shared" si="145"/>
        <v>N/A</v>
      </c>
      <c r="M374" t="str">
        <f t="shared" si="146"/>
        <v>N/A</v>
      </c>
      <c r="N374" t="str">
        <f t="shared" si="147"/>
        <v>N/A</v>
      </c>
    </row>
    <row r="375" spans="1:14" x14ac:dyDescent="0.3">
      <c r="A375" s="1">
        <v>1</v>
      </c>
      <c r="B375" t="s">
        <v>124</v>
      </c>
      <c r="I375" t="str">
        <f t="shared" si="142"/>
        <v>N/A</v>
      </c>
      <c r="J375" t="str">
        <f t="shared" si="143"/>
        <v>N/A</v>
      </c>
      <c r="K375" t="str">
        <f t="shared" si="144"/>
        <v>N/A</v>
      </c>
      <c r="L375" t="str">
        <f t="shared" si="145"/>
        <v>N/A</v>
      </c>
      <c r="M375" t="str">
        <f t="shared" si="146"/>
        <v>N/A</v>
      </c>
      <c r="N375" t="str">
        <f t="shared" si="147"/>
        <v>N/A</v>
      </c>
    </row>
    <row r="376" spans="1:14" x14ac:dyDescent="0.3">
      <c r="A376" s="1">
        <v>2</v>
      </c>
      <c r="B376" t="s">
        <v>125</v>
      </c>
      <c r="C376" t="s">
        <v>4472</v>
      </c>
      <c r="I376" t="str">
        <f t="shared" si="142"/>
        <v>N/A</v>
      </c>
      <c r="J376">
        <f t="shared" si="143"/>
        <v>107.64</v>
      </c>
      <c r="K376" t="str">
        <f t="shared" si="144"/>
        <v>N/A</v>
      </c>
      <c r="L376" t="str">
        <f t="shared" si="145"/>
        <v>N/A</v>
      </c>
      <c r="M376" t="str">
        <f t="shared" si="146"/>
        <v>N/A</v>
      </c>
      <c r="N376" t="str">
        <f t="shared" si="147"/>
        <v>N/A</v>
      </c>
    </row>
    <row r="377" spans="1:14" x14ac:dyDescent="0.3">
      <c r="A377" s="1">
        <v>3</v>
      </c>
      <c r="B377" t="s">
        <v>126</v>
      </c>
      <c r="C377" t="s">
        <v>4473</v>
      </c>
      <c r="I377" t="str">
        <f t="shared" si="142"/>
        <v>N/A</v>
      </c>
      <c r="J377">
        <f t="shared" si="143"/>
        <v>25.87</v>
      </c>
      <c r="K377" t="str">
        <f t="shared" si="144"/>
        <v>N/A</v>
      </c>
      <c r="L377" t="str">
        <f t="shared" si="145"/>
        <v>N/A</v>
      </c>
      <c r="M377" t="str">
        <f t="shared" si="146"/>
        <v>N/A</v>
      </c>
      <c r="N377" t="str">
        <f t="shared" si="147"/>
        <v>N/A</v>
      </c>
    </row>
    <row r="378" spans="1:14" x14ac:dyDescent="0.3">
      <c r="A378" s="1">
        <v>4</v>
      </c>
      <c r="B378" t="s">
        <v>128</v>
      </c>
      <c r="C378" t="s">
        <v>4474</v>
      </c>
      <c r="I378" t="str">
        <f t="shared" si="142"/>
        <v>N/A</v>
      </c>
      <c r="J378">
        <f t="shared" si="143"/>
        <v>2.37</v>
      </c>
      <c r="K378" t="str">
        <f t="shared" si="144"/>
        <v>N/A</v>
      </c>
      <c r="L378" t="str">
        <f t="shared" si="145"/>
        <v>N/A</v>
      </c>
      <c r="M378" t="str">
        <f t="shared" si="146"/>
        <v>N/A</v>
      </c>
      <c r="N378" t="str">
        <f t="shared" si="147"/>
        <v>N/A</v>
      </c>
    </row>
    <row r="379" spans="1:14" x14ac:dyDescent="0.3">
      <c r="A379" s="1">
        <v>5</v>
      </c>
      <c r="B379" t="s">
        <v>130</v>
      </c>
      <c r="C379" t="s">
        <v>4475</v>
      </c>
      <c r="I379" t="str">
        <f t="shared" si="142"/>
        <v>N/A</v>
      </c>
      <c r="J379">
        <f t="shared" si="143"/>
        <v>4.7</v>
      </c>
      <c r="K379" t="str">
        <f t="shared" si="144"/>
        <v>N/A</v>
      </c>
      <c r="L379" t="str">
        <f t="shared" si="145"/>
        <v>N/A</v>
      </c>
      <c r="M379" t="str">
        <f t="shared" si="146"/>
        <v>N/A</v>
      </c>
      <c r="N379" t="str">
        <f t="shared" si="147"/>
        <v>N/A</v>
      </c>
    </row>
    <row r="380" spans="1:14" x14ac:dyDescent="0.3">
      <c r="A380" s="1">
        <v>6</v>
      </c>
      <c r="B380" t="s">
        <v>132</v>
      </c>
      <c r="C380" t="s">
        <v>4476</v>
      </c>
      <c r="I380" t="str">
        <f t="shared" si="142"/>
        <v>N/A</v>
      </c>
      <c r="J380">
        <f t="shared" si="143"/>
        <v>11.3</v>
      </c>
      <c r="K380" t="str">
        <f t="shared" si="144"/>
        <v>N/A</v>
      </c>
      <c r="L380" t="str">
        <f t="shared" si="145"/>
        <v>N/A</v>
      </c>
      <c r="M380" t="str">
        <f t="shared" si="146"/>
        <v>N/A</v>
      </c>
      <c r="N380" t="str">
        <f t="shared" si="147"/>
        <v>N/A</v>
      </c>
    </row>
    <row r="381" spans="1:14" x14ac:dyDescent="0.3">
      <c r="A381" s="1">
        <v>7</v>
      </c>
      <c r="B381" t="s">
        <v>134</v>
      </c>
      <c r="I381" t="str">
        <f t="shared" si="142"/>
        <v>N/A</v>
      </c>
      <c r="J381" t="str">
        <f t="shared" si="143"/>
        <v>N/A</v>
      </c>
      <c r="K381" t="str">
        <f t="shared" si="144"/>
        <v>N/A</v>
      </c>
      <c r="L381" t="str">
        <f t="shared" si="145"/>
        <v>N/A</v>
      </c>
      <c r="M381" t="str">
        <f t="shared" si="146"/>
        <v>N/A</v>
      </c>
      <c r="N381" t="str">
        <f t="shared" si="147"/>
        <v>N/A</v>
      </c>
    </row>
    <row r="382" spans="1:14" x14ac:dyDescent="0.3">
      <c r="A382" s="1">
        <v>8</v>
      </c>
      <c r="B382" t="s">
        <v>135</v>
      </c>
      <c r="I382" t="str">
        <f t="shared" si="142"/>
        <v>N/A</v>
      </c>
      <c r="J382" t="str">
        <f t="shared" si="143"/>
        <v>N/A</v>
      </c>
      <c r="K382" t="str">
        <f t="shared" si="144"/>
        <v>N/A</v>
      </c>
      <c r="L382" t="str">
        <f t="shared" si="145"/>
        <v>N/A</v>
      </c>
      <c r="M382" t="str">
        <f t="shared" si="146"/>
        <v>N/A</v>
      </c>
      <c r="N382" t="str">
        <f t="shared" si="147"/>
        <v>N/A</v>
      </c>
    </row>
    <row r="383" spans="1:14" x14ac:dyDescent="0.3">
      <c r="I383" t="str">
        <f t="shared" si="142"/>
        <v>N/A</v>
      </c>
      <c r="J383" t="str">
        <f t="shared" si="143"/>
        <v>N/A</v>
      </c>
      <c r="K383" t="str">
        <f t="shared" si="144"/>
        <v>N/A</v>
      </c>
      <c r="L383" t="str">
        <f t="shared" si="145"/>
        <v>N/A</v>
      </c>
      <c r="M383" t="str">
        <f t="shared" si="146"/>
        <v>N/A</v>
      </c>
      <c r="N383" t="str">
        <f t="shared" si="147"/>
        <v>N/A</v>
      </c>
    </row>
    <row r="384" spans="1:14" x14ac:dyDescent="0.3">
      <c r="I384" t="str">
        <f t="shared" si="142"/>
        <v>N/A</v>
      </c>
      <c r="J384" t="str">
        <f t="shared" si="143"/>
        <v>N/A</v>
      </c>
      <c r="K384" t="str">
        <f t="shared" si="144"/>
        <v>N/A</v>
      </c>
      <c r="L384" t="str">
        <f t="shared" si="145"/>
        <v>N/A</v>
      </c>
      <c r="M384" t="str">
        <f t="shared" si="146"/>
        <v>N/A</v>
      </c>
      <c r="N384" t="str">
        <f t="shared" si="147"/>
        <v>N/A</v>
      </c>
    </row>
    <row r="385" spans="1:14" x14ac:dyDescent="0.3">
      <c r="A385" s="1">
        <v>0</v>
      </c>
      <c r="B385" t="s">
        <v>123</v>
      </c>
      <c r="C385" t="s">
        <v>4477</v>
      </c>
      <c r="I385" t="str">
        <f t="shared" si="142"/>
        <v>N/A</v>
      </c>
      <c r="J385">
        <f t="shared" si="143"/>
        <v>8820000000</v>
      </c>
      <c r="K385" t="str">
        <f t="shared" si="144"/>
        <v>N/A</v>
      </c>
      <c r="L385" t="str">
        <f t="shared" si="145"/>
        <v>N/A</v>
      </c>
      <c r="M385" t="str">
        <f t="shared" si="146"/>
        <v>N/A</v>
      </c>
      <c r="N385" t="str">
        <f t="shared" si="147"/>
        <v>N/A</v>
      </c>
    </row>
    <row r="386" spans="1:14" x14ac:dyDescent="0.3">
      <c r="A386" s="1">
        <v>1</v>
      </c>
      <c r="B386" t="s">
        <v>124</v>
      </c>
      <c r="I386" t="str">
        <f t="shared" si="142"/>
        <v>N/A</v>
      </c>
      <c r="J386" t="str">
        <f t="shared" si="143"/>
        <v>N/A</v>
      </c>
      <c r="K386" t="str">
        <f t="shared" si="144"/>
        <v>N/A</v>
      </c>
      <c r="L386" t="str">
        <f t="shared" si="145"/>
        <v>N/A</v>
      </c>
      <c r="M386" t="str">
        <f t="shared" si="146"/>
        <v>N/A</v>
      </c>
      <c r="N386" t="str">
        <f t="shared" si="147"/>
        <v>N/A</v>
      </c>
    </row>
    <row r="387" spans="1:14" x14ac:dyDescent="0.3">
      <c r="A387" s="1">
        <v>2</v>
      </c>
      <c r="B387" t="s">
        <v>125</v>
      </c>
      <c r="C387" t="s">
        <v>4478</v>
      </c>
      <c r="I387" t="str">
        <f t="shared" si="142"/>
        <v>N/A</v>
      </c>
      <c r="J387">
        <f t="shared" si="143"/>
        <v>31.83</v>
      </c>
      <c r="K387" t="str">
        <f t="shared" si="144"/>
        <v>N/A</v>
      </c>
      <c r="L387" t="str">
        <f t="shared" si="145"/>
        <v>N/A</v>
      </c>
      <c r="M387" t="str">
        <f t="shared" si="146"/>
        <v>N/A</v>
      </c>
      <c r="N387" t="str">
        <f t="shared" si="147"/>
        <v>N/A</v>
      </c>
    </row>
    <row r="388" spans="1:14" x14ac:dyDescent="0.3">
      <c r="A388" s="1">
        <v>3</v>
      </c>
      <c r="B388" t="s">
        <v>126</v>
      </c>
      <c r="C388" t="s">
        <v>4479</v>
      </c>
      <c r="I388" t="str">
        <f t="shared" si="142"/>
        <v>N/A</v>
      </c>
      <c r="J388">
        <f t="shared" si="143"/>
        <v>25.51</v>
      </c>
      <c r="K388" t="str">
        <f t="shared" si="144"/>
        <v>N/A</v>
      </c>
      <c r="L388" t="str">
        <f t="shared" si="145"/>
        <v>N/A</v>
      </c>
      <c r="M388" t="str">
        <f t="shared" si="146"/>
        <v>N/A</v>
      </c>
      <c r="N388" t="str">
        <f t="shared" si="147"/>
        <v>N/A</v>
      </c>
    </row>
    <row r="389" spans="1:14" x14ac:dyDescent="0.3">
      <c r="A389" s="1">
        <v>4</v>
      </c>
      <c r="B389" t="s">
        <v>128</v>
      </c>
      <c r="C389" t="s">
        <v>427</v>
      </c>
      <c r="I389" t="str">
        <f t="shared" si="142"/>
        <v>N/A</v>
      </c>
      <c r="J389">
        <f t="shared" si="143"/>
        <v>1.87</v>
      </c>
      <c r="K389" t="str">
        <f t="shared" si="144"/>
        <v>N/A</v>
      </c>
      <c r="L389" t="str">
        <f t="shared" si="145"/>
        <v>N/A</v>
      </c>
      <c r="M389" t="str">
        <f t="shared" si="146"/>
        <v>N/A</v>
      </c>
      <c r="N389" t="str">
        <f t="shared" si="147"/>
        <v>N/A</v>
      </c>
    </row>
    <row r="390" spans="1:14" x14ac:dyDescent="0.3">
      <c r="A390" s="1">
        <v>5</v>
      </c>
      <c r="B390" t="s">
        <v>130</v>
      </c>
      <c r="C390" t="s">
        <v>4480</v>
      </c>
      <c r="I390" t="str">
        <f t="shared" si="142"/>
        <v>N/A</v>
      </c>
      <c r="J390">
        <f t="shared" si="143"/>
        <v>4.07</v>
      </c>
      <c r="K390" t="str">
        <f t="shared" si="144"/>
        <v>N/A</v>
      </c>
      <c r="L390" t="str">
        <f t="shared" si="145"/>
        <v>N/A</v>
      </c>
      <c r="M390" t="str">
        <f t="shared" si="146"/>
        <v>N/A</v>
      </c>
      <c r="N390" t="str">
        <f t="shared" si="147"/>
        <v>N/A</v>
      </c>
    </row>
    <row r="391" spans="1:14" x14ac:dyDescent="0.3">
      <c r="A391" s="1">
        <v>6</v>
      </c>
      <c r="B391" t="s">
        <v>132</v>
      </c>
      <c r="C391" t="s">
        <v>1059</v>
      </c>
      <c r="I391" t="str">
        <f t="shared" si="142"/>
        <v>N/A</v>
      </c>
      <c r="J391">
        <f t="shared" si="143"/>
        <v>5.39</v>
      </c>
      <c r="K391" t="str">
        <f t="shared" si="144"/>
        <v>N/A</v>
      </c>
      <c r="L391" t="str">
        <f t="shared" si="145"/>
        <v>N/A</v>
      </c>
      <c r="M391" t="str">
        <f t="shared" si="146"/>
        <v>N/A</v>
      </c>
      <c r="N391" t="str">
        <f t="shared" si="147"/>
        <v>N/A</v>
      </c>
    </row>
    <row r="392" spans="1:14" x14ac:dyDescent="0.3">
      <c r="A392" s="1">
        <v>7</v>
      </c>
      <c r="B392" t="s">
        <v>134</v>
      </c>
      <c r="I392" t="str">
        <f t="shared" si="142"/>
        <v>N/A</v>
      </c>
      <c r="J392" t="str">
        <f t="shared" si="143"/>
        <v>N/A</v>
      </c>
      <c r="K392" t="str">
        <f t="shared" si="144"/>
        <v>N/A</v>
      </c>
      <c r="L392" t="str">
        <f t="shared" si="145"/>
        <v>N/A</v>
      </c>
      <c r="M392" t="str">
        <f t="shared" si="146"/>
        <v>N/A</v>
      </c>
      <c r="N392" t="str">
        <f t="shared" si="147"/>
        <v>N/A</v>
      </c>
    </row>
    <row r="393" spans="1:14" x14ac:dyDescent="0.3">
      <c r="A393" s="1">
        <v>8</v>
      </c>
      <c r="B393" t="s">
        <v>135</v>
      </c>
      <c r="I393" t="str">
        <f t="shared" ref="I393:I424" si="148">IF(AND(K393&gt; J393, L393&gt; K393, M393&gt; L393, N393&gt; M393), "pos_trend", IF(AND(K393&lt; J393, L393&lt; K393, M393&lt; L393, N393&lt; M393), "neg_trend", "N/A"))</f>
        <v>N/A</v>
      </c>
      <c r="J393" t="str">
        <f t="shared" ref="J393:J399" si="149">IFERROR(IF(TRIM(C393)="-", "N/A", IF(RIGHT(C393,1)=")",IF(RIGHT(C393,2)="T)",-1000000000000*VALUE(MID(C393,2,LEN(C393)-3)),IF(RIGHT(C393,2)="M)",-1000000*VALUE(MID(C393,2,LEN(C393)-3)),IF(RIGHT(C393,2)="B)",-1000000000*VALUE(MID(C393,2,LEN(C393)-3)),IF(RIGHT(C393,2)="k)",-1000*VALUE(MID(C393,2,LEN(C393)-3)),VALUE(SUBSTITUTE(C393,",","")))))),IF(RIGHT(C393,1)="T",1000000000000*VALUE(LEFT(C393,LEN(C393)-1)),IF(RIGHT(C393,1)="M",1000000*VALUE(LEFT(C393,LEN(C393)-1)),IF(RIGHT(C393,1)="B",1000000000*VALUE(LEFT(C393,LEN(C393)-1)),IF(RIGHT(C393,1)="%",0.01*VALUE(LEFT(C393,LEN(C393)-1)),IF(RIGHT(C393,1)="k",1000*VALUE(LEFT(C393,LEN(C393)-1)),VALUE(SUBSTITUTE(C393,",",""))))))))),"N/A")</f>
        <v>N/A</v>
      </c>
      <c r="K393" t="str">
        <f t="shared" ref="K393:K399" si="150">IFERROR(IF(TRIM(D393)="-", "N/A", IF(RIGHT(D393,1)=")",IF(RIGHT(D393,2)="T)",-1000000000000*VALUE(MID(D393,2,LEN(D393)-3)),IF(RIGHT(D393,2)="M)",-1000000*VALUE(MID(D393,2,LEN(D393)-3)),IF(RIGHT(D393,2)="B)",-1000000000*VALUE(MID(D393,2,LEN(D393)-3)),IF(RIGHT(D393,2)="k)",-1000*VALUE(MID(D393,2,LEN(D393)-3)),VALUE(SUBSTITUTE(D393,",","")))))),IF(RIGHT(D393,1)="T",1000000000000*VALUE(LEFT(D393,LEN(D393)-1)),IF(RIGHT(D393,1)="M",1000000*VALUE(LEFT(D393,LEN(D393)-1)),IF(RIGHT(D393,1)="B",1000000000*VALUE(LEFT(D393,LEN(D393)-1)),IF(RIGHT(D393,1)="%",0.01*VALUE(LEFT(D393,LEN(D393)-1)),IF(RIGHT(D393,1)="k",1000*VALUE(LEFT(D393,LEN(D393)-1)),VALUE(SUBSTITUTE(D393,",",""))))))))),"N/A")</f>
        <v>N/A</v>
      </c>
      <c r="L393" t="str">
        <f t="shared" ref="L393:L399" si="151">IFERROR(IF(TRIM(E393)="-", "N/A", IF(RIGHT(E393,1)=")",IF(RIGHT(E393,2)="T)",-1000000000000*VALUE(MID(E393,2,LEN(E393)-3)),IF(RIGHT(E393,2)="M)",-1000000*VALUE(MID(E393,2,LEN(E393)-3)),IF(RIGHT(E393,2)="B)",-1000000000*VALUE(MID(E393,2,LEN(E393)-3)),IF(RIGHT(E393,2)="k)",-1000*VALUE(MID(E393,2,LEN(E393)-3)),VALUE(SUBSTITUTE(E393,",","")))))),IF(RIGHT(E393,1)="T",1000000000000*VALUE(LEFT(E393,LEN(E393)-1)),IF(RIGHT(E393,1)="M",1000000*VALUE(LEFT(E393,LEN(E393)-1)),IF(RIGHT(E393,1)="B",1000000000*VALUE(LEFT(E393,LEN(E393)-1)),IF(RIGHT(E393,1)="%",0.01*VALUE(LEFT(E393,LEN(E393)-1)),IF(RIGHT(E393,1)="k",1000*VALUE(LEFT(E393,LEN(E393)-1)),VALUE(SUBSTITUTE(E393,",",""))))))))),"N/A")</f>
        <v>N/A</v>
      </c>
      <c r="M393" t="str">
        <f t="shared" ref="M393:M399" si="152">IFERROR(IF(TRIM(F393)="-", "N/A", IF(RIGHT(F393,1)=")",IF(RIGHT(F393,2)="T)",-1000000000000*VALUE(MID(F393,2,LEN(F393)-3)),IF(RIGHT(F393,2)="M)",-1000000*VALUE(MID(F393,2,LEN(F393)-3)),IF(RIGHT(F393,2)="B)",-1000000000*VALUE(MID(F393,2,LEN(F393)-3)),IF(RIGHT(F393,2)="k)",-1000*VALUE(MID(F393,2,LEN(F393)-3)),VALUE(SUBSTITUTE(F393,",","")))))),IF(RIGHT(F393,1)="T",1000000000000*VALUE(LEFT(F393,LEN(F393)-1)),IF(RIGHT(F393,1)="M",1000000*VALUE(LEFT(F393,LEN(F393)-1)),IF(RIGHT(F393,1)="B",1000000000*VALUE(LEFT(F393,LEN(F393)-1)),IF(RIGHT(F393,1)="%",0.01*VALUE(LEFT(F393,LEN(F393)-1)),IF(RIGHT(F393,1)="k",1000*VALUE(LEFT(F393,LEN(F393)-1)),VALUE(SUBSTITUTE(F393,",",""))))))))),"N/A")</f>
        <v>N/A</v>
      </c>
      <c r="N393" t="str">
        <f t="shared" ref="N393:N399" si="153">IFERROR(IF(TRIM(G393)="-", "N/A", IF(RIGHT(G393,1)=")",IF(RIGHT(G393,2)="T)",-1000000000000*VALUE(MID(G393,2,LEN(G393)-3)),IF(RIGHT(G393,2)="M)",-1000000*VALUE(MID(G393,2,LEN(G393)-3)),IF(RIGHT(G393,2)="B)",-1000000000*VALUE(MID(G393,2,LEN(G393)-3)),IF(RIGHT(G393,2)="k)",-1000*VALUE(MID(G393,2,LEN(G393)-3)),VALUE(SUBSTITUTE(G393,",","")))))),IF(RIGHT(G393,1)="T",1000000000000*VALUE(LEFT(G393,LEN(G393)-1)),IF(RIGHT(G393,1)="M",1000000*VALUE(LEFT(G393,LEN(G393)-1)),IF(RIGHT(G393,1)="B",1000000000*VALUE(LEFT(G393,LEN(G393)-1)),IF(RIGHT(G393,1)="%",0.01*VALUE(LEFT(G393,LEN(G393)-1)),IF(RIGHT(G393,1)="k",1000*VALUE(LEFT(G393,LEN(G393)-1)),VALUE(SUBSTITUTE(G393,",",""))))))))),"N/A")</f>
        <v>N/A</v>
      </c>
    </row>
    <row r="394" spans="1:14" x14ac:dyDescent="0.3">
      <c r="I394" t="str">
        <f t="shared" si="148"/>
        <v>N/A</v>
      </c>
      <c r="J394" t="str">
        <f t="shared" si="149"/>
        <v>N/A</v>
      </c>
      <c r="K394" t="str">
        <f t="shared" si="150"/>
        <v>N/A</v>
      </c>
      <c r="L394" t="str">
        <f t="shared" si="151"/>
        <v>N/A</v>
      </c>
      <c r="M394" t="str">
        <f t="shared" si="152"/>
        <v>N/A</v>
      </c>
      <c r="N394" t="str">
        <f t="shared" si="153"/>
        <v>N/A</v>
      </c>
    </row>
    <row r="395" spans="1:14" x14ac:dyDescent="0.3">
      <c r="I395" t="str">
        <f t="shared" si="148"/>
        <v>N/A</v>
      </c>
      <c r="J395" t="str">
        <f t="shared" si="149"/>
        <v>N/A</v>
      </c>
      <c r="K395" t="str">
        <f t="shared" si="150"/>
        <v>N/A</v>
      </c>
      <c r="L395" t="str">
        <f t="shared" si="151"/>
        <v>N/A</v>
      </c>
      <c r="M395" t="str">
        <f t="shared" si="152"/>
        <v>N/A</v>
      </c>
      <c r="N395" t="str">
        <f t="shared" si="153"/>
        <v>N/A</v>
      </c>
    </row>
    <row r="396" spans="1:14" x14ac:dyDescent="0.3">
      <c r="A396" s="1">
        <v>0</v>
      </c>
      <c r="B396" t="s">
        <v>123</v>
      </c>
      <c r="C396" t="s">
        <v>2404</v>
      </c>
      <c r="I396" t="str">
        <f t="shared" si="148"/>
        <v>N/A</v>
      </c>
      <c r="J396">
        <f t="shared" si="149"/>
        <v>8130000000.000001</v>
      </c>
      <c r="K396" t="str">
        <f t="shared" si="150"/>
        <v>N/A</v>
      </c>
      <c r="L396" t="str">
        <f t="shared" si="151"/>
        <v>N/A</v>
      </c>
      <c r="M396" t="str">
        <f t="shared" si="152"/>
        <v>N/A</v>
      </c>
      <c r="N396" t="str">
        <f t="shared" si="153"/>
        <v>N/A</v>
      </c>
    </row>
    <row r="397" spans="1:14" x14ac:dyDescent="0.3">
      <c r="A397" s="1">
        <v>1</v>
      </c>
      <c r="B397" t="s">
        <v>124</v>
      </c>
      <c r="I397" t="str">
        <f t="shared" si="148"/>
        <v>N/A</v>
      </c>
      <c r="J397" t="str">
        <f t="shared" si="149"/>
        <v>N/A</v>
      </c>
      <c r="K397" t="str">
        <f t="shared" si="150"/>
        <v>N/A</v>
      </c>
      <c r="L397" t="str">
        <f t="shared" si="151"/>
        <v>N/A</v>
      </c>
      <c r="M397" t="str">
        <f t="shared" si="152"/>
        <v>N/A</v>
      </c>
      <c r="N397" t="str">
        <f t="shared" si="153"/>
        <v>N/A</v>
      </c>
    </row>
    <row r="398" spans="1:14" x14ac:dyDescent="0.3">
      <c r="A398" s="1">
        <v>2</v>
      </c>
      <c r="B398" t="s">
        <v>125</v>
      </c>
      <c r="C398" t="s">
        <v>2405</v>
      </c>
      <c r="I398" t="str">
        <f t="shared" si="148"/>
        <v>N/A</v>
      </c>
      <c r="J398">
        <f t="shared" si="149"/>
        <v>24.11</v>
      </c>
      <c r="K398" t="str">
        <f t="shared" si="150"/>
        <v>N/A</v>
      </c>
      <c r="L398" t="str">
        <f t="shared" si="151"/>
        <v>N/A</v>
      </c>
      <c r="M398" t="str">
        <f t="shared" si="152"/>
        <v>N/A</v>
      </c>
      <c r="N398" t="str">
        <f t="shared" si="153"/>
        <v>N/A</v>
      </c>
    </row>
    <row r="399" spans="1:14" x14ac:dyDescent="0.3">
      <c r="A399" s="1">
        <v>3</v>
      </c>
      <c r="B399" t="s">
        <v>126</v>
      </c>
      <c r="C399" t="s">
        <v>2406</v>
      </c>
      <c r="I399" t="str">
        <f t="shared" si="148"/>
        <v>N/A</v>
      </c>
      <c r="J399">
        <f t="shared" si="149"/>
        <v>17.32</v>
      </c>
      <c r="K399" t="str">
        <f t="shared" si="150"/>
        <v>N/A</v>
      </c>
      <c r="L399" t="str">
        <f t="shared" si="151"/>
        <v>N/A</v>
      </c>
      <c r="M399" t="str">
        <f t="shared" si="152"/>
        <v>N/A</v>
      </c>
      <c r="N399" t="str">
        <f t="shared" si="153"/>
        <v>N/A</v>
      </c>
    </row>
    <row r="400" spans="1:14" x14ac:dyDescent="0.3">
      <c r="A400" s="1">
        <v>4</v>
      </c>
      <c r="B400" t="s">
        <v>128</v>
      </c>
      <c r="C400" t="s">
        <v>2407</v>
      </c>
    </row>
    <row r="401" spans="1:3" x14ac:dyDescent="0.3">
      <c r="A401" s="1">
        <v>5</v>
      </c>
      <c r="B401" t="s">
        <v>130</v>
      </c>
      <c r="C401" t="s">
        <v>2408</v>
      </c>
    </row>
    <row r="402" spans="1:3" x14ac:dyDescent="0.3">
      <c r="A402" s="1">
        <v>6</v>
      </c>
      <c r="B402" t="s">
        <v>132</v>
      </c>
      <c r="C402" t="s">
        <v>2409</v>
      </c>
    </row>
    <row r="403" spans="1:3" x14ac:dyDescent="0.3">
      <c r="A403" s="1">
        <v>7</v>
      </c>
      <c r="B403" t="s">
        <v>134</v>
      </c>
    </row>
    <row r="404" spans="1:3" x14ac:dyDescent="0.3">
      <c r="A404" s="1">
        <v>8</v>
      </c>
      <c r="B404" t="s">
        <v>135</v>
      </c>
    </row>
    <row r="448" spans="52:52" x14ac:dyDescent="0.3">
      <c r="AZ448" t="str">
        <f>"Compile Facts"</f>
        <v>Compile Facts</v>
      </c>
    </row>
    <row r="450" spans="2:53" x14ac:dyDescent="0.3">
      <c r="B450" t="str">
        <f>"ROIC Super Tree"</f>
        <v>ROIC Super Tree</v>
      </c>
      <c r="AZ450" t="str">
        <f t="shared" ref="AZ450:BA453" si="154">I519</f>
        <v>Max SD</v>
      </c>
      <c r="BA450">
        <f t="shared" ca="1" si="154"/>
        <v>0.78999046825085428</v>
      </c>
    </row>
    <row r="451" spans="2:53" x14ac:dyDescent="0.3">
      <c r="AZ451" t="str">
        <f t="shared" si="154"/>
        <v>Max SD Item</v>
      </c>
      <c r="BA451" t="str">
        <f t="shared" ca="1" si="154"/>
        <v>Cash Tax Rate</v>
      </c>
    </row>
    <row r="452" spans="2:53" x14ac:dyDescent="0.3">
      <c r="AK452" t="str">
        <f>"Change in Gross Margin / Sales"</f>
        <v>Change in Gross Margin / Sales</v>
      </c>
      <c r="AZ452" t="str">
        <f t="shared" si="154"/>
        <v>Min SD</v>
      </c>
      <c r="BA452">
        <f t="shared" ca="1" si="154"/>
        <v>8.1977209379119429E-3</v>
      </c>
    </row>
    <row r="453" spans="2:53" x14ac:dyDescent="0.3">
      <c r="X453" t="str">
        <f>"Gross Margin"</f>
        <v>Gross Margin</v>
      </c>
      <c r="AK453" t="str">
        <f>K476</f>
        <v>12-13</v>
      </c>
      <c r="AL453" t="str">
        <f>L476</f>
        <v>13-14</v>
      </c>
      <c r="AM453" t="str">
        <f>M476</f>
        <v>14-15</v>
      </c>
      <c r="AN453" t="str">
        <f>N476</f>
        <v>15-16</v>
      </c>
      <c r="AZ453" t="str">
        <f t="shared" si="154"/>
        <v>Min SD Item</v>
      </c>
      <c r="BA453" t="str">
        <f t="shared" ca="1" si="154"/>
        <v>Depreciation / Sales</v>
      </c>
    </row>
    <row r="454" spans="2:53" x14ac:dyDescent="0.3">
      <c r="X454" t="str">
        <f>D476</f>
        <v>2012</v>
      </c>
      <c r="Y454" t="str">
        <f>E476</f>
        <v>2013</v>
      </c>
      <c r="Z454" t="str">
        <f>F476</f>
        <v>2014</v>
      </c>
      <c r="AA454" t="str">
        <f>G476</f>
        <v>2015</v>
      </c>
      <c r="AB454" t="str">
        <f>H476</f>
        <v>2016</v>
      </c>
      <c r="AK454">
        <f ca="1">Y455-X455</f>
        <v>2.8005418835922224E-2</v>
      </c>
      <c r="AL454">
        <f ca="1">Z455-Y455</f>
        <v>5.6965995208275166E-3</v>
      </c>
      <c r="AM454">
        <f ca="1">AA455-Z455</f>
        <v>-2.5734131527582194E-3</v>
      </c>
      <c r="AN454">
        <f ca="1">AB455-AA455</f>
        <v>-3.4160311928504994E-3</v>
      </c>
    </row>
    <row r="455" spans="2:53" x14ac:dyDescent="0.3">
      <c r="X455">
        <f ca="1">IFERROR((INDIRECT("J" &amp; MATCH("Gross Income",B145:B403,0) +144))/(INDIRECT("J" &amp; MATCH("Sales/Revenue",B145:B403,0) +144)), IFERROR((1 - (INDIRECT("J" &amp; MATCH("Cost of Goods Sold*",B145:B403,0) +144))/(INDIRECT("J" &amp; MATCH("Sales/Revenue",B145:B403,0) +144))),(INDIRECT("J" &amp; MATCH("Operating Income",B145:B403,0) +144))/(INDIRECT("J" &amp; MATCH("Sales/Revenue",B145:B403,0) +144))))</f>
        <v>0.27365728900255759</v>
      </c>
      <c r="Y455">
        <f ca="1">IFERROR((INDIRECT("K" &amp; MATCH("Gross Income",B145:B403,0) +144))/(INDIRECT("K" &amp; MATCH("Sales/Revenue",B145:B403,0) +144)), IFERROR((1 - (INDIRECT("K" &amp; MATCH("Cost of Goods Sold*",B145:B403,0) +144))/(INDIRECT("K" &amp; MATCH("Sales/Revenue",B145:B403,0) +144))),(INDIRECT("K" &amp; MATCH("Operating Income",B145:B403,0) +144))/(INDIRECT("K" &amp; MATCH("Sales/Revenue",B145:B403,0) +144))))</f>
        <v>0.30166270783847982</v>
      </c>
      <c r="Z455">
        <f ca="1">IFERROR((INDIRECT("L" &amp; MATCH("Gross Income",B145:B403,0) +144))/(INDIRECT("L" &amp; MATCH("Sales/Revenue",B145:B403,0) +144)), IFERROR((1 - (INDIRECT("L" &amp; MATCH("Cost of Goods Sold*",B145:B403,0) +144))/(INDIRECT("L" &amp; MATCH("Sales/Revenue",B145:B403,0) +144))),(INDIRECT("L" &amp; MATCH("Operating Income",B145:B403,0) +144))/(INDIRECT("L" &amp; MATCH("Sales/Revenue",B145:B403,0) +144))))</f>
        <v>0.30735930735930733</v>
      </c>
      <c r="AA455">
        <f ca="1">IFERROR((INDIRECT("M" &amp; MATCH("Gross Income",B145:B403,0) +144))/(INDIRECT("M" &amp; MATCH("Sales/Revenue",B145:B403,0) +144)), IFERROR((1 - (INDIRECT("M" &amp; MATCH("Cost of Goods Sold*",B145:B403,0) +144))/(INDIRECT("M" &amp; MATCH("Sales/Revenue",B145:B403,0) +144))),(INDIRECT("M" &amp; MATCH("Operating Income",B145:B403,0) +144))/(INDIRECT("M" &amp; MATCH("Sales/Revenue",B145:B403,0) +144))))</f>
        <v>0.30478589420654911</v>
      </c>
      <c r="AB455">
        <f ca="1">IFERROR((INDIRECT("N" &amp; MATCH("Gross Income",B145:B403,0) +144))/(INDIRECT("N" &amp; MATCH("Sales/Revenue",B145:B403,0) +144)), IFERROR((1 - (INDIRECT("N" &amp; MATCH("Cost of Goods Sold*",B145:B403,0) +144))/(INDIRECT("N" &amp; MATCH("Sales/Revenue",B145:B403,0) +144))),(INDIRECT("N" &amp; MATCH("Operating Income",B145:B403,0) +144))/(INDIRECT("N" &amp; MATCH("Sales/Revenue",B145:B403,0) +144))))</f>
        <v>0.30136986301369861</v>
      </c>
      <c r="AK455" t="str">
        <f>"Max " &amp; AK452</f>
        <v>Max Change in Gross Margin / Sales</v>
      </c>
      <c r="AL455">
        <f ca="1">MAX(AK454:AN454)</f>
        <v>2.8005418835922224E-2</v>
      </c>
      <c r="AZ455" t="str">
        <f>"Item"</f>
        <v>Item</v>
      </c>
      <c r="BA455" t="str">
        <f>"Key Driver"</f>
        <v>Key Driver</v>
      </c>
    </row>
    <row r="456" spans="2:53" x14ac:dyDescent="0.3">
      <c r="X456" t="str">
        <f>"Max " &amp; X453</f>
        <v>Max Gross Margin</v>
      </c>
      <c r="Y456">
        <f ca="1">MAX(X455:AB455)</f>
        <v>0.30735930735930733</v>
      </c>
      <c r="AK456" t="str">
        <f>AK455 &amp; " Year"</f>
        <v>Max Change in Gross Margin / Sales Year</v>
      </c>
      <c r="AL456" t="str">
        <f ca="1">IF(MATCH(AL455,AK454:AN454,0)=1,AK453,IF(MATCH(AL455,AK454:AN454,0)=2,AL453,IF(MATCH(AL455,AK454:AN454,0)=3,AM453,AN453)))</f>
        <v>12-13</v>
      </c>
      <c r="AZ456" t="str">
        <f>C528</f>
        <v>Operating Margin</v>
      </c>
      <c r="BA456" t="str">
        <f ca="1">L528</f>
        <v>Depreciation / Sales</v>
      </c>
    </row>
    <row r="457" spans="2:53" x14ac:dyDescent="0.3">
      <c r="X457" t="str">
        <f>X456 &amp; " Year"</f>
        <v>Max Gross Margin Year</v>
      </c>
      <c r="Y457">
        <f ca="1">VALUE(X454)+MATCH(Y456,X455:AB455,0)-1</f>
        <v>2014</v>
      </c>
      <c r="AK457" t="str">
        <f>"Min " &amp; AK452</f>
        <v>Min Change in Gross Margin / Sales</v>
      </c>
      <c r="AL457">
        <f ca="1">MIN(AK454:AN454)</f>
        <v>-3.4160311928504994E-3</v>
      </c>
      <c r="AZ457" t="str">
        <f>C529</f>
        <v>Invested Capital / Sales</v>
      </c>
      <c r="BA457" t="str">
        <f ca="1">L529</f>
        <v>Intangibles / Sales</v>
      </c>
    </row>
    <row r="458" spans="2:53" x14ac:dyDescent="0.3">
      <c r="X458" t="str">
        <f>"Min " &amp; X453</f>
        <v>Min Gross Margin</v>
      </c>
      <c r="Y458">
        <f ca="1">MIN(X455:AB455)</f>
        <v>0.27365728900255759</v>
      </c>
      <c r="AK458" t="str">
        <f>AK457 &amp; " Year"</f>
        <v>Min Change in Gross Margin / Sales Year</v>
      </c>
      <c r="AL458" t="str">
        <f ca="1">IF(MATCH(AL457,AK454:AN454,0)=1,AK453,IF(MATCH(AL457,AK454:AN454,0)=2,AL453,IF(MATCH(AL457,AK454:AN454,0)=3,AM453,AN453)))</f>
        <v>15-16</v>
      </c>
    </row>
    <row r="459" spans="2:53" x14ac:dyDescent="0.3">
      <c r="X459" t="str">
        <f>X458 &amp; " Year"</f>
        <v>Min Gross Margin Year</v>
      </c>
      <c r="Y459">
        <f ca="1">VALUE(X454)+MATCH(Y458,X455:AB455,0)-1</f>
        <v>2012</v>
      </c>
      <c r="AZ459" t="e">
        <f ca="1">C540</f>
        <v>#NAME?</v>
      </c>
    </row>
    <row r="460" spans="2:53" x14ac:dyDescent="0.3">
      <c r="Q460" t="str">
        <f>"Operating Margin"</f>
        <v>Operating Margin</v>
      </c>
    </row>
    <row r="461" spans="2:53" x14ac:dyDescent="0.3">
      <c r="Q461" t="str">
        <f>D476</f>
        <v>2012</v>
      </c>
      <c r="R461" t="str">
        <f>E476</f>
        <v>2013</v>
      </c>
      <c r="S461" t="str">
        <f>F476</f>
        <v>2014</v>
      </c>
      <c r="T461" t="str">
        <f>G476</f>
        <v>2015</v>
      </c>
      <c r="U461" t="str">
        <f>H476</f>
        <v>2016</v>
      </c>
      <c r="X461" t="str">
        <f>"SGA / Sales"</f>
        <v>SGA / Sales</v>
      </c>
      <c r="AE461" t="str">
        <f>"Change in Operating Margin"</f>
        <v>Change in Operating Margin</v>
      </c>
      <c r="AK461" t="str">
        <f>"Change in SGA / Sales"</f>
        <v>Change in SGA / Sales</v>
      </c>
    </row>
    <row r="462" spans="2:53" x14ac:dyDescent="0.3">
      <c r="Q462">
        <f ca="1">X455-X463-X471</f>
        <v>1.2887468030690574E-2</v>
      </c>
      <c r="R462">
        <f ca="1">Y455-Y463-Y471</f>
        <v>8.4662707838479803E-2</v>
      </c>
      <c r="S462">
        <f ca="1">Z455-Z463-Z471</f>
        <v>6.919480519480517E-2</v>
      </c>
      <c r="T462">
        <f ca="1">AA455-AA463-AA471</f>
        <v>5.4156171284634756E-2</v>
      </c>
      <c r="U462">
        <f ca="1">AB455-AB463-AB471</f>
        <v>5.0791780821917806E-2</v>
      </c>
      <c r="X462" t="str">
        <f>D476</f>
        <v>2012</v>
      </c>
      <c r="Y462" t="str">
        <f>E476</f>
        <v>2013</v>
      </c>
      <c r="Z462" t="str">
        <f>F476</f>
        <v>2014</v>
      </c>
      <c r="AA462" t="str">
        <f>G476</f>
        <v>2015</v>
      </c>
      <c r="AB462" t="str">
        <f>H476</f>
        <v>2016</v>
      </c>
      <c r="AE462" t="str">
        <f>K476</f>
        <v>12-13</v>
      </c>
      <c r="AF462" t="str">
        <f>L476</f>
        <v>13-14</v>
      </c>
      <c r="AG462" t="str">
        <f>M476</f>
        <v>14-15</v>
      </c>
      <c r="AH462" t="str">
        <f>N476</f>
        <v>15-16</v>
      </c>
      <c r="AK462" t="str">
        <f>K476</f>
        <v>12-13</v>
      </c>
      <c r="AL462" t="str">
        <f>L476</f>
        <v>13-14</v>
      </c>
      <c r="AM462" t="str">
        <f>M476</f>
        <v>14-15</v>
      </c>
      <c r="AN462" t="str">
        <f>N476</f>
        <v>15-16</v>
      </c>
    </row>
    <row r="463" spans="2:53" x14ac:dyDescent="0.3">
      <c r="Q463" t="str">
        <f>"Max " &amp; Q460</f>
        <v>Max Operating Margin</v>
      </c>
      <c r="R463">
        <f ca="1">MAX(Q462:U462)</f>
        <v>8.4662707838479803E-2</v>
      </c>
      <c r="S463" t="str">
        <f>"GM Effect on Max"</f>
        <v>GM Effect on Max</v>
      </c>
      <c r="T463" t="str">
        <f ca="1">IF(R464=Y457,"Max OM in same year as Max GM","Inconclusive Effect")</f>
        <v>Inconclusive Effect</v>
      </c>
      <c r="U463" t="str">
        <f>"Correlation with GM"</f>
        <v>Correlation with GM</v>
      </c>
      <c r="V463">
        <f ca="1">CORREL(Q462:U462,X455:AB455)</f>
        <v>0.84867951292543797</v>
      </c>
      <c r="X463">
        <f ca="1">(INDIRECT("J" &amp; MATCH("SG&amp;A Expense",B145:B403,0) +144))/(INDIRECT("J" &amp; MATCH("Sales/Revenue",B145:B403,0) +144))</f>
        <v>0.20951662404092072</v>
      </c>
      <c r="Y463">
        <f ca="1">(INDIRECT("K" &amp; MATCH("SG&amp;A Expense",B145:B403,0) +144))/(INDIRECT("K" &amp; MATCH("Sales/Revenue",B145:B403,0) +144))</f>
        <v>0.18867220902612827</v>
      </c>
      <c r="Z463">
        <f ca="1">(INDIRECT("L" &amp; MATCH("SG&amp;A Expense",B145:B403,0) +144))/(INDIRECT("L" &amp; MATCH("Sales/Revenue",B145:B403,0) +144))</f>
        <v>0.20134199134199135</v>
      </c>
      <c r="AA463">
        <f ca="1">(INDIRECT("M" &amp; MATCH("SG&amp;A Expense",B145:B403,0) +144))/(INDIRECT("M" &amp; MATCH("Sales/Revenue",B145:B403,0) +144))</f>
        <v>0.21170277078085642</v>
      </c>
      <c r="AB463">
        <f ca="1">(INDIRECT("N" &amp; MATCH("SG&amp;A Expense",B145:B403,0) +144))/(INDIRECT("N" &amp; MATCH("Sales/Revenue",B145:B403,0) +144))</f>
        <v>0.21132876712328766</v>
      </c>
      <c r="AE463">
        <f ca="1">R462-Q462</f>
        <v>7.1775239807789229E-2</v>
      </c>
      <c r="AF463">
        <f ca="1">S462-R462</f>
        <v>-1.5467902643674633E-2</v>
      </c>
      <c r="AG463">
        <f ca="1">T462-S462</f>
        <v>-1.5038633910170414E-2</v>
      </c>
      <c r="AH463">
        <f ca="1">U462-T462</f>
        <v>-3.3643904627169499E-3</v>
      </c>
      <c r="AK463">
        <f ca="1">Y463-X463</f>
        <v>-2.084441501479245E-2</v>
      </c>
      <c r="AL463">
        <f ca="1">Z463-Y463</f>
        <v>1.2669782315863076E-2</v>
      </c>
      <c r="AM463">
        <f ca="1">AA463-Z463</f>
        <v>1.036077943886507E-2</v>
      </c>
      <c r="AN463">
        <f ca="1">AB463-AA463</f>
        <v>-3.7400365756876108E-4</v>
      </c>
    </row>
    <row r="464" spans="2:53" x14ac:dyDescent="0.3">
      <c r="Q464" t="str">
        <f>Q463 &amp; " Year"</f>
        <v>Max Operating Margin Year</v>
      </c>
      <c r="R464">
        <f ca="1">VALUE(Q461)+MATCH(R463,Q462:U462,0)-1</f>
        <v>2013</v>
      </c>
      <c r="S464" t="str">
        <f>"SGA Effect on Max"</f>
        <v>SGA Effect on Max</v>
      </c>
      <c r="T464" t="str">
        <f ca="1">IF(R464=Y467,"Max OM in same year as Min SGA","Inconclusive Effect")</f>
        <v>Max OM in same year as Min SGA</v>
      </c>
      <c r="U464" t="str">
        <f>"Correlation with SGA"</f>
        <v>Correlation with SGA</v>
      </c>
      <c r="V464">
        <f ca="1">CORREL(Q462:U462,X463:AB463)</f>
        <v>-0.72399455070242358</v>
      </c>
      <c r="X464" t="str">
        <f>"Max " &amp; X461</f>
        <v>Max SGA / Sales</v>
      </c>
      <c r="Y464">
        <f ca="1">MAX(X463:AB463)</f>
        <v>0.21170277078085642</v>
      </c>
      <c r="AE464" t="str">
        <f>"Max " &amp; AE461</f>
        <v>Max Change in Operating Margin</v>
      </c>
      <c r="AF464">
        <f ca="1">MAX(AE463:AH463)</f>
        <v>7.1775239807789229E-2</v>
      </c>
      <c r="AK464" t="str">
        <f>"Max " &amp; AK461</f>
        <v>Max Change in SGA / Sales</v>
      </c>
      <c r="AL464">
        <f ca="1">MAX(AK463:AN463)</f>
        <v>1.2669782315863076E-2</v>
      </c>
    </row>
    <row r="465" spans="4:40" x14ac:dyDescent="0.3">
      <c r="J465" t="str">
        <f>"EOY Pretax ROIC"</f>
        <v>EOY Pretax ROIC</v>
      </c>
      <c r="Q465" t="str">
        <f>"Min " &amp; Q460</f>
        <v>Min Operating Margin</v>
      </c>
      <c r="R465">
        <f ca="1">MIN(Q462:U462)</f>
        <v>1.2887468030690574E-2</v>
      </c>
      <c r="S465" t="str">
        <f>"Dep Effect on Max"</f>
        <v>Dep Effect on Max</v>
      </c>
      <c r="T465" t="str">
        <f ca="1">IF(R464=Y475,"Max OM in same year as Min Depr","Inconclusive Effect")</f>
        <v>Max OM in same year as Min Depr</v>
      </c>
      <c r="U465" t="str">
        <f>"Correlation with Dep"</f>
        <v>Correlation with Dep</v>
      </c>
      <c r="V465">
        <f ca="1">CORREL(Q462:U462,X471:AB471)</f>
        <v>-0.98434618733512946</v>
      </c>
      <c r="X465" t="str">
        <f>X464 &amp; " Year"</f>
        <v>Max SGA / Sales Year</v>
      </c>
      <c r="Y465">
        <f ca="1">VALUE(X462)+MATCH(Y464,X463:AB463,0)-1</f>
        <v>2015</v>
      </c>
      <c r="AE465" t="str">
        <f>AE464 &amp; " Year"</f>
        <v>Max Change in Operating Margin Year</v>
      </c>
      <c r="AF465" t="str">
        <f ca="1">IF(MATCH(AF464,AE463:AH463,0)=1,AE462,IF(MATCH(AF464,AE463:AH463,0)=2,AF462,IF(MATCH(AF464,AE463:AH463,0)=3,AG462,AH462)))</f>
        <v>12-13</v>
      </c>
      <c r="AK465" t="str">
        <f>AK464 &amp; " Year"</f>
        <v>Max Change in SGA / Sales Year</v>
      </c>
      <c r="AL465" t="str">
        <f ca="1">IF(MATCH(AL464,AK463:AN463,0)=1,AK462,IF(MATCH(AL464,AK463:AN463,0)=2,AL462,IF(MATCH(AL464,AK463:AN463,0)=3,AM462,AN462)))</f>
        <v>13-14</v>
      </c>
    </row>
    <row r="466" spans="4:40" x14ac:dyDescent="0.3">
      <c r="J466" t="str">
        <f>D476</f>
        <v>2012</v>
      </c>
      <c r="K466" t="str">
        <f>E476</f>
        <v>2013</v>
      </c>
      <c r="L466" t="str">
        <f>F476</f>
        <v>2014</v>
      </c>
      <c r="M466" t="str">
        <f>G476</f>
        <v>2015</v>
      </c>
      <c r="N466" t="str">
        <f>H476</f>
        <v>2016</v>
      </c>
      <c r="Q466" t="str">
        <f>Q465 &amp; " Year"</f>
        <v>Min Operating Margin Year</v>
      </c>
      <c r="R466">
        <f ca="1">VALUE(Q461)+MATCH(R465,Q462:U462,0)-1</f>
        <v>2012</v>
      </c>
      <c r="S466" t="str">
        <f>"GM Effect on Min"</f>
        <v>GM Effect on Min</v>
      </c>
      <c r="T466" t="str">
        <f ca="1">IF(R466=Y459,"Min OM in same year as Min GM","Inconclusive Effect")</f>
        <v>Min OM in same year as Min GM</v>
      </c>
      <c r="X466" t="str">
        <f>"Min " &amp; X461</f>
        <v>Min SGA / Sales</v>
      </c>
      <c r="Y466">
        <f ca="1">MIN(X463:AB463)</f>
        <v>0.18867220902612827</v>
      </c>
      <c r="AE466" t="str">
        <f>"Min " &amp; AE461</f>
        <v>Min Change in Operating Margin</v>
      </c>
      <c r="AF466">
        <f ca="1">MIN(AE463:AH463)</f>
        <v>-1.5467902643674633E-2</v>
      </c>
      <c r="AK466" t="str">
        <f>"Min " &amp; AK461</f>
        <v>Min Change in SGA / Sales</v>
      </c>
      <c r="AL466">
        <f ca="1">MIN(AK463:AN463)</f>
        <v>-2.084441501479245E-2</v>
      </c>
    </row>
    <row r="467" spans="4:40" x14ac:dyDescent="0.3">
      <c r="J467">
        <f ca="1">Q462*(1/Q490)</f>
        <v>1.1226292560882452E-2</v>
      </c>
      <c r="K467">
        <f ca="1">R462*(1/R490)</f>
        <v>7.5241601472618491E-2</v>
      </c>
      <c r="L467">
        <f ca="1">S462*(1/S490)</f>
        <v>5.8552345995131615E-2</v>
      </c>
      <c r="M467">
        <f ca="1">T462*(1/T490)</f>
        <v>4.2202043756649273E-2</v>
      </c>
      <c r="N467">
        <f ca="1">U462*(1/U490)</f>
        <v>3.9077106620491082E-2</v>
      </c>
      <c r="S467" t="str">
        <f>"SGA Effect on Min"</f>
        <v>SGA Effect on Min</v>
      </c>
      <c r="T467" t="str">
        <f ca="1">IF(R466=Y465,"Min OM in same year as Max SGA","Inconclusive Effect")</f>
        <v>Inconclusive Effect</v>
      </c>
      <c r="X467" t="str">
        <f>X466 &amp; " Year"</f>
        <v>Min SGA / Sales Year</v>
      </c>
      <c r="Y467">
        <f ca="1">VALUE(X462)+MATCH(Y466,X463:AB463,0)-1</f>
        <v>2013</v>
      </c>
      <c r="AE467" t="str">
        <f>AE466 &amp; " Year"</f>
        <v>Min Change in Operating Margin Year</v>
      </c>
      <c r="AF467" t="str">
        <f ca="1">IF(MATCH(AF466,AE463:AH463,0)=1,AE462,IF(MATCH(AF466,AE463:AH463,0)=2,AF462,IF(MATCH(AF466,AE463:AH463,0)=3,AG462,AH462)))</f>
        <v>13-14</v>
      </c>
      <c r="AK467" t="str">
        <f>AK466 &amp; " Year"</f>
        <v>Min Change in SGA / Sales Year</v>
      </c>
      <c r="AL467" t="str">
        <f ca="1">IF(MATCH(AL466,AK463:AN463,0)=1,AK462,IF(MATCH(AL466,AK463:AN463,0)=2,AL462,IF(MATCH(AL466,AK463:AN463,0)=3,AM462,AN462)))</f>
        <v>12-13</v>
      </c>
    </row>
    <row r="468" spans="4:40" x14ac:dyDescent="0.3">
      <c r="J468" t="str">
        <f>"Max " &amp; J465</f>
        <v>Max EOY Pretax ROIC</v>
      </c>
      <c r="K468">
        <f ca="1">MAX(J467:N467)</f>
        <v>7.5241601472618491E-2</v>
      </c>
      <c r="L468" t="str">
        <f>"OM Effect on Max"</f>
        <v>OM Effect on Max</v>
      </c>
      <c r="M468" t="str">
        <f ca="1">IF(K469=R464,"Max ROIC in same year as Max OM","Inconclusive Effect")</f>
        <v>Max ROIC in same year as Max OM</v>
      </c>
      <c r="N468" t="str">
        <f>"Correlation with OM"</f>
        <v>Correlation with OM</v>
      </c>
      <c r="O468">
        <f ca="1">CORREL(J467:N467,Q462:U462)</f>
        <v>0.99239015790854257</v>
      </c>
      <c r="S468" t="str">
        <f>"Dep Effect on Min"</f>
        <v>Dep Effect on Min</v>
      </c>
      <c r="T468" t="str">
        <f ca="1">IF(R466=Y473,"Min OM in same year as Max Dep","Inconclusive Effect")</f>
        <v>Min OM in same year as Max Dep</v>
      </c>
    </row>
    <row r="469" spans="4:40" x14ac:dyDescent="0.3">
      <c r="J469" t="str">
        <f>J468 &amp; " Year"</f>
        <v>Max EOY Pretax ROIC Year</v>
      </c>
      <c r="K469">
        <f ca="1">VALUE(J466)+MATCH(K468,J467:N467,0)-1</f>
        <v>2013</v>
      </c>
      <c r="L469" t="str">
        <f>"IC Effect on Max"</f>
        <v>IC Effect on Max</v>
      </c>
      <c r="M469" t="str">
        <f ca="1">IF(K469=R494,"Max ROIC in same year as Min IC","Inconclusive Effect")</f>
        <v>Max ROIC in same year as Min IC</v>
      </c>
      <c r="N469" t="str">
        <f>"Correlation with IC"</f>
        <v>Correlation with IC</v>
      </c>
      <c r="O469">
        <f ca="1">CORREL(J467:N467,Q490:U490)</f>
        <v>-0.20897519876626514</v>
      </c>
      <c r="X469" t="str">
        <f>"Depreciation / Sales"</f>
        <v>Depreciation / Sales</v>
      </c>
    </row>
    <row r="470" spans="4:40" x14ac:dyDescent="0.3">
      <c r="J470" t="str">
        <f>"Min " &amp; J465</f>
        <v>Min EOY Pretax ROIC</v>
      </c>
      <c r="K470">
        <f ca="1">MIN(J467:N467)</f>
        <v>1.1226292560882452E-2</v>
      </c>
      <c r="L470" t="str">
        <f>"OM Effect on Min"</f>
        <v>OM Effect on Min</v>
      </c>
      <c r="M470" t="str">
        <f ca="1">IF(K471=R466,"Min ROIC in same year as Min OM","Inconclusive Effect")</f>
        <v>Min ROIC in same year as Min OM</v>
      </c>
      <c r="Q470" t="str">
        <f>"Change in EOY Pretax ROIC"</f>
        <v>Change in EOY Pretax ROIC</v>
      </c>
      <c r="X470" t="str">
        <f>D476</f>
        <v>2012</v>
      </c>
      <c r="Y470" t="str">
        <f>E476</f>
        <v>2013</v>
      </c>
      <c r="Z470" t="str">
        <f>F476</f>
        <v>2014</v>
      </c>
      <c r="AA470" t="str">
        <f>G476</f>
        <v>2015</v>
      </c>
      <c r="AB470" t="str">
        <f>H476</f>
        <v>2016</v>
      </c>
    </row>
    <row r="471" spans="4:40" x14ac:dyDescent="0.3">
      <c r="J471" t="str">
        <f>J470 &amp; " Year"</f>
        <v>Min EOY Pretax ROIC Year</v>
      </c>
      <c r="K471">
        <f ca="1">VALUE(J466)+MATCH(K470,J467:N467,0)-1</f>
        <v>2012</v>
      </c>
      <c r="L471" t="str">
        <f>"IC Effect on Min"</f>
        <v>IC Effect on Min</v>
      </c>
      <c r="M471" t="str">
        <f ca="1">IF(K471=R492,"Min ROIC in same year as Max IC","Inconclusive Effect")</f>
        <v>Inconclusive Effect</v>
      </c>
      <c r="Q471" t="str">
        <f>K476</f>
        <v>12-13</v>
      </c>
      <c r="R471" t="str">
        <f>L476</f>
        <v>13-14</v>
      </c>
      <c r="S471" t="str">
        <f>M476</f>
        <v>14-15</v>
      </c>
      <c r="T471" t="str">
        <f>N476</f>
        <v>15-16</v>
      </c>
      <c r="X471">
        <f ca="1">(INDIRECT("J" &amp; MATCH("Depreciation &amp; Amortization Expense",B145:B403,0) +144))/(INDIRECT("J" &amp; MATCH("Sales/Revenue",B145:B403,0) +144))</f>
        <v>5.1253196930946293E-2</v>
      </c>
      <c r="Y471">
        <f ca="1">(INDIRECT("K" &amp; MATCH("Depreciation &amp; Amortization Expense",B145:B403,0) +144))/(INDIRECT("K" &amp; MATCH("Sales/Revenue",B145:B403,0) +144))</f>
        <v>2.8327790973871735E-2</v>
      </c>
      <c r="Z471">
        <f ca="1">(INDIRECT("L" &amp; MATCH("Depreciation &amp; Amortization Expense",B145:B403,0) +144))/(INDIRECT("L" &amp; MATCH("Sales/Revenue",B145:B403,0) +144))</f>
        <v>3.6822510822510819E-2</v>
      </c>
      <c r="AA471">
        <f ca="1">(INDIRECT("M" &amp; MATCH("Depreciation &amp; Amortization Expense",B145:B403,0) +144))/(INDIRECT("M" &amp; MATCH("Sales/Revenue",B145:B403,0) +144))</f>
        <v>3.8926952141057937E-2</v>
      </c>
      <c r="AB471">
        <f ca="1">(INDIRECT("N" &amp; MATCH("Depreciation &amp; Amortization Expense",B145:B403,0) +144))/(INDIRECT("N" &amp; MATCH("Sales/Revenue",B145:B403,0) +144))</f>
        <v>3.9249315068493149E-2</v>
      </c>
    </row>
    <row r="472" spans="4:40" x14ac:dyDescent="0.3">
      <c r="Q472">
        <f ca="1">K467-J467</f>
        <v>6.4015308911736041E-2</v>
      </c>
      <c r="R472">
        <f ca="1">L467-K467</f>
        <v>-1.6689255477486876E-2</v>
      </c>
      <c r="S472">
        <f ca="1">M467-L467</f>
        <v>-1.6350302238482342E-2</v>
      </c>
      <c r="T472">
        <f ca="1">N467-M467</f>
        <v>-3.1249371361581901E-3</v>
      </c>
      <c r="X472" t="str">
        <f>"Max " &amp; X469</f>
        <v>Max Depreciation / Sales</v>
      </c>
      <c r="Y472">
        <f ca="1">MAX(X471:AB471)</f>
        <v>5.1253196930946293E-2</v>
      </c>
      <c r="AK472" t="str">
        <f>"Change in Depreciation / Sales"</f>
        <v>Change in Depreciation / Sales</v>
      </c>
    </row>
    <row r="473" spans="4:40" x14ac:dyDescent="0.3">
      <c r="Q473" t="str">
        <f>"Max " &amp; Q470</f>
        <v>Max Change in EOY Pretax ROIC</v>
      </c>
      <c r="R473">
        <f ca="1">MAX(Q472:T472)</f>
        <v>6.4015308911736041E-2</v>
      </c>
      <c r="X473" t="str">
        <f>X472 &amp; " Year"</f>
        <v>Max Depreciation / Sales Year</v>
      </c>
      <c r="Y473">
        <f ca="1">VALUE(X470)+MATCH(Y472,X471:AB471,0)-1</f>
        <v>2012</v>
      </c>
      <c r="AK473" t="str">
        <f>K476</f>
        <v>12-13</v>
      </c>
      <c r="AL473" t="str">
        <f>L476</f>
        <v>13-14</v>
      </c>
      <c r="AM473" t="str">
        <f>M476</f>
        <v>14-15</v>
      </c>
      <c r="AN473" t="str">
        <f>N476</f>
        <v>15-16</v>
      </c>
    </row>
    <row r="474" spans="4:40" x14ac:dyDescent="0.3">
      <c r="Q474" t="str">
        <f>Q473 &amp; " Year"</f>
        <v>Max Change in EOY Pretax ROIC Year</v>
      </c>
      <c r="R474" t="str">
        <f ca="1">IF(MATCH(R473,Q472:T472,0)=1,Q471,IF(MATCH(R473,Q472:T472,0)=2,R471,IF(MATCH(R473,Q472:T472,0)=3,S471,T471)))</f>
        <v>12-13</v>
      </c>
      <c r="X474" t="str">
        <f>"Min " &amp; X469</f>
        <v>Min Depreciation / Sales</v>
      </c>
      <c r="Y474">
        <f ca="1">MIN(X471:AB471)</f>
        <v>2.8327790973871735E-2</v>
      </c>
      <c r="AK474">
        <f ca="1">Y471-X471</f>
        <v>-2.2925405957074558E-2</v>
      </c>
      <c r="AL474">
        <f ca="1">Z471-Y471</f>
        <v>8.4947198486390839E-3</v>
      </c>
      <c r="AM474">
        <f ca="1">AA471-Z471</f>
        <v>2.1044413185471178E-3</v>
      </c>
      <c r="AN474">
        <f ca="1">AB471-AA471</f>
        <v>3.2236292743521161E-4</v>
      </c>
    </row>
    <row r="475" spans="4:40" x14ac:dyDescent="0.3">
      <c r="D475" t="str">
        <f>"EOY ROIC"</f>
        <v>EOY ROIC</v>
      </c>
      <c r="K475" t="str">
        <f>"Change in EOY ROIC"</f>
        <v>Change in EOY ROIC</v>
      </c>
      <c r="Q475" t="str">
        <f>"Min " &amp; Q470</f>
        <v>Min Change in EOY Pretax ROIC</v>
      </c>
      <c r="R475">
        <f ca="1">MIN(Q472:T472)</f>
        <v>-1.6689255477486876E-2</v>
      </c>
      <c r="X475" t="str">
        <f>X474 &amp; " Year"</f>
        <v>Min Depreciation / Sales Year</v>
      </c>
      <c r="Y475">
        <f ca="1">VALUE(X470)+MATCH(Y474,X471:AB471,0)-1</f>
        <v>2013</v>
      </c>
      <c r="AK475" t="str">
        <f>"Max " &amp; AK472</f>
        <v>Max Change in Depreciation / Sales</v>
      </c>
      <c r="AL475">
        <f ca="1">MAX(AK474:AN474)</f>
        <v>8.4947198486390839E-3</v>
      </c>
    </row>
    <row r="476" spans="4:40" x14ac:dyDescent="0.3">
      <c r="D476" t="str">
        <f>C144</f>
        <v>2012</v>
      </c>
      <c r="E476" t="str">
        <f>D144</f>
        <v>2013</v>
      </c>
      <c r="F476" t="str">
        <f>E144</f>
        <v>2014</v>
      </c>
      <c r="G476" t="str">
        <f>F144</f>
        <v>2015</v>
      </c>
      <c r="H476" t="str">
        <f>G144</f>
        <v>2016</v>
      </c>
      <c r="K476" t="str">
        <f>RIGHT(D476,2) &amp; "-" &amp; RIGHT(E476,2)</f>
        <v>12-13</v>
      </c>
      <c r="L476" t="str">
        <f>RIGHT(E476,2) &amp; "-" &amp; RIGHT(F476,2)</f>
        <v>13-14</v>
      </c>
      <c r="M476" t="str">
        <f>RIGHT(F476,2) &amp; "-" &amp; RIGHT(G476,2)</f>
        <v>14-15</v>
      </c>
      <c r="N476" t="str">
        <f>RIGHT(G476,2) &amp; "-" &amp; RIGHT(H476,2)</f>
        <v>15-16</v>
      </c>
      <c r="Q476" t="str">
        <f>Q475 &amp; " Year"</f>
        <v>Min Change in EOY Pretax ROIC Year</v>
      </c>
      <c r="R476" t="str">
        <f ca="1">IF(MATCH(R475,Q472:T472,0)=1,Q471,IF(MATCH(R475,Q472:T472,0)=2,R471,IF(MATCH(R475,Q472:T472,0)=3,S471,T471)))</f>
        <v>13-14</v>
      </c>
      <c r="AK476" t="str">
        <f>AK475 &amp; " Year"</f>
        <v>Max Change in Depreciation / Sales Year</v>
      </c>
      <c r="AL476" t="str">
        <f ca="1">IF(MATCH(AL475,AK474:AN474,0)=1,AK473,IF(MATCH(AL475,AK474:AN474,0)=2,AL473,IF(MATCH(AL475,AK474:AN474,0)=3,AM473,AN473)))</f>
        <v>13-14</v>
      </c>
    </row>
    <row r="477" spans="4:40" x14ac:dyDescent="0.3">
      <c r="D477">
        <f ca="1">J467*(1-J487)</f>
        <v>-9.7940364083999257E-3</v>
      </c>
      <c r="E477">
        <f ca="1">K467*(1-K487)</f>
        <v>5.1970874993388899E-2</v>
      </c>
      <c r="F477">
        <f ca="1">L467*(1-L487)</f>
        <v>6.8690523307282397E-2</v>
      </c>
      <c r="G477">
        <f ca="1">M467*(1-M487)</f>
        <v>3.3344780710720182E-2</v>
      </c>
      <c r="H477">
        <f ca="1">N467*(1-N487)</f>
        <v>2.7276947645332214E-2</v>
      </c>
      <c r="K477">
        <f ca="1">E477-D477</f>
        <v>6.1764911401788823E-2</v>
      </c>
      <c r="L477">
        <f ca="1">F477-E477</f>
        <v>1.6719648313893498E-2</v>
      </c>
      <c r="M477">
        <f ca="1">G477-F477</f>
        <v>-3.5345742596562216E-2</v>
      </c>
      <c r="N477">
        <f ca="1">H477-G477</f>
        <v>-6.0678330653879675E-3</v>
      </c>
      <c r="AK477" t="str">
        <f>"Min " &amp; AK472</f>
        <v>Min Change in Depreciation / Sales</v>
      </c>
      <c r="AL477">
        <f ca="1">MIN(AK474:AN474)</f>
        <v>-2.2925405957074558E-2</v>
      </c>
    </row>
    <row r="478" spans="4:40" x14ac:dyDescent="0.3">
      <c r="D478" t="str">
        <f>"Max " &amp; D475</f>
        <v>Max EOY ROIC</v>
      </c>
      <c r="E478">
        <f ca="1">MAX(D477:H477)</f>
        <v>6.8690523307282397E-2</v>
      </c>
      <c r="F478" t="str">
        <f>"Cash Tax  Effect on Max"</f>
        <v>Cash Tax  Effect on Max</v>
      </c>
      <c r="G478" t="str">
        <f ca="1">IF(E479=K491,"Max ROIC in same year as Min Cash Tax","Inconclusive Effect")</f>
        <v>Max ROIC in same year as Min Cash Tax</v>
      </c>
      <c r="K478" t="str">
        <f>"Max " &amp; K475</f>
        <v>Max Change in EOY ROIC</v>
      </c>
      <c r="L478">
        <f ca="1">MAX(K477:N477)</f>
        <v>6.1764911401788823E-2</v>
      </c>
      <c r="AK478" t="str">
        <f>AK477 &amp; " Year"</f>
        <v>Min Change in Depreciation / Sales Year</v>
      </c>
      <c r="AL478" t="str">
        <f ca="1">IF(MATCH(AL477,AK474:AN474,0)=1,AK473,IF(MATCH(AL477,AK474:AN474,0)=2,AL473,IF(MATCH(AL477,AK474:AN474,0)=3,AM473,AN473)))</f>
        <v>12-13</v>
      </c>
    </row>
    <row r="479" spans="4:40" x14ac:dyDescent="0.3">
      <c r="D479" t="str">
        <f>D478 &amp; " Year"</f>
        <v>Max EOY ROIC Year</v>
      </c>
      <c r="E479">
        <f ca="1">VALUE(D476)+MATCH(E478,D477:H477,0)-1</f>
        <v>2014</v>
      </c>
      <c r="K479" t="str">
        <f>K478 &amp; " Year"</f>
        <v>Max Change in EOY ROIC Year</v>
      </c>
      <c r="L479" t="str">
        <f ca="1">IF(MATCH(L478,K477:N477,0)=1,K476,IF(MATCH(L478,K477:N477,0)=2,L476,IF(MATCH(L478,K477:N477,0)=3,M476,N476)))</f>
        <v>12-13</v>
      </c>
      <c r="Q479" t="str">
        <f>"Change in Cash Tax Rate"</f>
        <v>Change in Cash Tax Rate</v>
      </c>
    </row>
    <row r="480" spans="4:40" x14ac:dyDescent="0.3">
      <c r="D480" t="str">
        <f>"Min " &amp; D475</f>
        <v>Min EOY ROIC</v>
      </c>
      <c r="E480">
        <f ca="1">MIN(D477:H477)</f>
        <v>-9.7940364083999257E-3</v>
      </c>
      <c r="F480" t="str">
        <f>"Cash Tax  Effect on Min"</f>
        <v>Cash Tax  Effect on Min</v>
      </c>
      <c r="G480" t="str">
        <f ca="1">IF(E481=K489,"Min ROIC in same year as Max Cash Tax","Inconclusive Effect")</f>
        <v>Min ROIC in same year as Max Cash Tax</v>
      </c>
      <c r="K480" t="str">
        <f>"Min " &amp; K475</f>
        <v>Min Change in EOY ROIC</v>
      </c>
      <c r="L480">
        <f ca="1">MIN(K477:N477)</f>
        <v>-3.5345742596562216E-2</v>
      </c>
      <c r="Q480" t="str">
        <f>K476</f>
        <v>12-13</v>
      </c>
      <c r="R480" t="str">
        <f>L476</f>
        <v>13-14</v>
      </c>
      <c r="S480" t="str">
        <f>M476</f>
        <v>14-15</v>
      </c>
      <c r="T480" t="str">
        <f>N476</f>
        <v>15-16</v>
      </c>
    </row>
    <row r="481" spans="4:40" x14ac:dyDescent="0.3">
      <c r="D481" t="str">
        <f>D480 &amp; " Year"</f>
        <v>Min EOY ROIC Year</v>
      </c>
      <c r="E481">
        <f ca="1">VALUE(D476)+MATCH(E480,D477:H477,0)-1</f>
        <v>2012</v>
      </c>
      <c r="K481" t="str">
        <f>K480 &amp; " Year"</f>
        <v>Min Change in EOY ROIC Year</v>
      </c>
      <c r="L481" t="str">
        <f ca="1">IF(MATCH(L480,K477:N477,0)=1,K476,IF(MATCH(L480,K477:N477,0)=2,L476,IF(MATCH(L480,K477:N477,0)=3,M476,N476)))</f>
        <v>14-15</v>
      </c>
      <c r="Q481">
        <f ca="1">K487-J487</f>
        <v>-1.563139435186266</v>
      </c>
      <c r="R481">
        <f ca="1">L487-K487</f>
        <v>-0.48242729638516901</v>
      </c>
      <c r="S481">
        <f ca="1">M487-L487</f>
        <v>0.38302482902411555</v>
      </c>
      <c r="T481">
        <f ca="1">N487-M487</f>
        <v>9.2093568367048767E-2</v>
      </c>
      <c r="X481" t="str">
        <f>"Op WC / Sales"</f>
        <v>Op WC / Sales</v>
      </c>
    </row>
    <row r="482" spans="4:40" x14ac:dyDescent="0.3">
      <c r="D482" t="str">
        <f>"Correlation with OM"</f>
        <v>Correlation with OM</v>
      </c>
      <c r="E482">
        <f ca="1">CORREL(D477:H477,Q462:U462)</f>
        <v>0.91608374611251842</v>
      </c>
      <c r="Q482" t="str">
        <f>"Max " &amp; Q479</f>
        <v>Max Change in Cash Tax Rate</v>
      </c>
      <c r="R482">
        <f ca="1">MAX(Q481:T481)</f>
        <v>0.38302482902411555</v>
      </c>
      <c r="X482" t="str">
        <f>D476</f>
        <v>2012</v>
      </c>
      <c r="Y482" t="str">
        <f>E476</f>
        <v>2013</v>
      </c>
      <c r="Z482" t="str">
        <f>F476</f>
        <v>2014</v>
      </c>
      <c r="AA482" t="str">
        <f>G476</f>
        <v>2015</v>
      </c>
      <c r="AB482" t="str">
        <f>H476</f>
        <v>2016</v>
      </c>
      <c r="AK482" t="str">
        <f>"Change in Op WC / Sales"</f>
        <v>Change in Op WC / Sales</v>
      </c>
    </row>
    <row r="483" spans="4:40" x14ac:dyDescent="0.3">
      <c r="D483" t="str">
        <f>"Correlation with IC"</f>
        <v>Correlation with IC</v>
      </c>
      <c r="E483">
        <f ca="1">CORREL(D477:H477,Q490:U490)</f>
        <v>-4.6355005660096475E-2</v>
      </c>
      <c r="Q483" t="str">
        <f>Q482 &amp; " Year"</f>
        <v>Max Change in Cash Tax Rate Year</v>
      </c>
      <c r="R483" t="str">
        <f ca="1">IF(MATCH(R482,Q481:T481,0)=1,Q480,IF(MATCH(R482,Q481:T481,0)=2,R480,IF(MATCH(R482,Q481:T481,0)=3,S480,T480)))</f>
        <v>14-15</v>
      </c>
      <c r="X483">
        <f ca="1">(INDIRECT("J" &amp; MATCH("Total Current Assets",B145:B403,0) +144) - INDIRECT("J" &amp; MATCH("Total Current Liabilities",B145:B403,0) +144))/(INDIRECT("J" &amp; MATCH("Sales/Revenue",B145:B403,0) +144))</f>
        <v>0.24296675191815856</v>
      </c>
      <c r="Y483">
        <f ca="1">(INDIRECT("K" &amp; MATCH("Total Current Assets",B145:B403,0) +144) - INDIRECT("K" &amp; MATCH("Total Current Liabilities",B145:B403,0) +144))/(INDIRECT("K" &amp; MATCH("Sales/Revenue",B145:B403,0) +144))</f>
        <v>0.18052256532066513</v>
      </c>
      <c r="Z483">
        <f ca="1">(INDIRECT("L" &amp; MATCH("Total Current Assets",B145:B403,0) +144) - INDIRECT("L" &amp; MATCH("Total Current Liabilities",B145:B403,0) +144))/(INDIRECT("L" &amp; MATCH("Sales/Revenue",B145:B403,0) +144))</f>
        <v>0.17532467532467533</v>
      </c>
      <c r="AA483">
        <f ca="1">(INDIRECT("M" &amp; MATCH("Total Current Assets",B145:B403,0) +144) - INDIRECT("M" &amp; MATCH("Total Current Liabilities",B145:B403,0) +144))/(INDIRECT("M" &amp; MATCH("Sales/Revenue",B145:B403,0) +144))</f>
        <v>0.16120906801007556</v>
      </c>
      <c r="AB483">
        <f ca="1">(INDIRECT("N" &amp; MATCH("Total Current Assets",B145:B403,0) +144) - INDIRECT("N" &amp; MATCH("Total Current Liabilities",B145:B403,0) +144))/(INDIRECT("N" &amp; MATCH("Sales/Revenue",B145:B403,0) +144))</f>
        <v>0.18630136986301371</v>
      </c>
      <c r="AK483" t="str">
        <f>K476</f>
        <v>12-13</v>
      </c>
      <c r="AL483" t="str">
        <f>L476</f>
        <v>13-14</v>
      </c>
      <c r="AM483" t="str">
        <f>M476</f>
        <v>14-15</v>
      </c>
      <c r="AN483" t="str">
        <f>N476</f>
        <v>15-16</v>
      </c>
    </row>
    <row r="484" spans="4:40" x14ac:dyDescent="0.3">
      <c r="D484" t="str">
        <f>"Correlation with GM"</f>
        <v>Correlation with GM</v>
      </c>
      <c r="E484">
        <f ca="1">CORREL(D477:H477,X455:AB455)</f>
        <v>0.88340776502142793</v>
      </c>
      <c r="Q484" t="str">
        <f>"Min " &amp; Q479</f>
        <v>Min Change in Cash Tax Rate</v>
      </c>
      <c r="R484">
        <f ca="1">MIN(Q481:T481)</f>
        <v>-1.563139435186266</v>
      </c>
      <c r="X484" t="str">
        <f>"Max " &amp; X481</f>
        <v>Max Op WC / Sales</v>
      </c>
      <c r="Y484">
        <f ca="1">MAX(X483:AB483)</f>
        <v>0.24296675191815856</v>
      </c>
      <c r="AK484">
        <f ca="1">Y483-X483</f>
        <v>-6.2444186597493428E-2</v>
      </c>
      <c r="AL484">
        <f ca="1">Z483-Y483</f>
        <v>-5.1978899959898017E-3</v>
      </c>
      <c r="AM484">
        <f ca="1">AA483-Z483</f>
        <v>-1.4115607314599765E-2</v>
      </c>
      <c r="AN484">
        <f ca="1">AB483-AA483</f>
        <v>2.5092301852938148E-2</v>
      </c>
    </row>
    <row r="485" spans="4:40" x14ac:dyDescent="0.3">
      <c r="D485" t="str">
        <f>"Correlation with SGA"</f>
        <v>Correlation with SGA</v>
      </c>
      <c r="E485">
        <f ca="1">CORREL(D477:H477,X463:AB463)</f>
        <v>-0.57378221596516887</v>
      </c>
      <c r="J485" t="str">
        <f>"Cash Tax Rate"</f>
        <v>Cash Tax Rate</v>
      </c>
      <c r="Q485" t="str">
        <f>Q484 &amp; " Year"</f>
        <v>Min Change in Cash Tax Rate Year</v>
      </c>
      <c r="R485" t="str">
        <f ca="1">IF(MATCH(R484,Q481:T481,0)=1,Q480,IF(MATCH(R484,Q481:T481,0)=2,R480,IF(MATCH(R484,Q481:T481,0)=3,S480,T480)))</f>
        <v>12-13</v>
      </c>
      <c r="X485" t="str">
        <f>X484 &amp; " Year"</f>
        <v>Max Op WC / Sales Year</v>
      </c>
      <c r="Y485">
        <f ca="1">VALUE(X482)+MATCH(Y484,X483:AB483,0)-1</f>
        <v>2012</v>
      </c>
      <c r="AK485" t="str">
        <f>"Max " &amp; AK482</f>
        <v>Max Change in Op WC / Sales</v>
      </c>
      <c r="AL485">
        <f ca="1">MAX(AK484:AN484)</f>
        <v>2.5092301852938148E-2</v>
      </c>
    </row>
    <row r="486" spans="4:40" x14ac:dyDescent="0.3">
      <c r="D486" t="str">
        <f>"Correlation with Dep"</f>
        <v>Correlation with Dep</v>
      </c>
      <c r="E486">
        <f ca="1">CORREL(D477:H477,X471:AB471)</f>
        <v>-0.83163575795879729</v>
      </c>
      <c r="J486" t="str">
        <f>D476</f>
        <v>2012</v>
      </c>
      <c r="K486" t="str">
        <f>E476</f>
        <v>2013</v>
      </c>
      <c r="L486" t="str">
        <f>F476</f>
        <v>2014</v>
      </c>
      <c r="M486" t="str">
        <f>G476</f>
        <v>2015</v>
      </c>
      <c r="N486" t="str">
        <f>H476</f>
        <v>2016</v>
      </c>
      <c r="X486" t="str">
        <f>"Min " &amp; X481</f>
        <v>Min Op WC / Sales</v>
      </c>
      <c r="Y486">
        <f ca="1">MIN(X483:AB483)</f>
        <v>0.16120906801007556</v>
      </c>
      <c r="AK486" t="str">
        <f>AK485 &amp; " Year"</f>
        <v>Max Change in Op WC / Sales Year</v>
      </c>
      <c r="AL486" t="str">
        <f ca="1">IF(MATCH(AL485,AK484:AN484,0)=1,AK483,IF(MATCH(AL485,AK484:AN484,0)=2,AL483,IF(MATCH(AL485,AK484:AN484,0)=3,AM483,AN483)))</f>
        <v>15-16</v>
      </c>
    </row>
    <row r="487" spans="4:40" x14ac:dyDescent="0.3">
      <c r="D487" t="str">
        <f>"Correlation with Op WC"</f>
        <v>Correlation with Op WC</v>
      </c>
      <c r="E487">
        <f ca="1">CORREL(D477:H477,X483:AB483)</f>
        <v>-0.79566820414978734</v>
      </c>
      <c r="J487">
        <f ca="1">(INDIRECT("J" &amp; MATCH("Income Tax",B145:B403,0) +144))/(INDIRECT("J" &amp; MATCH("Pretax Income",B145:B403,0) +144))</f>
        <v>1.8724194880264244</v>
      </c>
      <c r="K487">
        <f ca="1">(INDIRECT("K" &amp; MATCH("Income Tax",B145:B403,0) +144))/(INDIRECT("K" &amp; MATCH("Pretax Income",B145:B403,0) +144))</f>
        <v>0.30928005284015853</v>
      </c>
      <c r="L487">
        <f ca="1">(INDIRECT("L" &amp; MATCH("Income Tax",B145:B403,0) +144))/(INDIRECT("L" &amp; MATCH("Pretax Income",B145:B403,0) +144))</f>
        <v>-0.17314724354501046</v>
      </c>
      <c r="M487">
        <f ca="1">(INDIRECT("M" &amp; MATCH("Income Tax",B145:B403,0) +144))/(INDIRECT("M" &amp; MATCH("Pretax Income",B145:B403,0) +144))</f>
        <v>0.20987758547910509</v>
      </c>
      <c r="N487">
        <f ca="1">(INDIRECT("N" &amp; MATCH("Income Tax",B145:B403,0) +144))/(INDIRECT("N" &amp; MATCH("Pretax Income",B145:B403,0) +144))</f>
        <v>0.30197115384615386</v>
      </c>
      <c r="X487" t="str">
        <f>X486 &amp; " Year"</f>
        <v>Min Op WC / Sales Year</v>
      </c>
      <c r="Y487">
        <f ca="1">VALUE(X482)+MATCH(Y486,X483:AB483,0)-1</f>
        <v>2015</v>
      </c>
      <c r="AK487" t="str">
        <f>"Min " &amp; AK482</f>
        <v>Min Change in Op WC / Sales</v>
      </c>
      <c r="AL487">
        <f ca="1">MIN(AK484:AN484)</f>
        <v>-6.2444186597493428E-2</v>
      </c>
    </row>
    <row r="488" spans="4:40" x14ac:dyDescent="0.3">
      <c r="D488" t="str">
        <f>"Correlation with PPE"</f>
        <v>Correlation with PPE</v>
      </c>
      <c r="E488">
        <f ca="1">CORREL(D477:H477,X491:AB491)</f>
        <v>-0.42974099303051783</v>
      </c>
      <c r="J488" t="str">
        <f>"Max " &amp; J485</f>
        <v>Max Cash Tax Rate</v>
      </c>
      <c r="K488">
        <f ca="1">MAX(J487:N487)</f>
        <v>1.8724194880264244</v>
      </c>
      <c r="Q488" t="str">
        <f>"Invested Capital / Sales"</f>
        <v>Invested Capital / Sales</v>
      </c>
      <c r="AK488" t="str">
        <f>AK487 &amp; " Year"</f>
        <v>Min Change in Op WC / Sales Year</v>
      </c>
      <c r="AL488" t="str">
        <f ca="1">IF(MATCH(AL487,AK484:AN484,0)=1,AK483,IF(MATCH(AL487,AK484:AN484,0)=2,AL483,IF(MATCH(AL487,AK484:AN484,0)=3,AM483,AN483)))</f>
        <v>12-13</v>
      </c>
    </row>
    <row r="489" spans="4:40" x14ac:dyDescent="0.3">
      <c r="D489" t="str">
        <f>"Correlation with Intangibles"</f>
        <v>Correlation with Intangibles</v>
      </c>
      <c r="E489">
        <f ca="1">CORREL(D477:H477,X499:AB499)</f>
        <v>0.24258040328866184</v>
      </c>
      <c r="J489" t="str">
        <f>J488 &amp; " Year"</f>
        <v>Max Cash Tax Rate Year</v>
      </c>
      <c r="K489">
        <f ca="1">VALUE(J486)+MATCH(K488,J487:N487,0)-1</f>
        <v>2012</v>
      </c>
      <c r="Q489" t="str">
        <f>D476</f>
        <v>2012</v>
      </c>
      <c r="R489" t="str">
        <f>E476</f>
        <v>2013</v>
      </c>
      <c r="S489" t="str">
        <f>F476</f>
        <v>2014</v>
      </c>
      <c r="T489" t="str">
        <f>G476</f>
        <v>2015</v>
      </c>
      <c r="U489" t="str">
        <f>H476</f>
        <v>2016</v>
      </c>
      <c r="X489" t="str">
        <f>"PPE / Sales"</f>
        <v>PPE / Sales</v>
      </c>
    </row>
    <row r="490" spans="4:40" x14ac:dyDescent="0.3">
      <c r="J490" t="str">
        <f>"Min " &amp; J485</f>
        <v>Min Cash Tax Rate</v>
      </c>
      <c r="K490">
        <f ca="1">MIN(J487:N487)</f>
        <v>-0.17314724354501046</v>
      </c>
      <c r="Q490">
        <f ca="1">SUM(X483,X491,X499)</f>
        <v>1.1479718670076726</v>
      </c>
      <c r="R490">
        <f ca="1">SUM(Y483,Y491,Y499)</f>
        <v>1.1252114014251782</v>
      </c>
      <c r="S490">
        <f ca="1">SUM(Z483,Z491,Z499)</f>
        <v>1.1817597402597402</v>
      </c>
      <c r="T490">
        <f ca="1">SUM(AA483,AA491,AA499)</f>
        <v>1.2832594458438287</v>
      </c>
      <c r="U490">
        <f ca="1">SUM(AB483,AB491,AB499)</f>
        <v>1.2997835616438356</v>
      </c>
      <c r="X490" t="str">
        <f>D476</f>
        <v>2012</v>
      </c>
      <c r="Y490" t="str">
        <f>E476</f>
        <v>2013</v>
      </c>
      <c r="Z490" t="str">
        <f>F476</f>
        <v>2014</v>
      </c>
      <c r="AA490" t="str">
        <f>G476</f>
        <v>2015</v>
      </c>
      <c r="AB490" t="str">
        <f>H476</f>
        <v>2016</v>
      </c>
      <c r="AE490" t="str">
        <f>"Change in Invested Capital / Sales"</f>
        <v>Change in Invested Capital / Sales</v>
      </c>
      <c r="AK490" t="str">
        <f>"Change in PPE / Sales"</f>
        <v>Change in PPE / Sales</v>
      </c>
    </row>
    <row r="491" spans="4:40" x14ac:dyDescent="0.3">
      <c r="J491" t="str">
        <f>J490 &amp; " Year"</f>
        <v>Min Cash Tax Rate Year</v>
      </c>
      <c r="K491">
        <f ca="1">VALUE(J486)+MATCH(K490,J487:N487,0)-1</f>
        <v>2014</v>
      </c>
      <c r="Q491" t="str">
        <f>"Max " &amp; Q488</f>
        <v>Max Invested Capital / Sales</v>
      </c>
      <c r="R491">
        <f ca="1">MAX(Q490:U490)</f>
        <v>1.2997835616438356</v>
      </c>
      <c r="S491" t="str">
        <f>"Op WC Effect on Max"</f>
        <v>Op WC Effect on Max</v>
      </c>
      <c r="T491" t="str">
        <f ca="1">IF(R492=Y485,"Max IC in same year as Max Op WC","Inconclusive Effect")</f>
        <v>Inconclusive Effect</v>
      </c>
      <c r="U491" t="str">
        <f>"Correlation with Op WC"</f>
        <v>Correlation with Op WC</v>
      </c>
      <c r="V491">
        <f ca="1">CORREL(Q490:U490,X483:AB483)</f>
        <v>-0.45246503307586006</v>
      </c>
      <c r="X491">
        <f ca="1">(INDIRECT("J" &amp; MATCH("Net Property, Plant &amp; Equipment",B145:B403,0) +144))/(INDIRECT("J" &amp; MATCH("Sales/Revenue",B145:B403,0) +144))</f>
        <v>0.17610485933503836</v>
      </c>
      <c r="Y491">
        <f ca="1">(INDIRECT("K" &amp; MATCH("Net Property, Plant &amp; Equipment",B145:B403,0) +144))/(INDIRECT("K" &amp; MATCH("Sales/Revenue",B145:B403,0) +144))</f>
        <v>0.17984323040380049</v>
      </c>
      <c r="Z491">
        <f ca="1">(INDIRECT("L" &amp; MATCH("Net Property, Plant &amp; Equipment",B145:B403,0) +144))/(INDIRECT("L" &amp; MATCH("Sales/Revenue",B145:B403,0) +144))</f>
        <v>0.15795021645021645</v>
      </c>
      <c r="AA491">
        <f ca="1">(INDIRECT("M" &amp; MATCH("Net Property, Plant &amp; Equipment",B145:B403,0) +144))/(INDIRECT("M" &amp; MATCH("Sales/Revenue",B145:B403,0) +144))</f>
        <v>0.16235264483627204</v>
      </c>
      <c r="AB491">
        <f ca="1">(INDIRECT("N" &amp; MATCH("Net Property, Plant &amp; Equipment",B145:B403,0) +144))/(INDIRECT("N" &amp; MATCH("Sales/Revenue",B145:B403,0) +144))</f>
        <v>0.16553698630136987</v>
      </c>
      <c r="AE491" t="str">
        <f>K476</f>
        <v>12-13</v>
      </c>
      <c r="AF491" t="str">
        <f>L476</f>
        <v>13-14</v>
      </c>
      <c r="AG491" t="str">
        <f>M476</f>
        <v>14-15</v>
      </c>
      <c r="AH491" t="str">
        <f>N476</f>
        <v>15-16</v>
      </c>
      <c r="AK491" t="str">
        <f>K476</f>
        <v>12-13</v>
      </c>
      <c r="AL491" t="str">
        <f>L476</f>
        <v>13-14</v>
      </c>
      <c r="AM491" t="str">
        <f>M476</f>
        <v>14-15</v>
      </c>
      <c r="AN491" t="str">
        <f>N476</f>
        <v>15-16</v>
      </c>
    </row>
    <row r="492" spans="4:40" x14ac:dyDescent="0.3">
      <c r="Q492" t="str">
        <f>Q491 &amp; " Year"</f>
        <v>Max Invested Capital / Sales Year</v>
      </c>
      <c r="R492">
        <f ca="1">VALUE(Q489)+MATCH(R491,Q490:U490,0)-1</f>
        <v>2016</v>
      </c>
      <c r="S492" t="str">
        <f>"PPE Effect on Max"</f>
        <v>PPE Effect on Max</v>
      </c>
      <c r="T492" t="str">
        <f ca="1">IF(R492=Y493,"Max IC in same year as Max PPE","Inconclusive Effect")</f>
        <v>Inconclusive Effect</v>
      </c>
      <c r="U492" t="str">
        <f>"Correlation with PPE"</f>
        <v>Correlation with PPE</v>
      </c>
      <c r="V492">
        <f ca="1">CORREL(Q490:U490,X491:AB491)</f>
        <v>-0.62891728193389029</v>
      </c>
      <c r="X492" t="str">
        <f>"Max " &amp; X489</f>
        <v>Max PPE / Sales</v>
      </c>
      <c r="Y492">
        <f ca="1">MAX(X491:AB491)</f>
        <v>0.17984323040380049</v>
      </c>
      <c r="AE492">
        <f ca="1">R490-Q490</f>
        <v>-2.2760465582494449E-2</v>
      </c>
      <c r="AF492">
        <f ca="1">S490-R490</f>
        <v>5.6548338834562006E-2</v>
      </c>
      <c r="AG492">
        <f ca="1">T490-S490</f>
        <v>0.1014997055840885</v>
      </c>
      <c r="AH492">
        <f ca="1">U490-T490</f>
        <v>1.65241158000069E-2</v>
      </c>
      <c r="AK492">
        <f ca="1">Y491-X491</f>
        <v>3.7383710687621252E-3</v>
      </c>
      <c r="AL492">
        <f ca="1">Z491-Y491</f>
        <v>-2.1893013953584034E-2</v>
      </c>
      <c r="AM492">
        <f ca="1">AA491-Z491</f>
        <v>4.4024283860555902E-3</v>
      </c>
      <c r="AN492">
        <f ca="1">AB491-AA491</f>
        <v>3.1843414650978286E-3</v>
      </c>
    </row>
    <row r="493" spans="4:40" x14ac:dyDescent="0.3">
      <c r="Q493" t="str">
        <f>"Min " &amp; Q488</f>
        <v>Min Invested Capital / Sales</v>
      </c>
      <c r="R493">
        <f ca="1">MIN(Q490:U490)</f>
        <v>1.1252114014251782</v>
      </c>
      <c r="S493" t="str">
        <f>"Intangibles Effect on Max"</f>
        <v>Intangibles Effect on Max</v>
      </c>
      <c r="T493" t="str">
        <f ca="1">IF(R492=Y501,"Max IC in same year as Max Intangibles","Inconclusive Effect")</f>
        <v>Inconclusive Effect</v>
      </c>
      <c r="U493" t="str">
        <f>"Correlation with Intangibles"</f>
        <v>Correlation with Intangibles</v>
      </c>
      <c r="V493">
        <f ca="1">CORREL(Q490:U490,X499:AB499)</f>
        <v>0.95343175670022617</v>
      </c>
      <c r="X493" t="str">
        <f>X492 &amp; " Year"</f>
        <v>Max PPE / Sales Year</v>
      </c>
      <c r="Y493">
        <f ca="1">VALUE(X490)+MATCH(Y492,X491:AB491,0)-1</f>
        <v>2013</v>
      </c>
      <c r="AE493" t="str">
        <f>"Max " &amp; AE490</f>
        <v>Max Change in Invested Capital / Sales</v>
      </c>
      <c r="AF493">
        <f ca="1">MAX(AE492:AH492)</f>
        <v>0.1014997055840885</v>
      </c>
      <c r="AK493" t="str">
        <f>"Max " &amp; AK490</f>
        <v>Max Change in PPE / Sales</v>
      </c>
      <c r="AL493">
        <f ca="1">MAX(AK492:AN492)</f>
        <v>4.4024283860555902E-3</v>
      </c>
    </row>
    <row r="494" spans="4:40" x14ac:dyDescent="0.3">
      <c r="Q494" t="str">
        <f>Q493 &amp; " Year"</f>
        <v>Min Invested Capital / Sales Year</v>
      </c>
      <c r="R494">
        <f ca="1">VALUE(Q489)+MATCH(R493,Q490:U490,0)-1</f>
        <v>2013</v>
      </c>
      <c r="S494" t="str">
        <f>"Op WC Effect on Min"</f>
        <v>Op WC Effect on Min</v>
      </c>
      <c r="T494" t="str">
        <f ca="1">IF(R494=Y487,"Min IC in same year as Min Op WC","Inconclusive Effect")</f>
        <v>Inconclusive Effect</v>
      </c>
      <c r="X494" t="str">
        <f>"Min " &amp; X489</f>
        <v>Min PPE / Sales</v>
      </c>
      <c r="Y494">
        <f ca="1">MIN(X491:AB491)</f>
        <v>0.15795021645021645</v>
      </c>
      <c r="AE494" t="str">
        <f>AE493 &amp; " Year"</f>
        <v>Max Change in Invested Capital / Sales Year</v>
      </c>
      <c r="AF494" t="str">
        <f ca="1">IF(MATCH(AF493,AE492:AH492,0)=1,AE491,IF(MATCH(AF493,AE492:AH492,0)=2,AF491,IF(MATCH(AF493,AE492:AH492,0)=3,AG491,AH491)))</f>
        <v>14-15</v>
      </c>
      <c r="AK494" t="str">
        <f>AK493 &amp; " Year"</f>
        <v>Max Change in PPE / Sales Year</v>
      </c>
      <c r="AL494" t="str">
        <f ca="1">IF(MATCH(AL493,AK492:AN492,0)=1,AK491,IF(MATCH(AL493,AK492:AN492,0)=2,AL491,IF(MATCH(AL493,AK492:AN492,0)=3,AM491,AN491)))</f>
        <v>14-15</v>
      </c>
    </row>
    <row r="495" spans="4:40" x14ac:dyDescent="0.3">
      <c r="S495" t="str">
        <f>"PPE Effect on Min"</f>
        <v>PPE Effect on Min</v>
      </c>
      <c r="T495" t="str">
        <f ca="1">IF(R494=Y495,"Min IC in same year as Min PPE","Inconclusive Effect")</f>
        <v>Inconclusive Effect</v>
      </c>
      <c r="X495" t="str">
        <f>X494 &amp; " Year"</f>
        <v>Min PPE / Sales Year</v>
      </c>
      <c r="Y495">
        <f ca="1">VALUE(X490)+MATCH(Y494,X491:AB491,0)-1</f>
        <v>2014</v>
      </c>
      <c r="AE495" t="str">
        <f>"Min " &amp; AE490</f>
        <v>Min Change in Invested Capital / Sales</v>
      </c>
      <c r="AF495">
        <f ca="1">MIN(AE492:AH492)</f>
        <v>-2.2760465582494449E-2</v>
      </c>
      <c r="AK495" t="str">
        <f>"Min " &amp; AK490</f>
        <v>Min Change in PPE / Sales</v>
      </c>
      <c r="AL495">
        <f ca="1">MIN(AK492:AN492)</f>
        <v>-2.1893013953584034E-2</v>
      </c>
    </row>
    <row r="496" spans="4:40" x14ac:dyDescent="0.3">
      <c r="S496" t="str">
        <f>"Intangibles Effect on Min"</f>
        <v>Intangibles Effect on Min</v>
      </c>
      <c r="T496" t="str">
        <f ca="1">IF(R494=Y503,"Min IC in same year as Min Intangibles","Inconclusive Effect")</f>
        <v>Inconclusive Effect</v>
      </c>
      <c r="AE496" t="str">
        <f>AE495 &amp; " Year"</f>
        <v>Min Change in Invested Capital / Sales Year</v>
      </c>
      <c r="AF496" t="str">
        <f ca="1">IF(MATCH(AF495,AE492:AH492,0)=1,AE491,IF(MATCH(AF495,AE492:AH492,0)=2,AF491,IF(MATCH(AF495,AE492:AH492,0)=3,AG491,AH491)))</f>
        <v>12-13</v>
      </c>
      <c r="AK496" t="str">
        <f>AK495 &amp; " Year"</f>
        <v>Min Change in PPE / Sales Year</v>
      </c>
      <c r="AL496" t="str">
        <f ca="1">IF(MATCH(AL495,AK492:AN492,0)=1,AK491,IF(MATCH(AL495,AK492:AN492,0)=2,AL491,IF(MATCH(AL495,AK492:AN492,0)=3,AM491,AN491)))</f>
        <v>13-14</v>
      </c>
    </row>
    <row r="497" spans="3:40" x14ac:dyDescent="0.3">
      <c r="X497" t="str">
        <f>"Intangibles / Sales"</f>
        <v>Intangibles / Sales</v>
      </c>
    </row>
    <row r="498" spans="3:40" x14ac:dyDescent="0.3">
      <c r="X498" t="str">
        <f>D476</f>
        <v>2012</v>
      </c>
      <c r="Y498" t="str">
        <f>E476</f>
        <v>2013</v>
      </c>
      <c r="Z498" t="str">
        <f>F476</f>
        <v>2014</v>
      </c>
      <c r="AA498" t="str">
        <f>G476</f>
        <v>2015</v>
      </c>
      <c r="AB498" t="str">
        <f>H476</f>
        <v>2016</v>
      </c>
      <c r="AK498" t="str">
        <f>"Change in Intagibles / Sales"</f>
        <v>Change in Intagibles / Sales</v>
      </c>
    </row>
    <row r="499" spans="3:40" x14ac:dyDescent="0.3">
      <c r="X499">
        <f ca="1">(INDIRECT("J" &amp; MATCH("Intangible Assets",B145:B403,0) +144))/(INDIRECT("J" &amp; MATCH("Sales/Revenue",B145:B403,0) +144))</f>
        <v>0.7289002557544757</v>
      </c>
      <c r="Y499">
        <f ca="1">(INDIRECT("K" &amp; MATCH("Intangible Assets",B145:B403,0) +144))/(INDIRECT("K" &amp; MATCH("Sales/Revenue",B145:B403,0) +144))</f>
        <v>0.76484560570071258</v>
      </c>
      <c r="Z499">
        <f ca="1">(INDIRECT("L" &amp; MATCH("Intangible Assets",B145:B403,0) +144))/(INDIRECT("L" &amp; MATCH("Sales/Revenue",B145:B403,0) +144))</f>
        <v>0.84848484848484851</v>
      </c>
      <c r="AA499">
        <f ca="1">(INDIRECT("M" &amp; MATCH("Intangible Assets",B145:B403,0) +144))/(INDIRECT("M" &amp; MATCH("Sales/Revenue",B145:B403,0) +144))</f>
        <v>0.95969773299748107</v>
      </c>
      <c r="AB499">
        <f ca="1">(INDIRECT("N" &amp; MATCH("Intangible Assets",B145:B403,0) +144))/(INDIRECT("N" &amp; MATCH("Sales/Revenue",B145:B403,0) +144))</f>
        <v>0.94794520547945205</v>
      </c>
      <c r="AK499" t="str">
        <f>K476</f>
        <v>12-13</v>
      </c>
      <c r="AL499" t="str">
        <f>L476</f>
        <v>13-14</v>
      </c>
      <c r="AM499" t="str">
        <f>M476</f>
        <v>14-15</v>
      </c>
      <c r="AN499" t="str">
        <f>N476</f>
        <v>15-16</v>
      </c>
    </row>
    <row r="500" spans="3:40" x14ac:dyDescent="0.3">
      <c r="X500" t="str">
        <f>"Max " &amp; X497</f>
        <v>Max Intangibles / Sales</v>
      </c>
      <c r="Y500">
        <f ca="1">MAX(X499:AB499)</f>
        <v>0.95969773299748107</v>
      </c>
      <c r="AK500">
        <f ca="1">Y499-X499</f>
        <v>3.5945349946236882E-2</v>
      </c>
      <c r="AL500">
        <f ca="1">Z499-Y499</f>
        <v>8.3639242784135925E-2</v>
      </c>
      <c r="AM500">
        <f ca="1">AA499-Z499</f>
        <v>0.11121288451263256</v>
      </c>
      <c r="AN500">
        <f ca="1">AB499-AA499</f>
        <v>-1.1752527518029021E-2</v>
      </c>
    </row>
    <row r="501" spans="3:40" x14ac:dyDescent="0.3">
      <c r="X501" t="str">
        <f>X500 &amp; " Year"</f>
        <v>Max Intangibles / Sales Year</v>
      </c>
      <c r="Y501">
        <f ca="1">VALUE(X498)+MATCH(Y500,X499:AB499,0)-1</f>
        <v>2015</v>
      </c>
      <c r="AK501" t="str">
        <f>"Max " &amp; AK498</f>
        <v>Max Change in Intagibles / Sales</v>
      </c>
      <c r="AL501">
        <f ca="1">MAX(AK500:AN500)</f>
        <v>0.11121288451263256</v>
      </c>
    </row>
    <row r="502" spans="3:40" x14ac:dyDescent="0.3">
      <c r="X502" t="str">
        <f>"Min " &amp; X497</f>
        <v>Min Intangibles / Sales</v>
      </c>
      <c r="Y502">
        <f ca="1">MIN(X499:AB499)</f>
        <v>0.7289002557544757</v>
      </c>
      <c r="AK502" t="str">
        <f>AK501 &amp; " Year"</f>
        <v>Max Change in Intagibles / Sales Year</v>
      </c>
      <c r="AL502" t="str">
        <f ca="1">IF(MATCH(AL501,AK500:AN500,0)=1,AK499,IF(MATCH(AL501,AK500:AN500,0)=2,AL499,IF(MATCH(AL501,AK500:AN500,0)=3,AM499,AN499)))</f>
        <v>14-15</v>
      </c>
    </row>
    <row r="503" spans="3:40" x14ac:dyDescent="0.3">
      <c r="X503" t="str">
        <f>X502 &amp; " Year"</f>
        <v>Min Intangibles / Sales Year</v>
      </c>
      <c r="Y503">
        <f ca="1">VALUE(X498)+MATCH(Y502,X499:AB499,0)-1</f>
        <v>2012</v>
      </c>
      <c r="AK503" t="str">
        <f>"Min " &amp; AK498</f>
        <v>Min Change in Intagibles / Sales</v>
      </c>
      <c r="AL503">
        <f ca="1">MIN(AK500:AN500)</f>
        <v>-1.1752527518029021E-2</v>
      </c>
    </row>
    <row r="504" spans="3:40" x14ac:dyDescent="0.3">
      <c r="AK504" t="str">
        <f>AK503 &amp; " Year"</f>
        <v>Min Change in Intagibles / Sales Year</v>
      </c>
      <c r="AL504" t="str">
        <f ca="1">IF(MATCH(AL503,AK500:AN500,0)=1,AK499,IF(MATCH(AL503,AK500:AN500,0)=2,AL499,IF(MATCH(AL503,AK500:AN500,0)=3,AM499,AN499)))</f>
        <v>15-16</v>
      </c>
    </row>
    <row r="507" spans="3:40" x14ac:dyDescent="0.3">
      <c r="D507" t="str">
        <f t="shared" ref="D507:H508" si="155">D476</f>
        <v>2012</v>
      </c>
      <c r="E507" t="str">
        <f t="shared" si="155"/>
        <v>2013</v>
      </c>
      <c r="F507" t="str">
        <f t="shared" si="155"/>
        <v>2014</v>
      </c>
      <c r="G507" t="str">
        <f t="shared" si="155"/>
        <v>2015</v>
      </c>
      <c r="H507" t="str">
        <f t="shared" si="155"/>
        <v>2016</v>
      </c>
      <c r="I507" t="str">
        <f>"Average"</f>
        <v>Average</v>
      </c>
      <c r="J507" t="str">
        <f>"SD"</f>
        <v>SD</v>
      </c>
      <c r="K507" t="str">
        <f>D507</f>
        <v>2012</v>
      </c>
      <c r="L507" t="str">
        <f>E507</f>
        <v>2013</v>
      </c>
      <c r="M507" t="str">
        <f>F507</f>
        <v>2014</v>
      </c>
      <c r="N507" t="str">
        <f>G507</f>
        <v>2015</v>
      </c>
      <c r="O507" t="str">
        <f>H507</f>
        <v>2016</v>
      </c>
      <c r="P507" t="str">
        <f>"Max z Year"</f>
        <v>Max z Year</v>
      </c>
    </row>
    <row r="508" spans="3:40" x14ac:dyDescent="0.3">
      <c r="C508" t="str">
        <f>D475</f>
        <v>EOY ROIC</v>
      </c>
      <c r="D508">
        <f t="shared" ca="1" si="155"/>
        <v>-9.7940364083999257E-3</v>
      </c>
      <c r="E508">
        <f t="shared" ca="1" si="155"/>
        <v>5.1970874993388899E-2</v>
      </c>
      <c r="F508">
        <f t="shared" ca="1" si="155"/>
        <v>6.8690523307282397E-2</v>
      </c>
      <c r="G508">
        <f t="shared" ca="1" si="155"/>
        <v>3.3344780710720182E-2</v>
      </c>
      <c r="H508">
        <f t="shared" ca="1" si="155"/>
        <v>2.7276947645332214E-2</v>
      </c>
      <c r="I508">
        <f t="shared" ref="I508:I518" ca="1" si="156">AVERAGE(D508:H508)</f>
        <v>3.4297818049664752E-2</v>
      </c>
      <c r="J508">
        <f t="shared" ref="J508:J518" ca="1" si="157">STDEV(D508:H508)</f>
        <v>2.9535942712348329E-2</v>
      </c>
      <c r="K508">
        <f t="shared" ref="K508:K518" ca="1" si="158">(D508-I508)/J508</f>
        <v>-1.4928202863703024</v>
      </c>
      <c r="L508">
        <f t="shared" ref="L508:L518" ca="1" si="159">(E508-I508)/J508</f>
        <v>0.59835763888908922</v>
      </c>
      <c r="M508">
        <f t="shared" ref="M508:M518" ca="1" si="160">(F508-I508)/J508</f>
        <v>1.1644356705512844</v>
      </c>
      <c r="N508">
        <f t="shared" ref="N508:N518" ca="1" si="161">(G508-I508)/J508</f>
        <v>-3.2267036411406859E-2</v>
      </c>
      <c r="O508">
        <f t="shared" ref="O508:O518" ca="1" si="162">(H508-I508)/J508</f>
        <v>-0.23770598665866408</v>
      </c>
      <c r="P508">
        <f ca="1">K507 + MATCH(IF(MAX(MAX(K508:O508),ABS(MIN(K508:O508)))=ABS(MIN(K508:O508)), MIN(K508:O508),MAX(K508:O508)),K508:O508,0) - 1</f>
        <v>2012</v>
      </c>
    </row>
    <row r="509" spans="3:40" x14ac:dyDescent="0.3">
      <c r="C509" t="str">
        <f>J465</f>
        <v>EOY Pretax ROIC</v>
      </c>
      <c r="D509">
        <f ca="1">J467</f>
        <v>1.1226292560882452E-2</v>
      </c>
      <c r="E509">
        <f ca="1">K467</f>
        <v>7.5241601472618491E-2</v>
      </c>
      <c r="F509">
        <f ca="1">L467</f>
        <v>5.8552345995131615E-2</v>
      </c>
      <c r="G509">
        <f ca="1">M467</f>
        <v>4.2202043756649273E-2</v>
      </c>
      <c r="H509">
        <f ca="1">N467</f>
        <v>3.9077106620491082E-2</v>
      </c>
      <c r="I509">
        <f t="shared" ca="1" si="156"/>
        <v>4.5259878081154579E-2</v>
      </c>
      <c r="J509">
        <f t="shared" ca="1" si="157"/>
        <v>2.38822915453216E-2</v>
      </c>
      <c r="K509">
        <f t="shared" ca="1" si="158"/>
        <v>-1.4250552739332549</v>
      </c>
      <c r="L509">
        <f t="shared" ca="1" si="159"/>
        <v>1.2553955860796429</v>
      </c>
      <c r="M509">
        <f t="shared" ca="1" si="160"/>
        <v>0.55658259965346379</v>
      </c>
      <c r="N509">
        <f t="shared" ca="1" si="161"/>
        <v>-0.12803772697868762</v>
      </c>
      <c r="O509">
        <f t="shared" ca="1" si="162"/>
        <v>-0.25888518482116368</v>
      </c>
      <c r="P509">
        <f ca="1">K507 + MATCH(IF(MAX(MAX(K509:O509),ABS(MIN(K509:O509)))=ABS(MIN(K509:O509)), MIN(K509:O509),MAX(K509:O509)),K509:O509,0) - 1</f>
        <v>2012</v>
      </c>
    </row>
    <row r="510" spans="3:40" x14ac:dyDescent="0.3">
      <c r="C510" t="str">
        <f>J485</f>
        <v>Cash Tax Rate</v>
      </c>
      <c r="D510">
        <f ca="1">J487</f>
        <v>1.8724194880264244</v>
      </c>
      <c r="E510">
        <f ca="1">K487</f>
        <v>0.30928005284015853</v>
      </c>
      <c r="F510">
        <f ca="1">L487</f>
        <v>-0.17314724354501046</v>
      </c>
      <c r="G510">
        <f ca="1">M487</f>
        <v>0.20987758547910509</v>
      </c>
      <c r="H510">
        <f ca="1">N487</f>
        <v>0.30197115384615386</v>
      </c>
      <c r="I510">
        <f t="shared" ca="1" si="156"/>
        <v>0.50408020732936643</v>
      </c>
      <c r="J510">
        <f t="shared" ca="1" si="157"/>
        <v>0.78999046825085428</v>
      </c>
      <c r="K510">
        <f t="shared" ca="1" si="158"/>
        <v>1.7320959374696585</v>
      </c>
      <c r="L510">
        <f t="shared" ca="1" si="159"/>
        <v>-0.24658544921500355</v>
      </c>
      <c r="M510">
        <f t="shared" ca="1" si="160"/>
        <v>-0.85726028109408714</v>
      </c>
      <c r="N510">
        <f t="shared" ca="1" si="161"/>
        <v>-0.37241287543844137</v>
      </c>
      <c r="O510">
        <f t="shared" ca="1" si="162"/>
        <v>-0.25583733172212741</v>
      </c>
      <c r="P510">
        <f ca="1">K507 + MATCH(IF(MAX(MAX(K510:O510),ABS(MIN(K510:O510)))=ABS(MIN(K510:O510)), MIN(K510:O510),MAX(K510:O510)),K510:O510,0) - 1</f>
        <v>2012</v>
      </c>
    </row>
    <row r="511" spans="3:40" x14ac:dyDescent="0.3">
      <c r="C511" t="str">
        <f>Q460</f>
        <v>Operating Margin</v>
      </c>
      <c r="D511">
        <f ca="1">Q462</f>
        <v>1.2887468030690574E-2</v>
      </c>
      <c r="E511">
        <f ca="1">R462</f>
        <v>8.4662707838479803E-2</v>
      </c>
      <c r="F511">
        <f ca="1">S462</f>
        <v>6.919480519480517E-2</v>
      </c>
      <c r="G511">
        <f ca="1">T462</f>
        <v>5.4156171284634756E-2</v>
      </c>
      <c r="H511">
        <f ca="1">U462</f>
        <v>5.0791780821917806E-2</v>
      </c>
      <c r="I511">
        <f t="shared" ca="1" si="156"/>
        <v>5.4338586634105623E-2</v>
      </c>
      <c r="J511">
        <f t="shared" ca="1" si="157"/>
        <v>2.6791173439419932E-2</v>
      </c>
      <c r="K511">
        <f t="shared" ca="1" si="158"/>
        <v>-1.5471930969035048</v>
      </c>
      <c r="L511">
        <f t="shared" ca="1" si="159"/>
        <v>1.1318698403764558</v>
      </c>
      <c r="M511">
        <f t="shared" ca="1" si="160"/>
        <v>0.55451914393717594</v>
      </c>
      <c r="N511">
        <f t="shared" ca="1" si="161"/>
        <v>-6.8087853592282499E-3</v>
      </c>
      <c r="O511">
        <f t="shared" ca="1" si="162"/>
        <v>-0.13238710205089885</v>
      </c>
      <c r="P511">
        <f ca="1">K507 + MATCH(IF(MAX(MAX(K511:O511),ABS(MIN(K511:O511)))=ABS(MIN(K511:O511)), MIN(K511:O511),MAX(K511:O511)),K511:O511,0) - 1</f>
        <v>2012</v>
      </c>
    </row>
    <row r="512" spans="3:40" x14ac:dyDescent="0.3">
      <c r="C512" t="str">
        <f>Q488</f>
        <v>Invested Capital / Sales</v>
      </c>
      <c r="D512">
        <f ca="1">Q490</f>
        <v>1.1479718670076726</v>
      </c>
      <c r="E512">
        <f ca="1">R490</f>
        <v>1.1252114014251782</v>
      </c>
      <c r="F512">
        <f ca="1">S490</f>
        <v>1.1817597402597402</v>
      </c>
      <c r="G512">
        <f ca="1">T490</f>
        <v>1.2832594458438287</v>
      </c>
      <c r="H512">
        <f ca="1">U490</f>
        <v>1.2997835616438356</v>
      </c>
      <c r="I512">
        <f t="shared" ca="1" si="156"/>
        <v>1.2075972032360511</v>
      </c>
      <c r="J512">
        <f t="shared" ca="1" si="157"/>
        <v>7.9424925537180294E-2</v>
      </c>
      <c r="K512">
        <f t="shared" ca="1" si="158"/>
        <v>-0.75071315239026293</v>
      </c>
      <c r="L512">
        <f t="shared" ca="1" si="159"/>
        <v>-1.0372789304323191</v>
      </c>
      <c r="M512">
        <f t="shared" ca="1" si="160"/>
        <v>-0.32530673213179095</v>
      </c>
      <c r="N512">
        <f t="shared" ca="1" si="161"/>
        <v>0.95262591807352248</v>
      </c>
      <c r="O512">
        <f t="shared" ca="1" si="162"/>
        <v>1.1606728968808449</v>
      </c>
      <c r="P512">
        <f ca="1">K507 + MATCH(IF(MAX(MAX(K512:O512),ABS(MIN(K512:O512)))=ABS(MIN(K512:O512)), MIN(K512:O512),MAX(K512:O512)),K512:O512,0) - 1</f>
        <v>2016</v>
      </c>
    </row>
    <row r="513" spans="3:16" x14ac:dyDescent="0.3">
      <c r="C513" t="str">
        <f>X453</f>
        <v>Gross Margin</v>
      </c>
      <c r="D513">
        <f ca="1">X455</f>
        <v>0.27365728900255759</v>
      </c>
      <c r="E513">
        <f ca="1">Y455</f>
        <v>0.30166270783847982</v>
      </c>
      <c r="F513">
        <f ca="1">Z455</f>
        <v>0.30735930735930733</v>
      </c>
      <c r="G513">
        <f ca="1">AA455</f>
        <v>0.30478589420654911</v>
      </c>
      <c r="H513">
        <f ca="1">AB455</f>
        <v>0.30136986301369861</v>
      </c>
      <c r="I513">
        <f t="shared" ca="1" si="156"/>
        <v>0.2977670122841185</v>
      </c>
      <c r="J513">
        <f t="shared" ca="1" si="157"/>
        <v>1.3699567166482504E-2</v>
      </c>
      <c r="K513">
        <f t="shared" ca="1" si="158"/>
        <v>-1.7598894175684616</v>
      </c>
      <c r="L513">
        <f t="shared" ca="1" si="159"/>
        <v>0.28436632391514954</v>
      </c>
      <c r="M513">
        <f t="shared" ca="1" si="160"/>
        <v>0.70018964530919137</v>
      </c>
      <c r="N513">
        <f t="shared" ca="1" si="161"/>
        <v>0.5123433344378262</v>
      </c>
      <c r="O513">
        <f t="shared" ca="1" si="162"/>
        <v>0.26299011390629035</v>
      </c>
      <c r="P513">
        <f ca="1">K507 + MATCH(IF(MAX(MAX(K513:O513),ABS(MIN(K513:O513)))=ABS(MIN(K513:O513)), MIN(K513:O513),MAX(K513:O513)),K513:O513,0) - 1</f>
        <v>2012</v>
      </c>
    </row>
    <row r="514" spans="3:16" x14ac:dyDescent="0.3">
      <c r="C514" t="str">
        <f>X461</f>
        <v>SGA / Sales</v>
      </c>
      <c r="D514">
        <f ca="1">X463</f>
        <v>0.20951662404092072</v>
      </c>
      <c r="E514">
        <f ca="1">Y463</f>
        <v>0.18867220902612827</v>
      </c>
      <c r="F514">
        <f ca="1">Z463</f>
        <v>0.20134199134199135</v>
      </c>
      <c r="G514">
        <f ca="1">AA463</f>
        <v>0.21170277078085642</v>
      </c>
      <c r="H514">
        <f ca="1">AB463</f>
        <v>0.21132876712328766</v>
      </c>
      <c r="I514">
        <f t="shared" ca="1" si="156"/>
        <v>0.2045124724626369</v>
      </c>
      <c r="J514">
        <f t="shared" ca="1" si="157"/>
        <v>9.8001236229270199E-3</v>
      </c>
      <c r="K514">
        <f t="shared" ca="1" si="158"/>
        <v>0.51062127079466613</v>
      </c>
      <c r="L514">
        <f t="shared" ca="1" si="159"/>
        <v>-1.6163330225193209</v>
      </c>
      <c r="M514">
        <f t="shared" ca="1" si="160"/>
        <v>-0.32351440069881676</v>
      </c>
      <c r="N514">
        <f t="shared" ca="1" si="161"/>
        <v>0.73369465476926088</v>
      </c>
      <c r="O514">
        <f t="shared" ca="1" si="162"/>
        <v>0.6955314976542023</v>
      </c>
      <c r="P514">
        <f ca="1">K507 + MATCH(IF(MAX(MAX(K514:O514),ABS(MIN(K514:O514)))=ABS(MIN(K514:O514)), MIN(K514:O514),MAX(K514:O514)),K514:O514,0) - 1</f>
        <v>2013</v>
      </c>
    </row>
    <row r="515" spans="3:16" x14ac:dyDescent="0.3">
      <c r="C515" t="str">
        <f>X469</f>
        <v>Depreciation / Sales</v>
      </c>
      <c r="D515">
        <f ca="1">X471</f>
        <v>5.1253196930946293E-2</v>
      </c>
      <c r="E515">
        <f ca="1">Y471</f>
        <v>2.8327790973871735E-2</v>
      </c>
      <c r="F515">
        <f ca="1">Z471</f>
        <v>3.6822510822510819E-2</v>
      </c>
      <c r="G515">
        <f ca="1">AA471</f>
        <v>3.8926952141057937E-2</v>
      </c>
      <c r="H515">
        <f ca="1">AB471</f>
        <v>3.9249315068493149E-2</v>
      </c>
      <c r="I515">
        <f t="shared" ca="1" si="156"/>
        <v>3.8915953187375986E-2</v>
      </c>
      <c r="J515">
        <f t="shared" ca="1" si="157"/>
        <v>8.1977209379119429E-3</v>
      </c>
      <c r="K515">
        <f t="shared" ca="1" si="158"/>
        <v>1.5049602001593323</v>
      </c>
      <c r="L515">
        <f t="shared" ca="1" si="159"/>
        <v>-1.2915982739223595</v>
      </c>
      <c r="M515">
        <f t="shared" ca="1" si="160"/>
        <v>-0.25536882515525</v>
      </c>
      <c r="N515">
        <f t="shared" ca="1" si="161"/>
        <v>1.3417087218819861E-3</v>
      </c>
      <c r="O515">
        <f t="shared" ca="1" si="162"/>
        <v>4.0665190196395473E-2</v>
      </c>
      <c r="P515">
        <f ca="1">K507 + MATCH(IF(MAX(MAX(K515:O515),ABS(MIN(K515:O515)))=ABS(MIN(K515:O515)), MIN(K515:O515),MAX(K515:O515)),K515:O515,0) - 1</f>
        <v>2012</v>
      </c>
    </row>
    <row r="516" spans="3:16" x14ac:dyDescent="0.3">
      <c r="C516" t="str">
        <f>X481</f>
        <v>Op WC / Sales</v>
      </c>
      <c r="D516">
        <f ca="1">X483</f>
        <v>0.24296675191815856</v>
      </c>
      <c r="E516">
        <f ca="1">Y483</f>
        <v>0.18052256532066513</v>
      </c>
      <c r="F516">
        <f ca="1">Z483</f>
        <v>0.17532467532467533</v>
      </c>
      <c r="G516">
        <f ca="1">AA483</f>
        <v>0.16120906801007556</v>
      </c>
      <c r="H516">
        <f ca="1">AB483</f>
        <v>0.18630136986301371</v>
      </c>
      <c r="I516">
        <f t="shared" ca="1" si="156"/>
        <v>0.18926488608731765</v>
      </c>
      <c r="J516">
        <f t="shared" ca="1" si="157"/>
        <v>3.1426737814330231E-2</v>
      </c>
      <c r="K516">
        <f t="shared" ca="1" si="158"/>
        <v>1.7087954259876594</v>
      </c>
      <c r="L516">
        <f t="shared" ca="1" si="159"/>
        <v>-0.27818098137650543</v>
      </c>
      <c r="M516">
        <f t="shared" ca="1" si="160"/>
        <v>-0.44357803997988438</v>
      </c>
      <c r="N516">
        <f t="shared" ca="1" si="161"/>
        <v>-0.8927372049557416</v>
      </c>
      <c r="O516">
        <f t="shared" ca="1" si="162"/>
        <v>-9.4299199675526191E-2</v>
      </c>
      <c r="P516">
        <f ca="1">K507 + MATCH(IF(MAX(MAX(K516:O516),ABS(MIN(K516:O516)))=ABS(MIN(K516:O516)), MIN(K516:O516),MAX(K516:O516)),K516:O516,0) - 1</f>
        <v>2012</v>
      </c>
    </row>
    <row r="517" spans="3:16" x14ac:dyDescent="0.3">
      <c r="C517" t="str">
        <f>X489</f>
        <v>PPE / Sales</v>
      </c>
      <c r="D517">
        <f ca="1">X491</f>
        <v>0.17610485933503836</v>
      </c>
      <c r="E517">
        <f ca="1">Y491</f>
        <v>0.17984323040380049</v>
      </c>
      <c r="F517">
        <f ca="1">Z491</f>
        <v>0.15795021645021645</v>
      </c>
      <c r="G517">
        <f ca="1">AA491</f>
        <v>0.16235264483627204</v>
      </c>
      <c r="H517">
        <f ca="1">AB491</f>
        <v>0.16553698630136987</v>
      </c>
      <c r="I517">
        <f t="shared" ca="1" si="156"/>
        <v>0.16835758746533944</v>
      </c>
      <c r="J517">
        <f t="shared" ca="1" si="157"/>
        <v>9.2772398034632018E-3</v>
      </c>
      <c r="K517">
        <f t="shared" ca="1" si="158"/>
        <v>0.8350837138872772</v>
      </c>
      <c r="L517">
        <f t="shared" ca="1" si="159"/>
        <v>1.2380452787448104</v>
      </c>
      <c r="M517">
        <f t="shared" ca="1" si="160"/>
        <v>-1.1218176133851692</v>
      </c>
      <c r="N517">
        <f t="shared" ca="1" si="161"/>
        <v>-0.64727685780265642</v>
      </c>
      <c r="O517">
        <f t="shared" ca="1" si="162"/>
        <v>-0.30403452144425902</v>
      </c>
      <c r="P517">
        <f ca="1">K507 + MATCH(IF(MAX(MAX(K517:O517),ABS(MIN(K517:O517)))=ABS(MIN(K517:O517)), MIN(K517:O517),MAX(K517:O517)),K517:O517,0) - 1</f>
        <v>2013</v>
      </c>
    </row>
    <row r="518" spans="3:16" x14ac:dyDescent="0.3">
      <c r="C518" t="str">
        <f>X497</f>
        <v>Intangibles / Sales</v>
      </c>
      <c r="D518">
        <f ca="1">X499</f>
        <v>0.7289002557544757</v>
      </c>
      <c r="E518">
        <f ca="1">Y499</f>
        <v>0.76484560570071258</v>
      </c>
      <c r="F518">
        <f ca="1">Z499</f>
        <v>0.84848484848484851</v>
      </c>
      <c r="G518">
        <f ca="1">AA499</f>
        <v>0.95969773299748107</v>
      </c>
      <c r="H518">
        <f ca="1">AB499</f>
        <v>0.94794520547945205</v>
      </c>
      <c r="I518">
        <f t="shared" ca="1" si="156"/>
        <v>0.84997472968339394</v>
      </c>
      <c r="J518">
        <f t="shared" ca="1" si="157"/>
        <v>0.10433787341753907</v>
      </c>
      <c r="K518">
        <f t="shared" ca="1" si="158"/>
        <v>-1.1604077212155042</v>
      </c>
      <c r="L518">
        <f t="shared" ca="1" si="159"/>
        <v>-0.81589859170324297</v>
      </c>
      <c r="M518">
        <f t="shared" ca="1" si="160"/>
        <v>-1.4279390117366349E-2</v>
      </c>
      <c r="N518">
        <f t="shared" ca="1" si="161"/>
        <v>1.0516124176213355</v>
      </c>
      <c r="O518">
        <f t="shared" ca="1" si="162"/>
        <v>0.93897328541478009</v>
      </c>
      <c r="P518">
        <f ca="1">K507 + MATCH(IF(MAX(MAX(K518:O518),ABS(MIN(K518:O518)))=ABS(MIN(K518:O518)), MIN(K518:O518),MAX(K518:O518)),K518:O518,0) - 1</f>
        <v>2012</v>
      </c>
    </row>
    <row r="519" spans="3:16" x14ac:dyDescent="0.3">
      <c r="I519" t="str">
        <f>"Max SD"</f>
        <v>Max SD</v>
      </c>
      <c r="J519">
        <f ca="1">MAX(J508:J518)</f>
        <v>0.78999046825085428</v>
      </c>
    </row>
    <row r="520" spans="3:16" x14ac:dyDescent="0.3">
      <c r="I520" t="str">
        <f>"Max SD Item"</f>
        <v>Max SD Item</v>
      </c>
      <c r="J520" t="str">
        <f ca="1">INDIRECT("C" &amp; 507 + MATCH(J519,J508:J518,0))</f>
        <v>Cash Tax Rate</v>
      </c>
    </row>
    <row r="521" spans="3:16" x14ac:dyDescent="0.3">
      <c r="I521" t="str">
        <f>"Min SD"</f>
        <v>Min SD</v>
      </c>
      <c r="J521">
        <f ca="1">MIN(J508:J518)</f>
        <v>8.1977209379119429E-3</v>
      </c>
    </row>
    <row r="522" spans="3:16" x14ac:dyDescent="0.3">
      <c r="I522" t="str">
        <f>"Min SD Item"</f>
        <v>Min SD Item</v>
      </c>
      <c r="J522" t="str">
        <f ca="1">INDIRECT("C" &amp; 507 + MATCH(J521,J508:J518,0))</f>
        <v>Depreciation / Sales</v>
      </c>
    </row>
    <row r="523" spans="3:16" x14ac:dyDescent="0.3">
      <c r="C523" t="str">
        <f>"Correlation Analysis"</f>
        <v>Correlation Analysis</v>
      </c>
    </row>
    <row r="524" spans="3:16" x14ac:dyDescent="0.3">
      <c r="D524" t="str">
        <f>C528</f>
        <v>Operating Margin</v>
      </c>
      <c r="E524" t="str">
        <f>C529</f>
        <v>Invested Capital / Sales</v>
      </c>
      <c r="F524" t="str">
        <f>X453</f>
        <v>Gross Margin</v>
      </c>
      <c r="G524" t="str">
        <f>X461</f>
        <v>SGA / Sales</v>
      </c>
      <c r="H524" t="str">
        <f>X469</f>
        <v>Depreciation / Sales</v>
      </c>
      <c r="I524" t="str">
        <f>X481</f>
        <v>Op WC / Sales</v>
      </c>
      <c r="J524" t="str">
        <f>X489</f>
        <v>PPE / Sales</v>
      </c>
      <c r="K524" t="str">
        <f>X497</f>
        <v>Intangibles / Sales</v>
      </c>
      <c r="L524" t="str">
        <f>"Key Driver on correlation basis"</f>
        <v>Key Driver on correlation basis</v>
      </c>
    </row>
    <row r="525" spans="3:16" x14ac:dyDescent="0.3">
      <c r="C525" t="str">
        <f>C508</f>
        <v>EOY ROIC</v>
      </c>
      <c r="D525">
        <f ca="1">E482</f>
        <v>0.91608374611251842</v>
      </c>
      <c r="E525">
        <f ca="1">E483</f>
        <v>-4.6355005660096475E-2</v>
      </c>
      <c r="F525">
        <f ca="1">E484</f>
        <v>0.88340776502142793</v>
      </c>
      <c r="G525">
        <f ca="1">E485</f>
        <v>-0.57378221596516887</v>
      </c>
      <c r="H525">
        <f ca="1">E486</f>
        <v>-0.83163575795879729</v>
      </c>
      <c r="I525">
        <f ca="1">E487</f>
        <v>-0.79566820414978734</v>
      </c>
      <c r="J525">
        <f ca="1">E488</f>
        <v>-0.42974099303051783</v>
      </c>
      <c r="K525">
        <f ca="1">E489</f>
        <v>0.24258040328866184</v>
      </c>
    </row>
    <row r="526" spans="3:16" x14ac:dyDescent="0.3">
      <c r="C526" t="str">
        <f>C509</f>
        <v>EOY Pretax ROIC</v>
      </c>
      <c r="D526">
        <f ca="1">O468</f>
        <v>0.99239015790854257</v>
      </c>
      <c r="E526">
        <f ca="1">O469</f>
        <v>-0.20897519876626514</v>
      </c>
    </row>
    <row r="527" spans="3:16" x14ac:dyDescent="0.3">
      <c r="C527" t="str">
        <f>C510</f>
        <v>Cash Tax Rate</v>
      </c>
    </row>
    <row r="528" spans="3:16" x14ac:dyDescent="0.3">
      <c r="C528" t="str">
        <f>C511</f>
        <v>Operating Margin</v>
      </c>
      <c r="F528">
        <f ca="1">V463</f>
        <v>0.84867951292543797</v>
      </c>
      <c r="G528">
        <f ca="1">V464</f>
        <v>-0.72399455070242358</v>
      </c>
      <c r="H528">
        <f ca="1">V465</f>
        <v>-0.98434618733512946</v>
      </c>
      <c r="L528" t="str">
        <f ca="1">INDIRECT(ADDRESS(524,5+MATCH(IF(ABS(MAX(F528:H528))&gt;ABS(MIN(F528:H528)),MAX(F528:H528),MIN(F528:H528)),F528:H528,0)))</f>
        <v>Depreciation / Sales</v>
      </c>
    </row>
    <row r="529" spans="3:12" x14ac:dyDescent="0.3">
      <c r="C529" t="str">
        <f>C512</f>
        <v>Invested Capital / Sales</v>
      </c>
      <c r="I529">
        <f ca="1">V491</f>
        <v>-0.45246503307586006</v>
      </c>
      <c r="J529">
        <f ca="1">V492</f>
        <v>-0.62891728193389029</v>
      </c>
      <c r="K529">
        <f ca="1">V493</f>
        <v>0.95343175670022617</v>
      </c>
      <c r="L529" t="str">
        <f ca="1">INDIRECT(ADDRESS(524,8+MATCH(IF(ABS(MAX(I529:K529))&gt;ABS(MIN(I529:K529)),MAX(I529:K529),MIN(I529:K529)),I529:K529,0)))</f>
        <v>Intangibles / Sales</v>
      </c>
    </row>
    <row r="532" spans="3:12" x14ac:dyDescent="0.3">
      <c r="C532" t="str">
        <f>"Causation Analysis"</f>
        <v>Causation Analysis</v>
      </c>
    </row>
    <row r="533" spans="3:12" x14ac:dyDescent="0.3">
      <c r="D533" t="str">
        <f>C527</f>
        <v>Cash Tax Rate</v>
      </c>
      <c r="E533" t="str">
        <f>C536</f>
        <v>Operating Margin</v>
      </c>
      <c r="F533" t="str">
        <f>C537</f>
        <v>Invested Capital / Sales</v>
      </c>
      <c r="G533" t="str">
        <f t="shared" ref="G533:L533" si="163">F524</f>
        <v>Gross Margin</v>
      </c>
      <c r="H533" t="str">
        <f t="shared" si="163"/>
        <v>SGA / Sales</v>
      </c>
      <c r="I533" t="str">
        <f t="shared" si="163"/>
        <v>Depreciation / Sales</v>
      </c>
      <c r="J533" t="str">
        <f t="shared" si="163"/>
        <v>Op WC / Sales</v>
      </c>
      <c r="K533" t="str">
        <f t="shared" si="163"/>
        <v>PPE / Sales</v>
      </c>
      <c r="L533" t="str">
        <f t="shared" si="163"/>
        <v>Intangibles / Sales</v>
      </c>
    </row>
    <row r="534" spans="3:12" x14ac:dyDescent="0.3">
      <c r="C534" t="str">
        <f>C508</f>
        <v>EOY ROIC</v>
      </c>
      <c r="D534" t="str">
        <f ca="1">IF(AND(G478&lt;&gt;"Inconclusive Effect",G480&lt;&gt;"Inconclusive Effect"),G478 &amp; CHAR(10) &amp; ". " &amp;G480,IF(G478&lt;&gt;"Inconclusive Effect",G478,IF(G480&lt;&gt;"Inconclusive Effect",G480,"Inconclusive Effect")))</f>
        <v>Max ROIC in same year as Min Cash Tax
. Min ROIC in same year as Max Cash Tax</v>
      </c>
    </row>
    <row r="535" spans="3:12" x14ac:dyDescent="0.3">
      <c r="C535" t="str">
        <f>C509</f>
        <v>EOY Pretax ROIC</v>
      </c>
      <c r="E535" t="str">
        <f ca="1">IF(AND(M468&lt;&gt;"Inconclusive Effect",M470&lt;&gt;"Inconclusive Effect"),M468 &amp; CHAR(10) &amp; ". " &amp;M470,IF(M468&lt;&gt;"Inconclusive Effect",M468,IF(M470&lt;&gt;"Inconclusive Effect",M470,"Inconclusive Effect")))</f>
        <v>Max ROIC in same year as Max OM
. Min ROIC in same year as Min OM</v>
      </c>
      <c r="F535" t="str">
        <f ca="1">IF(AND(M469&lt;&gt;"Inconclusive Effect",M471&lt;&gt;"Inconclusive Effect"),M469 &amp; CHAR(10) &amp; ". " &amp;M471,IF(M469&lt;&gt;"Inconclusive Effect",M469,IF(M471&lt;&gt;"Inconclusive Effect",M471,"Inconclusive Effect")))</f>
        <v>Max ROIC in same year as Min IC</v>
      </c>
    </row>
    <row r="536" spans="3:12" x14ac:dyDescent="0.3">
      <c r="C536" t="str">
        <f>C511</f>
        <v>Operating Margin</v>
      </c>
      <c r="G536" t="str">
        <f ca="1">IF(AND(T463&lt;&gt;"Inconclusive Effect",T466&lt;&gt;"Inconclusive Effect"),T463 &amp; CHAR(10) &amp; ". " &amp;T466,IF(T463&lt;&gt;"Inconclusive Effect",T463,IF(T466&lt;&gt;"Inconclusive Effect",T466,"Inconclusive Effect")))</f>
        <v>Min OM in same year as Min GM</v>
      </c>
      <c r="H536" t="str">
        <f ca="1">IF(AND(T464&lt;&gt;"Inconclusive Effect",T467&lt;&gt;"Inconclusive Effect"),T464 &amp; CHAR(10) &amp; ". " &amp;T467,IF(T464&lt;&gt;"Inconclusive Effect",T464,IF(T467&lt;&gt;"Inconclusive Effect",T467,"Inconclusive Effect")))</f>
        <v>Max OM in same year as Min SGA</v>
      </c>
      <c r="I536" t="str">
        <f ca="1">IF(AND(T465&lt;&gt;"Inconclusive Effect",T468&lt;&gt;"Inconclusive Effect"),T465 &amp; CHAR(10) &amp; ". " &amp;T468,IF(T465&lt;&gt;"Inconclusive Effect",T465,IF(T468&lt;&gt;"Inconclusive Effect",T468,"Inconclusive Effect")))</f>
        <v>Max OM in same year as Min Depr
. Min OM in same year as Max Dep</v>
      </c>
    </row>
    <row r="537" spans="3:12" x14ac:dyDescent="0.3">
      <c r="C537" t="str">
        <f>C512</f>
        <v>Invested Capital / Sales</v>
      </c>
      <c r="J537" t="str">
        <f ca="1">IF(AND(T491&lt;&gt;"Inconclusive Effect",T494&lt;&gt;"Inconclusive Effect"),T491 &amp; CHAR(10) &amp; ". " &amp;T494,IF(T491&lt;&gt;"Inconclusive Effect",T491,IF(T494&lt;&gt;"Inconclusive Effect",T494,"Inconclusive Effect")))</f>
        <v>Inconclusive Effect</v>
      </c>
      <c r="K537" t="str">
        <f ca="1">IF(AND(T492&lt;&gt;"Inconclusive Effect",T495&lt;&gt;"Inconclusive Effect"),T492 &amp; CHAR(10) &amp; ". " &amp;T495,IF(T492&lt;&gt;"Inconclusive Effect",T492,IF(T495&lt;&gt;"Inconclusive Effect",T495,"Inconclusive Effect")))</f>
        <v>Inconclusive Effect</v>
      </c>
      <c r="L537" t="str">
        <f ca="1">IF(AND(T493&lt;&gt;"Inconclusive Effect",T496&lt;&gt;"Inconclusive Effect"),T493 &amp; CHAR(10) &amp; ". " &amp;T496,IF(T493&lt;&gt;"Inconclusive Effect",T493,IF(T496&lt;&gt;"Inconclusive Effect",T496,"Inconclusive Effect")))</f>
        <v>Inconclusive Effect</v>
      </c>
    </row>
    <row r="538" spans="3:12" x14ac:dyDescent="0.3">
      <c r="C538" t="str">
        <f>"Summary"</f>
        <v>Summary</v>
      </c>
      <c r="D538" t="str">
        <f ca="1">IF(D534&lt;&gt;"Inconclusive Effect",D534,"")</f>
        <v>Max ROIC in same year as Min Cash Tax
. Min ROIC in same year as Max Cash Tax</v>
      </c>
      <c r="E538" t="str">
        <f ca="1">IF(E535&lt;&gt;"Inconclusive Effect",E535,"")</f>
        <v>Max ROIC in same year as Max OM
. Min ROIC in same year as Min OM</v>
      </c>
      <c r="F538" t="str">
        <f ca="1">IF(F535&lt;&gt;"Inconclusive Effect",F535,"")</f>
        <v>Max ROIC in same year as Min IC</v>
      </c>
      <c r="G538" t="str">
        <f ca="1">IF(G536&lt;&gt;"Inconclusive Effect",G536,"")</f>
        <v>Min OM in same year as Min GM</v>
      </c>
      <c r="H538" t="str">
        <f ca="1">IF(H536&lt;&gt;"Inconclusive Effect",H536,"")</f>
        <v>Max OM in same year as Min SGA</v>
      </c>
      <c r="I538" t="str">
        <f ca="1">IF(I536&lt;&gt;"Inconclusive Effect",I536,"")</f>
        <v>Max OM in same year as Min Depr
. Min OM in same year as Max Dep</v>
      </c>
      <c r="J538" t="str">
        <f ca="1">IF(J537&lt;&gt;"Inconclusive Effect",J537,"")</f>
        <v/>
      </c>
      <c r="K538" t="str">
        <f ca="1">IF(K537&lt;&gt;"Inconclusive Effect",K537,"")</f>
        <v/>
      </c>
      <c r="L538" t="str">
        <f ca="1">IF(L537&lt;&gt;"Inconclusive Effect",L537,"")</f>
        <v/>
      </c>
    </row>
    <row r="540" spans="3:12" x14ac:dyDescent="0.3">
      <c r="C540" t="e">
        <f ca="1">_xludf.TEXTJOIN(". ",TRUE,D538:L538)</f>
        <v>#NAME?</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H540"/>
  <sheetViews>
    <sheetView topLeftCell="B1" workbookViewId="0"/>
  </sheetViews>
  <sheetFormatPr defaultRowHeight="14.4" x14ac:dyDescent="0.3"/>
  <cols>
    <col min="1" max="1" width="0" hidden="1" customWidth="1"/>
    <col min="2" max="7" width="20.6640625" customWidth="1"/>
  </cols>
  <sheetData>
    <row r="1" spans="1:16" x14ac:dyDescent="0.3">
      <c r="B1" t="s">
        <v>0</v>
      </c>
      <c r="C1" t="s">
        <v>4481</v>
      </c>
      <c r="D1" t="str">
        <f>TRIM(IFERROR(IFERROR(IFERROR(IFERROR(IFERROR(IFERROR(IFERROR(REPLACE(LEFT(C1,FIND("(",C1) - 2), FIND("PLC",UPPER(LEFT(C1,FIND("(",C1) - 2))),3,"" ), REPLACE(LEFT(C1,FIND("(",C1) - 2), FIND(", INC.",UPPER(LEFT(C1,FIND("(",C1) - 2))),6,"" )), REPLACE(LEFT(C1,FIND("(",C1) - 2), FIND("CORPORATION",UPPER(LEFT(C1,FIND("(",C1) - 2))),11,"" )),REPLACE(LEFT(C1,FIND("(",C1) - 2), FIND("CORP.",UPPER(LEFT(C1,FIND("(",C1) - 2))),5,"" )), REPLACE(LEFT(C1,FIND("(",C1) - 2), FIND("COMPANY",UPPER(LEFT(C1,FIND("(",C1) - 2))),7,"" )),REPLACE(LEFT(C1,FIND("(",C1) - 2), FIND("INC.",UPPER(LEFT(C1,FIND("(",C1) - 2))),4,"" )),REPLACE(LEFT(C1,FIND("(",C1) - 2), FIND("CORP",UPPER(LEFT(C1,FIND("(",C1) - 2))),4,"" )),LEFT(C1,FIND("(",C1) - 2)))</f>
        <v>DBV Technologies S.A.</v>
      </c>
    </row>
    <row r="2" spans="1:16" x14ac:dyDescent="0.3">
      <c r="B2" t="s">
        <v>2</v>
      </c>
      <c r="C2" t="s">
        <v>4482</v>
      </c>
      <c r="K2" t="str">
        <f>LEFT(C1,FIND("(",C1) - 2)</f>
        <v>DBV Technologies S.A.</v>
      </c>
    </row>
    <row r="3" spans="1:16" x14ac:dyDescent="0.3">
      <c r="J3">
        <f ca="1">RANDBETWEEN(1,6)</f>
        <v>5</v>
      </c>
      <c r="K3" t="str">
        <f>" is scheduled to report earnings "&amp;IFERROR("between "&amp;LEFT(C20,FIND("-",C20)-2)&amp;" and "&amp;RIGHT(C20,FIND("-",C20)-2),"on "&amp;C20)</f>
        <v xml:space="preserve"> is scheduled to report earnings on Jul 28, 2017</v>
      </c>
      <c r="L3" t="str">
        <f>" is slated to report earnings "&amp;IFERROR("between "&amp;LEFT(C20,FIND("-",C20)-2)&amp;" and "&amp;RIGHT(C20,FIND("-",C20)-2),"on "&amp;C20)</f>
        <v xml:space="preserve"> is slated to report earnings on Jul 28, 2017</v>
      </c>
      <c r="M3" t="str">
        <f>" will report earnings "&amp;IFERROR("between "&amp;LEFT(C20,FIND("-",C20)-2)&amp;" and "&amp;RIGHT(C20,FIND("-",C20)-2),"on "&amp;C20)</f>
        <v xml:space="preserve"> will report earnings on Jul 28, 2017</v>
      </c>
      <c r="N3" t="str">
        <f>" reports earnings "&amp;IFERROR("between "&amp;LEFT(C20,FIND("-",C20)-2)&amp;" and "&amp;RIGHT(C20,FIND("-",C20)-2),"on "&amp;C20)</f>
        <v xml:space="preserve"> reports earnings on Jul 28, 2017</v>
      </c>
      <c r="O3" t="str">
        <f>" plans to report earnings "&amp;IFERROR("between "&amp;LEFT(C20,FIND("-",C20)-2)&amp;" and "&amp;RIGHT(C20,FIND("-",C20)-2),"on "&amp;C20)</f>
        <v xml:space="preserve"> plans to report earnings on Jul 28, 2017</v>
      </c>
      <c r="P3" t="str">
        <f>" is going to report earnings "&amp;IFERROR("between "&amp;LEFT(C20,FIND("-",C20)-2)&amp;" and "&amp;RIGHT(C20,FIND("-",C20)-2),"on "&amp;C20)</f>
        <v xml:space="preserve"> is going to report earnings on Jul 28, 2017</v>
      </c>
    </row>
    <row r="4" spans="1:16" x14ac:dyDescent="0.3">
      <c r="B4" t="s">
        <v>4</v>
      </c>
      <c r="J4">
        <f ca="1">RANDBETWEEN(1,2)</f>
        <v>2</v>
      </c>
      <c r="K4" t="str">
        <f>"The stock is currently trading at " &amp; TEXT(C2,"$####.00") &amp; ", " &amp; IF(C2-C7=0, "at the same price" &amp; " after opening " &amp; IF(C8-C7=0, "at the same price as yesterday's close", IF(C8-C7&gt;0, "up " &amp; IF((C7-C8)/C7*-1 &lt;0.01, "slightly", TEXT((C7-C8)/C7*-1,"##.##%")) &amp; " over yesterday's close", IF((C7-C8)/C7 &lt;0.01, "slightly below", "down " &amp; TEXT((C7-C8)/C7*1,"##.##%") &amp; " from") &amp; " yesterday's close")), IF(C2-C7&gt;0, "up " &amp; TEXT((C7-C2)/C7*-1,"##.##%") &amp; " after opening " &amp; IF(C8-C7=0, "at the same price as yesterday's close", IF(C8-C7&gt;0, "up " &amp; IF((C7-C8)/C7*-1 &lt;0.01, "slightly", TEXT((C7-C8)/C7*-1,"##.##%")) &amp; " over yesterday's close", IF((C7-C8)/C7 &lt;0.01, "slightly below", "down " &amp; TEXT((C7-C8)/C7*1,"##.##%") &amp; " from") &amp; " yesterday's close")), "down " &amp; TEXT((C7-C2)/C7*1,"##.##%") &amp; " after opening " &amp; IF(C8-C7=0, "at the same price as yesterday's close", IF(C8-C7&gt;0, "up " &amp; IF((C7-C8)/C7*-1 &lt;0.01, "slightly", TEXT((C7-C8)/C7*-1,"##.##%")) &amp; " over yesterday's close", IF((C7-C8)/C7 &lt;0.01, "slightly below", "down " &amp; TEXT((C7-C8)/C7*1,"##.##%") &amp; " from") &amp; " yesterday's close")) ))</f>
        <v>The stock is currently trading at $75.42, down .29% after opening up slightly over yesterday's close</v>
      </c>
      <c r="L4" t="str">
        <f>"The current stock price is " &amp; TEXT(C2,"$####.00") &amp; ", " &amp; IF(C2-C7=0, "at the same price" &amp; " after opening " &amp; IF(C8-C7=0, "at the same price as yesterday's closing price", IF(C8-C7&gt;0, "up " &amp; IF((C7-C8)/C7*-1 &lt;0.01, "a fraction", TEXT((C7-C8)/C7*-1,"##.##%")) &amp; " over yesterday's closing price", IF((C7-C8)/C7 &lt;0.01, "a bit below", "down " &amp; TEXT((C7-C8)/C7*1,"##.##%") &amp; " from") &amp; " yesterday's closing price")), IF(C2-C7&gt;0, "up " &amp; TEXT((C7-C2)/C7*-1,"##.##%") &amp; " after opening " &amp; IF(C8-C7=0, "at yesterday's closing price", IF(C8-C7&gt;0, "up " &amp; IF((C7-C8)/C7*-1 &lt;0.01, "a fraction", TEXT((C7-C8)/C7*-1,"##.##%")) &amp; " over yesterday's closing price", IF((C7-C8)/C7 &lt;0.01, "a bit below", "down " &amp; TEXT((C7-C8)/C7*1,"##.##%") &amp; " from") &amp; " yesterday's closing price")), "down " &amp; TEXT((C7-C2)/C7*1,"##.##%") &amp; " after opening " &amp; IF(C8-C7=0, "at yesterday's closing price", IF(C8-C7&gt;0, "up " &amp; IF((C7-C8)/C7*-1 &lt;0.01, "a fraction", TEXT((C7-C8)/C7*-1,"##.##%")) &amp; " over yesterday's closing price", IF((C7-C8)/C7 &lt;0.01, "a bit below", "down " &amp; TEXT((C7-C8)/C7*1,"##.##%") &amp; " from") &amp; " yesterday's closing price")) ))</f>
        <v>The current stock price is $75.42, down .29% after opening up a fraction over yesterday's closing price</v>
      </c>
    </row>
    <row r="5" spans="1:16" x14ac:dyDescent="0.3">
      <c r="J5">
        <f ca="1">RANDBETWEEN(1,2)</f>
        <v>1</v>
      </c>
      <c r="K5" t="str">
        <f>"The one year target estimate for " &amp; D1 &amp; " is " &amp; TEXT(C23,"$####.00")</f>
        <v>The one year target estimate for DBV Technologies S.A. is $98.13</v>
      </c>
      <c r="L5" t="str">
        <f>D1 &amp; " is expected to be trading at " &amp; TEXT(C23, "$####.00") &amp; ", based on target estimates"</f>
        <v>DBV Technologies S.A. is expected to be trading at $98.13, based on target estimates</v>
      </c>
    </row>
    <row r="6" spans="1:16" x14ac:dyDescent="0.3">
      <c r="K6" t="str">
        <f>" which would be " &amp; IF(OR(LEFT(ABS((C23-C2)/C2*100),1)="8",LEFT(ABS((C23-C2)/C2*100),2)="18"), "an ", "a ")  &amp;TEXT(ABS((C23-C2)/C2),"####.00%")&amp;IF((C23-C2)&gt;0," increase over"," decrease from")&amp;" the current price"</f>
        <v xml:space="preserve"> which would be a 30.11% increase over the current price</v>
      </c>
    </row>
    <row r="7" spans="1:16" x14ac:dyDescent="0.3">
      <c r="A7" s="1">
        <v>0</v>
      </c>
      <c r="B7" t="s">
        <v>5</v>
      </c>
      <c r="C7" t="s">
        <v>4483</v>
      </c>
      <c r="K7" t="str">
        <f>"Earnings are expected to " &amp; IF(C28=D28, "remain constant over the next quarter", IF( D28&gt;C28,  "increase by " &amp; TEXT((D28-C28)/C28*100,"##.##") &amp; "% over last quarter", "decrease by " &amp; TEXT((D28-C28)/C28*-100,"##.##") &amp; "% from last quarter")) &amp; " based on the average of " &amp; $C$27 &amp; " analyst estimates (Yahoo Finance)"</f>
        <v>Earnings are expected to remain constant over the next quarter based on the average of  analyst estimates (Yahoo Finance)</v>
      </c>
    </row>
    <row r="8" spans="1:16" x14ac:dyDescent="0.3">
      <c r="A8" s="1">
        <v>1</v>
      </c>
      <c r="B8" t="s">
        <v>7</v>
      </c>
      <c r="C8" t="s">
        <v>4484</v>
      </c>
      <c r="K8" t="str">
        <f>IF(VALUE(C2)=D12, "The stock is trading at an all-time low",IF(VALUE(C2) =E12,"The stock is trading at an all-time high",IF(VALUE(C2)&lt;D12+(E12-D12)/3, "The stock is trading in the low end of its 52-week range",IF(VALUE(C2)&lt;D12+2*(E12-D12)/3, "The stock is trading near the middle of its 52 week range", "The stock is trading in the high end of its 52-week range"))) )</f>
        <v>The stock is trading in the high end of its 52-week range</v>
      </c>
    </row>
    <row r="9" spans="1:16" x14ac:dyDescent="0.3">
      <c r="A9" s="1">
        <v>2</v>
      </c>
      <c r="B9" t="s">
        <v>9</v>
      </c>
      <c r="C9" t="s">
        <v>4485</v>
      </c>
      <c r="K9" t="str">
        <f>"Over the last 4 quarters, there" &amp; IF(4 - COUNTIF(C45:F45,"-*")=1, " has"," have") &amp; " been" &amp; IF(4 - COUNTIF(C45:F45,"-*")=1, " a,","") &amp; " positive earnings surprise" &amp; IF(4 - COUNTIF(C45:F45,"-*")=1, " ","s ") &amp; 4 -COUNTIF(C45:F45,"-*") &amp; IF(4 - COUNTIF(C45:F45,"-*")=1, " time,"," times,") &amp; " and a negative earnings surprise " &amp; COUNTIF(C45:F45,"-*") &amp; IF(COUNTIF(C45:F45,"-*")=1, " time", " times")</f>
        <v>Over the last 4 quarters, there have been positive earnings surprises 4 times, and a negative earnings surprise 0 times</v>
      </c>
    </row>
    <row r="10" spans="1:16" x14ac:dyDescent="0.3">
      <c r="A10" s="1">
        <v>3</v>
      </c>
      <c r="B10" t="s">
        <v>11</v>
      </c>
      <c r="C10" t="s">
        <v>4486</v>
      </c>
      <c r="K10" t="str">
        <f>IF(F48=F52,"",IF(F48&gt;F52, "EPS estimates have increased by " &amp; TEXT(F48-F52,"$0.00") &amp; " in the 2 months leading up to the earnings report", "EPS estimates have decreased by " &amp; TEXT(ABS(F48-F52),"$0.00") &amp; " in the 2 months leading up to the earnings report"))</f>
        <v>EPS estimates have decreased by $0.22 in the 2 months leading up to the earnings report</v>
      </c>
    </row>
    <row r="11" spans="1:16" x14ac:dyDescent="0.3">
      <c r="A11" s="1">
        <v>4</v>
      </c>
      <c r="B11" t="s">
        <v>12</v>
      </c>
      <c r="C11" t="s">
        <v>4487</v>
      </c>
      <c r="K11" t="str">
        <f>IF(B145="Interest Income",U42, K42)</f>
        <v>No positive trends</v>
      </c>
    </row>
    <row r="12" spans="1:16" x14ac:dyDescent="0.3">
      <c r="A12" s="1">
        <v>5</v>
      </c>
      <c r="B12" t="s">
        <v>14</v>
      </c>
      <c r="C12" t="s">
        <v>4488</v>
      </c>
      <c r="D12" t="str">
        <f>LEFT(C12,FIND("-",C12)-2)</f>
        <v>58.20</v>
      </c>
      <c r="E12" t="str">
        <f>TRIM(RIGHT(C12,FIND("-",C12)-1))</f>
        <v>77.50</v>
      </c>
      <c r="K12" t="str">
        <f ca="1">D78</f>
        <v>Inconclusive</v>
      </c>
    </row>
    <row r="13" spans="1:16" x14ac:dyDescent="0.3">
      <c r="A13" s="1">
        <v>6</v>
      </c>
      <c r="B13" t="s">
        <v>16</v>
      </c>
      <c r="C13" t="s">
        <v>4489</v>
      </c>
      <c r="K13" t="str">
        <f ca="1">D89</f>
        <v>Inconclusive</v>
      </c>
    </row>
    <row r="14" spans="1:16" x14ac:dyDescent="0.3">
      <c r="A14" s="1">
        <v>7</v>
      </c>
      <c r="B14" t="s">
        <v>18</v>
      </c>
      <c r="C14" t="s">
        <v>4490</v>
      </c>
    </row>
    <row r="16" spans="1:16" x14ac:dyDescent="0.3">
      <c r="A16" s="1">
        <v>0</v>
      </c>
      <c r="B16" t="s">
        <v>20</v>
      </c>
      <c r="C16" t="s">
        <v>614</v>
      </c>
    </row>
    <row r="17" spans="1:23" x14ac:dyDescent="0.3">
      <c r="A17" s="1">
        <v>1</v>
      </c>
      <c r="B17" t="s">
        <v>22</v>
      </c>
      <c r="C17" t="s">
        <v>4491</v>
      </c>
      <c r="K17" t="str">
        <f ca="1">K2 &amp; IF(J3=1, K3,IF(J3=2,L3,IF(J3=3,M3,IF(J3=4,N3,IF(J3=5,O3,IF(J3=6,P3)))))) &amp; ". " &amp; IF(J4=1,K4,IF(J4=2,L4)) &amp; ". " &amp; IF(J5=1,K5,IF(J5=2,L5)) &amp; K6 &amp; ". " &amp; K7 &amp; ". " &amp; K8 &amp; ". " &amp; K9 &amp; "."</f>
        <v>DBV Technologies S.A. plans to report earnings on Jul 28, 2017. The current stock price is $75.42, down .29% after opening up a fraction over yesterday's closing price. The one year target estimate for DBV Technologies S.A. is $98.13 which would be a 30.11% increase over the current price. Earnings are expected to remain constant over the next quarter based on the average of  analyst estimates (Yahoo Finance). The stock is trading in the high end of its 52-week range. Over the last 4 quarters, there have been positive earnings surprises 4 times, and a negative earnings surprise 0 times.</v>
      </c>
    </row>
    <row r="18" spans="1:23" x14ac:dyDescent="0.3">
      <c r="A18" s="1">
        <v>2</v>
      </c>
      <c r="B18" t="s">
        <v>24</v>
      </c>
      <c r="C18" t="s">
        <v>4492</v>
      </c>
    </row>
    <row r="19" spans="1:23" x14ac:dyDescent="0.3">
      <c r="A19" s="1">
        <v>3</v>
      </c>
      <c r="B19" t="s">
        <v>26</v>
      </c>
      <c r="C19" t="s">
        <v>4493</v>
      </c>
    </row>
    <row r="20" spans="1:23" x14ac:dyDescent="0.3">
      <c r="A20" s="1">
        <v>4</v>
      </c>
      <c r="B20" t="s">
        <v>28</v>
      </c>
      <c r="C20" t="s">
        <v>29</v>
      </c>
    </row>
    <row r="21" spans="1:23" x14ac:dyDescent="0.3">
      <c r="A21" s="1">
        <v>5</v>
      </c>
      <c r="B21" t="s">
        <v>30</v>
      </c>
      <c r="C21" t="s">
        <v>3158</v>
      </c>
    </row>
    <row r="22" spans="1:23" x14ac:dyDescent="0.3">
      <c r="A22" s="1">
        <v>6</v>
      </c>
      <c r="B22" t="s">
        <v>32</v>
      </c>
      <c r="J22">
        <f>IF(K22 &lt;&gt; "",1, 0)</f>
        <v>0</v>
      </c>
      <c r="K22" t="str">
        <f>IF(I145="pos_trend","Revenue","")</f>
        <v/>
      </c>
      <c r="L22" t="str">
        <f t="shared" ref="L22:L38" si="0">IF(EXACT(K22,UPPER(K22)),K22,LOWER(K22))</f>
        <v/>
      </c>
      <c r="M22" t="str">
        <f>L22</f>
        <v/>
      </c>
      <c r="T22">
        <f>IF(U22 &lt;&gt; "",1, 0)</f>
        <v>0</v>
      </c>
      <c r="U22" t="str">
        <f>IF(AND(B145 = "Interest Income",I145="pos_trend"), "Interest Income","")</f>
        <v/>
      </c>
      <c r="V22" t="str">
        <f t="shared" ref="V22:V38" si="1">IF(EXACT(U22,UPPER(U22)),U22,LOWER(U22))</f>
        <v/>
      </c>
      <c r="W22" t="str">
        <f>V22</f>
        <v/>
      </c>
    </row>
    <row r="23" spans="1:23" x14ac:dyDescent="0.3">
      <c r="A23" s="1">
        <v>7</v>
      </c>
      <c r="B23" t="s">
        <v>34</v>
      </c>
      <c r="C23" t="s">
        <v>4494</v>
      </c>
      <c r="J23">
        <f>IF(K23 &lt;&gt; "",2, 0)</f>
        <v>0</v>
      </c>
      <c r="K23" t="str">
        <f>IF(I146="pos_trend",B146,"")</f>
        <v/>
      </c>
      <c r="L23" t="str">
        <f t="shared" si="0"/>
        <v/>
      </c>
      <c r="M23" t="str">
        <f t="shared" ref="M23:M39" si="2">IF(L23&lt;&gt;"", M22 &amp; ", " &amp; L23,M22)</f>
        <v/>
      </c>
      <c r="T23">
        <f>IF(U23 &lt;&gt; "",2, 0)</f>
        <v>0</v>
      </c>
      <c r="U23" t="str">
        <f>IF(I151="pos_trend",B151,"")</f>
        <v/>
      </c>
      <c r="V23" t="str">
        <f t="shared" si="1"/>
        <v/>
      </c>
      <c r="W23" t="str">
        <f t="shared" ref="W23:W39" si="3">IF(V23&lt;&gt;"", W22 &amp; ", " &amp; V23,W22)</f>
        <v/>
      </c>
    </row>
    <row r="24" spans="1:23" x14ac:dyDescent="0.3">
      <c r="J24">
        <f>IF(K24 &lt;&gt; "",3, 0)</f>
        <v>0</v>
      </c>
      <c r="K24" t="str">
        <f>IF(I153="pos_trend",B153,"")</f>
        <v/>
      </c>
      <c r="L24" t="str">
        <f t="shared" si="0"/>
        <v/>
      </c>
      <c r="M24" t="str">
        <f t="shared" si="2"/>
        <v/>
      </c>
      <c r="T24">
        <f>IF(U24 &lt;&gt; "",3, 0)</f>
        <v>0</v>
      </c>
      <c r="U24" t="str">
        <f>IF(I161="pos_trend",B161,"")</f>
        <v/>
      </c>
      <c r="V24" t="str">
        <f t="shared" si="1"/>
        <v/>
      </c>
      <c r="W24" t="str">
        <f t="shared" si="3"/>
        <v/>
      </c>
    </row>
    <row r="25" spans="1:23" x14ac:dyDescent="0.3">
      <c r="J25">
        <f>IF(K25 &lt;&gt; "",4, 0)</f>
        <v>0</v>
      </c>
      <c r="K25" t="str">
        <f>IF(I154="pos_trend",B154,"")</f>
        <v/>
      </c>
      <c r="L25" t="str">
        <f t="shared" si="0"/>
        <v/>
      </c>
      <c r="M25" t="str">
        <f t="shared" si="2"/>
        <v/>
      </c>
      <c r="T25">
        <f>IF(U25 &lt;&gt; "",4, 0)</f>
        <v>0</v>
      </c>
      <c r="U25" t="str">
        <f>IF(I162="pos_trend",B162,"")</f>
        <v/>
      </c>
      <c r="V25" t="str">
        <f t="shared" si="1"/>
        <v/>
      </c>
      <c r="W25" t="str">
        <f t="shared" si="3"/>
        <v/>
      </c>
    </row>
    <row r="26" spans="1:23" x14ac:dyDescent="0.3">
      <c r="B26" s="1" t="s">
        <v>36</v>
      </c>
      <c r="C26" s="1" t="s">
        <v>4495</v>
      </c>
      <c r="D26" s="1" t="s">
        <v>4496</v>
      </c>
      <c r="E26" s="1" t="s">
        <v>4497</v>
      </c>
      <c r="F26" s="1" t="s">
        <v>4498</v>
      </c>
      <c r="J26">
        <f>IF(K26 &lt;&gt; "",5, 0)</f>
        <v>0</v>
      </c>
      <c r="K26" t="str">
        <f>IF(I155="pos_trend",B155,"")</f>
        <v/>
      </c>
      <c r="L26" t="str">
        <f t="shared" si="0"/>
        <v/>
      </c>
      <c r="M26" t="str">
        <f t="shared" si="2"/>
        <v/>
      </c>
      <c r="T26">
        <f>IF(U26 &lt;&gt; "",5, 0)</f>
        <v>0</v>
      </c>
      <c r="U26" t="str">
        <f>IF(I167="pos_trend",B167,"")</f>
        <v/>
      </c>
      <c r="V26" t="str">
        <f t="shared" si="1"/>
        <v/>
      </c>
      <c r="W26" t="str">
        <f t="shared" si="3"/>
        <v/>
      </c>
    </row>
    <row r="27" spans="1:23" x14ac:dyDescent="0.3">
      <c r="A27" s="1">
        <v>0</v>
      </c>
      <c r="B27" t="s">
        <v>41</v>
      </c>
      <c r="F27">
        <v>6</v>
      </c>
      <c r="J27">
        <f>IF(K27 &lt;&gt; "",6, 0)</f>
        <v>0</v>
      </c>
      <c r="K27" t="str">
        <f>IF(I172="pos_trend",B172,"")</f>
        <v/>
      </c>
      <c r="L27" t="str">
        <f t="shared" si="0"/>
        <v/>
      </c>
      <c r="M27" t="str">
        <f t="shared" si="2"/>
        <v/>
      </c>
      <c r="T27">
        <f>IF(U27 &lt;&gt; "",6, 0)</f>
        <v>0</v>
      </c>
      <c r="U27" t="str">
        <f>IF(I170="pos_trend",B170,"")</f>
        <v/>
      </c>
      <c r="V27" t="str">
        <f t="shared" si="1"/>
        <v/>
      </c>
      <c r="W27" t="str">
        <f t="shared" si="3"/>
        <v/>
      </c>
    </row>
    <row r="28" spans="1:23" x14ac:dyDescent="0.3">
      <c r="A28" s="1">
        <v>1</v>
      </c>
      <c r="B28" t="s">
        <v>42</v>
      </c>
      <c r="F28">
        <v>-4.88</v>
      </c>
      <c r="J28">
        <f>IF(K28 &lt;&gt; "",7, 0)</f>
        <v>0</v>
      </c>
      <c r="K28" t="str">
        <f>IF(I173="pos_trend",B173,"")</f>
        <v/>
      </c>
      <c r="L28" t="str">
        <f t="shared" si="0"/>
        <v/>
      </c>
      <c r="M28" t="str">
        <f t="shared" si="2"/>
        <v/>
      </c>
      <c r="T28">
        <f>IF(U28 &lt;&gt; "",7, 0)</f>
        <v>0</v>
      </c>
      <c r="U28" t="str">
        <f>IF(I171="pos_trend",B171,"")</f>
        <v/>
      </c>
      <c r="V28" t="str">
        <f t="shared" si="1"/>
        <v/>
      </c>
      <c r="W28" t="str">
        <f t="shared" si="3"/>
        <v/>
      </c>
    </row>
    <row r="29" spans="1:23" x14ac:dyDescent="0.3">
      <c r="A29" s="1">
        <v>2</v>
      </c>
      <c r="B29" t="s">
        <v>43</v>
      </c>
      <c r="F29">
        <v>-6.31</v>
      </c>
      <c r="J29">
        <f>IF(K29 &lt;&gt; "",8, 0)</f>
        <v>0</v>
      </c>
      <c r="K29" t="str">
        <f>IF(I174="pos_trend",B174,"")</f>
        <v/>
      </c>
      <c r="L29" t="str">
        <f t="shared" si="0"/>
        <v/>
      </c>
      <c r="M29" t="str">
        <f t="shared" si="2"/>
        <v/>
      </c>
      <c r="T29">
        <f>IF(U29 &lt;&gt; "",8, 0)</f>
        <v>0</v>
      </c>
      <c r="U29" t="str">
        <f>IF(I172="pos_trend",B172,"")</f>
        <v/>
      </c>
      <c r="V29" t="str">
        <f t="shared" si="1"/>
        <v/>
      </c>
      <c r="W29" t="str">
        <f t="shared" si="3"/>
        <v/>
      </c>
    </row>
    <row r="30" spans="1:23" x14ac:dyDescent="0.3">
      <c r="A30" s="1">
        <v>3</v>
      </c>
      <c r="B30" t="s">
        <v>44</v>
      </c>
      <c r="F30">
        <v>-3.43</v>
      </c>
      <c r="J30">
        <f>IF(K30 &lt;&gt; "",9, 0)</f>
        <v>0</v>
      </c>
      <c r="K30" t="str">
        <f>IF(I185="pos_trend",B185,"")</f>
        <v/>
      </c>
      <c r="L30" t="str">
        <f t="shared" si="0"/>
        <v/>
      </c>
      <c r="M30" t="str">
        <f t="shared" si="2"/>
        <v/>
      </c>
      <c r="T30">
        <f>IF(U30 &lt;&gt; "",9, 0)</f>
        <v>0</v>
      </c>
      <c r="U30" t="str">
        <f>IF(I178="pos_trend",B178,"")</f>
        <v/>
      </c>
      <c r="V30" t="str">
        <f t="shared" si="1"/>
        <v/>
      </c>
      <c r="W30" t="str">
        <f t="shared" si="3"/>
        <v/>
      </c>
    </row>
    <row r="31" spans="1:23" x14ac:dyDescent="0.3">
      <c r="A31" s="1">
        <v>4</v>
      </c>
      <c r="B31" t="s">
        <v>45</v>
      </c>
      <c r="J31">
        <f>IF(K31 &lt;&gt; "",10, 0)</f>
        <v>0</v>
      </c>
      <c r="K31" t="str">
        <f>IF(I186="pos_trend",B186,"")</f>
        <v/>
      </c>
      <c r="L31" t="str">
        <f t="shared" si="0"/>
        <v/>
      </c>
      <c r="M31" t="str">
        <f t="shared" si="2"/>
        <v/>
      </c>
      <c r="T31">
        <f>IF(U31 &lt;&gt; "",10, 0)</f>
        <v>0</v>
      </c>
      <c r="U31" t="str">
        <f>IF(I199="pos_trend",B199,"")</f>
        <v/>
      </c>
      <c r="V31" t="str">
        <f t="shared" si="1"/>
        <v/>
      </c>
      <c r="W31" t="str">
        <f t="shared" si="3"/>
        <v/>
      </c>
    </row>
    <row r="32" spans="1:23" x14ac:dyDescent="0.3">
      <c r="J32">
        <f>IF(K32 &lt;&gt; "",11, 0)</f>
        <v>0</v>
      </c>
      <c r="K32" t="str">
        <f>IF(I187="pos_trend",B187,"")</f>
        <v/>
      </c>
      <c r="L32" t="str">
        <f t="shared" si="0"/>
        <v/>
      </c>
      <c r="M32" t="str">
        <f t="shared" si="2"/>
        <v/>
      </c>
      <c r="T32">
        <f>IF(U32 &lt;&gt; "",11, 0)</f>
        <v>0</v>
      </c>
      <c r="U32" t="str">
        <f>IF(I209="pos_trend",B209,"")</f>
        <v/>
      </c>
      <c r="V32" t="str">
        <f t="shared" si="1"/>
        <v/>
      </c>
      <c r="W32" t="str">
        <f t="shared" si="3"/>
        <v/>
      </c>
    </row>
    <row r="33" spans="1:23" x14ac:dyDescent="0.3">
      <c r="B33" s="1" t="s">
        <v>46</v>
      </c>
      <c r="C33" s="1" t="s">
        <v>4495</v>
      </c>
      <c r="D33" s="1" t="s">
        <v>4496</v>
      </c>
      <c r="E33" s="1" t="s">
        <v>4497</v>
      </c>
      <c r="F33" s="1" t="s">
        <v>4498</v>
      </c>
      <c r="J33">
        <f>IF(K33 &lt;&gt; "",12, 0)</f>
        <v>0</v>
      </c>
      <c r="K33" t="str">
        <f>IF(I195="pos_trend",B195,"")</f>
        <v/>
      </c>
      <c r="L33" t="str">
        <f t="shared" si="0"/>
        <v/>
      </c>
      <c r="M33" t="str">
        <f t="shared" si="2"/>
        <v/>
      </c>
      <c r="T33">
        <f>IF(U33 &lt;&gt; "",12, 0)</f>
        <v>0</v>
      </c>
      <c r="U33" t="str">
        <f>IF(I231="pos_trend",B231,"")</f>
        <v/>
      </c>
      <c r="V33" t="str">
        <f t="shared" si="1"/>
        <v/>
      </c>
      <c r="W33" t="str">
        <f t="shared" si="3"/>
        <v/>
      </c>
    </row>
    <row r="34" spans="1:23" x14ac:dyDescent="0.3">
      <c r="A34" s="1">
        <v>0</v>
      </c>
      <c r="B34" t="s">
        <v>41</v>
      </c>
      <c r="E34" t="s">
        <v>1006</v>
      </c>
      <c r="F34" t="s">
        <v>1006</v>
      </c>
      <c r="J34">
        <f>IF(K34 &lt;&gt; "",13, 0)</f>
        <v>0</v>
      </c>
      <c r="K34" t="str">
        <f>IF(I196="pos_trend",B196,"")</f>
        <v/>
      </c>
      <c r="L34" t="str">
        <f t="shared" si="0"/>
        <v/>
      </c>
      <c r="M34" t="str">
        <f t="shared" si="2"/>
        <v/>
      </c>
      <c r="T34">
        <f>IF(U34 &lt;&gt; "",13, 0)</f>
        <v>0</v>
      </c>
      <c r="U34" t="str">
        <f>IF(I251="pos_trend",B251,"")</f>
        <v/>
      </c>
      <c r="V34" t="str">
        <f t="shared" si="1"/>
        <v/>
      </c>
      <c r="W34" t="str">
        <f t="shared" si="3"/>
        <v/>
      </c>
    </row>
    <row r="35" spans="1:23" x14ac:dyDescent="0.3">
      <c r="A35" s="1">
        <v>1</v>
      </c>
      <c r="B35" t="s">
        <v>42</v>
      </c>
      <c r="E35" t="s">
        <v>3235</v>
      </c>
      <c r="F35" t="s">
        <v>4499</v>
      </c>
      <c r="J35">
        <f>IF(K35 &lt;&gt; "",14, 0)</f>
        <v>0</v>
      </c>
      <c r="K35" t="str">
        <f>IF(I201="pos_trend",B201,"")</f>
        <v/>
      </c>
      <c r="L35" t="str">
        <f t="shared" si="0"/>
        <v/>
      </c>
      <c r="M35" t="str">
        <f t="shared" si="2"/>
        <v/>
      </c>
      <c r="T35">
        <f>IF(U35 &lt;&gt; "",14, 0)</f>
        <v>0</v>
      </c>
      <c r="U35" t="str">
        <f>IF(I279="pos_trend",B279,"")</f>
        <v/>
      </c>
      <c r="V35" t="str">
        <f t="shared" si="1"/>
        <v/>
      </c>
      <c r="W35" t="str">
        <f t="shared" si="3"/>
        <v/>
      </c>
    </row>
    <row r="36" spans="1:23" x14ac:dyDescent="0.3">
      <c r="A36" s="1">
        <v>2</v>
      </c>
      <c r="B36" t="s">
        <v>43</v>
      </c>
      <c r="J36">
        <f>IF(K36 &lt;&gt; "",15, 0)</f>
        <v>0</v>
      </c>
      <c r="K36" t="str">
        <f>IF(I202="pos_trend",B202,"")</f>
        <v/>
      </c>
      <c r="L36" t="str">
        <f t="shared" si="0"/>
        <v/>
      </c>
      <c r="M36" t="str">
        <f t="shared" si="2"/>
        <v/>
      </c>
      <c r="T36">
        <f>IF(U36 &lt;&gt; "",15, 0)</f>
        <v>0</v>
      </c>
      <c r="U36" t="str">
        <f>IF(I336="pos_trend",B336,"")</f>
        <v/>
      </c>
      <c r="V36" t="str">
        <f t="shared" si="1"/>
        <v/>
      </c>
      <c r="W36" t="str">
        <f t="shared" si="3"/>
        <v/>
      </c>
    </row>
    <row r="37" spans="1:23" x14ac:dyDescent="0.3">
      <c r="A37" s="1">
        <v>3</v>
      </c>
      <c r="B37" t="s">
        <v>44</v>
      </c>
      <c r="E37" t="s">
        <v>1838</v>
      </c>
      <c r="F37" t="s">
        <v>4500</v>
      </c>
      <c r="J37">
        <f>IF(K37 &lt;&gt; "",16, 0)</f>
        <v>0</v>
      </c>
      <c r="K37" t="str">
        <f>IF(I203="pos_trend",B203,"")</f>
        <v/>
      </c>
      <c r="L37" t="str">
        <f t="shared" si="0"/>
        <v/>
      </c>
      <c r="M37" t="str">
        <f t="shared" si="2"/>
        <v/>
      </c>
      <c r="T37">
        <f>IF(U37 &lt;&gt; "",16, 0)</f>
        <v>0</v>
      </c>
      <c r="U37" t="str">
        <f>IF(I235="pos_trend",B235,"")</f>
        <v/>
      </c>
      <c r="V37" t="str">
        <f t="shared" si="1"/>
        <v/>
      </c>
      <c r="W37" t="str">
        <f t="shared" si="3"/>
        <v/>
      </c>
    </row>
    <row r="38" spans="1:23" x14ac:dyDescent="0.3">
      <c r="A38" s="1">
        <v>4</v>
      </c>
      <c r="B38" t="s">
        <v>61</v>
      </c>
      <c r="E38" t="s">
        <v>4501</v>
      </c>
      <c r="F38" t="s">
        <v>3235</v>
      </c>
      <c r="J38">
        <f>IF(K38 &lt;&gt; "",17, 0)</f>
        <v>0</v>
      </c>
      <c r="K38" t="str">
        <f>IF(I351="pos_trend",B351,"")</f>
        <v/>
      </c>
      <c r="L38" t="str">
        <f t="shared" si="0"/>
        <v/>
      </c>
      <c r="M38" t="str">
        <f t="shared" si="2"/>
        <v/>
      </c>
      <c r="T38">
        <f>IF(U38 &lt;&gt; "",17, 0)</f>
        <v>0</v>
      </c>
      <c r="U38" t="str">
        <f>IF(I236="pos_trend",B236,"")</f>
        <v/>
      </c>
      <c r="V38" t="str">
        <f t="shared" si="1"/>
        <v/>
      </c>
      <c r="W38" t="str">
        <f t="shared" si="3"/>
        <v/>
      </c>
    </row>
    <row r="39" spans="1:23" x14ac:dyDescent="0.3">
      <c r="A39" s="1">
        <v>5</v>
      </c>
      <c r="B39" t="s">
        <v>65</v>
      </c>
      <c r="E39" t="s">
        <v>4502</v>
      </c>
      <c r="F39" t="s">
        <v>3329</v>
      </c>
      <c r="K39" t="str">
        <f>IF(I352="pos_trend",B352,"")</f>
        <v/>
      </c>
      <c r="M39" t="str">
        <f t="shared" si="2"/>
        <v/>
      </c>
      <c r="W39" t="str">
        <f t="shared" si="3"/>
        <v/>
      </c>
    </row>
    <row r="40" spans="1:23" x14ac:dyDescent="0.3">
      <c r="J40">
        <f>MAX(J22:J39)</f>
        <v>0</v>
      </c>
      <c r="K40" t="str">
        <f>VLOOKUP(J40,J22:K39,2,FALSE)</f>
        <v/>
      </c>
      <c r="M40" t="str">
        <f>IF(IFERROR(FIND(",",M39),TRUE)=TRUE,M39,IF(NOT(EXACT(K40,UPPER(K40))),SUBSTITUTE(M39,LOWER(K40),"and "&amp;LOWER(K40)),SUBSTITUTE(M39,K40,"and "&amp;K40)))</f>
        <v/>
      </c>
      <c r="T40">
        <f>MAX(T22:T39)</f>
        <v>0</v>
      </c>
      <c r="U40" t="str">
        <f>VLOOKUP(T40,T22:U39,2,FALSE)</f>
        <v/>
      </c>
      <c r="W40" t="str">
        <f>IF(IFERROR(FIND(",",W39),TRUE)=TRUE,W39,IF(NOT(EXACT(U40,UPPER(U40))),SUBSTITUTE(W39,LOWER(U40),"and "&amp;LOWER(U40)),SUBSTITUTE(W39,U40,"and "&amp;U40)))</f>
        <v/>
      </c>
    </row>
    <row r="41" spans="1:23" x14ac:dyDescent="0.3">
      <c r="B41" s="1" t="s">
        <v>70</v>
      </c>
      <c r="C41" s="1" t="s">
        <v>2438</v>
      </c>
      <c r="D41" s="1" t="s">
        <v>2439</v>
      </c>
      <c r="E41" s="1" t="s">
        <v>2440</v>
      </c>
      <c r="F41" s="1" t="s">
        <v>2441</v>
      </c>
    </row>
    <row r="42" spans="1:23" x14ac:dyDescent="0.3">
      <c r="A42" s="1">
        <v>0</v>
      </c>
      <c r="B42" t="s">
        <v>75</v>
      </c>
      <c r="K42" t="str">
        <f>SUBSTITUTE(IF(M40&lt;&gt;"", D1 &amp; " has managed to increase " &amp; M40 &amp; " each year since " &amp; C144, "No positive trends")," , "," ")</f>
        <v>No positive trends</v>
      </c>
      <c r="U42" t="str">
        <f>SUBSTITUTE(IF(W40&lt;&gt;"", D1 &amp; " has managed to increase " &amp; W40 &amp; " each year since " &amp; C144, "No positive trends")," , "," ")</f>
        <v>No positive trends</v>
      </c>
    </row>
    <row r="43" spans="1:23" x14ac:dyDescent="0.3">
      <c r="A43" s="1">
        <v>1</v>
      </c>
      <c r="B43" t="s">
        <v>80</v>
      </c>
    </row>
    <row r="44" spans="1:23" x14ac:dyDescent="0.3">
      <c r="A44" s="1">
        <v>2</v>
      </c>
      <c r="B44" t="s">
        <v>84</v>
      </c>
    </row>
    <row r="45" spans="1:23" x14ac:dyDescent="0.3">
      <c r="A45" s="1">
        <v>3</v>
      </c>
      <c r="B45" t="s">
        <v>89</v>
      </c>
    </row>
    <row r="47" spans="1:23" x14ac:dyDescent="0.3">
      <c r="B47" s="1" t="s">
        <v>94</v>
      </c>
      <c r="C47" s="1" t="s">
        <v>4495</v>
      </c>
      <c r="D47" s="1" t="s">
        <v>4496</v>
      </c>
      <c r="E47" s="1" t="s">
        <v>4497</v>
      </c>
      <c r="F47" s="1" t="s">
        <v>4498</v>
      </c>
    </row>
    <row r="48" spans="1:23" x14ac:dyDescent="0.3">
      <c r="A48" s="1">
        <v>0</v>
      </c>
      <c r="B48" t="s">
        <v>95</v>
      </c>
      <c r="F48">
        <v>-4.88</v>
      </c>
    </row>
    <row r="49" spans="1:14" x14ac:dyDescent="0.3">
      <c r="A49" s="1">
        <v>1</v>
      </c>
      <c r="B49" t="s">
        <v>96</v>
      </c>
      <c r="C49">
        <v>-1.56</v>
      </c>
      <c r="E49">
        <v>-3.51</v>
      </c>
      <c r="F49">
        <v>-4.9800000000000004</v>
      </c>
    </row>
    <row r="50" spans="1:14" x14ac:dyDescent="0.3">
      <c r="A50" s="1">
        <v>2</v>
      </c>
      <c r="B50" t="s">
        <v>97</v>
      </c>
      <c r="C50">
        <v>-1.56</v>
      </c>
      <c r="E50">
        <v>-3.51</v>
      </c>
      <c r="F50">
        <v>-4.7699999999999996</v>
      </c>
    </row>
    <row r="51" spans="1:14" x14ac:dyDescent="0.3">
      <c r="A51" s="1">
        <v>3</v>
      </c>
      <c r="B51" t="s">
        <v>98</v>
      </c>
      <c r="C51">
        <v>-1.56</v>
      </c>
      <c r="E51">
        <v>-3.51</v>
      </c>
      <c r="F51">
        <v>-4.6100000000000003</v>
      </c>
    </row>
    <row r="52" spans="1:14" x14ac:dyDescent="0.3">
      <c r="A52" s="1">
        <v>4</v>
      </c>
      <c r="B52" t="s">
        <v>99</v>
      </c>
      <c r="C52">
        <v>-1.56</v>
      </c>
      <c r="E52">
        <v>-3.51</v>
      </c>
      <c r="F52">
        <v>-4.66</v>
      </c>
    </row>
    <row r="54" spans="1:14" x14ac:dyDescent="0.3">
      <c r="B54" s="1" t="s">
        <v>100</v>
      </c>
      <c r="C54" s="1" t="s">
        <v>4495</v>
      </c>
      <c r="D54" s="1" t="s">
        <v>4496</v>
      </c>
      <c r="E54" s="1" t="s">
        <v>4497</v>
      </c>
      <c r="F54" s="1" t="s">
        <v>4498</v>
      </c>
    </row>
    <row r="55" spans="1:14" x14ac:dyDescent="0.3">
      <c r="A55" s="1">
        <v>0</v>
      </c>
      <c r="B55" t="s">
        <v>101</v>
      </c>
    </row>
    <row r="56" spans="1:14" x14ac:dyDescent="0.3">
      <c r="A56" s="1">
        <v>1</v>
      </c>
      <c r="B56" t="s">
        <v>102</v>
      </c>
      <c r="E56">
        <v>1</v>
      </c>
      <c r="F56">
        <v>1</v>
      </c>
    </row>
    <row r="57" spans="1:14" x14ac:dyDescent="0.3">
      <c r="A57" s="1">
        <v>2</v>
      </c>
      <c r="B57" t="s">
        <v>103</v>
      </c>
      <c r="E57">
        <v>1</v>
      </c>
    </row>
    <row r="58" spans="1:14" x14ac:dyDescent="0.3">
      <c r="A58" s="1">
        <v>3</v>
      </c>
      <c r="B58" t="s">
        <v>104</v>
      </c>
    </row>
    <row r="60" spans="1:14" x14ac:dyDescent="0.3">
      <c r="B60" s="1" t="s">
        <v>105</v>
      </c>
      <c r="C60" s="1" t="s">
        <v>4503</v>
      </c>
      <c r="D60" s="1" t="s">
        <v>107</v>
      </c>
      <c r="E60" s="1" t="s">
        <v>108</v>
      </c>
      <c r="F60" s="1" t="s">
        <v>109</v>
      </c>
      <c r="I60" t="str">
        <f t="shared" ref="I60:I91" si="4">IF(AND(K60&gt; J60, L60&gt; K60, M60&gt; L60, N60&gt; M60), "pos_trend", IF(AND(K60&lt; J60, L60&lt; K60, M60&lt; L60, N60&lt; M60), "neg_trend", "N/A"))</f>
        <v>N/A</v>
      </c>
      <c r="J60" t="str">
        <f t="shared" ref="J60:J91" si="5">IFERROR(IF(TRIM(C60)="-", "N/A", IF(RIGHT(C60,1)=")",IF(RIGHT(C60,2)="T)",-1000000000000*VALUE(MID(C60,2,LEN(C60)-3)),IF(RIGHT(C60,2)="M)",-1000000*VALUE(MID(C60,2,LEN(C60)-3)),IF(RIGHT(C60,2)="B)",-1000000000*VALUE(MID(C60,2,LEN(C60)-3)),IF(RIGHT(C60,2)="k)",-1000*VALUE(MID(C60,2,LEN(C60)-3)),VALUE(SUBSTITUTE(C60,",","")))))),IF(RIGHT(C60,1)="T",1000000000000*VALUE(LEFT(C60,LEN(C60)-1)),IF(RIGHT(C60,1)="M",1000000*VALUE(LEFT(C60,LEN(C60)-1)),IF(RIGHT(C60,1)="B",1000000000*VALUE(LEFT(C60,LEN(C60)-1)),IF(RIGHT(C60,1)="%",0.01*VALUE(LEFT(C60,LEN(C60)-1)),IF(RIGHT(C60,1)="k",1000*VALUE(LEFT(C60,LEN(C60)-1)),VALUE(SUBSTITUTE(C60,",",""))))))))),"N/A")</f>
        <v>N/A</v>
      </c>
      <c r="K60" t="str">
        <f t="shared" ref="K60:K91" si="6">IFERROR(IF(TRIM(D60)="-", "N/A", IF(RIGHT(D60,1)=")",IF(RIGHT(D60,2)="T)",-1000000000000*VALUE(MID(D60,2,LEN(D60)-3)),IF(RIGHT(D60,2)="M)",-1000000*VALUE(MID(D60,2,LEN(D60)-3)),IF(RIGHT(D60,2)="B)",-1000000000*VALUE(MID(D60,2,LEN(D60)-3)),IF(RIGHT(D60,2)="k)",-1000*VALUE(MID(D60,2,LEN(D60)-3)),VALUE(SUBSTITUTE(D60,",","")))))),IF(RIGHT(D60,1)="T",1000000000000*VALUE(LEFT(D60,LEN(D60)-1)),IF(RIGHT(D60,1)="M",1000000*VALUE(LEFT(D60,LEN(D60)-1)),IF(RIGHT(D60,1)="B",1000000000*VALUE(LEFT(D60,LEN(D60)-1)),IF(RIGHT(D60,1)="%",0.01*VALUE(LEFT(D60,LEN(D60)-1)),IF(RIGHT(D60,1)="k",1000*VALUE(LEFT(D60,LEN(D60)-1)),VALUE(SUBSTITUTE(D60,",",""))))))))),"N/A")</f>
        <v>N/A</v>
      </c>
      <c r="L60" t="str">
        <f t="shared" ref="L60:L91" si="7">IFERROR(IF(TRIM(E60)="-", "N/A", IF(RIGHT(E60,1)=")",IF(RIGHT(E60,2)="T)",-1000000000000*VALUE(MID(E60,2,LEN(E60)-3)),IF(RIGHT(E60,2)="M)",-1000000*VALUE(MID(E60,2,LEN(E60)-3)),IF(RIGHT(E60,2)="B)",-1000000000*VALUE(MID(E60,2,LEN(E60)-3)),IF(RIGHT(E60,2)="k)",-1000*VALUE(MID(E60,2,LEN(E60)-3)),VALUE(SUBSTITUTE(E60,",","")))))),IF(RIGHT(E60,1)="T",1000000000000*VALUE(LEFT(E60,LEN(E60)-1)),IF(RIGHT(E60,1)="M",1000000*VALUE(LEFT(E60,LEN(E60)-1)),IF(RIGHT(E60,1)="B",1000000000*VALUE(LEFT(E60,LEN(E60)-1)),IF(RIGHT(E60,1)="%",0.01*VALUE(LEFT(E60,LEN(E60)-1)),IF(RIGHT(E60,1)="k",1000*VALUE(LEFT(E60,LEN(E60)-1)),VALUE(SUBSTITUTE(E60,",",""))))))))),"N/A")</f>
        <v>N/A</v>
      </c>
      <c r="M60" t="str">
        <f t="shared" ref="M60:M91" si="8">IFERROR(IF(TRIM(F60)="-", "N/A", IF(RIGHT(F60,1)=")",IF(RIGHT(F60,2)="T)",-1000000000000*VALUE(MID(F60,2,LEN(F60)-3)),IF(RIGHT(F60,2)="M)",-1000000*VALUE(MID(F60,2,LEN(F60)-3)),IF(RIGHT(F60,2)="B)",-1000000000*VALUE(MID(F60,2,LEN(F60)-3)),IF(RIGHT(F60,2)="k)",-1000*VALUE(MID(F60,2,LEN(F60)-3)),VALUE(SUBSTITUTE(F60,",","")))))),IF(RIGHT(F60,1)="T",1000000000000*VALUE(LEFT(F60,LEN(F60)-1)),IF(RIGHT(F60,1)="M",1000000*VALUE(LEFT(F60,LEN(F60)-1)),IF(RIGHT(F60,1)="B",1000000000*VALUE(LEFT(F60,LEN(F60)-1)),IF(RIGHT(F60,1)="%",0.01*VALUE(LEFT(F60,LEN(F60)-1)),IF(RIGHT(F60,1)="k",1000*VALUE(LEFT(F60,LEN(F60)-1)),VALUE(SUBSTITUTE(F60,",",""))))))))),"N/A")</f>
        <v>N/A</v>
      </c>
      <c r="N60" t="str">
        <f t="shared" ref="N60:N91" si="9">IFERROR(IF(TRIM(G60)="-", "N/A", IF(RIGHT(G60,1)=")",IF(RIGHT(G60,2)="T)",-1000000000000*VALUE(MID(G60,2,LEN(G60)-3)),IF(RIGHT(G60,2)="M)",-1000000*VALUE(MID(G60,2,LEN(G60)-3)),IF(RIGHT(G60,2)="B)",-1000000000*VALUE(MID(G60,2,LEN(G60)-3)),IF(RIGHT(G60,2)="k)",-1000*VALUE(MID(G60,2,LEN(G60)-3)),VALUE(SUBSTITUTE(G60,",","")))))),IF(RIGHT(G60,1)="T",1000000000000*VALUE(LEFT(G60,LEN(G60)-1)),IF(RIGHT(G60,1)="M",1000000*VALUE(LEFT(G60,LEN(G60)-1)),IF(RIGHT(G60,1)="B",1000000000*VALUE(LEFT(G60,LEN(G60)-1)),IF(RIGHT(G60,1)="%",0.01*VALUE(LEFT(G60,LEN(G60)-1)),IF(RIGHT(G60,1)="k",1000*VALUE(LEFT(G60,LEN(G60)-1)),VALUE(SUBSTITUTE(G60,",",""))))))))),"N/A")</f>
        <v>N/A</v>
      </c>
    </row>
    <row r="61" spans="1:14" x14ac:dyDescent="0.3">
      <c r="A61" s="1">
        <v>0</v>
      </c>
      <c r="B61" t="s">
        <v>110</v>
      </c>
      <c r="F61">
        <v>0.18</v>
      </c>
      <c r="I61" t="str">
        <f t="shared" si="4"/>
        <v>N/A</v>
      </c>
      <c r="J61" t="str">
        <f t="shared" si="5"/>
        <v>N/A</v>
      </c>
      <c r="K61" t="str">
        <f t="shared" si="6"/>
        <v>N/A</v>
      </c>
      <c r="L61" t="str">
        <f t="shared" si="7"/>
        <v>N/A</v>
      </c>
      <c r="M61">
        <f t="shared" si="8"/>
        <v>0.18</v>
      </c>
      <c r="N61" t="str">
        <f t="shared" si="9"/>
        <v>N/A</v>
      </c>
    </row>
    <row r="62" spans="1:14" x14ac:dyDescent="0.3">
      <c r="A62" s="1">
        <v>1</v>
      </c>
      <c r="B62" t="s">
        <v>112</v>
      </c>
      <c r="F62">
        <v>0.24</v>
      </c>
      <c r="I62" t="str">
        <f t="shared" si="4"/>
        <v>N/A</v>
      </c>
      <c r="J62" t="str">
        <f t="shared" si="5"/>
        <v>N/A</v>
      </c>
      <c r="K62" t="str">
        <f t="shared" si="6"/>
        <v>N/A</v>
      </c>
      <c r="L62" t="str">
        <f t="shared" si="7"/>
        <v>N/A</v>
      </c>
      <c r="M62">
        <f t="shared" si="8"/>
        <v>0.24</v>
      </c>
      <c r="N62" t="str">
        <f t="shared" si="9"/>
        <v>N/A</v>
      </c>
    </row>
    <row r="63" spans="1:14" x14ac:dyDescent="0.3">
      <c r="A63" s="1">
        <v>2</v>
      </c>
      <c r="B63" t="s">
        <v>114</v>
      </c>
      <c r="F63">
        <v>0.08</v>
      </c>
      <c r="I63" t="str">
        <f t="shared" si="4"/>
        <v>N/A</v>
      </c>
      <c r="J63" t="str">
        <f t="shared" si="5"/>
        <v>N/A</v>
      </c>
      <c r="K63" t="str">
        <f t="shared" si="6"/>
        <v>N/A</v>
      </c>
      <c r="L63" t="str">
        <f t="shared" si="7"/>
        <v>N/A</v>
      </c>
      <c r="M63">
        <f t="shared" si="8"/>
        <v>0.08</v>
      </c>
      <c r="N63" t="str">
        <f t="shared" si="9"/>
        <v>N/A</v>
      </c>
    </row>
    <row r="64" spans="1:14" x14ac:dyDescent="0.3">
      <c r="A64" s="1">
        <v>3</v>
      </c>
      <c r="B64" t="s">
        <v>116</v>
      </c>
      <c r="F64">
        <v>0.12</v>
      </c>
      <c r="I64" t="str">
        <f t="shared" si="4"/>
        <v>N/A</v>
      </c>
      <c r="J64" t="str">
        <f t="shared" si="5"/>
        <v>N/A</v>
      </c>
      <c r="K64" t="str">
        <f t="shared" si="6"/>
        <v>N/A</v>
      </c>
      <c r="L64" t="str">
        <f t="shared" si="7"/>
        <v>N/A</v>
      </c>
      <c r="M64">
        <f t="shared" si="8"/>
        <v>0.12</v>
      </c>
      <c r="N64" t="str">
        <f t="shared" si="9"/>
        <v>N/A</v>
      </c>
    </row>
    <row r="65" spans="1:14" x14ac:dyDescent="0.3">
      <c r="A65" s="1">
        <v>4</v>
      </c>
      <c r="B65" t="s">
        <v>118</v>
      </c>
      <c r="C65" t="s">
        <v>4504</v>
      </c>
      <c r="F65">
        <v>0.1</v>
      </c>
      <c r="I65" t="str">
        <f t="shared" si="4"/>
        <v>N/A</v>
      </c>
      <c r="J65">
        <f t="shared" si="5"/>
        <v>-0.21600000000000003</v>
      </c>
      <c r="K65" t="str">
        <f t="shared" si="6"/>
        <v>N/A</v>
      </c>
      <c r="L65" t="str">
        <f t="shared" si="7"/>
        <v>N/A</v>
      </c>
      <c r="M65">
        <f t="shared" si="8"/>
        <v>0.1</v>
      </c>
      <c r="N65" t="str">
        <f t="shared" si="9"/>
        <v>N/A</v>
      </c>
    </row>
    <row r="66" spans="1:14" x14ac:dyDescent="0.3">
      <c r="A66" s="1">
        <v>5</v>
      </c>
      <c r="B66" t="s">
        <v>120</v>
      </c>
      <c r="I66" t="str">
        <f t="shared" si="4"/>
        <v>N/A</v>
      </c>
      <c r="J66" t="str">
        <f t="shared" si="5"/>
        <v>N/A</v>
      </c>
      <c r="K66" t="str">
        <f t="shared" si="6"/>
        <v>N/A</v>
      </c>
      <c r="L66" t="str">
        <f t="shared" si="7"/>
        <v>N/A</v>
      </c>
      <c r="M66" t="str">
        <f t="shared" si="8"/>
        <v>N/A</v>
      </c>
      <c r="N66" t="str">
        <f t="shared" si="9"/>
        <v>N/A</v>
      </c>
    </row>
    <row r="67" spans="1:14" x14ac:dyDescent="0.3">
      <c r="D67" t="s">
        <v>122</v>
      </c>
      <c r="E67" t="str">
        <f>C1</f>
        <v>DBV Technologies S.A. (DBV.PA)</v>
      </c>
      <c r="I67" t="str">
        <f t="shared" si="4"/>
        <v>N/A</v>
      </c>
      <c r="J67" t="str">
        <f t="shared" si="5"/>
        <v>N/A</v>
      </c>
      <c r="K67" t="str">
        <f t="shared" si="6"/>
        <v>N/A</v>
      </c>
      <c r="L67" t="str">
        <f t="shared" si="7"/>
        <v>N/A</v>
      </c>
      <c r="M67" t="str">
        <f t="shared" si="8"/>
        <v>N/A</v>
      </c>
      <c r="N67" t="str">
        <f t="shared" si="9"/>
        <v>N/A</v>
      </c>
    </row>
    <row r="68" spans="1:14" x14ac:dyDescent="0.3">
      <c r="A68" s="1">
        <v>0</v>
      </c>
      <c r="B68" t="s">
        <v>123</v>
      </c>
      <c r="C68" t="s">
        <v>614</v>
      </c>
      <c r="D68" t="str">
        <f ca="1">IFERROR(AVERAGE(VALUE(INDIRECT("J"&amp;(MATCH(B68,B69:B500,0)+68))),VALUE(INDIRECT("J"&amp;(MATCH(B68,B69:B500,0)+79))),VALUE(INDIRECT("J"&amp;(MATCH(B68,B69:B500,0)+90))),VALUE(INDIRECT("J"&amp;(MATCH(B68,B69:B500,0)+101)))),"")</f>
        <v/>
      </c>
      <c r="E68" t="str">
        <f t="shared" ref="E68:E76" ca="1" si="10">IFERROR(IF(AND(C68&lt;&gt;"",D68&lt;&gt;0),IF(VALUE(J68)&gt;VALUE(K68),"above average","below average"),"no data"),"no data")</f>
        <v>no data</v>
      </c>
      <c r="I68" t="str">
        <f t="shared" ca="1" si="4"/>
        <v>N/A</v>
      </c>
      <c r="J68">
        <f t="shared" si="5"/>
        <v>1860000000</v>
      </c>
      <c r="K68" t="str">
        <f t="shared" ca="1" si="6"/>
        <v>N/A</v>
      </c>
      <c r="L68" t="str">
        <f t="shared" ca="1" si="7"/>
        <v>N/A</v>
      </c>
      <c r="M68" t="str">
        <f t="shared" si="8"/>
        <v>N/A</v>
      </c>
      <c r="N68" t="str">
        <f t="shared" si="9"/>
        <v>N/A</v>
      </c>
    </row>
    <row r="69" spans="1:14" x14ac:dyDescent="0.3">
      <c r="A69" s="1">
        <v>1</v>
      </c>
      <c r="B69" t="s">
        <v>124</v>
      </c>
      <c r="D69" t="str">
        <f ca="1">IFERROR(AVERAGE(VALUE(INDIRECT("J"&amp;(MATCH(B69,B70:B501,0)+69))),VALUE(INDIRECT("J"&amp;(MATCH(B69,B70:B501,0)+80))),VALUE(INDIRECT("J"&amp;(MATCH(B69,B70:B501,0)+91))),VALUE(INDIRECT("J"&amp;(MATCH(B69,B70:B501,0)+102)))),"")</f>
        <v/>
      </c>
      <c r="E69" t="str">
        <f t="shared" ca="1" si="10"/>
        <v>no data</v>
      </c>
      <c r="I69" t="str">
        <f t="shared" ca="1" si="4"/>
        <v>N/A</v>
      </c>
      <c r="J69" t="str">
        <f t="shared" si="5"/>
        <v>N/A</v>
      </c>
      <c r="K69" t="str">
        <f t="shared" ca="1" si="6"/>
        <v>N/A</v>
      </c>
      <c r="L69" t="str">
        <f t="shared" ca="1" si="7"/>
        <v>N/A</v>
      </c>
      <c r="M69" t="str">
        <f t="shared" si="8"/>
        <v>N/A</v>
      </c>
      <c r="N69" t="str">
        <f t="shared" si="9"/>
        <v>N/A</v>
      </c>
    </row>
    <row r="70" spans="1:14" x14ac:dyDescent="0.3">
      <c r="A70" s="1">
        <v>2</v>
      </c>
      <c r="B70" t="s">
        <v>125</v>
      </c>
      <c r="C70" t="s">
        <v>4492</v>
      </c>
      <c r="D70" t="str">
        <f ca="1">IFERROR(AVERAGE(VALUE(INDIRECT("J"&amp;(MATCH(B70,B71:B502,0)+70))),VALUE(INDIRECT("J"&amp;(MATCH(B70,B71:B502,0)+81))),VALUE(INDIRECT("J"&amp;(MATCH(B70,B71:B502,0)+92))),VALUE(INDIRECT("J"&amp;(MATCH(B70,B71:B502,0)+103)))),"")</f>
        <v/>
      </c>
      <c r="E70" t="str">
        <f t="shared" ca="1" si="10"/>
        <v>no data</v>
      </c>
      <c r="F70" t="str">
        <f t="shared" ref="F70:F76" ca="1" si="11">IF(E70="above average",LOWER(TRIM(IF(ISNUMBER(VALUE(RIGHT(B70,1))),REPLACE(B70,LEN(B70),1,""),B70))),"")</f>
        <v/>
      </c>
      <c r="G70" t="str">
        <f ca="1">IFERROR(LEFT(F70,FIND("(",F70) - 2),F70)</f>
        <v/>
      </c>
      <c r="I70" t="str">
        <f t="shared" ca="1" si="4"/>
        <v>N/A</v>
      </c>
      <c r="J70">
        <f t="shared" si="5"/>
        <v>-16.11</v>
      </c>
      <c r="K70" t="str">
        <f t="shared" ca="1" si="6"/>
        <v>N/A</v>
      </c>
      <c r="L70" t="str">
        <f t="shared" ca="1" si="7"/>
        <v>N/A</v>
      </c>
      <c r="M70" t="str">
        <f t="shared" ca="1" si="8"/>
        <v>N/A</v>
      </c>
      <c r="N70" t="str">
        <f t="shared" ca="1" si="9"/>
        <v>N/A</v>
      </c>
    </row>
    <row r="71" spans="1:14" x14ac:dyDescent="0.3">
      <c r="A71" s="1">
        <v>3</v>
      </c>
      <c r="B71" t="s">
        <v>126</v>
      </c>
      <c r="C71" t="s">
        <v>4505</v>
      </c>
      <c r="D71" t="str">
        <f ca="1">IFERROR(AVERAGE(VALUE(INDIRECT("J"&amp;(MATCH(B71,B72:B503,0)+71))),VALUE(INDIRECT("J"&amp;(MATCH(B71,B72:B503,0)+82))),VALUE(INDIRECT("J"&amp;(MATCH(B71,B72:B503,0)+93))),VALUE(INDIRECT("J"&amp;(MATCH(B71,B72:B503,0)+104)))),"")</f>
        <v/>
      </c>
      <c r="E71" t="str">
        <f t="shared" ca="1" si="10"/>
        <v>no data</v>
      </c>
      <c r="F71" t="str">
        <f t="shared" ca="1" si="11"/>
        <v/>
      </c>
      <c r="G71" t="str">
        <f t="shared" ref="G71:G76" ca="1" si="12">IF(F71&lt;&gt;"", G70 &amp; ", " &amp; IFERROR(LEFT(F71,FIND("(",F71) - 2),F71),G70)</f>
        <v/>
      </c>
      <c r="I71" t="str">
        <f t="shared" ca="1" si="4"/>
        <v>N/A</v>
      </c>
      <c r="J71">
        <f t="shared" si="5"/>
        <v>-15.45</v>
      </c>
      <c r="K71" t="str">
        <f t="shared" ca="1" si="6"/>
        <v>N/A</v>
      </c>
      <c r="L71" t="str">
        <f t="shared" ca="1" si="7"/>
        <v>N/A</v>
      </c>
      <c r="M71" t="str">
        <f t="shared" ca="1" si="8"/>
        <v>N/A</v>
      </c>
      <c r="N71" t="str">
        <f t="shared" ca="1" si="9"/>
        <v>N/A</v>
      </c>
    </row>
    <row r="72" spans="1:14" x14ac:dyDescent="0.3">
      <c r="A72" s="1">
        <v>4</v>
      </c>
      <c r="B72" t="s">
        <v>128</v>
      </c>
      <c r="D72" t="str">
        <f ca="1">IFERROR(AVERAGE(VALUE(INDIRECT("J"&amp;(MATCH(B72,B73:B504,0)+72))),VALUE(INDIRECT("J"&amp;(MATCH(B72,B73:B504,0)+83))),VALUE(INDIRECT("J"&amp;(MATCH(B72,B73:B504,0)+94))),VALUE(INDIRECT("J"&amp;(MATCH(B72,B73:B504,0)+105)))),"")</f>
        <v/>
      </c>
      <c r="E72" t="str">
        <f t="shared" ca="1" si="10"/>
        <v>no data</v>
      </c>
      <c r="F72" t="str">
        <f t="shared" ca="1" si="11"/>
        <v/>
      </c>
      <c r="G72" t="str">
        <f t="shared" ca="1" si="12"/>
        <v/>
      </c>
      <c r="I72" t="str">
        <f t="shared" ca="1" si="4"/>
        <v>N/A</v>
      </c>
      <c r="J72" t="str">
        <f t="shared" si="5"/>
        <v>N/A</v>
      </c>
      <c r="K72" t="str">
        <f t="shared" ca="1" si="6"/>
        <v>N/A</v>
      </c>
      <c r="L72" t="str">
        <f t="shared" ca="1" si="7"/>
        <v>N/A</v>
      </c>
      <c r="M72" t="str">
        <f t="shared" ca="1" si="8"/>
        <v>N/A</v>
      </c>
      <c r="N72" t="str">
        <f t="shared" ca="1" si="9"/>
        <v>N/A</v>
      </c>
    </row>
    <row r="73" spans="1:14" x14ac:dyDescent="0.3">
      <c r="A73" s="1">
        <v>5</v>
      </c>
      <c r="B73" t="s">
        <v>130</v>
      </c>
      <c r="C73" t="s">
        <v>4506</v>
      </c>
      <c r="D73" t="str">
        <f ca="1">IFERROR(AVERAGE(VALUE(INDIRECT("J"&amp;(MATCH(B73,B74:B505,0)+73))),VALUE(INDIRECT("J"&amp;(MATCH(B73,B74:B505,0)+84))),VALUE(INDIRECT("J"&amp;(MATCH(B73,B74:B505,0)+95))),VALUE(INDIRECT("J"&amp;(MATCH(B73,B74:B505,0)+106)))),"")</f>
        <v/>
      </c>
      <c r="E73" t="str">
        <f t="shared" ca="1" si="10"/>
        <v>no data</v>
      </c>
      <c r="F73" t="str">
        <f t="shared" ca="1" si="11"/>
        <v/>
      </c>
      <c r="G73" t="str">
        <f t="shared" ca="1" si="12"/>
        <v/>
      </c>
      <c r="I73" t="str">
        <f t="shared" ca="1" si="4"/>
        <v>N/A</v>
      </c>
      <c r="J73">
        <f t="shared" si="5"/>
        <v>247.44</v>
      </c>
      <c r="K73" t="str">
        <f t="shared" ca="1" si="6"/>
        <v>N/A</v>
      </c>
      <c r="L73" t="str">
        <f t="shared" ca="1" si="7"/>
        <v>N/A</v>
      </c>
      <c r="M73" t="str">
        <f t="shared" ca="1" si="8"/>
        <v>N/A</v>
      </c>
      <c r="N73" t="str">
        <f t="shared" ca="1" si="9"/>
        <v>N/A</v>
      </c>
    </row>
    <row r="74" spans="1:14" x14ac:dyDescent="0.3">
      <c r="A74" s="1">
        <v>6</v>
      </c>
      <c r="B74" t="s">
        <v>132</v>
      </c>
      <c r="C74" t="s">
        <v>4507</v>
      </c>
      <c r="D74" t="str">
        <f ca="1">IFERROR(AVERAGE(VALUE(INDIRECT("J"&amp;(MATCH(B74,B75:B506,0)+74))),VALUE(INDIRECT("J"&amp;(MATCH(B74,B75:B506,0)+85))),VALUE(INDIRECT("J"&amp;(MATCH(B74,B75:B506,0)+96))),VALUE(INDIRECT("J"&amp;(MATCH(B74,B75:B506,0)+107)))),"")</f>
        <v/>
      </c>
      <c r="E74" t="str">
        <f t="shared" ca="1" si="10"/>
        <v>no data</v>
      </c>
      <c r="F74" t="str">
        <f t="shared" ca="1" si="11"/>
        <v/>
      </c>
      <c r="G74" t="str">
        <f t="shared" ca="1" si="12"/>
        <v/>
      </c>
      <c r="I74" t="str">
        <f t="shared" ca="1" si="4"/>
        <v>N/A</v>
      </c>
      <c r="J74">
        <f t="shared" si="5"/>
        <v>7.65</v>
      </c>
      <c r="K74" t="str">
        <f t="shared" ca="1" si="6"/>
        <v>N/A</v>
      </c>
      <c r="L74" t="str">
        <f t="shared" ca="1" si="7"/>
        <v>N/A</v>
      </c>
      <c r="M74" t="str">
        <f t="shared" ca="1" si="8"/>
        <v>N/A</v>
      </c>
      <c r="N74" t="str">
        <f t="shared" ca="1" si="9"/>
        <v>N/A</v>
      </c>
    </row>
    <row r="75" spans="1:14" x14ac:dyDescent="0.3">
      <c r="A75" s="1">
        <v>7</v>
      </c>
      <c r="B75" t="s">
        <v>134</v>
      </c>
      <c r="D75" t="str">
        <f ca="1">IFERROR(AVERAGE(VALUE(INDIRECT("J"&amp;(MATCH(B75,B76:B507,0)+75))),VALUE(INDIRECT("J"&amp;(MATCH(B75,B76:B507,0)+86))),VALUE(INDIRECT("J"&amp;(MATCH(B75,B76:B507,0)+97))),VALUE(INDIRECT("J"&amp;(MATCH(B75,B76:B507,0)+108)))),"")</f>
        <v/>
      </c>
      <c r="E75" t="str">
        <f t="shared" ca="1" si="10"/>
        <v>no data</v>
      </c>
      <c r="F75" t="str">
        <f t="shared" ca="1" si="11"/>
        <v/>
      </c>
      <c r="G75" t="str">
        <f t="shared" ca="1" si="12"/>
        <v/>
      </c>
      <c r="I75" t="str">
        <f t="shared" ca="1" si="4"/>
        <v>N/A</v>
      </c>
      <c r="J75" t="str">
        <f t="shared" si="5"/>
        <v>N/A</v>
      </c>
      <c r="K75" t="str">
        <f t="shared" ca="1" si="6"/>
        <v>N/A</v>
      </c>
      <c r="L75" t="str">
        <f t="shared" ca="1" si="7"/>
        <v>N/A</v>
      </c>
      <c r="M75" t="str">
        <f t="shared" ca="1" si="8"/>
        <v>N/A</v>
      </c>
      <c r="N75" t="str">
        <f t="shared" ca="1" si="9"/>
        <v>N/A</v>
      </c>
    </row>
    <row r="76" spans="1:14" x14ac:dyDescent="0.3">
      <c r="A76" s="1">
        <v>8</v>
      </c>
      <c r="B76" t="s">
        <v>135</v>
      </c>
      <c r="D76" t="str">
        <f ca="1">IFERROR(AVERAGE(VALUE(INDIRECT("J"&amp;(MATCH(B76,B77:B508,0)+76))),VALUE(INDIRECT("J"&amp;(MATCH(B76,B77:B508,0)+87))),VALUE(INDIRECT("J"&amp;(MATCH(B76,B77:B508,0)+98))),VALUE(INDIRECT("J"&amp;(MATCH(B76,B77:B508,0)+109)))),"")</f>
        <v/>
      </c>
      <c r="E76" t="str">
        <f t="shared" ca="1" si="10"/>
        <v>no data</v>
      </c>
      <c r="F76" t="str">
        <f t="shared" ca="1" si="11"/>
        <v/>
      </c>
      <c r="G76" t="str">
        <f t="shared" ca="1" si="12"/>
        <v/>
      </c>
      <c r="I76" t="str">
        <f t="shared" ca="1" si="4"/>
        <v>N/A</v>
      </c>
      <c r="J76" t="str">
        <f t="shared" si="5"/>
        <v>N/A</v>
      </c>
      <c r="K76" t="str">
        <f t="shared" ca="1" si="6"/>
        <v>N/A</v>
      </c>
      <c r="L76" t="str">
        <f t="shared" ca="1" si="7"/>
        <v>N/A</v>
      </c>
      <c r="M76" t="str">
        <f t="shared" ca="1" si="8"/>
        <v>N/A</v>
      </c>
      <c r="N76" t="str">
        <f t="shared" ca="1" si="9"/>
        <v>N/A</v>
      </c>
    </row>
    <row r="77" spans="1:14" x14ac:dyDescent="0.3">
      <c r="F77" t="str">
        <f ca="1">IF(F76="",IF(F75="",IF(F74="",IF(F73="",IF(F72="",IF(F71="",IFERROR(LEFT(F70,FIND("(",F70) - 2),F70),IFERROR(LEFT(F71,FIND("(",F71) - 2),F71)),IFERROR(LEFT(F72,FIND("(",F72) - 2),F72)),IFERROR(LEFT(F73,FIND("(",F73) - 2),F73)),IFERROR(LEFT(F74,FIND("(",F74) - 2),F74)),IFERROR(LEFT(F75,FIND("(",F75) - 2),F75)),IFERROR(LEFT(F76,FIND("(",F76) - 2),F76))</f>
        <v/>
      </c>
      <c r="G77" t="str">
        <f ca="1">TRIM(IF(LEFT(G76,1)=",",REPLACE(G76,1,1,""),SUBSTITUTE(G76,F77, "and " &amp; F77)))</f>
        <v/>
      </c>
      <c r="I77" t="str">
        <f t="shared" ca="1" si="4"/>
        <v>N/A</v>
      </c>
      <c r="J77" t="str">
        <f t="shared" si="5"/>
        <v>N/A</v>
      </c>
      <c r="K77" t="str">
        <f t="shared" si="6"/>
        <v>N/A</v>
      </c>
      <c r="L77" t="str">
        <f t="shared" si="7"/>
        <v>N/A</v>
      </c>
      <c r="M77" t="str">
        <f t="shared" ca="1" si="8"/>
        <v>N/A</v>
      </c>
      <c r="N77" t="str">
        <f t="shared" ca="1" si="9"/>
        <v>N/A</v>
      </c>
    </row>
    <row r="78" spans="1:14" x14ac:dyDescent="0.3">
      <c r="A78" s="1">
        <v>0</v>
      </c>
      <c r="B78" t="s">
        <v>136</v>
      </c>
      <c r="C78" t="s">
        <v>137</v>
      </c>
      <c r="D78" t="str">
        <f ca="1">IF(COUNTIF(E70:E76,"=above average")&gt;0,"There are some indications that "&amp;D1&amp;" may be overvalued. The company has a higher " &amp; G77 &amp; " than the comparable average", "Inconclusive")</f>
        <v>Inconclusive</v>
      </c>
      <c r="I78" t="str">
        <f t="shared" ca="1" si="4"/>
        <v>N/A</v>
      </c>
      <c r="J78" t="str">
        <f t="shared" si="5"/>
        <v>N/A</v>
      </c>
      <c r="K78" t="str">
        <f t="shared" ca="1" si="6"/>
        <v>N/A</v>
      </c>
      <c r="L78" t="str">
        <f t="shared" si="7"/>
        <v>N/A</v>
      </c>
      <c r="M78" t="str">
        <f t="shared" si="8"/>
        <v>N/A</v>
      </c>
      <c r="N78" t="str">
        <f t="shared" si="9"/>
        <v>N/A</v>
      </c>
    </row>
    <row r="79" spans="1:14" x14ac:dyDescent="0.3">
      <c r="A79" s="1">
        <v>1</v>
      </c>
      <c r="B79" t="s">
        <v>138</v>
      </c>
      <c r="C79" t="s">
        <v>137</v>
      </c>
      <c r="I79" t="str">
        <f t="shared" si="4"/>
        <v>N/A</v>
      </c>
      <c r="J79" t="str">
        <f t="shared" si="5"/>
        <v>N/A</v>
      </c>
      <c r="K79" t="str">
        <f t="shared" si="6"/>
        <v>N/A</v>
      </c>
      <c r="L79" t="str">
        <f t="shared" si="7"/>
        <v>N/A</v>
      </c>
      <c r="M79" t="str">
        <f t="shared" si="8"/>
        <v>N/A</v>
      </c>
      <c r="N79" t="str">
        <f t="shared" si="9"/>
        <v>N/A</v>
      </c>
    </row>
    <row r="80" spans="1:14" x14ac:dyDescent="0.3">
      <c r="I80" t="str">
        <f t="shared" si="4"/>
        <v>N/A</v>
      </c>
      <c r="J80" t="str">
        <f t="shared" si="5"/>
        <v>N/A</v>
      </c>
      <c r="K80" t="str">
        <f t="shared" si="6"/>
        <v>N/A</v>
      </c>
      <c r="L80" t="str">
        <f t="shared" si="7"/>
        <v>N/A</v>
      </c>
      <c r="M80" t="str">
        <f t="shared" si="8"/>
        <v>N/A</v>
      </c>
      <c r="N80" t="str">
        <f t="shared" si="9"/>
        <v>N/A</v>
      </c>
    </row>
    <row r="81" spans="1:14" x14ac:dyDescent="0.3">
      <c r="A81" s="1">
        <v>0</v>
      </c>
      <c r="B81" t="s">
        <v>140</v>
      </c>
      <c r="C81" t="s">
        <v>3641</v>
      </c>
      <c r="F81" t="str">
        <f t="shared" ref="F81:F87" ca="1" si="13">IF(E70="below average",LOWER(TRIM(IF(ISNUMBER(VALUE(RIGHT(B70,1))),REPLACE(B70,LEN(B70),1,""),B70))),"")</f>
        <v/>
      </c>
      <c r="G81" t="str">
        <f ca="1">IFERROR(LEFT(F81,FIND("(",F81) - 2),F81)</f>
        <v/>
      </c>
      <c r="I81" t="str">
        <f t="shared" ca="1" si="4"/>
        <v>N/A</v>
      </c>
      <c r="J81">
        <f t="shared" si="5"/>
        <v>0</v>
      </c>
      <c r="K81" t="str">
        <f t="shared" si="6"/>
        <v>N/A</v>
      </c>
      <c r="L81" t="str">
        <f t="shared" si="7"/>
        <v>N/A</v>
      </c>
      <c r="M81" t="str">
        <f t="shared" ca="1" si="8"/>
        <v>N/A</v>
      </c>
      <c r="N81" t="str">
        <f t="shared" ca="1" si="9"/>
        <v>N/A</v>
      </c>
    </row>
    <row r="82" spans="1:14" x14ac:dyDescent="0.3">
      <c r="A82" s="1">
        <v>1</v>
      </c>
      <c r="B82" t="s">
        <v>142</v>
      </c>
      <c r="C82" t="s">
        <v>4508</v>
      </c>
      <c r="F82" t="str">
        <f t="shared" ca="1" si="13"/>
        <v/>
      </c>
      <c r="G82" t="str">
        <f t="shared" ref="G82:G87" ca="1" si="14">IF(F82&lt;&gt;"", G81 &amp; ", " &amp; IFERROR(LEFT(F82,FIND("(",F82) - 2),F82),G81)</f>
        <v/>
      </c>
      <c r="I82" t="str">
        <f t="shared" ca="1" si="4"/>
        <v>N/A</v>
      </c>
      <c r="J82">
        <f t="shared" si="5"/>
        <v>-15.4092</v>
      </c>
      <c r="K82" t="str">
        <f t="shared" si="6"/>
        <v>N/A</v>
      </c>
      <c r="L82" t="str">
        <f t="shared" si="7"/>
        <v>N/A</v>
      </c>
      <c r="M82" t="str">
        <f t="shared" ca="1" si="8"/>
        <v>N/A</v>
      </c>
      <c r="N82" t="str">
        <f t="shared" ca="1" si="9"/>
        <v>N/A</v>
      </c>
    </row>
    <row r="83" spans="1:14" x14ac:dyDescent="0.3">
      <c r="F83" t="str">
        <f t="shared" ca="1" si="13"/>
        <v/>
      </c>
      <c r="G83" t="str">
        <f t="shared" ca="1" si="14"/>
        <v/>
      </c>
      <c r="I83" t="str">
        <f t="shared" ca="1" si="4"/>
        <v>N/A</v>
      </c>
      <c r="J83" t="str">
        <f t="shared" si="5"/>
        <v>N/A</v>
      </c>
      <c r="K83" t="str">
        <f t="shared" si="6"/>
        <v>N/A</v>
      </c>
      <c r="L83" t="str">
        <f t="shared" si="7"/>
        <v>N/A</v>
      </c>
      <c r="M83" t="str">
        <f t="shared" ca="1" si="8"/>
        <v>N/A</v>
      </c>
      <c r="N83" t="str">
        <f t="shared" ca="1" si="9"/>
        <v>N/A</v>
      </c>
    </row>
    <row r="84" spans="1:14" x14ac:dyDescent="0.3">
      <c r="A84" s="1">
        <v>0</v>
      </c>
      <c r="B84" t="s">
        <v>144</v>
      </c>
      <c r="C84" t="s">
        <v>4509</v>
      </c>
      <c r="F84" t="str">
        <f t="shared" ca="1" si="13"/>
        <v/>
      </c>
      <c r="G84" t="str">
        <f t="shared" ca="1" si="14"/>
        <v/>
      </c>
      <c r="I84" t="str">
        <f t="shared" ca="1" si="4"/>
        <v>N/A</v>
      </c>
      <c r="J84">
        <f t="shared" si="5"/>
        <v>-0.22989999999999999</v>
      </c>
      <c r="K84" t="str">
        <f t="shared" si="6"/>
        <v>N/A</v>
      </c>
      <c r="L84" t="str">
        <f t="shared" si="7"/>
        <v>N/A</v>
      </c>
      <c r="M84" t="str">
        <f t="shared" ca="1" si="8"/>
        <v>N/A</v>
      </c>
      <c r="N84" t="str">
        <f t="shared" ca="1" si="9"/>
        <v>N/A</v>
      </c>
    </row>
    <row r="85" spans="1:14" x14ac:dyDescent="0.3">
      <c r="A85" s="1">
        <v>1</v>
      </c>
      <c r="B85" t="s">
        <v>146</v>
      </c>
      <c r="C85" t="s">
        <v>4510</v>
      </c>
      <c r="F85" t="str">
        <f t="shared" ca="1" si="13"/>
        <v/>
      </c>
      <c r="G85" t="str">
        <f t="shared" ca="1" si="14"/>
        <v/>
      </c>
      <c r="I85" t="str">
        <f t="shared" ca="1" si="4"/>
        <v>N/A</v>
      </c>
      <c r="J85">
        <f t="shared" si="5"/>
        <v>-0.40549999999999997</v>
      </c>
      <c r="K85" t="str">
        <f t="shared" si="6"/>
        <v>N/A</v>
      </c>
      <c r="L85" t="str">
        <f t="shared" si="7"/>
        <v>N/A</v>
      </c>
      <c r="M85" t="str">
        <f t="shared" ca="1" si="8"/>
        <v>N/A</v>
      </c>
      <c r="N85" t="str">
        <f t="shared" ca="1" si="9"/>
        <v>N/A</v>
      </c>
    </row>
    <row r="86" spans="1:14" x14ac:dyDescent="0.3">
      <c r="F86" t="str">
        <f t="shared" ca="1" si="13"/>
        <v/>
      </c>
      <c r="G86" t="str">
        <f t="shared" ca="1" si="14"/>
        <v/>
      </c>
      <c r="I86" t="str">
        <f t="shared" ca="1" si="4"/>
        <v>N/A</v>
      </c>
      <c r="J86" t="str">
        <f t="shared" si="5"/>
        <v>N/A</v>
      </c>
      <c r="K86" t="str">
        <f t="shared" si="6"/>
        <v>N/A</v>
      </c>
      <c r="L86" t="str">
        <f t="shared" si="7"/>
        <v>N/A</v>
      </c>
      <c r="M86" t="str">
        <f t="shared" ca="1" si="8"/>
        <v>N/A</v>
      </c>
      <c r="N86" t="str">
        <f t="shared" ca="1" si="9"/>
        <v>N/A</v>
      </c>
    </row>
    <row r="87" spans="1:14" x14ac:dyDescent="0.3">
      <c r="A87" s="1">
        <v>0</v>
      </c>
      <c r="B87" t="s">
        <v>148</v>
      </c>
      <c r="C87" t="s">
        <v>4511</v>
      </c>
      <c r="F87" t="str">
        <f t="shared" ca="1" si="13"/>
        <v/>
      </c>
      <c r="G87" t="str">
        <f t="shared" ca="1" si="14"/>
        <v/>
      </c>
      <c r="I87" t="str">
        <f t="shared" ca="1" si="4"/>
        <v>N/A</v>
      </c>
      <c r="J87">
        <f t="shared" si="5"/>
        <v>7530000</v>
      </c>
      <c r="K87" t="str">
        <f t="shared" si="6"/>
        <v>N/A</v>
      </c>
      <c r="L87" t="str">
        <f t="shared" si="7"/>
        <v>N/A</v>
      </c>
      <c r="M87" t="str">
        <f t="shared" ca="1" si="8"/>
        <v>N/A</v>
      </c>
      <c r="N87" t="str">
        <f t="shared" ca="1" si="9"/>
        <v>N/A</v>
      </c>
    </row>
    <row r="88" spans="1:14" x14ac:dyDescent="0.3">
      <c r="A88" s="1">
        <v>1</v>
      </c>
      <c r="B88" t="s">
        <v>150</v>
      </c>
      <c r="C88" t="s">
        <v>3205</v>
      </c>
      <c r="F88" t="str">
        <f ca="1">IF(F87="",IF(F86="",IF(F85="",IF(F84="",IF(F83="",IF(F82="",IFERROR(LEFT(F81,FIND("(",F81) - 2),F81),IFERROR(LEFT(F82,FIND("(",F82) - 2),F82)),IFERROR(LEFT(F83,FIND("(",F83) - 2),F83)),IFERROR(LEFT(F84,FIND("(",F84) - 2),F84)),IFERROR(LEFT(F85,FIND("(",F85) - 2),F85)),IFERROR(LEFT(F86,FIND("(",F86) - 2),F86)),IFERROR(LEFT(F87,FIND("(",F87) - 2),F87))</f>
        <v/>
      </c>
      <c r="G88" t="str">
        <f ca="1">TRIM(IF(LEFT(G87,1)=",",REPLACE(G87,1,1,""),SUBSTITUTE(G87,F88, "and " &amp; F88)))</f>
        <v/>
      </c>
      <c r="I88" t="str">
        <f t="shared" ca="1" si="4"/>
        <v>N/A</v>
      </c>
      <c r="J88">
        <f t="shared" si="5"/>
        <v>0.31</v>
      </c>
      <c r="K88" t="str">
        <f t="shared" si="6"/>
        <v>N/A</v>
      </c>
      <c r="L88" t="str">
        <f t="shared" si="7"/>
        <v>N/A</v>
      </c>
      <c r="M88" t="str">
        <f t="shared" ca="1" si="8"/>
        <v>N/A</v>
      </c>
      <c r="N88" t="str">
        <f t="shared" ca="1" si="9"/>
        <v>N/A</v>
      </c>
    </row>
    <row r="89" spans="1:14" x14ac:dyDescent="0.3">
      <c r="A89" s="1">
        <v>2</v>
      </c>
      <c r="B89" t="s">
        <v>152</v>
      </c>
      <c r="C89" t="s">
        <v>1653</v>
      </c>
      <c r="D89" t="str">
        <f ca="1">IF(COUNTIF(E70:E76,"=below average")&gt;0,"There are some indications that "&amp;D1&amp;" may be undervalued. The company has a lower " &amp; G88 &amp; " than the comparable average", "Inconclusive")</f>
        <v>Inconclusive</v>
      </c>
      <c r="I89" t="str">
        <f t="shared" ca="1" si="4"/>
        <v>N/A</v>
      </c>
      <c r="J89">
        <f t="shared" si="5"/>
        <v>3.2000000000000001E-2</v>
      </c>
      <c r="K89" t="str">
        <f t="shared" ca="1" si="6"/>
        <v>N/A</v>
      </c>
      <c r="L89" t="str">
        <f t="shared" si="7"/>
        <v>N/A</v>
      </c>
      <c r="M89" t="str">
        <f t="shared" si="8"/>
        <v>N/A</v>
      </c>
      <c r="N89" t="str">
        <f t="shared" si="9"/>
        <v>N/A</v>
      </c>
    </row>
    <row r="90" spans="1:14" x14ac:dyDescent="0.3">
      <c r="A90" s="1">
        <v>3</v>
      </c>
      <c r="B90" t="s">
        <v>154</v>
      </c>
      <c r="C90" t="s">
        <v>4512</v>
      </c>
      <c r="I90" t="str">
        <f t="shared" si="4"/>
        <v>N/A</v>
      </c>
      <c r="J90">
        <f t="shared" si="5"/>
        <v>6000000</v>
      </c>
      <c r="K90" t="str">
        <f t="shared" si="6"/>
        <v>N/A</v>
      </c>
      <c r="L90" t="str">
        <f t="shared" si="7"/>
        <v>N/A</v>
      </c>
      <c r="M90" t="str">
        <f t="shared" si="8"/>
        <v>N/A</v>
      </c>
      <c r="N90" t="str">
        <f t="shared" si="9"/>
        <v>N/A</v>
      </c>
    </row>
    <row r="91" spans="1:14" x14ac:dyDescent="0.3">
      <c r="A91" s="1">
        <v>4</v>
      </c>
      <c r="B91" t="s">
        <v>156</v>
      </c>
      <c r="C91" t="s">
        <v>4513</v>
      </c>
      <c r="I91" t="str">
        <f t="shared" si="4"/>
        <v>N/A</v>
      </c>
      <c r="J91">
        <f t="shared" si="5"/>
        <v>-114680000</v>
      </c>
      <c r="K91" t="str">
        <f t="shared" si="6"/>
        <v>N/A</v>
      </c>
      <c r="L91" t="str">
        <f t="shared" si="7"/>
        <v>N/A</v>
      </c>
      <c r="M91" t="str">
        <f t="shared" si="8"/>
        <v>N/A</v>
      </c>
      <c r="N91" t="str">
        <f t="shared" si="9"/>
        <v>N/A</v>
      </c>
    </row>
    <row r="92" spans="1:14" x14ac:dyDescent="0.3">
      <c r="A92" s="1">
        <v>5</v>
      </c>
      <c r="B92" t="s">
        <v>158</v>
      </c>
      <c r="C92" t="s">
        <v>4514</v>
      </c>
      <c r="I92" t="str">
        <f t="shared" ref="I92:I123" si="15">IF(AND(K92&gt; J92, L92&gt; K92, M92&gt; L92, N92&gt; M92), "pos_trend", IF(AND(K92&lt; J92, L92&lt; K92, M92&lt; L92, N92&lt; M92), "neg_trend", "N/A"))</f>
        <v>N/A</v>
      </c>
      <c r="J92">
        <f t="shared" ref="J92:J123" si="16">IFERROR(IF(TRIM(C92)="-", "N/A", IF(RIGHT(C92,1)=")",IF(RIGHT(C92,2)="T)",-1000000000000*VALUE(MID(C92,2,LEN(C92)-3)),IF(RIGHT(C92,2)="M)",-1000000*VALUE(MID(C92,2,LEN(C92)-3)),IF(RIGHT(C92,2)="B)",-1000000000*VALUE(MID(C92,2,LEN(C92)-3)),IF(RIGHT(C92,2)="k)",-1000*VALUE(MID(C92,2,LEN(C92)-3)),VALUE(SUBSTITUTE(C92,",","")))))),IF(RIGHT(C92,1)="T",1000000000000*VALUE(LEFT(C92,LEN(C92)-1)),IF(RIGHT(C92,1)="M",1000000*VALUE(LEFT(C92,LEN(C92)-1)),IF(RIGHT(C92,1)="B",1000000000*VALUE(LEFT(C92,LEN(C92)-1)),IF(RIGHT(C92,1)="%",0.01*VALUE(LEFT(C92,LEN(C92)-1)),IF(RIGHT(C92,1)="k",1000*VALUE(LEFT(C92,LEN(C92)-1)),VALUE(SUBSTITUTE(C92,",",""))))))))),"N/A")</f>
        <v>-114530000</v>
      </c>
      <c r="K92" t="str">
        <f t="shared" ref="K92:K123" si="17">IFERROR(IF(TRIM(D92)="-", "N/A", IF(RIGHT(D92,1)=")",IF(RIGHT(D92,2)="T)",-1000000000000*VALUE(MID(D92,2,LEN(D92)-3)),IF(RIGHT(D92,2)="M)",-1000000*VALUE(MID(D92,2,LEN(D92)-3)),IF(RIGHT(D92,2)="B)",-1000000000*VALUE(MID(D92,2,LEN(D92)-3)),IF(RIGHT(D92,2)="k)",-1000*VALUE(MID(D92,2,LEN(D92)-3)),VALUE(SUBSTITUTE(D92,",","")))))),IF(RIGHT(D92,1)="T",1000000000000*VALUE(LEFT(D92,LEN(D92)-1)),IF(RIGHT(D92,1)="M",1000000*VALUE(LEFT(D92,LEN(D92)-1)),IF(RIGHT(D92,1)="B",1000000000*VALUE(LEFT(D92,LEN(D92)-1)),IF(RIGHT(D92,1)="%",0.01*VALUE(LEFT(D92,LEN(D92)-1)),IF(RIGHT(D92,1)="k",1000*VALUE(LEFT(D92,LEN(D92)-1)),VALUE(SUBSTITUTE(D92,",",""))))))))),"N/A")</f>
        <v>N/A</v>
      </c>
      <c r="L92" t="str">
        <f t="shared" ref="L92:L123" si="18">IFERROR(IF(TRIM(E92)="-", "N/A", IF(RIGHT(E92,1)=")",IF(RIGHT(E92,2)="T)",-1000000000000*VALUE(MID(E92,2,LEN(E92)-3)),IF(RIGHT(E92,2)="M)",-1000000*VALUE(MID(E92,2,LEN(E92)-3)),IF(RIGHT(E92,2)="B)",-1000000000*VALUE(MID(E92,2,LEN(E92)-3)),IF(RIGHT(E92,2)="k)",-1000*VALUE(MID(E92,2,LEN(E92)-3)),VALUE(SUBSTITUTE(E92,",","")))))),IF(RIGHT(E92,1)="T",1000000000000*VALUE(LEFT(E92,LEN(E92)-1)),IF(RIGHT(E92,1)="M",1000000*VALUE(LEFT(E92,LEN(E92)-1)),IF(RIGHT(E92,1)="B",1000000000*VALUE(LEFT(E92,LEN(E92)-1)),IF(RIGHT(E92,1)="%",0.01*VALUE(LEFT(E92,LEN(E92)-1)),IF(RIGHT(E92,1)="k",1000*VALUE(LEFT(E92,LEN(E92)-1)),VALUE(SUBSTITUTE(E92,",",""))))))))),"N/A")</f>
        <v>N/A</v>
      </c>
      <c r="M92" t="str">
        <f t="shared" ref="M92:M123" si="19">IFERROR(IF(TRIM(F92)="-", "N/A", IF(RIGHT(F92,1)=")",IF(RIGHT(F92,2)="T)",-1000000000000*VALUE(MID(F92,2,LEN(F92)-3)),IF(RIGHT(F92,2)="M)",-1000000*VALUE(MID(F92,2,LEN(F92)-3)),IF(RIGHT(F92,2)="B)",-1000000000*VALUE(MID(F92,2,LEN(F92)-3)),IF(RIGHT(F92,2)="k)",-1000*VALUE(MID(F92,2,LEN(F92)-3)),VALUE(SUBSTITUTE(F92,",","")))))),IF(RIGHT(F92,1)="T",1000000000000*VALUE(LEFT(F92,LEN(F92)-1)),IF(RIGHT(F92,1)="M",1000000*VALUE(LEFT(F92,LEN(F92)-1)),IF(RIGHT(F92,1)="B",1000000000*VALUE(LEFT(F92,LEN(F92)-1)),IF(RIGHT(F92,1)="%",0.01*VALUE(LEFT(F92,LEN(F92)-1)),IF(RIGHT(F92,1)="k",1000*VALUE(LEFT(F92,LEN(F92)-1)),VALUE(SUBSTITUTE(F92,",",""))))))))),"N/A")</f>
        <v>N/A</v>
      </c>
      <c r="N92" t="str">
        <f t="shared" ref="N92:N123" si="20">IFERROR(IF(TRIM(G92)="-", "N/A", IF(RIGHT(G92,1)=")",IF(RIGHT(G92,2)="T)",-1000000000000*VALUE(MID(G92,2,LEN(G92)-3)),IF(RIGHT(G92,2)="M)",-1000000*VALUE(MID(G92,2,LEN(G92)-3)),IF(RIGHT(G92,2)="B)",-1000000000*VALUE(MID(G92,2,LEN(G92)-3)),IF(RIGHT(G92,2)="k)",-1000*VALUE(MID(G92,2,LEN(G92)-3)),VALUE(SUBSTITUTE(G92,",","")))))),IF(RIGHT(G92,1)="T",1000000000000*VALUE(LEFT(G92,LEN(G92)-1)),IF(RIGHT(G92,1)="M",1000000*VALUE(LEFT(G92,LEN(G92)-1)),IF(RIGHT(G92,1)="B",1000000000*VALUE(LEFT(G92,LEN(G92)-1)),IF(RIGHT(G92,1)="%",0.01*VALUE(LEFT(G92,LEN(G92)-1)),IF(RIGHT(G92,1)="k",1000*VALUE(LEFT(G92,LEN(G92)-1)),VALUE(SUBSTITUTE(G92,",",""))))))))),"N/A")</f>
        <v>N/A</v>
      </c>
    </row>
    <row r="93" spans="1:14" x14ac:dyDescent="0.3">
      <c r="A93" s="1">
        <v>6</v>
      </c>
      <c r="B93" t="s">
        <v>160</v>
      </c>
      <c r="C93" t="s">
        <v>4493</v>
      </c>
      <c r="I93" t="str">
        <f t="shared" si="15"/>
        <v>N/A</v>
      </c>
      <c r="J93">
        <f t="shared" si="16"/>
        <v>-4.68</v>
      </c>
      <c r="K93" t="str">
        <f t="shared" si="17"/>
        <v>N/A</v>
      </c>
      <c r="L93" t="str">
        <f t="shared" si="18"/>
        <v>N/A</v>
      </c>
      <c r="M93" t="str">
        <f t="shared" si="19"/>
        <v>N/A</v>
      </c>
      <c r="N93" t="str">
        <f t="shared" si="20"/>
        <v>N/A</v>
      </c>
    </row>
    <row r="94" spans="1:14" x14ac:dyDescent="0.3">
      <c r="A94" s="1">
        <v>7</v>
      </c>
      <c r="B94" t="s">
        <v>161</v>
      </c>
      <c r="I94" t="str">
        <f t="shared" si="15"/>
        <v>N/A</v>
      </c>
      <c r="J94" t="str">
        <f t="shared" si="16"/>
        <v>N/A</v>
      </c>
      <c r="K94" t="str">
        <f t="shared" si="17"/>
        <v>N/A</v>
      </c>
      <c r="L94" t="str">
        <f t="shared" si="18"/>
        <v>N/A</v>
      </c>
      <c r="M94" t="str">
        <f t="shared" si="19"/>
        <v>N/A</v>
      </c>
      <c r="N94" t="str">
        <f t="shared" si="20"/>
        <v>N/A</v>
      </c>
    </row>
    <row r="95" spans="1:14" x14ac:dyDescent="0.3">
      <c r="I95" t="str">
        <f t="shared" si="15"/>
        <v>N/A</v>
      </c>
      <c r="J95" t="str">
        <f t="shared" si="16"/>
        <v>N/A</v>
      </c>
      <c r="K95" t="str">
        <f t="shared" si="17"/>
        <v>N/A</v>
      </c>
      <c r="L95" t="str">
        <f t="shared" si="18"/>
        <v>N/A</v>
      </c>
      <c r="M95" t="str">
        <f t="shared" si="19"/>
        <v>N/A</v>
      </c>
      <c r="N95" t="str">
        <f t="shared" si="20"/>
        <v>N/A</v>
      </c>
    </row>
    <row r="96" spans="1:14" x14ac:dyDescent="0.3">
      <c r="A96" s="1">
        <v>0</v>
      </c>
      <c r="B96" t="s">
        <v>163</v>
      </c>
      <c r="C96" t="s">
        <v>4515</v>
      </c>
      <c r="I96" t="str">
        <f t="shared" si="15"/>
        <v>N/A</v>
      </c>
      <c r="J96">
        <f t="shared" si="16"/>
        <v>256470000.00000003</v>
      </c>
      <c r="K96" t="str">
        <f t="shared" si="17"/>
        <v>N/A</v>
      </c>
      <c r="L96" t="str">
        <f t="shared" si="18"/>
        <v>N/A</v>
      </c>
      <c r="M96" t="str">
        <f t="shared" si="19"/>
        <v>N/A</v>
      </c>
      <c r="N96" t="str">
        <f t="shared" si="20"/>
        <v>N/A</v>
      </c>
    </row>
    <row r="97" spans="1:14" x14ac:dyDescent="0.3">
      <c r="A97" s="1">
        <v>1</v>
      </c>
      <c r="B97" t="s">
        <v>165</v>
      </c>
      <c r="C97" t="s">
        <v>2452</v>
      </c>
      <c r="I97" t="str">
        <f t="shared" si="15"/>
        <v>N/A</v>
      </c>
      <c r="J97">
        <f t="shared" si="16"/>
        <v>10.41</v>
      </c>
      <c r="K97" t="str">
        <f t="shared" si="17"/>
        <v>N/A</v>
      </c>
      <c r="L97" t="str">
        <f t="shared" si="18"/>
        <v>N/A</v>
      </c>
      <c r="M97" t="str">
        <f t="shared" si="19"/>
        <v>N/A</v>
      </c>
      <c r="N97" t="str">
        <f t="shared" si="20"/>
        <v>N/A</v>
      </c>
    </row>
    <row r="98" spans="1:14" x14ac:dyDescent="0.3">
      <c r="A98" s="1">
        <v>2</v>
      </c>
      <c r="B98" t="s">
        <v>167</v>
      </c>
      <c r="C98" t="s">
        <v>4516</v>
      </c>
      <c r="I98" t="str">
        <f t="shared" si="15"/>
        <v>N/A</v>
      </c>
      <c r="J98">
        <f t="shared" si="16"/>
        <v>4640000</v>
      </c>
      <c r="K98" t="str">
        <f t="shared" si="17"/>
        <v>N/A</v>
      </c>
      <c r="L98" t="str">
        <f t="shared" si="18"/>
        <v>N/A</v>
      </c>
      <c r="M98" t="str">
        <f t="shared" si="19"/>
        <v>N/A</v>
      </c>
      <c r="N98" t="str">
        <f t="shared" si="20"/>
        <v>N/A</v>
      </c>
    </row>
    <row r="99" spans="1:14" x14ac:dyDescent="0.3">
      <c r="A99" s="1">
        <v>3</v>
      </c>
      <c r="B99" t="s">
        <v>169</v>
      </c>
      <c r="C99" t="s">
        <v>133</v>
      </c>
      <c r="I99" t="str">
        <f t="shared" si="15"/>
        <v>N/A</v>
      </c>
      <c r="J99">
        <f t="shared" si="16"/>
        <v>1.91</v>
      </c>
      <c r="K99" t="str">
        <f t="shared" si="17"/>
        <v>N/A</v>
      </c>
      <c r="L99" t="str">
        <f t="shared" si="18"/>
        <v>N/A</v>
      </c>
      <c r="M99" t="str">
        <f t="shared" si="19"/>
        <v>N/A</v>
      </c>
      <c r="N99" t="str">
        <f t="shared" si="20"/>
        <v>N/A</v>
      </c>
    </row>
    <row r="100" spans="1:14" x14ac:dyDescent="0.3">
      <c r="A100" s="1">
        <v>4</v>
      </c>
      <c r="B100" t="s">
        <v>171</v>
      </c>
      <c r="C100" t="s">
        <v>4517</v>
      </c>
      <c r="I100" t="str">
        <f t="shared" si="15"/>
        <v>N/A</v>
      </c>
      <c r="J100">
        <f t="shared" si="16"/>
        <v>9.39</v>
      </c>
      <c r="K100" t="str">
        <f t="shared" si="17"/>
        <v>N/A</v>
      </c>
      <c r="L100" t="str">
        <f t="shared" si="18"/>
        <v>N/A</v>
      </c>
      <c r="M100" t="str">
        <f t="shared" si="19"/>
        <v>N/A</v>
      </c>
      <c r="N100" t="str">
        <f t="shared" si="20"/>
        <v>N/A</v>
      </c>
    </row>
    <row r="101" spans="1:14" x14ac:dyDescent="0.3">
      <c r="A101" s="1">
        <v>5</v>
      </c>
      <c r="B101" t="s">
        <v>173</v>
      </c>
      <c r="C101" t="s">
        <v>4518</v>
      </c>
      <c r="I101" t="str">
        <f t="shared" si="15"/>
        <v>N/A</v>
      </c>
      <c r="J101">
        <f t="shared" si="16"/>
        <v>9.85</v>
      </c>
      <c r="K101" t="str">
        <f t="shared" si="17"/>
        <v>N/A</v>
      </c>
      <c r="L101" t="str">
        <f t="shared" si="18"/>
        <v>N/A</v>
      </c>
      <c r="M101" t="str">
        <f t="shared" si="19"/>
        <v>N/A</v>
      </c>
      <c r="N101" t="str">
        <f t="shared" si="20"/>
        <v>N/A</v>
      </c>
    </row>
    <row r="102" spans="1:14" x14ac:dyDescent="0.3">
      <c r="I102" t="str">
        <f t="shared" si="15"/>
        <v>N/A</v>
      </c>
      <c r="J102" t="str">
        <f t="shared" si="16"/>
        <v>N/A</v>
      </c>
      <c r="K102" t="str">
        <f t="shared" si="17"/>
        <v>N/A</v>
      </c>
      <c r="L102" t="str">
        <f t="shared" si="18"/>
        <v>N/A</v>
      </c>
      <c r="M102" t="str">
        <f t="shared" si="19"/>
        <v>N/A</v>
      </c>
      <c r="N102" t="str">
        <f t="shared" si="20"/>
        <v>N/A</v>
      </c>
    </row>
    <row r="103" spans="1:14" x14ac:dyDescent="0.3">
      <c r="A103" s="1">
        <v>0</v>
      </c>
      <c r="B103" t="s">
        <v>175</v>
      </c>
      <c r="C103" t="s">
        <v>4519</v>
      </c>
      <c r="I103" t="str">
        <f t="shared" si="15"/>
        <v>N/A</v>
      </c>
      <c r="J103">
        <f t="shared" si="16"/>
        <v>-59540000</v>
      </c>
      <c r="K103" t="str">
        <f t="shared" si="17"/>
        <v>N/A</v>
      </c>
      <c r="L103" t="str">
        <f t="shared" si="18"/>
        <v>N/A</v>
      </c>
      <c r="M103" t="str">
        <f t="shared" si="19"/>
        <v>N/A</v>
      </c>
      <c r="N103" t="str">
        <f t="shared" si="20"/>
        <v>N/A</v>
      </c>
    </row>
    <row r="104" spans="1:14" x14ac:dyDescent="0.3">
      <c r="A104" s="1">
        <v>1</v>
      </c>
      <c r="B104" t="s">
        <v>177</v>
      </c>
      <c r="C104" t="s">
        <v>4520</v>
      </c>
      <c r="I104" t="str">
        <f t="shared" si="15"/>
        <v>N/A</v>
      </c>
      <c r="J104">
        <f t="shared" si="16"/>
        <v>-36770000</v>
      </c>
      <c r="K104" t="str">
        <f t="shared" si="17"/>
        <v>N/A</v>
      </c>
      <c r="L104" t="str">
        <f t="shared" si="18"/>
        <v>N/A</v>
      </c>
      <c r="M104" t="str">
        <f t="shared" si="19"/>
        <v>N/A</v>
      </c>
      <c r="N104" t="str">
        <f t="shared" si="20"/>
        <v>N/A</v>
      </c>
    </row>
    <row r="105" spans="1:14" x14ac:dyDescent="0.3">
      <c r="I105" t="str">
        <f t="shared" si="15"/>
        <v>N/A</v>
      </c>
      <c r="J105" t="str">
        <f t="shared" si="16"/>
        <v>N/A</v>
      </c>
      <c r="K105" t="str">
        <f t="shared" si="17"/>
        <v>N/A</v>
      </c>
      <c r="L105" t="str">
        <f t="shared" si="18"/>
        <v>N/A</v>
      </c>
      <c r="M105" t="str">
        <f t="shared" si="19"/>
        <v>N/A</v>
      </c>
      <c r="N105" t="str">
        <f t="shared" si="20"/>
        <v>N/A</v>
      </c>
    </row>
    <row r="106" spans="1:14" x14ac:dyDescent="0.3">
      <c r="A106" s="1">
        <v>0</v>
      </c>
      <c r="B106" t="s">
        <v>22</v>
      </c>
      <c r="C106" t="s">
        <v>4491</v>
      </c>
      <c r="I106" t="str">
        <f t="shared" si="15"/>
        <v>N/A</v>
      </c>
      <c r="J106">
        <f t="shared" si="16"/>
        <v>0.17</v>
      </c>
      <c r="K106" t="str">
        <f t="shared" si="17"/>
        <v>N/A</v>
      </c>
      <c r="L106" t="str">
        <f t="shared" si="18"/>
        <v>N/A</v>
      </c>
      <c r="M106" t="str">
        <f t="shared" si="19"/>
        <v>N/A</v>
      </c>
      <c r="N106" t="str">
        <f t="shared" si="20"/>
        <v>N/A</v>
      </c>
    </row>
    <row r="107" spans="1:14" x14ac:dyDescent="0.3">
      <c r="A107" s="1">
        <v>1</v>
      </c>
      <c r="B107" t="s">
        <v>179</v>
      </c>
      <c r="C107" t="s">
        <v>4521</v>
      </c>
      <c r="I107" t="str">
        <f t="shared" si="15"/>
        <v>N/A</v>
      </c>
      <c r="J107">
        <f t="shared" si="16"/>
        <v>0.22359999999999999</v>
      </c>
      <c r="K107" t="str">
        <f t="shared" si="17"/>
        <v>N/A</v>
      </c>
      <c r="L107" t="str">
        <f t="shared" si="18"/>
        <v>N/A</v>
      </c>
      <c r="M107" t="str">
        <f t="shared" si="19"/>
        <v>N/A</v>
      </c>
      <c r="N107" t="str">
        <f t="shared" si="20"/>
        <v>N/A</v>
      </c>
    </row>
    <row r="108" spans="1:14" x14ac:dyDescent="0.3">
      <c r="A108" s="1">
        <v>2</v>
      </c>
      <c r="B108" t="s">
        <v>181</v>
      </c>
      <c r="C108" t="s">
        <v>182</v>
      </c>
      <c r="I108" t="str">
        <f t="shared" si="15"/>
        <v>N/A</v>
      </c>
      <c r="J108">
        <f t="shared" si="16"/>
        <v>0.14180000000000001</v>
      </c>
      <c r="K108" t="str">
        <f t="shared" si="17"/>
        <v>N/A</v>
      </c>
      <c r="L108" t="str">
        <f t="shared" si="18"/>
        <v>N/A</v>
      </c>
      <c r="M108" t="str">
        <f t="shared" si="19"/>
        <v>N/A</v>
      </c>
      <c r="N108" t="str">
        <f t="shared" si="20"/>
        <v>N/A</v>
      </c>
    </row>
    <row r="109" spans="1:14" x14ac:dyDescent="0.3">
      <c r="A109" s="1">
        <v>3</v>
      </c>
      <c r="B109" t="s">
        <v>183</v>
      </c>
      <c r="C109" t="s">
        <v>4522</v>
      </c>
      <c r="I109" t="str">
        <f t="shared" si="15"/>
        <v>N/A</v>
      </c>
      <c r="J109">
        <f t="shared" si="16"/>
        <v>77.5</v>
      </c>
      <c r="K109" t="str">
        <f t="shared" si="17"/>
        <v>N/A</v>
      </c>
      <c r="L109" t="str">
        <f t="shared" si="18"/>
        <v>N/A</v>
      </c>
      <c r="M109" t="str">
        <f t="shared" si="19"/>
        <v>N/A</v>
      </c>
      <c r="N109" t="str">
        <f t="shared" si="20"/>
        <v>N/A</v>
      </c>
    </row>
    <row r="110" spans="1:14" x14ac:dyDescent="0.3">
      <c r="A110" s="1">
        <v>4</v>
      </c>
      <c r="B110" t="s">
        <v>185</v>
      </c>
      <c r="C110" t="s">
        <v>4523</v>
      </c>
      <c r="I110" t="str">
        <f t="shared" si="15"/>
        <v>N/A</v>
      </c>
      <c r="J110">
        <f t="shared" si="16"/>
        <v>58.2</v>
      </c>
      <c r="K110" t="str">
        <f t="shared" si="17"/>
        <v>N/A</v>
      </c>
      <c r="L110" t="str">
        <f t="shared" si="18"/>
        <v>N/A</v>
      </c>
      <c r="M110" t="str">
        <f t="shared" si="19"/>
        <v>N/A</v>
      </c>
      <c r="N110" t="str">
        <f t="shared" si="20"/>
        <v>N/A</v>
      </c>
    </row>
    <row r="111" spans="1:14" x14ac:dyDescent="0.3">
      <c r="A111" s="1">
        <v>5</v>
      </c>
      <c r="B111" t="s">
        <v>187</v>
      </c>
      <c r="C111" t="s">
        <v>4524</v>
      </c>
      <c r="I111" t="str">
        <f t="shared" si="15"/>
        <v>N/A</v>
      </c>
      <c r="J111">
        <f t="shared" si="16"/>
        <v>65.7</v>
      </c>
      <c r="K111" t="str">
        <f t="shared" si="17"/>
        <v>N/A</v>
      </c>
      <c r="L111" t="str">
        <f t="shared" si="18"/>
        <v>N/A</v>
      </c>
      <c r="M111" t="str">
        <f t="shared" si="19"/>
        <v>N/A</v>
      </c>
      <c r="N111" t="str">
        <f t="shared" si="20"/>
        <v>N/A</v>
      </c>
    </row>
    <row r="112" spans="1:14" x14ac:dyDescent="0.3">
      <c r="A112" s="1">
        <v>6</v>
      </c>
      <c r="B112" t="s">
        <v>189</v>
      </c>
      <c r="C112" t="s">
        <v>4525</v>
      </c>
      <c r="I112" t="str">
        <f t="shared" si="15"/>
        <v>N/A</v>
      </c>
      <c r="J112">
        <f t="shared" si="16"/>
        <v>64.77</v>
      </c>
      <c r="K112" t="str">
        <f t="shared" si="17"/>
        <v>N/A</v>
      </c>
      <c r="L112" t="str">
        <f t="shared" si="18"/>
        <v>N/A</v>
      </c>
      <c r="M112" t="str">
        <f t="shared" si="19"/>
        <v>N/A</v>
      </c>
      <c r="N112" t="str">
        <f t="shared" si="20"/>
        <v>N/A</v>
      </c>
    </row>
    <row r="113" spans="1:14" x14ac:dyDescent="0.3">
      <c r="I113" t="str">
        <f t="shared" si="15"/>
        <v>N/A</v>
      </c>
      <c r="J113" t="str">
        <f t="shared" si="16"/>
        <v>N/A</v>
      </c>
      <c r="K113" t="str">
        <f t="shared" si="17"/>
        <v>N/A</v>
      </c>
      <c r="L113" t="str">
        <f t="shared" si="18"/>
        <v>N/A</v>
      </c>
      <c r="M113" t="str">
        <f t="shared" si="19"/>
        <v>N/A</v>
      </c>
      <c r="N113" t="str">
        <f t="shared" si="20"/>
        <v>N/A</v>
      </c>
    </row>
    <row r="114" spans="1:14" x14ac:dyDescent="0.3">
      <c r="A114" s="1">
        <v>0</v>
      </c>
      <c r="B114" t="s">
        <v>191</v>
      </c>
      <c r="C114" t="s">
        <v>4526</v>
      </c>
      <c r="I114" t="str">
        <f t="shared" si="15"/>
        <v>N/A</v>
      </c>
      <c r="J114">
        <f t="shared" si="16"/>
        <v>43950</v>
      </c>
      <c r="K114" t="str">
        <f t="shared" si="17"/>
        <v>N/A</v>
      </c>
      <c r="L114" t="str">
        <f t="shared" si="18"/>
        <v>N/A</v>
      </c>
      <c r="M114" t="str">
        <f t="shared" si="19"/>
        <v>N/A</v>
      </c>
      <c r="N114" t="str">
        <f t="shared" si="20"/>
        <v>N/A</v>
      </c>
    </row>
    <row r="115" spans="1:14" x14ac:dyDescent="0.3">
      <c r="A115" s="1">
        <v>1</v>
      </c>
      <c r="B115" t="s">
        <v>193</v>
      </c>
      <c r="C115" t="s">
        <v>4527</v>
      </c>
      <c r="I115" t="str">
        <f t="shared" si="15"/>
        <v>N/A</v>
      </c>
      <c r="J115">
        <f t="shared" si="16"/>
        <v>49840</v>
      </c>
      <c r="K115" t="str">
        <f t="shared" si="17"/>
        <v>N/A</v>
      </c>
      <c r="L115" t="str">
        <f t="shared" si="18"/>
        <v>N/A</v>
      </c>
      <c r="M115" t="str">
        <f t="shared" si="19"/>
        <v>N/A</v>
      </c>
      <c r="N115" t="str">
        <f t="shared" si="20"/>
        <v>N/A</v>
      </c>
    </row>
    <row r="116" spans="1:14" x14ac:dyDescent="0.3">
      <c r="A116" s="1">
        <v>2</v>
      </c>
      <c r="B116" t="s">
        <v>195</v>
      </c>
      <c r="C116" t="s">
        <v>4528</v>
      </c>
      <c r="I116" t="str">
        <f t="shared" si="15"/>
        <v>N/A</v>
      </c>
      <c r="J116">
        <f t="shared" si="16"/>
        <v>24700000</v>
      </c>
      <c r="K116" t="str">
        <f t="shared" si="17"/>
        <v>N/A</v>
      </c>
      <c r="L116" t="str">
        <f t="shared" si="18"/>
        <v>N/A</v>
      </c>
      <c r="M116" t="str">
        <f t="shared" si="19"/>
        <v>N/A</v>
      </c>
      <c r="N116" t="str">
        <f t="shared" si="20"/>
        <v>N/A</v>
      </c>
    </row>
    <row r="117" spans="1:14" x14ac:dyDescent="0.3">
      <c r="A117" s="1">
        <v>3</v>
      </c>
      <c r="B117" t="s">
        <v>197</v>
      </c>
      <c r="C117" t="s">
        <v>2061</v>
      </c>
      <c r="I117" t="str">
        <f t="shared" si="15"/>
        <v>N/A</v>
      </c>
      <c r="J117">
        <f t="shared" si="16"/>
        <v>19150000</v>
      </c>
      <c r="K117" t="str">
        <f t="shared" si="17"/>
        <v>N/A</v>
      </c>
      <c r="L117" t="str">
        <f t="shared" si="18"/>
        <v>N/A</v>
      </c>
      <c r="M117" t="str">
        <f t="shared" si="19"/>
        <v>N/A</v>
      </c>
      <c r="N117" t="str">
        <f t="shared" si="20"/>
        <v>N/A</v>
      </c>
    </row>
    <row r="118" spans="1:14" x14ac:dyDescent="0.3">
      <c r="A118" s="1">
        <v>4</v>
      </c>
      <c r="B118" t="s">
        <v>199</v>
      </c>
      <c r="I118" t="str">
        <f t="shared" si="15"/>
        <v>N/A</v>
      </c>
      <c r="J118" t="str">
        <f t="shared" si="16"/>
        <v>N/A</v>
      </c>
      <c r="K118" t="str">
        <f t="shared" si="17"/>
        <v>N/A</v>
      </c>
      <c r="L118" t="str">
        <f t="shared" si="18"/>
        <v>N/A</v>
      </c>
      <c r="M118" t="str">
        <f t="shared" si="19"/>
        <v>N/A</v>
      </c>
      <c r="N118" t="str">
        <f t="shared" si="20"/>
        <v>N/A</v>
      </c>
    </row>
    <row r="119" spans="1:14" x14ac:dyDescent="0.3">
      <c r="A119" s="1">
        <v>5</v>
      </c>
      <c r="B119" t="s">
        <v>201</v>
      </c>
      <c r="I119" t="str">
        <f t="shared" si="15"/>
        <v>N/A</v>
      </c>
      <c r="J119" t="str">
        <f t="shared" si="16"/>
        <v>N/A</v>
      </c>
      <c r="K119" t="str">
        <f t="shared" si="17"/>
        <v>N/A</v>
      </c>
      <c r="L119" t="str">
        <f t="shared" si="18"/>
        <v>N/A</v>
      </c>
      <c r="M119" t="str">
        <f t="shared" si="19"/>
        <v>N/A</v>
      </c>
      <c r="N119" t="str">
        <f t="shared" si="20"/>
        <v>N/A</v>
      </c>
    </row>
    <row r="120" spans="1:14" x14ac:dyDescent="0.3">
      <c r="A120" s="1">
        <v>6</v>
      </c>
      <c r="B120" t="s">
        <v>203</v>
      </c>
      <c r="I120" t="str">
        <f t="shared" si="15"/>
        <v>N/A</v>
      </c>
      <c r="J120" t="str">
        <f t="shared" si="16"/>
        <v>N/A</v>
      </c>
      <c r="K120" t="str">
        <f t="shared" si="17"/>
        <v>N/A</v>
      </c>
      <c r="L120" t="str">
        <f t="shared" si="18"/>
        <v>N/A</v>
      </c>
      <c r="M120" t="str">
        <f t="shared" si="19"/>
        <v>N/A</v>
      </c>
      <c r="N120" t="str">
        <f t="shared" si="20"/>
        <v>N/A</v>
      </c>
    </row>
    <row r="121" spans="1:14" x14ac:dyDescent="0.3">
      <c r="A121" s="1">
        <v>7</v>
      </c>
      <c r="B121" t="s">
        <v>205</v>
      </c>
      <c r="I121" t="str">
        <f t="shared" si="15"/>
        <v>N/A</v>
      </c>
      <c r="J121" t="str">
        <f t="shared" si="16"/>
        <v>N/A</v>
      </c>
      <c r="K121" t="str">
        <f t="shared" si="17"/>
        <v>N/A</v>
      </c>
      <c r="L121" t="str">
        <f t="shared" si="18"/>
        <v>N/A</v>
      </c>
      <c r="M121" t="str">
        <f t="shared" si="19"/>
        <v>N/A</v>
      </c>
      <c r="N121" t="str">
        <f t="shared" si="20"/>
        <v>N/A</v>
      </c>
    </row>
    <row r="122" spans="1:14" x14ac:dyDescent="0.3">
      <c r="A122" s="1">
        <v>8</v>
      </c>
      <c r="B122" t="s">
        <v>207</v>
      </c>
      <c r="I122" t="str">
        <f t="shared" si="15"/>
        <v>N/A</v>
      </c>
      <c r="J122" t="str">
        <f t="shared" si="16"/>
        <v>N/A</v>
      </c>
      <c r="K122" t="str">
        <f t="shared" si="17"/>
        <v>N/A</v>
      </c>
      <c r="L122" t="str">
        <f t="shared" si="18"/>
        <v>N/A</v>
      </c>
      <c r="M122" t="str">
        <f t="shared" si="19"/>
        <v>N/A</v>
      </c>
      <c r="N122" t="str">
        <f t="shared" si="20"/>
        <v>N/A</v>
      </c>
    </row>
    <row r="123" spans="1:14" x14ac:dyDescent="0.3">
      <c r="A123" s="1">
        <v>9</v>
      </c>
      <c r="B123" t="s">
        <v>209</v>
      </c>
      <c r="I123" t="str">
        <f t="shared" si="15"/>
        <v>N/A</v>
      </c>
      <c r="J123" t="str">
        <f t="shared" si="16"/>
        <v>N/A</v>
      </c>
      <c r="K123" t="str">
        <f t="shared" si="17"/>
        <v>N/A</v>
      </c>
      <c r="L123" t="str">
        <f t="shared" si="18"/>
        <v>N/A</v>
      </c>
      <c r="M123" t="str">
        <f t="shared" si="19"/>
        <v>N/A</v>
      </c>
      <c r="N123" t="str">
        <f t="shared" si="20"/>
        <v>N/A</v>
      </c>
    </row>
    <row r="124" spans="1:14" x14ac:dyDescent="0.3">
      <c r="I124" t="str">
        <f t="shared" ref="I124:I155" si="21">IF(AND(K124&gt; J124, L124&gt; K124, M124&gt; L124, N124&gt; M124), "pos_trend", IF(AND(K124&lt; J124, L124&lt; K124, M124&lt; L124, N124&lt; M124), "neg_trend", "N/A"))</f>
        <v>N/A</v>
      </c>
      <c r="J124" t="str">
        <f t="shared" ref="J124:J156" si="22">IFERROR(IF(TRIM(C124)="-", "N/A", IF(RIGHT(C124,1)=")",IF(RIGHT(C124,2)="T)",-1000000000000*VALUE(MID(C124,2,LEN(C124)-3)),IF(RIGHT(C124,2)="M)",-1000000*VALUE(MID(C124,2,LEN(C124)-3)),IF(RIGHT(C124,2)="B)",-1000000000*VALUE(MID(C124,2,LEN(C124)-3)),IF(RIGHT(C124,2)="k)",-1000*VALUE(MID(C124,2,LEN(C124)-3)),VALUE(SUBSTITUTE(C124,",","")))))),IF(RIGHT(C124,1)="T",1000000000000*VALUE(LEFT(C124,LEN(C124)-1)),IF(RIGHT(C124,1)="M",1000000*VALUE(LEFT(C124,LEN(C124)-1)),IF(RIGHT(C124,1)="B",1000000000*VALUE(LEFT(C124,LEN(C124)-1)),IF(RIGHT(C124,1)="%",0.01*VALUE(LEFT(C124,LEN(C124)-1)),IF(RIGHT(C124,1)="k",1000*VALUE(LEFT(C124,LEN(C124)-1)),VALUE(SUBSTITUTE(C124,",",""))))))))),"N/A")</f>
        <v>N/A</v>
      </c>
      <c r="K124" t="str">
        <f t="shared" ref="K124:K156" si="23">IFERROR(IF(TRIM(D124)="-", "N/A", IF(RIGHT(D124,1)=")",IF(RIGHT(D124,2)="T)",-1000000000000*VALUE(MID(D124,2,LEN(D124)-3)),IF(RIGHT(D124,2)="M)",-1000000*VALUE(MID(D124,2,LEN(D124)-3)),IF(RIGHT(D124,2)="B)",-1000000000*VALUE(MID(D124,2,LEN(D124)-3)),IF(RIGHT(D124,2)="k)",-1000*VALUE(MID(D124,2,LEN(D124)-3)),VALUE(SUBSTITUTE(D124,",","")))))),IF(RIGHT(D124,1)="T",1000000000000*VALUE(LEFT(D124,LEN(D124)-1)),IF(RIGHT(D124,1)="M",1000000*VALUE(LEFT(D124,LEN(D124)-1)),IF(RIGHT(D124,1)="B",1000000000*VALUE(LEFT(D124,LEN(D124)-1)),IF(RIGHT(D124,1)="%",0.01*VALUE(LEFT(D124,LEN(D124)-1)),IF(RIGHT(D124,1)="k",1000*VALUE(LEFT(D124,LEN(D124)-1)),VALUE(SUBSTITUTE(D124,",",""))))))))),"N/A")</f>
        <v>N/A</v>
      </c>
      <c r="L124" t="str">
        <f t="shared" ref="L124:L156" si="24">IFERROR(IF(TRIM(E124)="-", "N/A", IF(RIGHT(E124,1)=")",IF(RIGHT(E124,2)="T)",-1000000000000*VALUE(MID(E124,2,LEN(E124)-3)),IF(RIGHT(E124,2)="M)",-1000000*VALUE(MID(E124,2,LEN(E124)-3)),IF(RIGHT(E124,2)="B)",-1000000000*VALUE(MID(E124,2,LEN(E124)-3)),IF(RIGHT(E124,2)="k)",-1000*VALUE(MID(E124,2,LEN(E124)-3)),VALUE(SUBSTITUTE(E124,",","")))))),IF(RIGHT(E124,1)="T",1000000000000*VALUE(LEFT(E124,LEN(E124)-1)),IF(RIGHT(E124,1)="M",1000000*VALUE(LEFT(E124,LEN(E124)-1)),IF(RIGHT(E124,1)="B",1000000000*VALUE(LEFT(E124,LEN(E124)-1)),IF(RIGHT(E124,1)="%",0.01*VALUE(LEFT(E124,LEN(E124)-1)),IF(RIGHT(E124,1)="k",1000*VALUE(LEFT(E124,LEN(E124)-1)),VALUE(SUBSTITUTE(E124,",",""))))))))),"N/A")</f>
        <v>N/A</v>
      </c>
      <c r="M124" t="str">
        <f t="shared" ref="M124:M156" si="25">IFERROR(IF(TRIM(F124)="-", "N/A", IF(RIGHT(F124,1)=")",IF(RIGHT(F124,2)="T)",-1000000000000*VALUE(MID(F124,2,LEN(F124)-3)),IF(RIGHT(F124,2)="M)",-1000000*VALUE(MID(F124,2,LEN(F124)-3)),IF(RIGHT(F124,2)="B)",-1000000000*VALUE(MID(F124,2,LEN(F124)-3)),IF(RIGHT(F124,2)="k)",-1000*VALUE(MID(F124,2,LEN(F124)-3)),VALUE(SUBSTITUTE(F124,",","")))))),IF(RIGHT(F124,1)="T",1000000000000*VALUE(LEFT(F124,LEN(F124)-1)),IF(RIGHT(F124,1)="M",1000000*VALUE(LEFT(F124,LEN(F124)-1)),IF(RIGHT(F124,1)="B",1000000000*VALUE(LEFT(F124,LEN(F124)-1)),IF(RIGHT(F124,1)="%",0.01*VALUE(LEFT(F124,LEN(F124)-1)),IF(RIGHT(F124,1)="k",1000*VALUE(LEFT(F124,LEN(F124)-1)),VALUE(SUBSTITUTE(F124,",",""))))))))),"N/A")</f>
        <v>N/A</v>
      </c>
      <c r="N124" t="str">
        <f t="shared" ref="N124:N156" si="26">IFERROR(IF(TRIM(G124)="-", "N/A", IF(RIGHT(G124,1)=")",IF(RIGHT(G124,2)="T)",-1000000000000*VALUE(MID(G124,2,LEN(G124)-3)),IF(RIGHT(G124,2)="M)",-1000000*VALUE(MID(G124,2,LEN(G124)-3)),IF(RIGHT(G124,2)="B)",-1000000000*VALUE(MID(G124,2,LEN(G124)-3)),IF(RIGHT(G124,2)="k)",-1000*VALUE(MID(G124,2,LEN(G124)-3)),VALUE(SUBSTITUTE(G124,",","")))))),IF(RIGHT(G124,1)="T",1000000000000*VALUE(LEFT(G124,LEN(G124)-1)),IF(RIGHT(G124,1)="M",1000000*VALUE(LEFT(G124,LEN(G124)-1)),IF(RIGHT(G124,1)="B",1000000000*VALUE(LEFT(G124,LEN(G124)-1)),IF(RIGHT(G124,1)="%",0.01*VALUE(LEFT(G124,LEN(G124)-1)),IF(RIGHT(G124,1)="k",1000*VALUE(LEFT(G124,LEN(G124)-1)),VALUE(SUBSTITUTE(G124,",",""))))))))),"N/A")</f>
        <v>N/A</v>
      </c>
    </row>
    <row r="125" spans="1:14" x14ac:dyDescent="0.3">
      <c r="A125" s="1">
        <v>0</v>
      </c>
      <c r="B125" t="s">
        <v>211</v>
      </c>
      <c r="I125" t="str">
        <f t="shared" si="21"/>
        <v>N/A</v>
      </c>
      <c r="J125" t="str">
        <f t="shared" si="22"/>
        <v>N/A</v>
      </c>
      <c r="K125" t="str">
        <f t="shared" si="23"/>
        <v>N/A</v>
      </c>
      <c r="L125" t="str">
        <f t="shared" si="24"/>
        <v>N/A</v>
      </c>
      <c r="M125" t="str">
        <f t="shared" si="25"/>
        <v>N/A</v>
      </c>
      <c r="N125" t="str">
        <f t="shared" si="26"/>
        <v>N/A</v>
      </c>
    </row>
    <row r="126" spans="1:14" x14ac:dyDescent="0.3">
      <c r="A126" s="1">
        <v>1</v>
      </c>
      <c r="B126" t="s">
        <v>213</v>
      </c>
      <c r="I126" t="str">
        <f t="shared" si="21"/>
        <v>N/A</v>
      </c>
      <c r="J126" t="str">
        <f t="shared" si="22"/>
        <v>N/A</v>
      </c>
      <c r="K126" t="str">
        <f t="shared" si="23"/>
        <v>N/A</v>
      </c>
      <c r="L126" t="str">
        <f t="shared" si="24"/>
        <v>N/A</v>
      </c>
      <c r="M126" t="str">
        <f t="shared" si="25"/>
        <v>N/A</v>
      </c>
      <c r="N126" t="str">
        <f t="shared" si="26"/>
        <v>N/A</v>
      </c>
    </row>
    <row r="127" spans="1:14" x14ac:dyDescent="0.3">
      <c r="A127" s="1">
        <v>2</v>
      </c>
      <c r="B127" t="s">
        <v>215</v>
      </c>
      <c r="I127" t="str">
        <f t="shared" si="21"/>
        <v>N/A</v>
      </c>
      <c r="J127" t="str">
        <f t="shared" si="22"/>
        <v>N/A</v>
      </c>
      <c r="K127" t="str">
        <f t="shared" si="23"/>
        <v>N/A</v>
      </c>
      <c r="L127" t="str">
        <f t="shared" si="24"/>
        <v>N/A</v>
      </c>
      <c r="M127" t="str">
        <f t="shared" si="25"/>
        <v>N/A</v>
      </c>
      <c r="N127" t="str">
        <f t="shared" si="26"/>
        <v>N/A</v>
      </c>
    </row>
    <row r="128" spans="1:14" x14ac:dyDescent="0.3">
      <c r="A128" s="1">
        <v>3</v>
      </c>
      <c r="B128" t="s">
        <v>217</v>
      </c>
      <c r="I128" t="str">
        <f t="shared" si="21"/>
        <v>N/A</v>
      </c>
      <c r="J128" t="str">
        <f t="shared" si="22"/>
        <v>N/A</v>
      </c>
      <c r="K128" t="str">
        <f t="shared" si="23"/>
        <v>N/A</v>
      </c>
      <c r="L128" t="str">
        <f t="shared" si="24"/>
        <v>N/A</v>
      </c>
      <c r="M128" t="str">
        <f t="shared" si="25"/>
        <v>N/A</v>
      </c>
      <c r="N128" t="str">
        <f t="shared" si="26"/>
        <v>N/A</v>
      </c>
    </row>
    <row r="129" spans="1:60" x14ac:dyDescent="0.3">
      <c r="A129" s="1">
        <v>4</v>
      </c>
      <c r="B129" t="s">
        <v>219</v>
      </c>
      <c r="I129" t="str">
        <f t="shared" si="21"/>
        <v>N/A</v>
      </c>
      <c r="J129" t="str">
        <f t="shared" si="22"/>
        <v>N/A</v>
      </c>
      <c r="K129" t="str">
        <f t="shared" si="23"/>
        <v>N/A</v>
      </c>
      <c r="L129" t="str">
        <f t="shared" si="24"/>
        <v>N/A</v>
      </c>
      <c r="M129" t="str">
        <f t="shared" si="25"/>
        <v>N/A</v>
      </c>
      <c r="N129" t="str">
        <f t="shared" si="26"/>
        <v>N/A</v>
      </c>
    </row>
    <row r="130" spans="1:60" x14ac:dyDescent="0.3">
      <c r="A130" s="1">
        <v>5</v>
      </c>
      <c r="B130" t="s">
        <v>221</v>
      </c>
      <c r="I130" t="str">
        <f t="shared" si="21"/>
        <v>N/A</v>
      </c>
      <c r="J130" t="str">
        <f t="shared" si="22"/>
        <v>N/A</v>
      </c>
      <c r="K130" t="str">
        <f t="shared" si="23"/>
        <v>N/A</v>
      </c>
      <c r="L130" t="str">
        <f t="shared" si="24"/>
        <v>N/A</v>
      </c>
      <c r="M130" t="str">
        <f t="shared" si="25"/>
        <v>N/A</v>
      </c>
      <c r="N130" t="str">
        <f t="shared" si="26"/>
        <v>N/A</v>
      </c>
    </row>
    <row r="131" spans="1:60" x14ac:dyDescent="0.3">
      <c r="A131" s="1">
        <v>6</v>
      </c>
      <c r="B131" t="s">
        <v>223</v>
      </c>
      <c r="I131" t="str">
        <f t="shared" si="21"/>
        <v>N/A</v>
      </c>
      <c r="J131" t="str">
        <f t="shared" si="22"/>
        <v>N/A</v>
      </c>
      <c r="K131" t="str">
        <f t="shared" si="23"/>
        <v>N/A</v>
      </c>
      <c r="L131" t="str">
        <f t="shared" si="24"/>
        <v>N/A</v>
      </c>
      <c r="M131" t="str">
        <f t="shared" si="25"/>
        <v>N/A</v>
      </c>
      <c r="N131" t="str">
        <f t="shared" si="26"/>
        <v>N/A</v>
      </c>
    </row>
    <row r="132" spans="1:60" x14ac:dyDescent="0.3">
      <c r="A132" s="1">
        <v>7</v>
      </c>
      <c r="B132" t="s">
        <v>225</v>
      </c>
      <c r="I132" t="str">
        <f t="shared" si="21"/>
        <v>N/A</v>
      </c>
      <c r="J132" t="str">
        <f t="shared" si="22"/>
        <v>N/A</v>
      </c>
      <c r="K132" t="str">
        <f t="shared" si="23"/>
        <v>N/A</v>
      </c>
      <c r="L132" t="str">
        <f t="shared" si="24"/>
        <v>N/A</v>
      </c>
      <c r="M132" t="str">
        <f t="shared" si="25"/>
        <v>N/A</v>
      </c>
      <c r="N132" t="str">
        <f t="shared" si="26"/>
        <v>N/A</v>
      </c>
    </row>
    <row r="133" spans="1:60" x14ac:dyDescent="0.3">
      <c r="A133" s="1">
        <v>8</v>
      </c>
      <c r="B133" t="s">
        <v>227</v>
      </c>
      <c r="I133" t="str">
        <f t="shared" si="21"/>
        <v>N/A</v>
      </c>
      <c r="J133" t="str">
        <f t="shared" si="22"/>
        <v>N/A</v>
      </c>
      <c r="K133" t="str">
        <f t="shared" si="23"/>
        <v>N/A</v>
      </c>
      <c r="L133" t="str">
        <f t="shared" si="24"/>
        <v>N/A</v>
      </c>
      <c r="M133" t="str">
        <f t="shared" si="25"/>
        <v>N/A</v>
      </c>
      <c r="N133" t="str">
        <f t="shared" si="26"/>
        <v>N/A</v>
      </c>
    </row>
    <row r="134" spans="1:60" x14ac:dyDescent="0.3">
      <c r="A134" s="1">
        <v>9</v>
      </c>
      <c r="B134" t="s">
        <v>229</v>
      </c>
      <c r="I134" t="str">
        <f t="shared" si="21"/>
        <v>N/A</v>
      </c>
      <c r="J134" t="str">
        <f t="shared" si="22"/>
        <v>N/A</v>
      </c>
      <c r="K134" t="str">
        <f t="shared" si="23"/>
        <v>N/A</v>
      </c>
      <c r="L134" t="str">
        <f t="shared" si="24"/>
        <v>N/A</v>
      </c>
      <c r="M134" t="str">
        <f t="shared" si="25"/>
        <v>N/A</v>
      </c>
      <c r="N134" t="str">
        <f t="shared" si="26"/>
        <v>N/A</v>
      </c>
    </row>
    <row r="135" spans="1:60" x14ac:dyDescent="0.3">
      <c r="I135" t="str">
        <f t="shared" si="21"/>
        <v>N/A</v>
      </c>
      <c r="J135" t="str">
        <f t="shared" si="22"/>
        <v>N/A</v>
      </c>
      <c r="K135" t="str">
        <f t="shared" si="23"/>
        <v>N/A</v>
      </c>
      <c r="L135" t="str">
        <f t="shared" si="24"/>
        <v>N/A</v>
      </c>
      <c r="M135" t="str">
        <f t="shared" si="25"/>
        <v>N/A</v>
      </c>
      <c r="N135" t="str">
        <f t="shared" si="26"/>
        <v>N/A</v>
      </c>
    </row>
    <row r="136" spans="1:60" x14ac:dyDescent="0.3">
      <c r="I136" t="str">
        <f t="shared" si="21"/>
        <v>N/A</v>
      </c>
      <c r="J136" t="str">
        <f t="shared" si="22"/>
        <v>N/A</v>
      </c>
      <c r="K136" t="str">
        <f t="shared" si="23"/>
        <v>N/A</v>
      </c>
      <c r="L136" t="str">
        <f t="shared" si="24"/>
        <v>N/A</v>
      </c>
      <c r="M136" t="str">
        <f t="shared" si="25"/>
        <v>N/A</v>
      </c>
      <c r="N136" t="str">
        <f t="shared" si="26"/>
        <v>N/A</v>
      </c>
    </row>
    <row r="137" spans="1:60" x14ac:dyDescent="0.3">
      <c r="B137" s="1" t="s">
        <v>231</v>
      </c>
      <c r="C137" s="1" t="s">
        <v>232</v>
      </c>
      <c r="D137" s="1" t="s">
        <v>233</v>
      </c>
      <c r="E137" s="1" t="s">
        <v>234</v>
      </c>
      <c r="F137" s="1" t="s">
        <v>235</v>
      </c>
      <c r="I137" t="str">
        <f t="shared" si="21"/>
        <v>N/A</v>
      </c>
      <c r="J137" t="str">
        <f t="shared" si="22"/>
        <v>N/A</v>
      </c>
      <c r="K137" t="str">
        <f t="shared" si="23"/>
        <v>N/A</v>
      </c>
      <c r="L137" t="str">
        <f t="shared" si="24"/>
        <v>N/A</v>
      </c>
      <c r="M137" t="str">
        <f t="shared" si="25"/>
        <v>N/A</v>
      </c>
      <c r="N137" t="str">
        <f t="shared" si="26"/>
        <v>N/A</v>
      </c>
    </row>
    <row r="138" spans="1:60" x14ac:dyDescent="0.3">
      <c r="A138" s="1">
        <v>0</v>
      </c>
      <c r="B138" t="s">
        <v>4529</v>
      </c>
      <c r="C138" t="s">
        <v>4530</v>
      </c>
      <c r="F138">
        <v>62</v>
      </c>
      <c r="I138" t="str">
        <f t="shared" si="21"/>
        <v>N/A</v>
      </c>
      <c r="J138" t="str">
        <f t="shared" si="22"/>
        <v>N/A</v>
      </c>
      <c r="K138" t="str">
        <f t="shared" si="23"/>
        <v>N/A</v>
      </c>
      <c r="L138" t="str">
        <f t="shared" si="24"/>
        <v>N/A</v>
      </c>
      <c r="M138">
        <f t="shared" si="25"/>
        <v>62</v>
      </c>
      <c r="N138" t="str">
        <f t="shared" si="26"/>
        <v>N/A</v>
      </c>
    </row>
    <row r="139" spans="1:60" x14ac:dyDescent="0.3">
      <c r="A139" s="1">
        <v>1</v>
      </c>
      <c r="B139" t="s">
        <v>4531</v>
      </c>
      <c r="C139" t="s">
        <v>4532</v>
      </c>
      <c r="D139" t="s">
        <v>4533</v>
      </c>
      <c r="F139">
        <v>42</v>
      </c>
      <c r="I139" t="str">
        <f t="shared" si="21"/>
        <v>N/A</v>
      </c>
      <c r="J139" t="str">
        <f t="shared" si="22"/>
        <v>N/A</v>
      </c>
      <c r="K139">
        <f t="shared" si="23"/>
        <v>487710</v>
      </c>
      <c r="L139" t="str">
        <f t="shared" si="24"/>
        <v>N/A</v>
      </c>
      <c r="M139">
        <f t="shared" si="25"/>
        <v>42</v>
      </c>
      <c r="N139" t="str">
        <f t="shared" si="26"/>
        <v>N/A</v>
      </c>
    </row>
    <row r="140" spans="1:60" x14ac:dyDescent="0.3">
      <c r="A140" s="1">
        <v>2</v>
      </c>
      <c r="B140" t="s">
        <v>4534</v>
      </c>
      <c r="C140" t="s">
        <v>4535</v>
      </c>
      <c r="D140" t="s">
        <v>4536</v>
      </c>
      <c r="F140">
        <v>61</v>
      </c>
      <c r="I140" t="str">
        <f t="shared" si="21"/>
        <v>N/A</v>
      </c>
      <c r="J140" t="str">
        <f t="shared" si="22"/>
        <v>N/A</v>
      </c>
      <c r="K140">
        <f t="shared" si="23"/>
        <v>40000</v>
      </c>
      <c r="L140" t="str">
        <f t="shared" si="24"/>
        <v>N/A</v>
      </c>
      <c r="M140">
        <f t="shared" si="25"/>
        <v>61</v>
      </c>
      <c r="N140" t="str">
        <f t="shared" si="26"/>
        <v>N/A</v>
      </c>
    </row>
    <row r="141" spans="1:60" x14ac:dyDescent="0.3">
      <c r="A141" s="1">
        <v>3</v>
      </c>
      <c r="B141" t="s">
        <v>4537</v>
      </c>
      <c r="C141" t="s">
        <v>4538</v>
      </c>
      <c r="I141" t="str">
        <f t="shared" si="21"/>
        <v>N/A</v>
      </c>
      <c r="J141" t="str">
        <f t="shared" si="22"/>
        <v>N/A</v>
      </c>
      <c r="K141" t="str">
        <f t="shared" si="23"/>
        <v>N/A</v>
      </c>
      <c r="L141" t="str">
        <f t="shared" si="24"/>
        <v>N/A</v>
      </c>
      <c r="M141" t="str">
        <f t="shared" si="25"/>
        <v>N/A</v>
      </c>
      <c r="N141" t="str">
        <f t="shared" si="26"/>
        <v>N/A</v>
      </c>
    </row>
    <row r="142" spans="1:60" x14ac:dyDescent="0.3">
      <c r="A142" s="1">
        <v>4</v>
      </c>
      <c r="B142" t="s">
        <v>4539</v>
      </c>
      <c r="C142" t="s">
        <v>4540</v>
      </c>
      <c r="F142">
        <v>65</v>
      </c>
      <c r="I142" t="str">
        <f t="shared" si="21"/>
        <v>N/A</v>
      </c>
      <c r="J142" t="str">
        <f t="shared" si="22"/>
        <v>N/A</v>
      </c>
      <c r="K142" t="str">
        <f t="shared" si="23"/>
        <v>N/A</v>
      </c>
      <c r="L142" t="str">
        <f t="shared" si="24"/>
        <v>N/A</v>
      </c>
      <c r="M142">
        <f t="shared" si="25"/>
        <v>65</v>
      </c>
      <c r="N142" t="str">
        <f t="shared" si="26"/>
        <v>N/A</v>
      </c>
    </row>
    <row r="143" spans="1:60" x14ac:dyDescent="0.3">
      <c r="I143" t="str">
        <f t="shared" si="21"/>
        <v>N/A</v>
      </c>
      <c r="J143" t="str">
        <f t="shared" si="22"/>
        <v>N/A</v>
      </c>
      <c r="K143" t="str">
        <f t="shared" si="23"/>
        <v>N/A</v>
      </c>
      <c r="L143" t="str">
        <f t="shared" si="24"/>
        <v>N/A</v>
      </c>
      <c r="M143" t="str">
        <f t="shared" si="25"/>
        <v>N/A</v>
      </c>
      <c r="N143" t="str">
        <f t="shared" si="26"/>
        <v>N/A</v>
      </c>
      <c r="V143" t="str">
        <f>"z-score"</f>
        <v>z-score</v>
      </c>
    </row>
    <row r="144" spans="1:60" x14ac:dyDescent="0.3">
      <c r="I144" t="str">
        <f t="shared" si="21"/>
        <v>N/A</v>
      </c>
      <c r="J144" t="str">
        <f t="shared" si="22"/>
        <v>N/A</v>
      </c>
      <c r="K144" t="str">
        <f t="shared" si="23"/>
        <v>N/A</v>
      </c>
      <c r="L144" t="str">
        <f t="shared" si="24"/>
        <v>N/A</v>
      </c>
      <c r="M144" t="str">
        <f t="shared" si="25"/>
        <v>N/A</v>
      </c>
      <c r="N144" t="str">
        <f t="shared" si="26"/>
        <v>N/A</v>
      </c>
      <c r="P144" t="str">
        <f>"Max"</f>
        <v>Max</v>
      </c>
      <c r="Q144" t="str">
        <f>"Max Year"</f>
        <v>Max Year</v>
      </c>
      <c r="R144" t="str">
        <f>"Min"</f>
        <v>Min</v>
      </c>
      <c r="S144" t="str">
        <f>"Min Year"</f>
        <v>Min Year</v>
      </c>
      <c r="T144" t="str">
        <f>"Average"</f>
        <v>Average</v>
      </c>
      <c r="U144" t="str">
        <f>"SD"</f>
        <v>SD</v>
      </c>
      <c r="V144" t="str">
        <f>J144</f>
        <v>N/A</v>
      </c>
      <c r="W144" t="str">
        <f>K144</f>
        <v>N/A</v>
      </c>
      <c r="X144" t="str">
        <f>L144</f>
        <v>N/A</v>
      </c>
      <c r="Y144" t="str">
        <f>M144</f>
        <v>N/A</v>
      </c>
      <c r="Z144" t="str">
        <f>N144</f>
        <v>N/A</v>
      </c>
      <c r="AA144" t="str">
        <f>"Max z"</f>
        <v>Max z</v>
      </c>
      <c r="AB144" t="str">
        <f>"Max z Year"</f>
        <v>Max z Year</v>
      </c>
      <c r="AC144" t="str">
        <f>"Direction"</f>
        <v>Direction</v>
      </c>
      <c r="AE144" t="str">
        <f>"Trendline"</f>
        <v>Trendline</v>
      </c>
      <c r="AF144" t="str">
        <f>"Correlation"</f>
        <v>Correlation</v>
      </c>
      <c r="AZ144" t="str">
        <f>"Max/Min inequality check"</f>
        <v>Max/Min inequality check</v>
      </c>
      <c r="BA144" t="str">
        <f>"If most recent year is max"</f>
        <v>If most recent year is max</v>
      </c>
      <c r="BC144" t="str">
        <f>"If most recent year is min"</f>
        <v>If most recent year is min</v>
      </c>
      <c r="BE144" t="str">
        <f>"Trend direction"</f>
        <v>Trend direction</v>
      </c>
      <c r="BF144" t="str">
        <f>"If trend matched by max or min in most recent year"</f>
        <v>If trend matched by max or min in most recent year</v>
      </c>
      <c r="BG144" t="str">
        <f>"If 5 years of increasing"</f>
        <v>If 5 years of increasing</v>
      </c>
      <c r="BH144" t="str">
        <f>"If correlation &gt; .8"</f>
        <v>If correlation &gt; .8</v>
      </c>
    </row>
    <row r="145" spans="9:60" x14ac:dyDescent="0.3">
      <c r="I145" t="str">
        <f t="shared" si="21"/>
        <v>N/A</v>
      </c>
      <c r="J145" t="str">
        <f t="shared" si="22"/>
        <v>N/A</v>
      </c>
      <c r="K145" t="str">
        <f t="shared" si="23"/>
        <v>N/A</v>
      </c>
      <c r="L145" t="str">
        <f t="shared" si="24"/>
        <v>N/A</v>
      </c>
      <c r="M145" t="str">
        <f t="shared" si="25"/>
        <v>N/A</v>
      </c>
      <c r="N145" t="str">
        <f t="shared" si="26"/>
        <v>N/A</v>
      </c>
      <c r="P145">
        <f t="shared" ref="P145:P208" si="27">MAX(J145:N145)</f>
        <v>0</v>
      </c>
      <c r="Q145" t="str">
        <f>IFERROR(J144+MATCH(P145,J145:N145,0)-1,"")</f>
        <v/>
      </c>
      <c r="R145" t="str">
        <f t="shared" ref="R145:R208" si="28">IF(Q145="","",MIN(J145:N145))</f>
        <v/>
      </c>
      <c r="S145" t="str">
        <f>IFERROR(J144+MATCH(R145,J145:N145,0)-1,"")</f>
        <v/>
      </c>
      <c r="T145" t="str">
        <f t="shared" ref="T145:T208" si="29">IFERROR(AVERAGE(J145:N145),"")</f>
        <v/>
      </c>
      <c r="U145" t="str">
        <f t="shared" ref="U145:U208" si="30">IFERROR(STDEV(J145:N145),"")</f>
        <v/>
      </c>
      <c r="V145" t="str">
        <f t="shared" ref="V145:V208" si="31">IFERROR(IF(C145="-","",IF(ISBLANK(B145),"",IF(OR(ISNUMBER(FIND("Growth",B145)),ISNUMBER(FIND("Margin",B145))),"",(J145-T145)/U145))),"")</f>
        <v/>
      </c>
      <c r="W145" t="str">
        <f t="shared" ref="W145:W208" si="32">IFERROR(IF(OR(D145="-",ISBLANK(D145)),"",(K145-T145)/U145),"")</f>
        <v/>
      </c>
      <c r="X145" t="str">
        <f t="shared" ref="X145:X208" si="33">IFERROR(IF(OR(E145="-",ISBLANK(E145)),"",(L145-T145)/U145),"")</f>
        <v/>
      </c>
      <c r="Y145" t="str">
        <f t="shared" ref="Y145:Y208" si="34">IFERROR(IF(OR(F145="-",ISBLANK(F145)),"",(M145-T145)/U145),"")</f>
        <v/>
      </c>
      <c r="Z145" t="str">
        <f t="shared" ref="Z145:Z208" si="35">IFERROR(IF(OR(G145="-",ISBLANK(G145)),"",(N145-T145)/U145),"")</f>
        <v/>
      </c>
      <c r="AA145">
        <f t="shared" ref="AA145:AA208" si="36">IF(MAX(MAX(V145:Z145),ABS(MIN(V145:Z145)))=ABS(MIN(V145:Z145)),MIN(V145:Z145),MAX(V145:Z145))</f>
        <v>0</v>
      </c>
      <c r="AB145" t="str">
        <f>IFERROR(V144+MATCH(AA145,V145:Z145,0)-1,"")</f>
        <v/>
      </c>
      <c r="AC145" t="str">
        <f t="shared" ref="AC145:AC208" si="37">IF(AB145&lt;&gt;"",IF(S145=AB145,"Low",IF(AB145=Q145,"High","")),"")</f>
        <v/>
      </c>
      <c r="AE145" t="str">
        <f>IF(ISNUMBER(MATCH("N/A",J145:N145,0)),"",IFERROR((5 * SUMPRODUCT(J144:N144,J145:N145) - PRODUCT(SUM(J144:N144),SUM(J145:N145))) / ((5 * SUM((J144^2)+(K144^2)+(L144^2)+(M144^2)+(N144^2))) - SUM(J144:N144)^2),""))</f>
        <v/>
      </c>
      <c r="AF145" t="str">
        <f>IFERROR(CORREL(J144:N144,J145:N145),"")</f>
        <v/>
      </c>
      <c r="AZ145">
        <f t="shared" ref="AZ145:AZ208" si="38">IF(Q145=S145,0,1)</f>
        <v>0</v>
      </c>
      <c r="BA145" t="str">
        <f>IF(AZ145=1,IF(Q145="","",IF(Q145=N144,"Yes","No")),"")</f>
        <v/>
      </c>
      <c r="BB145" t="str">
        <f t="shared" ref="BB145:BB208" si="39">IF(BA145="Yes",P145,"")</f>
        <v/>
      </c>
      <c r="BC145" t="str">
        <f>IF(AZ145=1,IF(S145="","",IF(S145=N144,"Yes","No")),"")</f>
        <v/>
      </c>
      <c r="BD145" t="str">
        <f t="shared" ref="BD145:BD208" si="40">IF(BC145="Yes",R145,"")</f>
        <v/>
      </c>
      <c r="BE145" t="str">
        <f t="shared" ref="BE145:BE208" si="41">IFERROR(IF(SIGN(AE145)=1,"Increasing",IF(SIGN(AE145)=-1,"Decreasing","")),"")</f>
        <v/>
      </c>
      <c r="BF145" t="str">
        <f t="shared" ref="BF145:BF208" si="42">IF(OR(AND(BE145="Increasing",BA145="Yes"),AND(BE145="Decreasing",BC145="Yes")),"Yes","No")</f>
        <v>No</v>
      </c>
      <c r="BG145" t="str">
        <f t="shared" ref="BG145:BG208" si="43">IF(I145="pos_trend","Yes","No")</f>
        <v>No</v>
      </c>
      <c r="BH145" t="str">
        <f t="shared" ref="BH145:BH208" si="44">IF(AF145&lt;&gt;"",IF(ABS(AF145)&gt;0.8,"Yes","No"),"")</f>
        <v/>
      </c>
    </row>
    <row r="146" spans="9:60" x14ac:dyDescent="0.3">
      <c r="I146" t="str">
        <f t="shared" si="21"/>
        <v>N/A</v>
      </c>
      <c r="J146" t="str">
        <f t="shared" si="22"/>
        <v>N/A</v>
      </c>
      <c r="K146" t="str">
        <f t="shared" si="23"/>
        <v>N/A</v>
      </c>
      <c r="L146" t="str">
        <f t="shared" si="24"/>
        <v>N/A</v>
      </c>
      <c r="M146" t="str">
        <f t="shared" si="25"/>
        <v>N/A</v>
      </c>
      <c r="N146" t="str">
        <f t="shared" si="26"/>
        <v>N/A</v>
      </c>
      <c r="P146">
        <f t="shared" si="27"/>
        <v>0</v>
      </c>
      <c r="Q146" t="str">
        <f>IFERROR(J144+MATCH(P146,J146:N146,0)-1,"")</f>
        <v/>
      </c>
      <c r="R146" t="str">
        <f t="shared" si="28"/>
        <v/>
      </c>
      <c r="S146" t="str">
        <f>IFERROR(J144+MATCH(R146,J146:N146,0)-1,"")</f>
        <v/>
      </c>
      <c r="T146" t="str">
        <f t="shared" si="29"/>
        <v/>
      </c>
      <c r="U146" t="str">
        <f t="shared" si="30"/>
        <v/>
      </c>
      <c r="V146" t="str">
        <f t="shared" si="31"/>
        <v/>
      </c>
      <c r="W146" t="str">
        <f t="shared" si="32"/>
        <v/>
      </c>
      <c r="X146" t="str">
        <f t="shared" si="33"/>
        <v/>
      </c>
      <c r="Y146" t="str">
        <f t="shared" si="34"/>
        <v/>
      </c>
      <c r="Z146" t="str">
        <f t="shared" si="35"/>
        <v/>
      </c>
      <c r="AA146">
        <f t="shared" si="36"/>
        <v>0</v>
      </c>
      <c r="AB146" t="str">
        <f>IFERROR(V144+MATCH(AA146,V146:Z146,0)-1,"")</f>
        <v/>
      </c>
      <c r="AC146" t="str">
        <f t="shared" si="37"/>
        <v/>
      </c>
      <c r="AE146" t="str">
        <f>IF(ISNUMBER(MATCH("N/A",J146:N146,0)),"",IFERROR((5 * SUMPRODUCT(J144:N144,J146:N146) - PRODUCT(SUM(J144:N144),SUM(J146:N146))) / ((5 * SUM((J144^2)+(K144^2)+(L144^2)+(M144^2)+(N144^2))) - SUM(J144:N144)^2),""))</f>
        <v/>
      </c>
      <c r="AF146" t="str">
        <f>IFERROR(CORREL(J144:N144,J146:N146),"")</f>
        <v/>
      </c>
      <c r="AZ146">
        <f t="shared" si="38"/>
        <v>0</v>
      </c>
      <c r="BA146" t="str">
        <f>IF(AZ146=1,IF(Q146="","",IF(Q146=N144,"Yes","No")),"")</f>
        <v/>
      </c>
      <c r="BB146" t="str">
        <f t="shared" si="39"/>
        <v/>
      </c>
      <c r="BC146" t="str">
        <f>IF(AZ146=1,IF(S146="","",IF(S146=N144,"Yes","No")),"")</f>
        <v/>
      </c>
      <c r="BD146" t="str">
        <f t="shared" si="40"/>
        <v/>
      </c>
      <c r="BE146" t="str">
        <f t="shared" si="41"/>
        <v/>
      </c>
      <c r="BF146" t="str">
        <f t="shared" si="42"/>
        <v>No</v>
      </c>
      <c r="BG146" t="str">
        <f t="shared" si="43"/>
        <v>No</v>
      </c>
      <c r="BH146" t="str">
        <f t="shared" si="44"/>
        <v/>
      </c>
    </row>
    <row r="147" spans="9:60" x14ac:dyDescent="0.3">
      <c r="I147" t="str">
        <f t="shared" si="21"/>
        <v>N/A</v>
      </c>
      <c r="J147" t="str">
        <f t="shared" si="22"/>
        <v>N/A</v>
      </c>
      <c r="K147" t="str">
        <f t="shared" si="23"/>
        <v>N/A</v>
      </c>
      <c r="L147" t="str">
        <f t="shared" si="24"/>
        <v>N/A</v>
      </c>
      <c r="M147" t="str">
        <f t="shared" si="25"/>
        <v>N/A</v>
      </c>
      <c r="N147" t="str">
        <f t="shared" si="26"/>
        <v>N/A</v>
      </c>
      <c r="P147">
        <f t="shared" si="27"/>
        <v>0</v>
      </c>
      <c r="Q147" t="str">
        <f>IFERROR(J144+MATCH(P147,J147:N147,0)-1,"")</f>
        <v/>
      </c>
      <c r="R147" t="str">
        <f t="shared" si="28"/>
        <v/>
      </c>
      <c r="S147" t="str">
        <f>IFERROR(J144+MATCH(R147,J147:N147,0)-1,"")</f>
        <v/>
      </c>
      <c r="T147" t="str">
        <f t="shared" si="29"/>
        <v/>
      </c>
      <c r="U147" t="str">
        <f t="shared" si="30"/>
        <v/>
      </c>
      <c r="V147" t="str">
        <f t="shared" si="31"/>
        <v/>
      </c>
      <c r="W147" t="str">
        <f t="shared" si="32"/>
        <v/>
      </c>
      <c r="X147" t="str">
        <f t="shared" si="33"/>
        <v/>
      </c>
      <c r="Y147" t="str">
        <f t="shared" si="34"/>
        <v/>
      </c>
      <c r="Z147" t="str">
        <f t="shared" si="35"/>
        <v/>
      </c>
      <c r="AA147">
        <f t="shared" si="36"/>
        <v>0</v>
      </c>
      <c r="AB147" t="str">
        <f>IFERROR(V144+MATCH(AA147,V147:Z147,0)-1,"")</f>
        <v/>
      </c>
      <c r="AC147" t="str">
        <f t="shared" si="37"/>
        <v/>
      </c>
      <c r="AE147" t="str">
        <f>IF(ISNUMBER(MATCH("N/A",J147:N147,0)),"",IFERROR((5 * SUMPRODUCT(J144:N144,J147:N147) - PRODUCT(SUM(J144:N144),SUM(J147:N147))) / ((5 * SUM((J144^2)+(K144^2)+(L144^2)+(M144^2)+(N144^2))) - SUM(J144:N144)^2),""))</f>
        <v/>
      </c>
      <c r="AF147" t="str">
        <f>IFERROR(CORREL(J144:N144,J147:N147),"")</f>
        <v/>
      </c>
      <c r="AZ147">
        <f t="shared" si="38"/>
        <v>0</v>
      </c>
      <c r="BA147" t="str">
        <f>IF(AZ147=1,IF(Q147="","",IF(Q147=N144,"Yes","No")),"")</f>
        <v/>
      </c>
      <c r="BB147" t="str">
        <f t="shared" si="39"/>
        <v/>
      </c>
      <c r="BC147" t="str">
        <f>IF(AZ147=1,IF(S147="","",IF(S147=N144,"Yes","No")),"")</f>
        <v/>
      </c>
      <c r="BD147" t="str">
        <f t="shared" si="40"/>
        <v/>
      </c>
      <c r="BE147" t="str">
        <f t="shared" si="41"/>
        <v/>
      </c>
      <c r="BF147" t="str">
        <f t="shared" si="42"/>
        <v>No</v>
      </c>
      <c r="BG147" t="str">
        <f t="shared" si="43"/>
        <v>No</v>
      </c>
      <c r="BH147" t="str">
        <f t="shared" si="44"/>
        <v/>
      </c>
    </row>
    <row r="148" spans="9:60" x14ac:dyDescent="0.3">
      <c r="I148" t="str">
        <f t="shared" si="21"/>
        <v>N/A</v>
      </c>
      <c r="J148" t="str">
        <f t="shared" si="22"/>
        <v>N/A</v>
      </c>
      <c r="K148" t="str">
        <f t="shared" si="23"/>
        <v>N/A</v>
      </c>
      <c r="L148" t="str">
        <f t="shared" si="24"/>
        <v>N/A</v>
      </c>
      <c r="M148" t="str">
        <f t="shared" si="25"/>
        <v>N/A</v>
      </c>
      <c r="N148" t="str">
        <f t="shared" si="26"/>
        <v>N/A</v>
      </c>
      <c r="P148">
        <f t="shared" si="27"/>
        <v>0</v>
      </c>
      <c r="Q148" t="str">
        <f>IFERROR(J144+MATCH(P148,J148:N148,0)-1,"")</f>
        <v/>
      </c>
      <c r="R148" t="str">
        <f t="shared" si="28"/>
        <v/>
      </c>
      <c r="S148" t="str">
        <f>IFERROR(J144+MATCH(R148,J148:N148,0)-1,"")</f>
        <v/>
      </c>
      <c r="T148" t="str">
        <f t="shared" si="29"/>
        <v/>
      </c>
      <c r="U148" t="str">
        <f t="shared" si="30"/>
        <v/>
      </c>
      <c r="V148" t="str">
        <f t="shared" si="31"/>
        <v/>
      </c>
      <c r="W148" t="str">
        <f t="shared" si="32"/>
        <v/>
      </c>
      <c r="X148" t="str">
        <f t="shared" si="33"/>
        <v/>
      </c>
      <c r="Y148" t="str">
        <f t="shared" si="34"/>
        <v/>
      </c>
      <c r="Z148" t="str">
        <f t="shared" si="35"/>
        <v/>
      </c>
      <c r="AA148">
        <f t="shared" si="36"/>
        <v>0</v>
      </c>
      <c r="AB148" t="str">
        <f>IFERROR(V144+MATCH(AA148,V148:Z148,0)-1,"")</f>
        <v/>
      </c>
      <c r="AC148" t="str">
        <f t="shared" si="37"/>
        <v/>
      </c>
      <c r="AE148" t="str">
        <f>IF(ISNUMBER(MATCH("N/A",J148:N148,0)),"",IFERROR((5 * SUMPRODUCT(J144:N144,J148:N148) - PRODUCT(SUM(J144:N144),SUM(J148:N148))) / ((5 * SUM((J144^2)+(K144^2)+(L144^2)+(M144^2)+(N144^2))) - SUM(J144:N144)^2),""))</f>
        <v/>
      </c>
      <c r="AF148" t="str">
        <f>IFERROR(CORREL(J144:N144,J148:N148),"")</f>
        <v/>
      </c>
      <c r="AZ148">
        <f t="shared" si="38"/>
        <v>0</v>
      </c>
      <c r="BA148" t="str">
        <f>IF(AZ148=1,IF(Q148="","",IF(Q148=N144,"Yes","No")),"")</f>
        <v/>
      </c>
      <c r="BB148" t="str">
        <f t="shared" si="39"/>
        <v/>
      </c>
      <c r="BC148" t="str">
        <f>IF(AZ148=1,IF(S148="","",IF(S148=N144,"Yes","No")),"")</f>
        <v/>
      </c>
      <c r="BD148" t="str">
        <f t="shared" si="40"/>
        <v/>
      </c>
      <c r="BE148" t="str">
        <f t="shared" si="41"/>
        <v/>
      </c>
      <c r="BF148" t="str">
        <f t="shared" si="42"/>
        <v>No</v>
      </c>
      <c r="BG148" t="str">
        <f t="shared" si="43"/>
        <v>No</v>
      </c>
      <c r="BH148" t="str">
        <f t="shared" si="44"/>
        <v/>
      </c>
    </row>
    <row r="149" spans="9:60" x14ac:dyDescent="0.3">
      <c r="I149" t="str">
        <f t="shared" si="21"/>
        <v>N/A</v>
      </c>
      <c r="J149" t="str">
        <f t="shared" si="22"/>
        <v>N/A</v>
      </c>
      <c r="K149" t="str">
        <f t="shared" si="23"/>
        <v>N/A</v>
      </c>
      <c r="L149" t="str">
        <f t="shared" si="24"/>
        <v>N/A</v>
      </c>
      <c r="M149" t="str">
        <f t="shared" si="25"/>
        <v>N/A</v>
      </c>
      <c r="N149" t="str">
        <f t="shared" si="26"/>
        <v>N/A</v>
      </c>
      <c r="P149">
        <f t="shared" si="27"/>
        <v>0</v>
      </c>
      <c r="Q149" t="str">
        <f>IFERROR(J144+MATCH(P149,J149:N149,0)-1,"")</f>
        <v/>
      </c>
      <c r="R149" t="str">
        <f t="shared" si="28"/>
        <v/>
      </c>
      <c r="S149" t="str">
        <f>IFERROR(J144+MATCH(R149,J149:N149,0)-1,"")</f>
        <v/>
      </c>
      <c r="T149" t="str">
        <f t="shared" si="29"/>
        <v/>
      </c>
      <c r="U149" t="str">
        <f t="shared" si="30"/>
        <v/>
      </c>
      <c r="V149" t="str">
        <f t="shared" si="31"/>
        <v/>
      </c>
      <c r="W149" t="str">
        <f t="shared" si="32"/>
        <v/>
      </c>
      <c r="X149" t="str">
        <f t="shared" si="33"/>
        <v/>
      </c>
      <c r="Y149" t="str">
        <f t="shared" si="34"/>
        <v/>
      </c>
      <c r="Z149" t="str">
        <f t="shared" si="35"/>
        <v/>
      </c>
      <c r="AA149">
        <f t="shared" si="36"/>
        <v>0</v>
      </c>
      <c r="AB149" t="str">
        <f>IFERROR(V144+MATCH(AA149,V149:Z149,0)-1,"")</f>
        <v/>
      </c>
      <c r="AC149" t="str">
        <f t="shared" si="37"/>
        <v/>
      </c>
      <c r="AE149" t="str">
        <f>IF(ISNUMBER(MATCH("N/A",J149:N149,0)),"",IFERROR((5 * SUMPRODUCT(J144:N144,J149:N149) - PRODUCT(SUM(J144:N144),SUM(J149:N149))) / ((5 * SUM((J144^2)+(K144^2)+(L144^2)+(M144^2)+(N144^2))) - SUM(J144:N144)^2),""))</f>
        <v/>
      </c>
      <c r="AF149" t="str">
        <f>IFERROR(CORREL(J144:N144,J149:N149),"")</f>
        <v/>
      </c>
      <c r="AZ149">
        <f t="shared" si="38"/>
        <v>0</v>
      </c>
      <c r="BA149" t="str">
        <f>IF(AZ149=1,IF(Q149="","",IF(Q149=N144,"Yes","No")),"")</f>
        <v/>
      </c>
      <c r="BB149" t="str">
        <f t="shared" si="39"/>
        <v/>
      </c>
      <c r="BC149" t="str">
        <f>IF(AZ149=1,IF(S149="","",IF(S149=N144,"Yes","No")),"")</f>
        <v/>
      </c>
      <c r="BD149" t="str">
        <f t="shared" si="40"/>
        <v/>
      </c>
      <c r="BE149" t="str">
        <f t="shared" si="41"/>
        <v/>
      </c>
      <c r="BF149" t="str">
        <f t="shared" si="42"/>
        <v>No</v>
      </c>
      <c r="BG149" t="str">
        <f t="shared" si="43"/>
        <v>No</v>
      </c>
      <c r="BH149" t="str">
        <f t="shared" si="44"/>
        <v/>
      </c>
    </row>
    <row r="150" spans="9:60" x14ac:dyDescent="0.3">
      <c r="I150" t="str">
        <f t="shared" si="21"/>
        <v>N/A</v>
      </c>
      <c r="J150" t="str">
        <f t="shared" si="22"/>
        <v>N/A</v>
      </c>
      <c r="K150" t="str">
        <f t="shared" si="23"/>
        <v>N/A</v>
      </c>
      <c r="L150" t="str">
        <f t="shared" si="24"/>
        <v>N/A</v>
      </c>
      <c r="M150" t="str">
        <f t="shared" si="25"/>
        <v>N/A</v>
      </c>
      <c r="N150" t="str">
        <f t="shared" si="26"/>
        <v>N/A</v>
      </c>
      <c r="P150">
        <f t="shared" si="27"/>
        <v>0</v>
      </c>
      <c r="Q150" t="str">
        <f>IFERROR(J144+MATCH(P150,J150:N150,0)-1,"")</f>
        <v/>
      </c>
      <c r="R150" t="str">
        <f t="shared" si="28"/>
        <v/>
      </c>
      <c r="S150" t="str">
        <f>IFERROR(J144+MATCH(R150,J150:N150,0)-1,"")</f>
        <v/>
      </c>
      <c r="T150" t="str">
        <f t="shared" si="29"/>
        <v/>
      </c>
      <c r="U150" t="str">
        <f t="shared" si="30"/>
        <v/>
      </c>
      <c r="V150" t="str">
        <f t="shared" si="31"/>
        <v/>
      </c>
      <c r="W150" t="str">
        <f t="shared" si="32"/>
        <v/>
      </c>
      <c r="X150" t="str">
        <f t="shared" si="33"/>
        <v/>
      </c>
      <c r="Y150" t="str">
        <f t="shared" si="34"/>
        <v/>
      </c>
      <c r="Z150" t="str">
        <f t="shared" si="35"/>
        <v/>
      </c>
      <c r="AA150">
        <f t="shared" si="36"/>
        <v>0</v>
      </c>
      <c r="AB150" t="str">
        <f>IFERROR(V144+MATCH(AA150,V150:Z150,0)-1,"")</f>
        <v/>
      </c>
      <c r="AC150" t="str">
        <f t="shared" si="37"/>
        <v/>
      </c>
      <c r="AE150" t="str">
        <f>IF(ISNUMBER(MATCH("N/A",J150:N150,0)),"",IFERROR((5 * SUMPRODUCT(J144:N144,J150:N150) - PRODUCT(SUM(J144:N144),SUM(J150:N150))) / ((5 * SUM((J144^2)+(K144^2)+(L144^2)+(M144^2)+(N144^2))) - SUM(J144:N144)^2),""))</f>
        <v/>
      </c>
      <c r="AF150" t="str">
        <f>IFERROR(CORREL(J144:N144,J150:N150),"")</f>
        <v/>
      </c>
      <c r="AZ150">
        <f t="shared" si="38"/>
        <v>0</v>
      </c>
      <c r="BA150" t="str">
        <f>IF(AZ150=1,IF(Q150="","",IF(Q150=N144,"Yes","No")),"")</f>
        <v/>
      </c>
      <c r="BB150" t="str">
        <f t="shared" si="39"/>
        <v/>
      </c>
      <c r="BC150" t="str">
        <f>IF(AZ150=1,IF(S150="","",IF(S150=N144,"Yes","No")),"")</f>
        <v/>
      </c>
      <c r="BD150" t="str">
        <f t="shared" si="40"/>
        <v/>
      </c>
      <c r="BE150" t="str">
        <f t="shared" si="41"/>
        <v/>
      </c>
      <c r="BF150" t="str">
        <f t="shared" si="42"/>
        <v>No</v>
      </c>
      <c r="BG150" t="str">
        <f t="shared" si="43"/>
        <v>No</v>
      </c>
      <c r="BH150" t="str">
        <f t="shared" si="44"/>
        <v/>
      </c>
    </row>
    <row r="151" spans="9:60" x14ac:dyDescent="0.3">
      <c r="I151" t="str">
        <f t="shared" si="21"/>
        <v>N/A</v>
      </c>
      <c r="J151" t="str">
        <f t="shared" si="22"/>
        <v>N/A</v>
      </c>
      <c r="K151" t="str">
        <f t="shared" si="23"/>
        <v>N/A</v>
      </c>
      <c r="L151" t="str">
        <f t="shared" si="24"/>
        <v>N/A</v>
      </c>
      <c r="M151" t="str">
        <f t="shared" si="25"/>
        <v>N/A</v>
      </c>
      <c r="N151" t="str">
        <f t="shared" si="26"/>
        <v>N/A</v>
      </c>
      <c r="P151">
        <f t="shared" si="27"/>
        <v>0</v>
      </c>
      <c r="Q151" t="str">
        <f>IFERROR(J144+MATCH(P151,J151:N151,0)-1,"")</f>
        <v/>
      </c>
      <c r="R151" t="str">
        <f t="shared" si="28"/>
        <v/>
      </c>
      <c r="S151" t="str">
        <f>IFERROR(J144+MATCH(R151,J151:N151,0)-1,"")</f>
        <v/>
      </c>
      <c r="T151" t="str">
        <f t="shared" si="29"/>
        <v/>
      </c>
      <c r="U151" t="str">
        <f t="shared" si="30"/>
        <v/>
      </c>
      <c r="V151" t="str">
        <f t="shared" si="31"/>
        <v/>
      </c>
      <c r="W151" t="str">
        <f t="shared" si="32"/>
        <v/>
      </c>
      <c r="X151" t="str">
        <f t="shared" si="33"/>
        <v/>
      </c>
      <c r="Y151" t="str">
        <f t="shared" si="34"/>
        <v/>
      </c>
      <c r="Z151" t="str">
        <f t="shared" si="35"/>
        <v/>
      </c>
      <c r="AA151">
        <f t="shared" si="36"/>
        <v>0</v>
      </c>
      <c r="AB151" t="str">
        <f>IFERROR(V144+MATCH(AA151,V151:Z151,0)-1,"")</f>
        <v/>
      </c>
      <c r="AC151" t="str">
        <f t="shared" si="37"/>
        <v/>
      </c>
      <c r="AE151" t="str">
        <f>IF(ISNUMBER(MATCH("N/A",J151:N151,0)),"",IFERROR((5 * SUMPRODUCT(J144:N144,J151:N151) - PRODUCT(SUM(J144:N144),SUM(J151:N151))) / ((5 * SUM((J144^2)+(K144^2)+(L144^2)+(M144^2)+(N144^2))) - SUM(J144:N144)^2),""))</f>
        <v/>
      </c>
      <c r="AF151" t="str">
        <f>IFERROR(CORREL(J144:N144,J151:N151),"")</f>
        <v/>
      </c>
      <c r="AZ151">
        <f t="shared" si="38"/>
        <v>0</v>
      </c>
      <c r="BA151" t="str">
        <f>IF(AZ151=1,IF(Q151="","",IF(Q151=N144,"Yes","No")),"")</f>
        <v/>
      </c>
      <c r="BB151" t="str">
        <f t="shared" si="39"/>
        <v/>
      </c>
      <c r="BC151" t="str">
        <f>IF(AZ151=1,IF(S151="","",IF(S151=N144,"Yes","No")),"")</f>
        <v/>
      </c>
      <c r="BD151" t="str">
        <f t="shared" si="40"/>
        <v/>
      </c>
      <c r="BE151" t="str">
        <f t="shared" si="41"/>
        <v/>
      </c>
      <c r="BF151" t="str">
        <f t="shared" si="42"/>
        <v>No</v>
      </c>
      <c r="BG151" t="str">
        <f t="shared" si="43"/>
        <v>No</v>
      </c>
      <c r="BH151" t="str">
        <f t="shared" si="44"/>
        <v/>
      </c>
    </row>
    <row r="152" spans="9:60" x14ac:dyDescent="0.3">
      <c r="I152" t="str">
        <f t="shared" si="21"/>
        <v>N/A</v>
      </c>
      <c r="J152" t="str">
        <f t="shared" si="22"/>
        <v>N/A</v>
      </c>
      <c r="K152" t="str">
        <f t="shared" si="23"/>
        <v>N/A</v>
      </c>
      <c r="L152" t="str">
        <f t="shared" si="24"/>
        <v>N/A</v>
      </c>
      <c r="M152" t="str">
        <f t="shared" si="25"/>
        <v>N/A</v>
      </c>
      <c r="N152" t="str">
        <f t="shared" si="26"/>
        <v>N/A</v>
      </c>
      <c r="P152">
        <f t="shared" si="27"/>
        <v>0</v>
      </c>
      <c r="Q152" t="str">
        <f>IFERROR(J144+MATCH(P152,J152:N152,0)-1,"")</f>
        <v/>
      </c>
      <c r="R152" t="str">
        <f t="shared" si="28"/>
        <v/>
      </c>
      <c r="S152" t="str">
        <f>IFERROR(J144+MATCH(R152,J152:N152,0)-1,"")</f>
        <v/>
      </c>
      <c r="T152" t="str">
        <f t="shared" si="29"/>
        <v/>
      </c>
      <c r="U152" t="str">
        <f t="shared" si="30"/>
        <v/>
      </c>
      <c r="V152" t="str">
        <f t="shared" si="31"/>
        <v/>
      </c>
      <c r="W152" t="str">
        <f t="shared" si="32"/>
        <v/>
      </c>
      <c r="X152" t="str">
        <f t="shared" si="33"/>
        <v/>
      </c>
      <c r="Y152" t="str">
        <f t="shared" si="34"/>
        <v/>
      </c>
      <c r="Z152" t="str">
        <f t="shared" si="35"/>
        <v/>
      </c>
      <c r="AA152">
        <f t="shared" si="36"/>
        <v>0</v>
      </c>
      <c r="AB152" t="str">
        <f>IFERROR(V144+MATCH(AA152,V152:Z152,0)-1,"")</f>
        <v/>
      </c>
      <c r="AC152" t="str">
        <f t="shared" si="37"/>
        <v/>
      </c>
      <c r="AE152" t="str">
        <f>IF(ISNUMBER(MATCH("N/A",J152:N152,0)),"",IFERROR((5 * SUMPRODUCT(J144:N144,J152:N152) - PRODUCT(SUM(J144:N144),SUM(J152:N152))) / ((5 * SUM((J144^2)+(K144^2)+(L144^2)+(M144^2)+(N144^2))) - SUM(J144:N144)^2),""))</f>
        <v/>
      </c>
      <c r="AF152" t="str">
        <f>IFERROR(CORREL(J144:N144,J152:N152),"")</f>
        <v/>
      </c>
      <c r="AZ152">
        <f t="shared" si="38"/>
        <v>0</v>
      </c>
      <c r="BA152" t="str">
        <f>IF(AZ152=1,IF(Q152="","",IF(Q152=N144,"Yes","No")),"")</f>
        <v/>
      </c>
      <c r="BB152" t="str">
        <f t="shared" si="39"/>
        <v/>
      </c>
      <c r="BC152" t="str">
        <f>IF(AZ152=1,IF(S152="","",IF(S152=N144,"Yes","No")),"")</f>
        <v/>
      </c>
      <c r="BD152" t="str">
        <f t="shared" si="40"/>
        <v/>
      </c>
      <c r="BE152" t="str">
        <f t="shared" si="41"/>
        <v/>
      </c>
      <c r="BF152" t="str">
        <f t="shared" si="42"/>
        <v>No</v>
      </c>
      <c r="BG152" t="str">
        <f t="shared" si="43"/>
        <v>No</v>
      </c>
      <c r="BH152" t="str">
        <f t="shared" si="44"/>
        <v/>
      </c>
    </row>
    <row r="153" spans="9:60" x14ac:dyDescent="0.3">
      <c r="I153" t="str">
        <f t="shared" si="21"/>
        <v>N/A</v>
      </c>
      <c r="J153" t="str">
        <f t="shared" si="22"/>
        <v>N/A</v>
      </c>
      <c r="K153" t="str">
        <f t="shared" si="23"/>
        <v>N/A</v>
      </c>
      <c r="L153" t="str">
        <f t="shared" si="24"/>
        <v>N/A</v>
      </c>
      <c r="M153" t="str">
        <f t="shared" si="25"/>
        <v>N/A</v>
      </c>
      <c r="N153" t="str">
        <f t="shared" si="26"/>
        <v>N/A</v>
      </c>
      <c r="P153">
        <f t="shared" si="27"/>
        <v>0</v>
      </c>
      <c r="Q153" t="str">
        <f>IFERROR(J144+MATCH(P153,J153:N153,0)-1,"")</f>
        <v/>
      </c>
      <c r="R153" t="str">
        <f t="shared" si="28"/>
        <v/>
      </c>
      <c r="S153" t="str">
        <f>IFERROR(J144+MATCH(R153,J153:N153,0)-1,"")</f>
        <v/>
      </c>
      <c r="T153" t="str">
        <f t="shared" si="29"/>
        <v/>
      </c>
      <c r="U153" t="str">
        <f t="shared" si="30"/>
        <v/>
      </c>
      <c r="V153" t="str">
        <f t="shared" si="31"/>
        <v/>
      </c>
      <c r="W153" t="str">
        <f t="shared" si="32"/>
        <v/>
      </c>
      <c r="X153" t="str">
        <f t="shared" si="33"/>
        <v/>
      </c>
      <c r="Y153" t="str">
        <f t="shared" si="34"/>
        <v/>
      </c>
      <c r="Z153" t="str">
        <f t="shared" si="35"/>
        <v/>
      </c>
      <c r="AA153">
        <f t="shared" si="36"/>
        <v>0</v>
      </c>
      <c r="AB153" t="str">
        <f>IFERROR(V144+MATCH(AA153,V153:Z153,0)-1,"")</f>
        <v/>
      </c>
      <c r="AC153" t="str">
        <f t="shared" si="37"/>
        <v/>
      </c>
      <c r="AE153" t="str">
        <f>IF(ISNUMBER(MATCH("N/A",J153:N153,0)),"",IFERROR((5 * SUMPRODUCT(J144:N144,J153:N153) - PRODUCT(SUM(J144:N144),SUM(J153:N153))) / ((5 * SUM((J144^2)+(K144^2)+(L144^2)+(M144^2)+(N144^2))) - SUM(J144:N144)^2),""))</f>
        <v/>
      </c>
      <c r="AF153" t="str">
        <f>IFERROR(CORREL(J144:N144,J153:N153),"")</f>
        <v/>
      </c>
      <c r="AZ153">
        <f t="shared" si="38"/>
        <v>0</v>
      </c>
      <c r="BA153" t="str">
        <f>IF(AZ153=1,IF(Q153="","",IF(Q153=N144,"Yes","No")),"")</f>
        <v/>
      </c>
      <c r="BB153" t="str">
        <f t="shared" si="39"/>
        <v/>
      </c>
      <c r="BC153" t="str">
        <f>IF(AZ153=1,IF(S153="","",IF(S153=N144,"Yes","No")),"")</f>
        <v/>
      </c>
      <c r="BD153" t="str">
        <f t="shared" si="40"/>
        <v/>
      </c>
      <c r="BE153" t="str">
        <f t="shared" si="41"/>
        <v/>
      </c>
      <c r="BF153" t="str">
        <f t="shared" si="42"/>
        <v>No</v>
      </c>
      <c r="BG153" t="str">
        <f t="shared" si="43"/>
        <v>No</v>
      </c>
      <c r="BH153" t="str">
        <f t="shared" si="44"/>
        <v/>
      </c>
    </row>
    <row r="154" spans="9:60" x14ac:dyDescent="0.3">
      <c r="I154" t="str">
        <f t="shared" si="21"/>
        <v>N/A</v>
      </c>
      <c r="J154" t="str">
        <f t="shared" si="22"/>
        <v>N/A</v>
      </c>
      <c r="K154" t="str">
        <f t="shared" si="23"/>
        <v>N/A</v>
      </c>
      <c r="L154" t="str">
        <f t="shared" si="24"/>
        <v>N/A</v>
      </c>
      <c r="M154" t="str">
        <f t="shared" si="25"/>
        <v>N/A</v>
      </c>
      <c r="N154" t="str">
        <f t="shared" si="26"/>
        <v>N/A</v>
      </c>
      <c r="P154">
        <f t="shared" si="27"/>
        <v>0</v>
      </c>
      <c r="Q154" t="str">
        <f>IFERROR(J144+MATCH(P154,J154:N154,0)-1,"")</f>
        <v/>
      </c>
      <c r="R154" t="str">
        <f t="shared" si="28"/>
        <v/>
      </c>
      <c r="S154" t="str">
        <f>IFERROR(J144+MATCH(R154,J154:N154,0)-1,"")</f>
        <v/>
      </c>
      <c r="T154" t="str">
        <f t="shared" si="29"/>
        <v/>
      </c>
      <c r="U154" t="str">
        <f t="shared" si="30"/>
        <v/>
      </c>
      <c r="V154" t="str">
        <f t="shared" si="31"/>
        <v/>
      </c>
      <c r="W154" t="str">
        <f t="shared" si="32"/>
        <v/>
      </c>
      <c r="X154" t="str">
        <f t="shared" si="33"/>
        <v/>
      </c>
      <c r="Y154" t="str">
        <f t="shared" si="34"/>
        <v/>
      </c>
      <c r="Z154" t="str">
        <f t="shared" si="35"/>
        <v/>
      </c>
      <c r="AA154">
        <f t="shared" si="36"/>
        <v>0</v>
      </c>
      <c r="AB154" t="str">
        <f>IFERROR(V144+MATCH(AA154,V154:Z154,0)-1,"")</f>
        <v/>
      </c>
      <c r="AC154" t="str">
        <f t="shared" si="37"/>
        <v/>
      </c>
      <c r="AE154" t="str">
        <f>IF(ISNUMBER(MATCH("N/A",J154:N154,0)),"",IFERROR((5 * SUMPRODUCT(J144:N144,J154:N154) - PRODUCT(SUM(J144:N144),SUM(J154:N154))) / ((5 * SUM((J144^2)+(K144^2)+(L144^2)+(M144^2)+(N144^2))) - SUM(J144:N144)^2),""))</f>
        <v/>
      </c>
      <c r="AF154" t="str">
        <f>IFERROR(CORREL(J144:N144,J154:N154),"")</f>
        <v/>
      </c>
      <c r="AZ154">
        <f t="shared" si="38"/>
        <v>0</v>
      </c>
      <c r="BA154" t="str">
        <f>IF(AZ154=1,IF(Q154="","",IF(Q154=N144,"Yes","No")),"")</f>
        <v/>
      </c>
      <c r="BB154" t="str">
        <f t="shared" si="39"/>
        <v/>
      </c>
      <c r="BC154" t="str">
        <f>IF(AZ154=1,IF(S154="","",IF(S154=N144,"Yes","No")),"")</f>
        <v/>
      </c>
      <c r="BD154" t="str">
        <f t="shared" si="40"/>
        <v/>
      </c>
      <c r="BE154" t="str">
        <f t="shared" si="41"/>
        <v/>
      </c>
      <c r="BF154" t="str">
        <f t="shared" si="42"/>
        <v>No</v>
      </c>
      <c r="BG154" t="str">
        <f t="shared" si="43"/>
        <v>No</v>
      </c>
      <c r="BH154" t="str">
        <f t="shared" si="44"/>
        <v/>
      </c>
    </row>
    <row r="155" spans="9:60" x14ac:dyDescent="0.3">
      <c r="I155" t="str">
        <f t="shared" si="21"/>
        <v>N/A</v>
      </c>
      <c r="J155" t="str">
        <f t="shared" si="22"/>
        <v>N/A</v>
      </c>
      <c r="K155" t="str">
        <f t="shared" si="23"/>
        <v>N/A</v>
      </c>
      <c r="L155" t="str">
        <f t="shared" si="24"/>
        <v>N/A</v>
      </c>
      <c r="M155" t="str">
        <f t="shared" si="25"/>
        <v>N/A</v>
      </c>
      <c r="N155" t="str">
        <f t="shared" si="26"/>
        <v>N/A</v>
      </c>
      <c r="P155">
        <f t="shared" si="27"/>
        <v>0</v>
      </c>
      <c r="Q155" t="str">
        <f>IFERROR(J144+MATCH(P155,J155:N155,0)-1,"")</f>
        <v/>
      </c>
      <c r="R155" t="str">
        <f t="shared" si="28"/>
        <v/>
      </c>
      <c r="S155" t="str">
        <f>IFERROR(J144+MATCH(R155,J155:N155,0)-1,"")</f>
        <v/>
      </c>
      <c r="T155" t="str">
        <f t="shared" si="29"/>
        <v/>
      </c>
      <c r="U155" t="str">
        <f t="shared" si="30"/>
        <v/>
      </c>
      <c r="V155" t="str">
        <f t="shared" si="31"/>
        <v/>
      </c>
      <c r="W155" t="str">
        <f t="shared" si="32"/>
        <v/>
      </c>
      <c r="X155" t="str">
        <f t="shared" si="33"/>
        <v/>
      </c>
      <c r="Y155" t="str">
        <f t="shared" si="34"/>
        <v/>
      </c>
      <c r="Z155" t="str">
        <f t="shared" si="35"/>
        <v/>
      </c>
      <c r="AA155">
        <f t="shared" si="36"/>
        <v>0</v>
      </c>
      <c r="AB155" t="str">
        <f>IFERROR(V144+MATCH(AA155,V155:Z155,0)-1,"")</f>
        <v/>
      </c>
      <c r="AC155" t="str">
        <f t="shared" si="37"/>
        <v/>
      </c>
      <c r="AE155" t="str">
        <f>IF(ISNUMBER(MATCH("N/A",J155:N155,0)),"",IFERROR((5 * SUMPRODUCT(J144:N144,J155:N155) - PRODUCT(SUM(J144:N144),SUM(J155:N155))) / ((5 * SUM((J144^2)+(K144^2)+(L144^2)+(M144^2)+(N144^2))) - SUM(J144:N144)^2),""))</f>
        <v/>
      </c>
      <c r="AF155" t="str">
        <f>IFERROR(CORREL(J144:N144,J155:N155),"")</f>
        <v/>
      </c>
      <c r="AZ155">
        <f t="shared" si="38"/>
        <v>0</v>
      </c>
      <c r="BA155" t="str">
        <f>IF(AZ155=1,IF(Q155="","",IF(Q155=N144,"Yes","No")),"")</f>
        <v/>
      </c>
      <c r="BB155" t="str">
        <f t="shared" si="39"/>
        <v/>
      </c>
      <c r="BC155" t="str">
        <f>IF(AZ155=1,IF(S155="","",IF(S155=N144,"Yes","No")),"")</f>
        <v/>
      </c>
      <c r="BD155" t="str">
        <f t="shared" si="40"/>
        <v/>
      </c>
      <c r="BE155" t="str">
        <f t="shared" si="41"/>
        <v/>
      </c>
      <c r="BF155" t="str">
        <f t="shared" si="42"/>
        <v>No</v>
      </c>
      <c r="BG155" t="str">
        <f t="shared" si="43"/>
        <v>No</v>
      </c>
      <c r="BH155" t="str">
        <f t="shared" si="44"/>
        <v/>
      </c>
    </row>
    <row r="156" spans="9:60" x14ac:dyDescent="0.3">
      <c r="I156" t="str">
        <f t="shared" ref="I156:I187" si="45">IF(AND(K156&gt; J156, L156&gt; K156, M156&gt; L156, N156&gt; M156), "pos_trend", IF(AND(K156&lt; J156, L156&lt; K156, M156&lt; L156, N156&lt; M156), "neg_trend", "N/A"))</f>
        <v>N/A</v>
      </c>
      <c r="J156" t="str">
        <f t="shared" si="22"/>
        <v>N/A</v>
      </c>
      <c r="K156" t="str">
        <f t="shared" si="23"/>
        <v>N/A</v>
      </c>
      <c r="L156" t="str">
        <f t="shared" si="24"/>
        <v>N/A</v>
      </c>
      <c r="M156" t="str">
        <f t="shared" si="25"/>
        <v>N/A</v>
      </c>
      <c r="N156" t="str">
        <f t="shared" si="26"/>
        <v>N/A</v>
      </c>
      <c r="P156">
        <f t="shared" si="27"/>
        <v>0</v>
      </c>
      <c r="Q156" t="str">
        <f>IFERROR(J144+MATCH(P156,J156:N156,0)-1,"")</f>
        <v/>
      </c>
      <c r="R156" t="str">
        <f t="shared" si="28"/>
        <v/>
      </c>
      <c r="S156" t="str">
        <f>IFERROR(J144+MATCH(R156,J156:N156,0)-1,"")</f>
        <v/>
      </c>
      <c r="T156" t="str">
        <f t="shared" si="29"/>
        <v/>
      </c>
      <c r="U156" t="str">
        <f t="shared" si="30"/>
        <v/>
      </c>
      <c r="V156" t="str">
        <f t="shared" si="31"/>
        <v/>
      </c>
      <c r="W156" t="str">
        <f t="shared" si="32"/>
        <v/>
      </c>
      <c r="X156" t="str">
        <f t="shared" si="33"/>
        <v/>
      </c>
      <c r="Y156" t="str">
        <f t="shared" si="34"/>
        <v/>
      </c>
      <c r="Z156" t="str">
        <f t="shared" si="35"/>
        <v/>
      </c>
      <c r="AA156">
        <f t="shared" si="36"/>
        <v>0</v>
      </c>
      <c r="AB156" t="str">
        <f>IFERROR(V144+MATCH(AA156,V156:Z156,0)-1,"")</f>
        <v/>
      </c>
      <c r="AC156" t="str">
        <f t="shared" si="37"/>
        <v/>
      </c>
      <c r="AE156" t="str">
        <f>IF(ISNUMBER(MATCH("N/A",J156:N156,0)),"",IFERROR((5 * SUMPRODUCT(J144:N144,J156:N156) - PRODUCT(SUM(J144:N144),SUM(J156:N156))) / ((5 * SUM((J144^2)+(K144^2)+(L144^2)+(M144^2)+(N144^2))) - SUM(J144:N144)^2),""))</f>
        <v/>
      </c>
      <c r="AF156" t="str">
        <f>IFERROR(CORREL(J144:N144,J156:N156),"")</f>
        <v/>
      </c>
      <c r="AZ156">
        <f t="shared" si="38"/>
        <v>0</v>
      </c>
      <c r="BA156" t="str">
        <f>IF(AZ156=1,IF(Q156="","",IF(Q156=N144,"Yes","No")),"")</f>
        <v/>
      </c>
      <c r="BB156" t="str">
        <f t="shared" si="39"/>
        <v/>
      </c>
      <c r="BC156" t="str">
        <f>IF(AZ156=1,IF(S156="","",IF(S156=N144,"Yes","No")),"")</f>
        <v/>
      </c>
      <c r="BD156" t="str">
        <f t="shared" si="40"/>
        <v/>
      </c>
      <c r="BE156" t="str">
        <f t="shared" si="41"/>
        <v/>
      </c>
      <c r="BF156" t="str">
        <f t="shared" si="42"/>
        <v>No</v>
      </c>
      <c r="BG156" t="str">
        <f t="shared" si="43"/>
        <v>No</v>
      </c>
      <c r="BH156" t="str">
        <f t="shared" si="44"/>
        <v/>
      </c>
    </row>
    <row r="157" spans="9:60" x14ac:dyDescent="0.3">
      <c r="P157">
        <f t="shared" si="27"/>
        <v>0</v>
      </c>
      <c r="Q157" t="str">
        <f>IFERROR(J144+MATCH(P157,J157:N157,0)-1,"")</f>
        <v/>
      </c>
      <c r="R157" t="str">
        <f t="shared" si="28"/>
        <v/>
      </c>
      <c r="S157" t="str">
        <f>IFERROR(J144+MATCH(R157,J157:N157,0)-1,"")</f>
        <v/>
      </c>
      <c r="T157" t="str">
        <f t="shared" si="29"/>
        <v/>
      </c>
      <c r="U157" t="str">
        <f t="shared" si="30"/>
        <v/>
      </c>
      <c r="V157" t="str">
        <f t="shared" si="31"/>
        <v/>
      </c>
      <c r="W157" t="str">
        <f t="shared" si="32"/>
        <v/>
      </c>
      <c r="X157" t="str">
        <f t="shared" si="33"/>
        <v/>
      </c>
      <c r="Y157" t="str">
        <f t="shared" si="34"/>
        <v/>
      </c>
      <c r="Z157" t="str">
        <f t="shared" si="35"/>
        <v/>
      </c>
      <c r="AA157">
        <f t="shared" si="36"/>
        <v>0</v>
      </c>
      <c r="AB157" t="str">
        <f>IFERROR(V144+MATCH(AA157,V157:Z157,0)-1,"")</f>
        <v/>
      </c>
      <c r="AC157" t="str">
        <f t="shared" si="37"/>
        <v/>
      </c>
      <c r="AE157" t="str">
        <f>IF(ISNUMBER(MATCH("N/A",J157:N157,0)),"",IFERROR((5 * SUMPRODUCT(J144:N144,J157:N157) - PRODUCT(SUM(J144:N144),SUM(J157:N157))) / ((5 * SUM((J144^2)+(K144^2)+(L144^2)+(M144^2)+(N144^2))) - SUM(J144:N144)^2),""))</f>
        <v/>
      </c>
      <c r="AF157" t="str">
        <f>IFERROR(CORREL(J144:N144,J157:N157),"")</f>
        <v/>
      </c>
      <c r="AZ157">
        <f t="shared" si="38"/>
        <v>0</v>
      </c>
      <c r="BA157" t="str">
        <f>IF(AZ157=1,IF(Q157="","",IF(Q157=N144,"Yes","No")),"")</f>
        <v/>
      </c>
      <c r="BB157" t="str">
        <f t="shared" si="39"/>
        <v/>
      </c>
      <c r="BC157" t="str">
        <f>IF(AZ157=1,IF(S157="","",IF(S157=N144,"Yes","No")),"")</f>
        <v/>
      </c>
      <c r="BD157" t="str">
        <f t="shared" si="40"/>
        <v/>
      </c>
      <c r="BE157" t="str">
        <f t="shared" si="41"/>
        <v/>
      </c>
      <c r="BF157" t="str">
        <f t="shared" si="42"/>
        <v>No</v>
      </c>
      <c r="BG157" t="str">
        <f t="shared" si="43"/>
        <v>No</v>
      </c>
      <c r="BH157" t="str">
        <f t="shared" si="44"/>
        <v/>
      </c>
    </row>
    <row r="158" spans="9:60" x14ac:dyDescent="0.3">
      <c r="I158" t="str">
        <f t="shared" ref="I158:I204" si="46">IF(AND(K158&gt; J158, L158&gt; K158, M158&gt; L158, N158&gt; M158), "pos_trend", IF(AND(K158&lt; J158, L158&lt; K158, M158&lt; L158, N158&lt; M158), "neg_trend", "N/A"))</f>
        <v>N/A</v>
      </c>
      <c r="J158" t="str">
        <f>IFERROR(IF(TRIM(C158)="-", "0", IF(RIGHT(C158,1)=")",IF(RIGHT(C158,2)="T)",-1000000000000*VALUE(MID(C158,2,LEN(C158)-3)),IF(RIGHT(C158,2)="M)",-1000000*VALUE(MID(C158,2,LEN(C158)-3)),IF(RIGHT(C158,2)="B)",-1000000000*VALUE(MID(C158,2,LEN(C158)-3)),IF(RIGHT(C158,2)="k)",-1000*VALUE(MID(C158,2,LEN(C158)-3)),VALUE(SUBSTITUTE(C158,",","")))))),IF(RIGHT(C158,1)="T",1000000000000*VALUE(LEFT(C158,LEN(C158)-1)),IF(RIGHT(C158,1)="M",1000000*VALUE(LEFT(C158,LEN(C158)-1)),IF(RIGHT(C158,1)="B",1000000000*VALUE(LEFT(C158,LEN(C158)-1)),IF(RIGHT(C158,1)="%",0.01*VALUE(LEFT(C158,LEN(C158)-1)),IF(RIGHT(C158,1)="k",1000*VALUE(LEFT(C158,LEN(C158)-1)),VALUE(SUBSTITUTE(C158,",",""))))))))),"N/A")</f>
        <v>N/A</v>
      </c>
      <c r="K158" t="str">
        <f>IFERROR(IF(TRIM(D158)="-", "0", IF(RIGHT(D158,1)=")",IF(RIGHT(D158,2)="T)",-1000000000000*VALUE(MID(D158,2,LEN(D158)-3)),IF(RIGHT(D158,2)="M)",-1000000*VALUE(MID(D158,2,LEN(D158)-3)),IF(RIGHT(D158,2)="B)",-1000000000*VALUE(MID(D158,2,LEN(D158)-3)),IF(RIGHT(D158,2)="k)",-1000*VALUE(MID(D158,2,LEN(D158)-3)),VALUE(SUBSTITUTE(D158,",","")))))),IF(RIGHT(D158,1)="T",1000000000000*VALUE(LEFT(D158,LEN(D158)-1)),IF(RIGHT(D158,1)="M",1000000*VALUE(LEFT(D158,LEN(D158)-1)),IF(RIGHT(D158,1)="B",1000000000*VALUE(LEFT(D158,LEN(D158)-1)),IF(RIGHT(D158,1)="%",0.01*VALUE(LEFT(D158,LEN(D158)-1)),IF(RIGHT(D158,1)="k",1000*VALUE(LEFT(D158,LEN(D158)-1)),VALUE(SUBSTITUTE(D158,",",""))))))))),"N/A")</f>
        <v>N/A</v>
      </c>
      <c r="L158" t="str">
        <f>IFERROR(IF(TRIM(E158)="-", "0", IF(RIGHT(E158,1)=")",IF(RIGHT(E158,2)="T)",-1000000000000*VALUE(MID(E158,2,LEN(E158)-3)),IF(RIGHT(E158,2)="M)",-1000000*VALUE(MID(E158,2,LEN(E158)-3)),IF(RIGHT(E158,2)="B)",-1000000000*VALUE(MID(E158,2,LEN(E158)-3)),IF(RIGHT(E158,2)="k)",-1000*VALUE(MID(E158,2,LEN(E158)-3)),VALUE(SUBSTITUTE(E158,",","")))))),IF(RIGHT(E158,1)="T",1000000000000*VALUE(LEFT(E158,LEN(E158)-1)),IF(RIGHT(E158,1)="M",1000000*VALUE(LEFT(E158,LEN(E158)-1)),IF(RIGHT(E158,1)="B",1000000000*VALUE(LEFT(E158,LEN(E158)-1)),IF(RIGHT(E158,1)="%",0.01*VALUE(LEFT(E158,LEN(E158)-1)),IF(RIGHT(E158,1)="k",1000*VALUE(LEFT(E158,LEN(E158)-1)),VALUE(SUBSTITUTE(E158,",",""))))))))),"N/A")</f>
        <v>N/A</v>
      </c>
      <c r="M158" t="str">
        <f>IFERROR(IF(TRIM(F158)="-", "0", IF(RIGHT(F158,1)=")",IF(RIGHT(F158,2)="T)",-1000000000000*VALUE(MID(F158,2,LEN(F158)-3)),IF(RIGHT(F158,2)="M)",-1000000*VALUE(MID(F158,2,LEN(F158)-3)),IF(RIGHT(F158,2)="B)",-1000000000*VALUE(MID(F158,2,LEN(F158)-3)),IF(RIGHT(F158,2)="k)",-1000*VALUE(MID(F158,2,LEN(F158)-3)),VALUE(SUBSTITUTE(F158,",","")))))),IF(RIGHT(F158,1)="T",1000000000000*VALUE(LEFT(F158,LEN(F158)-1)),IF(RIGHT(F158,1)="M",1000000*VALUE(LEFT(F158,LEN(F158)-1)),IF(RIGHT(F158,1)="B",1000000000*VALUE(LEFT(F158,LEN(F158)-1)),IF(RIGHT(F158,1)="%",0.01*VALUE(LEFT(F158,LEN(F158)-1)),IF(RIGHT(F158,1)="k",1000*VALUE(LEFT(F158,LEN(F158)-1)),VALUE(SUBSTITUTE(F158,",",""))))))))),"N/A")</f>
        <v>N/A</v>
      </c>
      <c r="N158" t="str">
        <f>IFERROR(IF(TRIM(G158)="-", "0", IF(RIGHT(G158,1)=")",IF(RIGHT(G158,2)="T)",-1000000000000*VALUE(MID(G158,2,LEN(G158)-3)),IF(RIGHT(G158,2)="M)",-1000000*VALUE(MID(G158,2,LEN(G158)-3)),IF(RIGHT(G158,2)="B)",-1000000000*VALUE(MID(G158,2,LEN(G158)-3)),IF(RIGHT(G158,2)="k)",-1000*VALUE(MID(G158,2,LEN(G158)-3)),VALUE(SUBSTITUTE(G158,",","")))))),IF(RIGHT(G158,1)="T",1000000000000*VALUE(LEFT(G158,LEN(G158)-1)),IF(RIGHT(G158,1)="M",1000000*VALUE(LEFT(G158,LEN(G158)-1)),IF(RIGHT(G158,1)="B",1000000000*VALUE(LEFT(G158,LEN(G158)-1)),IF(RIGHT(G158,1)="%",0.01*VALUE(LEFT(G158,LEN(G158)-1)),IF(RIGHT(G158,1)="k",1000*VALUE(LEFT(G158,LEN(G158)-1)),VALUE(SUBSTITUTE(G158,",",""))))))))),"N/A")</f>
        <v>N/A</v>
      </c>
      <c r="P158">
        <f t="shared" si="27"/>
        <v>0</v>
      </c>
      <c r="Q158" t="str">
        <f>IFERROR(J144+MATCH(P158,J158:N158,0)-1,"")</f>
        <v/>
      </c>
      <c r="R158" t="str">
        <f t="shared" si="28"/>
        <v/>
      </c>
      <c r="S158" t="str">
        <f>IFERROR(J144+MATCH(R158,J158:N158,0)-1,"")</f>
        <v/>
      </c>
      <c r="T158" t="str">
        <f t="shared" si="29"/>
        <v/>
      </c>
      <c r="U158" t="str">
        <f t="shared" si="30"/>
        <v/>
      </c>
      <c r="V158" t="str">
        <f t="shared" si="31"/>
        <v/>
      </c>
      <c r="W158" t="str">
        <f t="shared" si="32"/>
        <v/>
      </c>
      <c r="X158" t="str">
        <f t="shared" si="33"/>
        <v/>
      </c>
      <c r="Y158" t="str">
        <f t="shared" si="34"/>
        <v/>
      </c>
      <c r="Z158" t="str">
        <f t="shared" si="35"/>
        <v/>
      </c>
      <c r="AA158">
        <f t="shared" si="36"/>
        <v>0</v>
      </c>
      <c r="AB158" t="str">
        <f>IFERROR(V144+MATCH(AA158,V158:Z158,0)-1,"")</f>
        <v/>
      </c>
      <c r="AC158" t="str">
        <f t="shared" si="37"/>
        <v/>
      </c>
      <c r="AE158" t="str">
        <f>IF(ISNUMBER(MATCH("N/A",J158:N158,0)),"",IFERROR((5 * SUMPRODUCT(J144:N144,J158:N158) - PRODUCT(SUM(J144:N144),SUM(J158:N158))) / ((5 * SUM((J144^2)+(K144^2)+(L144^2)+(M144^2)+(N144^2))) - SUM(J144:N144)^2),""))</f>
        <v/>
      </c>
      <c r="AF158" t="str">
        <f>IFERROR(CORREL(J144:N144,J158:N158),"")</f>
        <v/>
      </c>
      <c r="AZ158">
        <f t="shared" si="38"/>
        <v>0</v>
      </c>
      <c r="BA158" t="str">
        <f>IF(AZ158=1,IF(Q158="","",IF(Q158=N144,"Yes","No")),"")</f>
        <v/>
      </c>
      <c r="BB158" t="str">
        <f t="shared" si="39"/>
        <v/>
      </c>
      <c r="BC158" t="str">
        <f>IF(AZ158=1,IF(S158="","",IF(S158=N144,"Yes","No")),"")</f>
        <v/>
      </c>
      <c r="BD158" t="str">
        <f t="shared" si="40"/>
        <v/>
      </c>
      <c r="BE158" t="str">
        <f t="shared" si="41"/>
        <v/>
      </c>
      <c r="BF158" t="str">
        <f t="shared" si="42"/>
        <v>No</v>
      </c>
      <c r="BG158" t="str">
        <f t="shared" si="43"/>
        <v>No</v>
      </c>
      <c r="BH158" t="str">
        <f t="shared" si="44"/>
        <v/>
      </c>
    </row>
    <row r="159" spans="9:60" x14ac:dyDescent="0.3">
      <c r="I159" t="str">
        <f t="shared" si="46"/>
        <v>N/A</v>
      </c>
      <c r="J159" t="str">
        <f t="shared" ref="J159:J204" si="47">IFERROR(IF(TRIM(C159)="-", "N/A", IF(RIGHT(C159,1)=")",IF(RIGHT(C159,2)="T)",-1000000000000*VALUE(MID(C159,2,LEN(C159)-3)),IF(RIGHT(C159,2)="M)",-1000000*VALUE(MID(C159,2,LEN(C159)-3)),IF(RIGHT(C159,2)="B)",-1000000000*VALUE(MID(C159,2,LEN(C159)-3)),IF(RIGHT(C159,2)="k)",-1000*VALUE(MID(C159,2,LEN(C159)-3)),VALUE(SUBSTITUTE(C159,",","")))))),IF(RIGHT(C159,1)="T",1000000000000*VALUE(LEFT(C159,LEN(C159)-1)),IF(RIGHT(C159,1)="M",1000000*VALUE(LEFT(C159,LEN(C159)-1)),IF(RIGHT(C159,1)="B",1000000000*VALUE(LEFT(C159,LEN(C159)-1)),IF(RIGHT(C159,1)="%",0.01*VALUE(LEFT(C159,LEN(C159)-1)),IF(RIGHT(C159,1)="k",1000*VALUE(LEFT(C159,LEN(C159)-1)),VALUE(SUBSTITUTE(C159,",",""))))))))),"N/A")</f>
        <v>N/A</v>
      </c>
      <c r="K159" t="str">
        <f t="shared" ref="K159:K204" si="48">IFERROR(IF(TRIM(D159)="-", "N/A", IF(RIGHT(D159,1)=")",IF(RIGHT(D159,2)="T)",-1000000000000*VALUE(MID(D159,2,LEN(D159)-3)),IF(RIGHT(D159,2)="M)",-1000000*VALUE(MID(D159,2,LEN(D159)-3)),IF(RIGHT(D159,2)="B)",-1000000000*VALUE(MID(D159,2,LEN(D159)-3)),IF(RIGHT(D159,2)="k)",-1000*VALUE(MID(D159,2,LEN(D159)-3)),VALUE(SUBSTITUTE(D159,",","")))))),IF(RIGHT(D159,1)="T",1000000000000*VALUE(LEFT(D159,LEN(D159)-1)),IF(RIGHT(D159,1)="M",1000000*VALUE(LEFT(D159,LEN(D159)-1)),IF(RIGHT(D159,1)="B",1000000000*VALUE(LEFT(D159,LEN(D159)-1)),IF(RIGHT(D159,1)="%",0.01*VALUE(LEFT(D159,LEN(D159)-1)),IF(RIGHT(D159,1)="k",1000*VALUE(LEFT(D159,LEN(D159)-1)),VALUE(SUBSTITUTE(D159,",",""))))))))),"N/A")</f>
        <v>N/A</v>
      </c>
      <c r="L159" t="str">
        <f t="shared" ref="L159:L204" si="49">IFERROR(IF(TRIM(E159)="-", "N/A", IF(RIGHT(E159,1)=")",IF(RIGHT(E159,2)="T)",-1000000000000*VALUE(MID(E159,2,LEN(E159)-3)),IF(RIGHT(E159,2)="M)",-1000000*VALUE(MID(E159,2,LEN(E159)-3)),IF(RIGHT(E159,2)="B)",-1000000000*VALUE(MID(E159,2,LEN(E159)-3)),IF(RIGHT(E159,2)="k)",-1000*VALUE(MID(E159,2,LEN(E159)-3)),VALUE(SUBSTITUTE(E159,",","")))))),IF(RIGHT(E159,1)="T",1000000000000*VALUE(LEFT(E159,LEN(E159)-1)),IF(RIGHT(E159,1)="M",1000000*VALUE(LEFT(E159,LEN(E159)-1)),IF(RIGHT(E159,1)="B",1000000000*VALUE(LEFT(E159,LEN(E159)-1)),IF(RIGHT(E159,1)="%",0.01*VALUE(LEFT(E159,LEN(E159)-1)),IF(RIGHT(E159,1)="k",1000*VALUE(LEFT(E159,LEN(E159)-1)),VALUE(SUBSTITUTE(E159,",",""))))))))),"N/A")</f>
        <v>N/A</v>
      </c>
      <c r="M159" t="str">
        <f t="shared" ref="M159:M204" si="50">IFERROR(IF(TRIM(F159)="-", "N/A", IF(RIGHT(F159,1)=")",IF(RIGHT(F159,2)="T)",-1000000000000*VALUE(MID(F159,2,LEN(F159)-3)),IF(RIGHT(F159,2)="M)",-1000000*VALUE(MID(F159,2,LEN(F159)-3)),IF(RIGHT(F159,2)="B)",-1000000000*VALUE(MID(F159,2,LEN(F159)-3)),IF(RIGHT(F159,2)="k)",-1000*VALUE(MID(F159,2,LEN(F159)-3)),VALUE(SUBSTITUTE(F159,",","")))))),IF(RIGHT(F159,1)="T",1000000000000*VALUE(LEFT(F159,LEN(F159)-1)),IF(RIGHT(F159,1)="M",1000000*VALUE(LEFT(F159,LEN(F159)-1)),IF(RIGHT(F159,1)="B",1000000000*VALUE(LEFT(F159,LEN(F159)-1)),IF(RIGHT(F159,1)="%",0.01*VALUE(LEFT(F159,LEN(F159)-1)),IF(RIGHT(F159,1)="k",1000*VALUE(LEFT(F159,LEN(F159)-1)),VALUE(SUBSTITUTE(F159,",",""))))))))),"N/A")</f>
        <v>N/A</v>
      </c>
      <c r="N159" t="str">
        <f t="shared" ref="N159:N204" si="51">IFERROR(IF(TRIM(G159)="-", "N/A", IF(RIGHT(G159,1)=")",IF(RIGHT(G159,2)="T)",-1000000000000*VALUE(MID(G159,2,LEN(G159)-3)),IF(RIGHT(G159,2)="M)",-1000000*VALUE(MID(G159,2,LEN(G159)-3)),IF(RIGHT(G159,2)="B)",-1000000000*VALUE(MID(G159,2,LEN(G159)-3)),IF(RIGHT(G159,2)="k)",-1000*VALUE(MID(G159,2,LEN(G159)-3)),VALUE(SUBSTITUTE(G159,",","")))))),IF(RIGHT(G159,1)="T",1000000000000*VALUE(LEFT(G159,LEN(G159)-1)),IF(RIGHT(G159,1)="M",1000000*VALUE(LEFT(G159,LEN(G159)-1)),IF(RIGHT(G159,1)="B",1000000000*VALUE(LEFT(G159,LEN(G159)-1)),IF(RIGHT(G159,1)="%",0.01*VALUE(LEFT(G159,LEN(G159)-1)),IF(RIGHT(G159,1)="k",1000*VALUE(LEFT(G159,LEN(G159)-1)),VALUE(SUBSTITUTE(G159,",",""))))))))),"N/A")</f>
        <v>N/A</v>
      </c>
      <c r="P159">
        <f t="shared" si="27"/>
        <v>0</v>
      </c>
      <c r="Q159" t="str">
        <f>IFERROR(J144+MATCH(P159,J159:N159,0)-1,"")</f>
        <v/>
      </c>
      <c r="R159" t="str">
        <f t="shared" si="28"/>
        <v/>
      </c>
      <c r="S159" t="str">
        <f>IFERROR(J144+MATCH(R159,J159:N159,0)-1,"")</f>
        <v/>
      </c>
      <c r="T159" t="str">
        <f t="shared" si="29"/>
        <v/>
      </c>
      <c r="U159" t="str">
        <f t="shared" si="30"/>
        <v/>
      </c>
      <c r="V159" t="str">
        <f t="shared" si="31"/>
        <v/>
      </c>
      <c r="W159" t="str">
        <f t="shared" si="32"/>
        <v/>
      </c>
      <c r="X159" t="str">
        <f t="shared" si="33"/>
        <v/>
      </c>
      <c r="Y159" t="str">
        <f t="shared" si="34"/>
        <v/>
      </c>
      <c r="Z159" t="str">
        <f t="shared" si="35"/>
        <v/>
      </c>
      <c r="AA159">
        <f t="shared" si="36"/>
        <v>0</v>
      </c>
      <c r="AB159" t="str">
        <f>IFERROR(V144+MATCH(AA159,V159:Z159,0)-1,"")</f>
        <v/>
      </c>
      <c r="AC159" t="str">
        <f t="shared" si="37"/>
        <v/>
      </c>
      <c r="AE159" t="str">
        <f>IF(ISNUMBER(MATCH("N/A",J159:N159,0)),"",IFERROR((5 * SUMPRODUCT(J144:N144,J159:N159) - PRODUCT(SUM(J144:N144),SUM(J159:N159))) / ((5 * SUM((J144^2)+(K144^2)+(L144^2)+(M144^2)+(N144^2))) - SUM(J144:N144)^2),""))</f>
        <v/>
      </c>
      <c r="AF159" t="str">
        <f>IFERROR(CORREL(J144:N144,J159:N159),"")</f>
        <v/>
      </c>
      <c r="AZ159">
        <f t="shared" si="38"/>
        <v>0</v>
      </c>
      <c r="BA159" t="str">
        <f>IF(AZ159=1,IF(Q159="","",IF(Q159=N144,"Yes","No")),"")</f>
        <v/>
      </c>
      <c r="BB159" t="str">
        <f t="shared" si="39"/>
        <v/>
      </c>
      <c r="BC159" t="str">
        <f>IF(AZ159=1,IF(S159="","",IF(S159=N144,"Yes","No")),"")</f>
        <v/>
      </c>
      <c r="BD159" t="str">
        <f t="shared" si="40"/>
        <v/>
      </c>
      <c r="BE159" t="str">
        <f t="shared" si="41"/>
        <v/>
      </c>
      <c r="BF159" t="str">
        <f t="shared" si="42"/>
        <v>No</v>
      </c>
      <c r="BG159" t="str">
        <f t="shared" si="43"/>
        <v>No</v>
      </c>
      <c r="BH159" t="str">
        <f t="shared" si="44"/>
        <v/>
      </c>
    </row>
    <row r="160" spans="9:60" x14ac:dyDescent="0.3">
      <c r="I160" t="str">
        <f t="shared" si="46"/>
        <v>N/A</v>
      </c>
      <c r="J160" t="str">
        <f t="shared" si="47"/>
        <v>N/A</v>
      </c>
      <c r="K160" t="str">
        <f t="shared" si="48"/>
        <v>N/A</v>
      </c>
      <c r="L160" t="str">
        <f t="shared" si="49"/>
        <v>N/A</v>
      </c>
      <c r="M160" t="str">
        <f t="shared" si="50"/>
        <v>N/A</v>
      </c>
      <c r="N160" t="str">
        <f t="shared" si="51"/>
        <v>N/A</v>
      </c>
      <c r="P160">
        <f t="shared" si="27"/>
        <v>0</v>
      </c>
      <c r="Q160" t="str">
        <f>IFERROR(J144+MATCH(P160,J160:N160,0)-1,"")</f>
        <v/>
      </c>
      <c r="R160" t="str">
        <f t="shared" si="28"/>
        <v/>
      </c>
      <c r="S160" t="str">
        <f>IFERROR(J144+MATCH(R160,J160:N160,0)-1,"")</f>
        <v/>
      </c>
      <c r="T160" t="str">
        <f t="shared" si="29"/>
        <v/>
      </c>
      <c r="U160" t="str">
        <f t="shared" si="30"/>
        <v/>
      </c>
      <c r="V160" t="str">
        <f t="shared" si="31"/>
        <v/>
      </c>
      <c r="W160" t="str">
        <f t="shared" si="32"/>
        <v/>
      </c>
      <c r="X160" t="str">
        <f t="shared" si="33"/>
        <v/>
      </c>
      <c r="Y160" t="str">
        <f t="shared" si="34"/>
        <v/>
      </c>
      <c r="Z160" t="str">
        <f t="shared" si="35"/>
        <v/>
      </c>
      <c r="AA160">
        <f t="shared" si="36"/>
        <v>0</v>
      </c>
      <c r="AB160" t="str">
        <f>IFERROR(V144+MATCH(AA160,V160:Z160,0)-1,"")</f>
        <v/>
      </c>
      <c r="AC160" t="str">
        <f t="shared" si="37"/>
        <v/>
      </c>
      <c r="AE160" t="str">
        <f>IF(ISNUMBER(MATCH("N/A",J160:N160,0)),"",IFERROR((5 * SUMPRODUCT(J144:N144,J160:N160) - PRODUCT(SUM(J144:N144),SUM(J160:N160))) / ((5 * SUM((J144^2)+(K144^2)+(L144^2)+(M144^2)+(N144^2))) - SUM(J144:N144)^2),""))</f>
        <v/>
      </c>
      <c r="AF160" t="str">
        <f>IFERROR(CORREL(J144:N144,J160:N160),"")</f>
        <v/>
      </c>
      <c r="AZ160">
        <f t="shared" si="38"/>
        <v>0</v>
      </c>
      <c r="BA160" t="str">
        <f>IF(AZ160=1,IF(Q160="","",IF(Q160=N144,"Yes","No")),"")</f>
        <v/>
      </c>
      <c r="BB160" t="str">
        <f t="shared" si="39"/>
        <v/>
      </c>
      <c r="BC160" t="str">
        <f>IF(AZ160=1,IF(S160="","",IF(S160=N144,"Yes","No")),"")</f>
        <v/>
      </c>
      <c r="BD160" t="str">
        <f t="shared" si="40"/>
        <v/>
      </c>
      <c r="BE160" t="str">
        <f t="shared" si="41"/>
        <v/>
      </c>
      <c r="BF160" t="str">
        <f t="shared" si="42"/>
        <v>No</v>
      </c>
      <c r="BG160" t="str">
        <f t="shared" si="43"/>
        <v>No</v>
      </c>
      <c r="BH160" t="str">
        <f t="shared" si="44"/>
        <v/>
      </c>
    </row>
    <row r="161" spans="9:60" x14ac:dyDescent="0.3">
      <c r="I161" t="str">
        <f t="shared" si="46"/>
        <v>N/A</v>
      </c>
      <c r="J161" t="str">
        <f t="shared" si="47"/>
        <v>N/A</v>
      </c>
      <c r="K161" t="str">
        <f t="shared" si="48"/>
        <v>N/A</v>
      </c>
      <c r="L161" t="str">
        <f t="shared" si="49"/>
        <v>N/A</v>
      </c>
      <c r="M161" t="str">
        <f t="shared" si="50"/>
        <v>N/A</v>
      </c>
      <c r="N161" t="str">
        <f t="shared" si="51"/>
        <v>N/A</v>
      </c>
      <c r="P161">
        <f t="shared" si="27"/>
        <v>0</v>
      </c>
      <c r="Q161" t="str">
        <f>IFERROR(J144+MATCH(P161,J161:N161,0)-1,"")</f>
        <v/>
      </c>
      <c r="R161" t="str">
        <f t="shared" si="28"/>
        <v/>
      </c>
      <c r="S161" t="str">
        <f>IFERROR(J144+MATCH(R161,J161:N161,0)-1,"")</f>
        <v/>
      </c>
      <c r="T161" t="str">
        <f t="shared" si="29"/>
        <v/>
      </c>
      <c r="U161" t="str">
        <f t="shared" si="30"/>
        <v/>
      </c>
      <c r="V161" t="str">
        <f t="shared" si="31"/>
        <v/>
      </c>
      <c r="W161" t="str">
        <f t="shared" si="32"/>
        <v/>
      </c>
      <c r="X161" t="str">
        <f t="shared" si="33"/>
        <v/>
      </c>
      <c r="Y161" t="str">
        <f t="shared" si="34"/>
        <v/>
      </c>
      <c r="Z161" t="str">
        <f t="shared" si="35"/>
        <v/>
      </c>
      <c r="AA161">
        <f t="shared" si="36"/>
        <v>0</v>
      </c>
      <c r="AB161" t="str">
        <f>IFERROR(V144+MATCH(AA161,V161:Z161,0)-1,"")</f>
        <v/>
      </c>
      <c r="AC161" t="str">
        <f t="shared" si="37"/>
        <v/>
      </c>
      <c r="AE161" t="str">
        <f>IF(ISNUMBER(MATCH("N/A",J161:N161,0)),"",IFERROR((5 * SUMPRODUCT(J144:N144,J161:N161) - PRODUCT(SUM(J144:N144),SUM(J161:N161))) / ((5 * SUM((J144^2)+(K144^2)+(L144^2)+(M144^2)+(N144^2))) - SUM(J144:N144)^2),""))</f>
        <v/>
      </c>
      <c r="AF161" t="str">
        <f>IFERROR(CORREL(J144:N144,J161:N161),"")</f>
        <v/>
      </c>
      <c r="AZ161">
        <f t="shared" si="38"/>
        <v>0</v>
      </c>
      <c r="BA161" t="str">
        <f>IF(AZ161=1,IF(Q161="","",IF(Q161=N144,"Yes","No")),"")</f>
        <v/>
      </c>
      <c r="BB161" t="str">
        <f t="shared" si="39"/>
        <v/>
      </c>
      <c r="BC161" t="str">
        <f>IF(AZ161=1,IF(S161="","",IF(S161=N144,"Yes","No")),"")</f>
        <v/>
      </c>
      <c r="BD161" t="str">
        <f t="shared" si="40"/>
        <v/>
      </c>
      <c r="BE161" t="str">
        <f t="shared" si="41"/>
        <v/>
      </c>
      <c r="BF161" t="str">
        <f t="shared" si="42"/>
        <v>No</v>
      </c>
      <c r="BG161" t="str">
        <f t="shared" si="43"/>
        <v>No</v>
      </c>
      <c r="BH161" t="str">
        <f t="shared" si="44"/>
        <v/>
      </c>
    </row>
    <row r="162" spans="9:60" x14ac:dyDescent="0.3">
      <c r="I162" t="str">
        <f t="shared" si="46"/>
        <v>N/A</v>
      </c>
      <c r="J162" t="str">
        <f t="shared" si="47"/>
        <v>N/A</v>
      </c>
      <c r="K162" t="str">
        <f t="shared" si="48"/>
        <v>N/A</v>
      </c>
      <c r="L162" t="str">
        <f t="shared" si="49"/>
        <v>N/A</v>
      </c>
      <c r="M162" t="str">
        <f t="shared" si="50"/>
        <v>N/A</v>
      </c>
      <c r="N162" t="str">
        <f t="shared" si="51"/>
        <v>N/A</v>
      </c>
      <c r="P162">
        <f t="shared" si="27"/>
        <v>0</v>
      </c>
      <c r="Q162" t="str">
        <f>IFERROR(J144+MATCH(P162,J162:N162,0)-1,"")</f>
        <v/>
      </c>
      <c r="R162" t="str">
        <f t="shared" si="28"/>
        <v/>
      </c>
      <c r="S162" t="str">
        <f>IFERROR(J144+MATCH(R162,J162:N162,0)-1,"")</f>
        <v/>
      </c>
      <c r="T162" t="str">
        <f t="shared" si="29"/>
        <v/>
      </c>
      <c r="U162" t="str">
        <f t="shared" si="30"/>
        <v/>
      </c>
      <c r="V162" t="str">
        <f t="shared" si="31"/>
        <v/>
      </c>
      <c r="W162" t="str">
        <f t="shared" si="32"/>
        <v/>
      </c>
      <c r="X162" t="str">
        <f t="shared" si="33"/>
        <v/>
      </c>
      <c r="Y162" t="str">
        <f t="shared" si="34"/>
        <v/>
      </c>
      <c r="Z162" t="str">
        <f t="shared" si="35"/>
        <v/>
      </c>
      <c r="AA162">
        <f t="shared" si="36"/>
        <v>0</v>
      </c>
      <c r="AB162" t="str">
        <f>IFERROR(V144+MATCH(AA162,V162:Z162,0)-1,"")</f>
        <v/>
      </c>
      <c r="AC162" t="str">
        <f t="shared" si="37"/>
        <v/>
      </c>
      <c r="AE162" t="str">
        <f>IF(ISNUMBER(MATCH("N/A",J162:N162,0)),"",IFERROR((5 * SUMPRODUCT(J144:N144,J162:N162) - PRODUCT(SUM(J144:N144),SUM(J162:N162))) / ((5 * SUM((J144^2)+(K144^2)+(L144^2)+(M144^2)+(N144^2))) - SUM(J144:N144)^2),""))</f>
        <v/>
      </c>
      <c r="AF162" t="str">
        <f>IFERROR(CORREL(J144:N144,J162:N162),"")</f>
        <v/>
      </c>
      <c r="AZ162">
        <f t="shared" si="38"/>
        <v>0</v>
      </c>
      <c r="BA162" t="str">
        <f>IF(AZ162=1,IF(Q162="","",IF(Q162=N144,"Yes","No")),"")</f>
        <v/>
      </c>
      <c r="BB162" t="str">
        <f t="shared" si="39"/>
        <v/>
      </c>
      <c r="BC162" t="str">
        <f>IF(AZ162=1,IF(S162="","",IF(S162=N144,"Yes","No")),"")</f>
        <v/>
      </c>
      <c r="BD162" t="str">
        <f t="shared" si="40"/>
        <v/>
      </c>
      <c r="BE162" t="str">
        <f t="shared" si="41"/>
        <v/>
      </c>
      <c r="BF162" t="str">
        <f t="shared" si="42"/>
        <v>No</v>
      </c>
      <c r="BG162" t="str">
        <f t="shared" si="43"/>
        <v>No</v>
      </c>
      <c r="BH162" t="str">
        <f t="shared" si="44"/>
        <v/>
      </c>
    </row>
    <row r="163" spans="9:60" x14ac:dyDescent="0.3">
      <c r="I163" t="str">
        <f t="shared" si="46"/>
        <v>N/A</v>
      </c>
      <c r="J163" t="str">
        <f t="shared" si="47"/>
        <v>N/A</v>
      </c>
      <c r="K163" t="str">
        <f t="shared" si="48"/>
        <v>N/A</v>
      </c>
      <c r="L163" t="str">
        <f t="shared" si="49"/>
        <v>N/A</v>
      </c>
      <c r="M163" t="str">
        <f t="shared" si="50"/>
        <v>N/A</v>
      </c>
      <c r="N163" t="str">
        <f t="shared" si="51"/>
        <v>N/A</v>
      </c>
      <c r="P163">
        <f t="shared" si="27"/>
        <v>0</v>
      </c>
      <c r="Q163" t="str">
        <f>IFERROR(J144+MATCH(P163,J163:N163,0)-1,"")</f>
        <v/>
      </c>
      <c r="R163" t="str">
        <f t="shared" si="28"/>
        <v/>
      </c>
      <c r="S163" t="str">
        <f>IFERROR(J144+MATCH(R163,J163:N163,0)-1,"")</f>
        <v/>
      </c>
      <c r="T163" t="str">
        <f t="shared" si="29"/>
        <v/>
      </c>
      <c r="U163" t="str">
        <f t="shared" si="30"/>
        <v/>
      </c>
      <c r="V163" t="str">
        <f t="shared" si="31"/>
        <v/>
      </c>
      <c r="W163" t="str">
        <f t="shared" si="32"/>
        <v/>
      </c>
      <c r="X163" t="str">
        <f t="shared" si="33"/>
        <v/>
      </c>
      <c r="Y163" t="str">
        <f t="shared" si="34"/>
        <v/>
      </c>
      <c r="Z163" t="str">
        <f t="shared" si="35"/>
        <v/>
      </c>
      <c r="AA163">
        <f t="shared" si="36"/>
        <v>0</v>
      </c>
      <c r="AB163" t="str">
        <f>IFERROR(V144+MATCH(AA163,V163:Z163,0)-1,"")</f>
        <v/>
      </c>
      <c r="AC163" t="str">
        <f t="shared" si="37"/>
        <v/>
      </c>
      <c r="AE163" t="str">
        <f>IF(ISNUMBER(MATCH("N/A",J163:N163,0)),"",IFERROR((5 * SUMPRODUCT(J144:N144,J163:N163) - PRODUCT(SUM(J144:N144),SUM(J163:N163))) / ((5 * SUM((J144^2)+(K144^2)+(L144^2)+(M144^2)+(N144^2))) - SUM(J144:N144)^2),""))</f>
        <v/>
      </c>
      <c r="AF163" t="str">
        <f>IFERROR(CORREL(J144:N144,J163:N163),"")</f>
        <v/>
      </c>
      <c r="AZ163">
        <f t="shared" si="38"/>
        <v>0</v>
      </c>
      <c r="BA163" t="str">
        <f>IF(AZ163=1,IF(Q163="","",IF(Q163=N144,"Yes","No")),"")</f>
        <v/>
      </c>
      <c r="BB163" t="str">
        <f t="shared" si="39"/>
        <v/>
      </c>
      <c r="BC163" t="str">
        <f>IF(AZ163=1,IF(S163="","",IF(S163=N144,"Yes","No")),"")</f>
        <v/>
      </c>
      <c r="BD163" t="str">
        <f t="shared" si="40"/>
        <v/>
      </c>
      <c r="BE163" t="str">
        <f t="shared" si="41"/>
        <v/>
      </c>
      <c r="BF163" t="str">
        <f t="shared" si="42"/>
        <v>No</v>
      </c>
      <c r="BG163" t="str">
        <f t="shared" si="43"/>
        <v>No</v>
      </c>
      <c r="BH163" t="str">
        <f t="shared" si="44"/>
        <v/>
      </c>
    </row>
    <row r="164" spans="9:60" x14ac:dyDescent="0.3">
      <c r="I164" t="str">
        <f t="shared" si="46"/>
        <v>N/A</v>
      </c>
      <c r="J164" t="str">
        <f t="shared" si="47"/>
        <v>N/A</v>
      </c>
      <c r="K164" t="str">
        <f t="shared" si="48"/>
        <v>N/A</v>
      </c>
      <c r="L164" t="str">
        <f t="shared" si="49"/>
        <v>N/A</v>
      </c>
      <c r="M164" t="str">
        <f t="shared" si="50"/>
        <v>N/A</v>
      </c>
      <c r="N164" t="str">
        <f t="shared" si="51"/>
        <v>N/A</v>
      </c>
      <c r="P164">
        <f t="shared" si="27"/>
        <v>0</v>
      </c>
      <c r="Q164" t="str">
        <f>IFERROR(J144+MATCH(P164,J164:N164,0)-1,"")</f>
        <v/>
      </c>
      <c r="R164" t="str">
        <f t="shared" si="28"/>
        <v/>
      </c>
      <c r="S164" t="str">
        <f>IFERROR(J144+MATCH(R164,J164:N164,0)-1,"")</f>
        <v/>
      </c>
      <c r="T164" t="str">
        <f t="shared" si="29"/>
        <v/>
      </c>
      <c r="U164" t="str">
        <f t="shared" si="30"/>
        <v/>
      </c>
      <c r="V164" t="str">
        <f t="shared" si="31"/>
        <v/>
      </c>
      <c r="W164" t="str">
        <f t="shared" si="32"/>
        <v/>
      </c>
      <c r="X164" t="str">
        <f t="shared" si="33"/>
        <v/>
      </c>
      <c r="Y164" t="str">
        <f t="shared" si="34"/>
        <v/>
      </c>
      <c r="Z164" t="str">
        <f t="shared" si="35"/>
        <v/>
      </c>
      <c r="AA164">
        <f t="shared" si="36"/>
        <v>0</v>
      </c>
      <c r="AB164" t="str">
        <f>IFERROR(V144+MATCH(AA164,V164:Z164,0)-1,"")</f>
        <v/>
      </c>
      <c r="AC164" t="str">
        <f t="shared" si="37"/>
        <v/>
      </c>
      <c r="AE164" t="str">
        <f>IF(ISNUMBER(MATCH("N/A",J164:N164,0)),"",IFERROR((5 * SUMPRODUCT(J144:N144,J164:N164) - PRODUCT(SUM(J144:N144),SUM(J164:N164))) / ((5 * SUM((J144^2)+(K144^2)+(L144^2)+(M144^2)+(N144^2))) - SUM(J144:N144)^2),""))</f>
        <v/>
      </c>
      <c r="AF164" t="str">
        <f>IFERROR(CORREL(J144:N144,J164:N164),"")</f>
        <v/>
      </c>
      <c r="AZ164">
        <f t="shared" si="38"/>
        <v>0</v>
      </c>
      <c r="BA164" t="str">
        <f>IF(AZ164=1,IF(Q164="","",IF(Q164=N144,"Yes","No")),"")</f>
        <v/>
      </c>
      <c r="BB164" t="str">
        <f t="shared" si="39"/>
        <v/>
      </c>
      <c r="BC164" t="str">
        <f>IF(AZ164=1,IF(S164="","",IF(S164=N144,"Yes","No")),"")</f>
        <v/>
      </c>
      <c r="BD164" t="str">
        <f t="shared" si="40"/>
        <v/>
      </c>
      <c r="BE164" t="str">
        <f t="shared" si="41"/>
        <v/>
      </c>
      <c r="BF164" t="str">
        <f t="shared" si="42"/>
        <v>No</v>
      </c>
      <c r="BG164" t="str">
        <f t="shared" si="43"/>
        <v>No</v>
      </c>
      <c r="BH164" t="str">
        <f t="shared" si="44"/>
        <v/>
      </c>
    </row>
    <row r="165" spans="9:60" x14ac:dyDescent="0.3">
      <c r="I165" t="str">
        <f t="shared" si="46"/>
        <v>N/A</v>
      </c>
      <c r="J165" t="str">
        <f t="shared" si="47"/>
        <v>N/A</v>
      </c>
      <c r="K165" t="str">
        <f t="shared" si="48"/>
        <v>N/A</v>
      </c>
      <c r="L165" t="str">
        <f t="shared" si="49"/>
        <v>N/A</v>
      </c>
      <c r="M165" t="str">
        <f t="shared" si="50"/>
        <v>N/A</v>
      </c>
      <c r="N165" t="str">
        <f t="shared" si="51"/>
        <v>N/A</v>
      </c>
      <c r="P165">
        <f t="shared" si="27"/>
        <v>0</v>
      </c>
      <c r="Q165" t="str">
        <f>IFERROR(J144+MATCH(P165,J165:N165,0)-1,"")</f>
        <v/>
      </c>
      <c r="R165" t="str">
        <f t="shared" si="28"/>
        <v/>
      </c>
      <c r="S165" t="str">
        <f>IFERROR(J144+MATCH(R165,J165:N165,0)-1,"")</f>
        <v/>
      </c>
      <c r="T165" t="str">
        <f t="shared" si="29"/>
        <v/>
      </c>
      <c r="U165" t="str">
        <f t="shared" si="30"/>
        <v/>
      </c>
      <c r="V165" t="str">
        <f t="shared" si="31"/>
        <v/>
      </c>
      <c r="W165" t="str">
        <f t="shared" si="32"/>
        <v/>
      </c>
      <c r="X165" t="str">
        <f t="shared" si="33"/>
        <v/>
      </c>
      <c r="Y165" t="str">
        <f t="shared" si="34"/>
        <v/>
      </c>
      <c r="Z165" t="str">
        <f t="shared" si="35"/>
        <v/>
      </c>
      <c r="AA165">
        <f t="shared" si="36"/>
        <v>0</v>
      </c>
      <c r="AB165" t="str">
        <f>IFERROR(V144+MATCH(AA165,V165:Z165,0)-1,"")</f>
        <v/>
      </c>
      <c r="AC165" t="str">
        <f t="shared" si="37"/>
        <v/>
      </c>
      <c r="AE165" t="str">
        <f>IF(ISNUMBER(MATCH("N/A",J165:N165,0)),"",IFERROR((5 * SUMPRODUCT(J144:N144,J165:N165) - PRODUCT(SUM(J144:N144),SUM(J165:N165))) / ((5 * SUM((J144^2)+(K144^2)+(L144^2)+(M144^2)+(N144^2))) - SUM(J144:N144)^2),""))</f>
        <v/>
      </c>
      <c r="AF165" t="str">
        <f>IFERROR(CORREL(J144:N144,J165:N165),"")</f>
        <v/>
      </c>
      <c r="AZ165">
        <f t="shared" si="38"/>
        <v>0</v>
      </c>
      <c r="BA165" t="str">
        <f>IF(AZ165=1,IF(Q165="","",IF(Q165=N144,"Yes","No")),"")</f>
        <v/>
      </c>
      <c r="BB165" t="str">
        <f t="shared" si="39"/>
        <v/>
      </c>
      <c r="BC165" t="str">
        <f>IF(AZ165=1,IF(S165="","",IF(S165=N144,"Yes","No")),"")</f>
        <v/>
      </c>
      <c r="BD165" t="str">
        <f t="shared" si="40"/>
        <v/>
      </c>
      <c r="BE165" t="str">
        <f t="shared" si="41"/>
        <v/>
      </c>
      <c r="BF165" t="str">
        <f t="shared" si="42"/>
        <v>No</v>
      </c>
      <c r="BG165" t="str">
        <f t="shared" si="43"/>
        <v>No</v>
      </c>
      <c r="BH165" t="str">
        <f t="shared" si="44"/>
        <v/>
      </c>
    </row>
    <row r="166" spans="9:60" x14ac:dyDescent="0.3">
      <c r="I166" t="str">
        <f t="shared" si="46"/>
        <v>N/A</v>
      </c>
      <c r="J166" t="str">
        <f t="shared" si="47"/>
        <v>N/A</v>
      </c>
      <c r="K166" t="str">
        <f t="shared" si="48"/>
        <v>N/A</v>
      </c>
      <c r="L166" t="str">
        <f t="shared" si="49"/>
        <v>N/A</v>
      </c>
      <c r="M166" t="str">
        <f t="shared" si="50"/>
        <v>N/A</v>
      </c>
      <c r="N166" t="str">
        <f t="shared" si="51"/>
        <v>N/A</v>
      </c>
      <c r="P166">
        <f t="shared" si="27"/>
        <v>0</v>
      </c>
      <c r="Q166" t="str">
        <f>IFERROR(J144+MATCH(P166,J166:N166,0)-1,"")</f>
        <v/>
      </c>
      <c r="R166" t="str">
        <f t="shared" si="28"/>
        <v/>
      </c>
      <c r="S166" t="str">
        <f>IFERROR(J144+MATCH(R166,J166:N166,0)-1,"")</f>
        <v/>
      </c>
      <c r="T166" t="str">
        <f t="shared" si="29"/>
        <v/>
      </c>
      <c r="U166" t="str">
        <f t="shared" si="30"/>
        <v/>
      </c>
      <c r="V166" t="str">
        <f t="shared" si="31"/>
        <v/>
      </c>
      <c r="W166" t="str">
        <f t="shared" si="32"/>
        <v/>
      </c>
      <c r="X166" t="str">
        <f t="shared" si="33"/>
        <v/>
      </c>
      <c r="Y166" t="str">
        <f t="shared" si="34"/>
        <v/>
      </c>
      <c r="Z166" t="str">
        <f t="shared" si="35"/>
        <v/>
      </c>
      <c r="AA166">
        <f t="shared" si="36"/>
        <v>0</v>
      </c>
      <c r="AB166" t="str">
        <f>IFERROR(V144+MATCH(AA166,V166:Z166,0)-1,"")</f>
        <v/>
      </c>
      <c r="AC166" t="str">
        <f t="shared" si="37"/>
        <v/>
      </c>
      <c r="AE166" t="str">
        <f>IF(ISNUMBER(MATCH("N/A",J166:N166,0)),"",IFERROR((5 * SUMPRODUCT(J144:N144,J166:N166) - PRODUCT(SUM(J144:N144),SUM(J166:N166))) / ((5 * SUM((J144^2)+(K144^2)+(L144^2)+(M144^2)+(N144^2))) - SUM(J144:N144)^2),""))</f>
        <v/>
      </c>
      <c r="AF166" t="str">
        <f>IFERROR(CORREL(J144:N144,J166:N166),"")</f>
        <v/>
      </c>
      <c r="AZ166">
        <f t="shared" si="38"/>
        <v>0</v>
      </c>
      <c r="BA166" t="str">
        <f>IF(AZ166=1,IF(Q166="","",IF(Q166=N144,"Yes","No")),"")</f>
        <v/>
      </c>
      <c r="BB166" t="str">
        <f t="shared" si="39"/>
        <v/>
      </c>
      <c r="BC166" t="str">
        <f>IF(AZ166=1,IF(S166="","",IF(S166=N144,"Yes","No")),"")</f>
        <v/>
      </c>
      <c r="BD166" t="str">
        <f t="shared" si="40"/>
        <v/>
      </c>
      <c r="BE166" t="str">
        <f t="shared" si="41"/>
        <v/>
      </c>
      <c r="BF166" t="str">
        <f t="shared" si="42"/>
        <v>No</v>
      </c>
      <c r="BG166" t="str">
        <f t="shared" si="43"/>
        <v>No</v>
      </c>
      <c r="BH166" t="str">
        <f t="shared" si="44"/>
        <v/>
      </c>
    </row>
    <row r="167" spans="9:60" x14ac:dyDescent="0.3">
      <c r="I167" t="str">
        <f t="shared" si="46"/>
        <v>N/A</v>
      </c>
      <c r="J167" t="str">
        <f t="shared" si="47"/>
        <v>N/A</v>
      </c>
      <c r="K167" t="str">
        <f t="shared" si="48"/>
        <v>N/A</v>
      </c>
      <c r="L167" t="str">
        <f t="shared" si="49"/>
        <v>N/A</v>
      </c>
      <c r="M167" t="str">
        <f t="shared" si="50"/>
        <v>N/A</v>
      </c>
      <c r="N167" t="str">
        <f t="shared" si="51"/>
        <v>N/A</v>
      </c>
      <c r="P167">
        <f t="shared" si="27"/>
        <v>0</v>
      </c>
      <c r="Q167" t="str">
        <f>IFERROR(J144+MATCH(P167,J167:N167,0)-1,"")</f>
        <v/>
      </c>
      <c r="R167" t="str">
        <f t="shared" si="28"/>
        <v/>
      </c>
      <c r="S167" t="str">
        <f>IFERROR(J144+MATCH(R167,J167:N167,0)-1,"")</f>
        <v/>
      </c>
      <c r="T167" t="str">
        <f t="shared" si="29"/>
        <v/>
      </c>
      <c r="U167" t="str">
        <f t="shared" si="30"/>
        <v/>
      </c>
      <c r="V167" t="str">
        <f t="shared" si="31"/>
        <v/>
      </c>
      <c r="W167" t="str">
        <f t="shared" si="32"/>
        <v/>
      </c>
      <c r="X167" t="str">
        <f t="shared" si="33"/>
        <v/>
      </c>
      <c r="Y167" t="str">
        <f t="shared" si="34"/>
        <v/>
      </c>
      <c r="Z167" t="str">
        <f t="shared" si="35"/>
        <v/>
      </c>
      <c r="AA167">
        <f t="shared" si="36"/>
        <v>0</v>
      </c>
      <c r="AB167" t="str">
        <f>IFERROR(V144+MATCH(AA167,V167:Z167,0)-1,"")</f>
        <v/>
      </c>
      <c r="AC167" t="str">
        <f t="shared" si="37"/>
        <v/>
      </c>
      <c r="AE167" t="str">
        <f>IF(ISNUMBER(MATCH("N/A",J167:N167,0)),"",IFERROR((5 * SUMPRODUCT(J144:N144,J167:N167) - PRODUCT(SUM(J144:N144),SUM(J167:N167))) / ((5 * SUM((J144^2)+(K144^2)+(L144^2)+(M144^2)+(N144^2))) - SUM(J144:N144)^2),""))</f>
        <v/>
      </c>
      <c r="AF167" t="str">
        <f>IFERROR(CORREL(J144:N144,J167:N167),"")</f>
        <v/>
      </c>
      <c r="AZ167">
        <f t="shared" si="38"/>
        <v>0</v>
      </c>
      <c r="BA167" t="str">
        <f>IF(AZ167=1,IF(Q167="","",IF(Q167=N144,"Yes","No")),"")</f>
        <v/>
      </c>
      <c r="BB167" t="str">
        <f t="shared" si="39"/>
        <v/>
      </c>
      <c r="BC167" t="str">
        <f>IF(AZ167=1,IF(S167="","",IF(S167=N144,"Yes","No")),"")</f>
        <v/>
      </c>
      <c r="BD167" t="str">
        <f t="shared" si="40"/>
        <v/>
      </c>
      <c r="BE167" t="str">
        <f t="shared" si="41"/>
        <v/>
      </c>
      <c r="BF167" t="str">
        <f t="shared" si="42"/>
        <v>No</v>
      </c>
      <c r="BG167" t="str">
        <f t="shared" si="43"/>
        <v>No</v>
      </c>
      <c r="BH167" t="str">
        <f t="shared" si="44"/>
        <v/>
      </c>
    </row>
    <row r="168" spans="9:60" x14ac:dyDescent="0.3">
      <c r="I168" t="str">
        <f t="shared" si="46"/>
        <v>N/A</v>
      </c>
      <c r="J168" t="str">
        <f t="shared" si="47"/>
        <v>N/A</v>
      </c>
      <c r="K168" t="str">
        <f t="shared" si="48"/>
        <v>N/A</v>
      </c>
      <c r="L168" t="str">
        <f t="shared" si="49"/>
        <v>N/A</v>
      </c>
      <c r="M168" t="str">
        <f t="shared" si="50"/>
        <v>N/A</v>
      </c>
      <c r="N168" t="str">
        <f t="shared" si="51"/>
        <v>N/A</v>
      </c>
      <c r="P168">
        <f t="shared" si="27"/>
        <v>0</v>
      </c>
      <c r="Q168" t="str">
        <f>IFERROR(J144+MATCH(P168,J168:N168,0)-1,"")</f>
        <v/>
      </c>
      <c r="R168" t="str">
        <f t="shared" si="28"/>
        <v/>
      </c>
      <c r="S168" t="str">
        <f>IFERROR(J144+MATCH(R168,J168:N168,0)-1,"")</f>
        <v/>
      </c>
      <c r="T168" t="str">
        <f t="shared" si="29"/>
        <v/>
      </c>
      <c r="U168" t="str">
        <f t="shared" si="30"/>
        <v/>
      </c>
      <c r="V168" t="str">
        <f t="shared" si="31"/>
        <v/>
      </c>
      <c r="W168" t="str">
        <f t="shared" si="32"/>
        <v/>
      </c>
      <c r="X168" t="str">
        <f t="shared" si="33"/>
        <v/>
      </c>
      <c r="Y168" t="str">
        <f t="shared" si="34"/>
        <v/>
      </c>
      <c r="Z168" t="str">
        <f t="shared" si="35"/>
        <v/>
      </c>
      <c r="AA168">
        <f t="shared" si="36"/>
        <v>0</v>
      </c>
      <c r="AB168" t="str">
        <f>IFERROR(V144+MATCH(AA168,V168:Z168,0)-1,"")</f>
        <v/>
      </c>
      <c r="AC168" t="str">
        <f t="shared" si="37"/>
        <v/>
      </c>
      <c r="AE168" t="str">
        <f>IF(ISNUMBER(MATCH("N/A",J168:N168,0)),"",IFERROR((5 * SUMPRODUCT(J144:N144,J168:N168) - PRODUCT(SUM(J144:N144),SUM(J168:N168))) / ((5 * SUM((J144^2)+(K144^2)+(L144^2)+(M144^2)+(N144^2))) - SUM(J144:N144)^2),""))</f>
        <v/>
      </c>
      <c r="AF168" t="str">
        <f>IFERROR(CORREL(J144:N144,J168:N168),"")</f>
        <v/>
      </c>
      <c r="AZ168">
        <f t="shared" si="38"/>
        <v>0</v>
      </c>
      <c r="BA168" t="str">
        <f>IF(AZ168=1,IF(Q168="","",IF(Q168=N144,"Yes","No")),"")</f>
        <v/>
      </c>
      <c r="BB168" t="str">
        <f t="shared" si="39"/>
        <v/>
      </c>
      <c r="BC168" t="str">
        <f>IF(AZ168=1,IF(S168="","",IF(S168=N144,"Yes","No")),"")</f>
        <v/>
      </c>
      <c r="BD168" t="str">
        <f t="shared" si="40"/>
        <v/>
      </c>
      <c r="BE168" t="str">
        <f t="shared" si="41"/>
        <v/>
      </c>
      <c r="BF168" t="str">
        <f t="shared" si="42"/>
        <v>No</v>
      </c>
      <c r="BG168" t="str">
        <f t="shared" si="43"/>
        <v>No</v>
      </c>
      <c r="BH168" t="str">
        <f t="shared" si="44"/>
        <v/>
      </c>
    </row>
    <row r="169" spans="9:60" x14ac:dyDescent="0.3">
      <c r="I169" t="str">
        <f t="shared" si="46"/>
        <v>N/A</v>
      </c>
      <c r="J169" t="str">
        <f t="shared" si="47"/>
        <v>N/A</v>
      </c>
      <c r="K169" t="str">
        <f t="shared" si="48"/>
        <v>N/A</v>
      </c>
      <c r="L169" t="str">
        <f t="shared" si="49"/>
        <v>N/A</v>
      </c>
      <c r="M169" t="str">
        <f t="shared" si="50"/>
        <v>N/A</v>
      </c>
      <c r="N169" t="str">
        <f t="shared" si="51"/>
        <v>N/A</v>
      </c>
      <c r="P169">
        <f t="shared" si="27"/>
        <v>0</v>
      </c>
      <c r="Q169" t="str">
        <f>IFERROR(J144+MATCH(P169,J169:N169,0)-1,"")</f>
        <v/>
      </c>
      <c r="R169" t="str">
        <f t="shared" si="28"/>
        <v/>
      </c>
      <c r="S169" t="str">
        <f>IFERROR(J144+MATCH(R169,J169:N169,0)-1,"")</f>
        <v/>
      </c>
      <c r="T169" t="str">
        <f t="shared" si="29"/>
        <v/>
      </c>
      <c r="U169" t="str">
        <f t="shared" si="30"/>
        <v/>
      </c>
      <c r="V169" t="str">
        <f t="shared" si="31"/>
        <v/>
      </c>
      <c r="W169" t="str">
        <f t="shared" si="32"/>
        <v/>
      </c>
      <c r="X169" t="str">
        <f t="shared" si="33"/>
        <v/>
      </c>
      <c r="Y169" t="str">
        <f t="shared" si="34"/>
        <v/>
      </c>
      <c r="Z169" t="str">
        <f t="shared" si="35"/>
        <v/>
      </c>
      <c r="AA169">
        <f t="shared" si="36"/>
        <v>0</v>
      </c>
      <c r="AB169" t="str">
        <f>IFERROR(V144+MATCH(AA169,V169:Z169,0)-1,"")</f>
        <v/>
      </c>
      <c r="AC169" t="str">
        <f t="shared" si="37"/>
        <v/>
      </c>
      <c r="AE169" t="str">
        <f>IF(ISNUMBER(MATCH("N/A",J169:N169,0)),"",IFERROR((5 * SUMPRODUCT(J144:N144,J169:N169) - PRODUCT(SUM(J144:N144),SUM(J169:N169))) / ((5 * SUM((J144^2)+(K144^2)+(L144^2)+(M144^2)+(N144^2))) - SUM(J144:N144)^2),""))</f>
        <v/>
      </c>
      <c r="AF169" t="str">
        <f>IFERROR(CORREL(J144:N144,J169:N169),"")</f>
        <v/>
      </c>
      <c r="AZ169">
        <f t="shared" si="38"/>
        <v>0</v>
      </c>
      <c r="BA169" t="str">
        <f>IF(AZ169=1,IF(Q169="","",IF(Q169=N144,"Yes","No")),"")</f>
        <v/>
      </c>
      <c r="BB169" t="str">
        <f t="shared" si="39"/>
        <v/>
      </c>
      <c r="BC169" t="str">
        <f>IF(AZ169=1,IF(S169="","",IF(S169=N144,"Yes","No")),"")</f>
        <v/>
      </c>
      <c r="BD169" t="str">
        <f t="shared" si="40"/>
        <v/>
      </c>
      <c r="BE169" t="str">
        <f t="shared" si="41"/>
        <v/>
      </c>
      <c r="BF169" t="str">
        <f t="shared" si="42"/>
        <v>No</v>
      </c>
      <c r="BG169" t="str">
        <f t="shared" si="43"/>
        <v>No</v>
      </c>
      <c r="BH169" t="str">
        <f t="shared" si="44"/>
        <v/>
      </c>
    </row>
    <row r="170" spans="9:60" x14ac:dyDescent="0.3">
      <c r="I170" t="str">
        <f t="shared" si="46"/>
        <v>N/A</v>
      </c>
      <c r="J170" t="str">
        <f t="shared" si="47"/>
        <v>N/A</v>
      </c>
      <c r="K170" t="str">
        <f t="shared" si="48"/>
        <v>N/A</v>
      </c>
      <c r="L170" t="str">
        <f t="shared" si="49"/>
        <v>N/A</v>
      </c>
      <c r="M170" t="str">
        <f t="shared" si="50"/>
        <v>N/A</v>
      </c>
      <c r="N170" t="str">
        <f t="shared" si="51"/>
        <v>N/A</v>
      </c>
      <c r="P170">
        <f t="shared" si="27"/>
        <v>0</v>
      </c>
      <c r="Q170" t="str">
        <f>IFERROR(J144+MATCH(P170,J170:N170,0)-1,"")</f>
        <v/>
      </c>
      <c r="R170" t="str">
        <f t="shared" si="28"/>
        <v/>
      </c>
      <c r="S170" t="str">
        <f>IFERROR(J144+MATCH(R170,J170:N170,0)-1,"")</f>
        <v/>
      </c>
      <c r="T170" t="str">
        <f t="shared" si="29"/>
        <v/>
      </c>
      <c r="U170" t="str">
        <f t="shared" si="30"/>
        <v/>
      </c>
      <c r="V170" t="str">
        <f t="shared" si="31"/>
        <v/>
      </c>
      <c r="W170" t="str">
        <f t="shared" si="32"/>
        <v/>
      </c>
      <c r="X170" t="str">
        <f t="shared" si="33"/>
        <v/>
      </c>
      <c r="Y170" t="str">
        <f t="shared" si="34"/>
        <v/>
      </c>
      <c r="Z170" t="str">
        <f t="shared" si="35"/>
        <v/>
      </c>
      <c r="AA170">
        <f t="shared" si="36"/>
        <v>0</v>
      </c>
      <c r="AB170" t="str">
        <f>IFERROR(V144+MATCH(AA170,V170:Z170,0)-1,"")</f>
        <v/>
      </c>
      <c r="AC170" t="str">
        <f t="shared" si="37"/>
        <v/>
      </c>
      <c r="AE170" t="str">
        <f>IF(ISNUMBER(MATCH("N/A",J170:N170,0)),"",IFERROR((5 * SUMPRODUCT(J144:N144,J170:N170) - PRODUCT(SUM(J144:N144),SUM(J170:N170))) / ((5 * SUM((J144^2)+(K144^2)+(L144^2)+(M144^2)+(N144^2))) - SUM(J144:N144)^2),""))</f>
        <v/>
      </c>
      <c r="AF170" t="str">
        <f>IFERROR(CORREL(J144:N144,J170:N170),"")</f>
        <v/>
      </c>
      <c r="AZ170">
        <f t="shared" si="38"/>
        <v>0</v>
      </c>
      <c r="BA170" t="str">
        <f>IF(AZ170=1,IF(Q170="","",IF(Q170=N144,"Yes","No")),"")</f>
        <v/>
      </c>
      <c r="BB170" t="str">
        <f t="shared" si="39"/>
        <v/>
      </c>
      <c r="BC170" t="str">
        <f>IF(AZ170=1,IF(S170="","",IF(S170=N144,"Yes","No")),"")</f>
        <v/>
      </c>
      <c r="BD170" t="str">
        <f t="shared" si="40"/>
        <v/>
      </c>
      <c r="BE170" t="str">
        <f t="shared" si="41"/>
        <v/>
      </c>
      <c r="BF170" t="str">
        <f t="shared" si="42"/>
        <v>No</v>
      </c>
      <c r="BG170" t="str">
        <f t="shared" si="43"/>
        <v>No</v>
      </c>
      <c r="BH170" t="str">
        <f t="shared" si="44"/>
        <v/>
      </c>
    </row>
    <row r="171" spans="9:60" x14ac:dyDescent="0.3">
      <c r="I171" t="str">
        <f t="shared" si="46"/>
        <v>N/A</v>
      </c>
      <c r="J171" t="str">
        <f t="shared" si="47"/>
        <v>N/A</v>
      </c>
      <c r="K171" t="str">
        <f t="shared" si="48"/>
        <v>N/A</v>
      </c>
      <c r="L171" t="str">
        <f t="shared" si="49"/>
        <v>N/A</v>
      </c>
      <c r="M171" t="str">
        <f t="shared" si="50"/>
        <v>N/A</v>
      </c>
      <c r="N171" t="str">
        <f t="shared" si="51"/>
        <v>N/A</v>
      </c>
      <c r="P171">
        <f t="shared" si="27"/>
        <v>0</v>
      </c>
      <c r="Q171" t="str">
        <f>IFERROR(J144+MATCH(P171,J171:N171,0)-1,"")</f>
        <v/>
      </c>
      <c r="R171" t="str">
        <f t="shared" si="28"/>
        <v/>
      </c>
      <c r="S171" t="str">
        <f>IFERROR(J144+MATCH(R171,J171:N171,0)-1,"")</f>
        <v/>
      </c>
      <c r="T171" t="str">
        <f t="shared" si="29"/>
        <v/>
      </c>
      <c r="U171" t="str">
        <f t="shared" si="30"/>
        <v/>
      </c>
      <c r="V171" t="str">
        <f t="shared" si="31"/>
        <v/>
      </c>
      <c r="W171" t="str">
        <f t="shared" si="32"/>
        <v/>
      </c>
      <c r="X171" t="str">
        <f t="shared" si="33"/>
        <v/>
      </c>
      <c r="Y171" t="str">
        <f t="shared" si="34"/>
        <v/>
      </c>
      <c r="Z171" t="str">
        <f t="shared" si="35"/>
        <v/>
      </c>
      <c r="AA171">
        <f t="shared" si="36"/>
        <v>0</v>
      </c>
      <c r="AB171" t="str">
        <f>IFERROR(V144+MATCH(AA171,V171:Z171,0)-1,"")</f>
        <v/>
      </c>
      <c r="AC171" t="str">
        <f t="shared" si="37"/>
        <v/>
      </c>
      <c r="AE171" t="str">
        <f>IF(ISNUMBER(MATCH("N/A",J171:N171,0)),"",IFERROR((5 * SUMPRODUCT(J144:N144,J171:N171) - PRODUCT(SUM(J144:N144),SUM(J171:N171))) / ((5 * SUM((J144^2)+(K144^2)+(L144^2)+(M144^2)+(N144^2))) - SUM(J144:N144)^2),""))</f>
        <v/>
      </c>
      <c r="AF171" t="str">
        <f>IFERROR(CORREL(J144:N144,J171:N171),"")</f>
        <v/>
      </c>
      <c r="AZ171">
        <f t="shared" si="38"/>
        <v>0</v>
      </c>
      <c r="BA171" t="str">
        <f>IF(AZ171=1,IF(Q171="","",IF(Q171=N144,"Yes","No")),"")</f>
        <v/>
      </c>
      <c r="BB171" t="str">
        <f t="shared" si="39"/>
        <v/>
      </c>
      <c r="BC171" t="str">
        <f>IF(AZ171=1,IF(S171="","",IF(S171=N144,"Yes","No")),"")</f>
        <v/>
      </c>
      <c r="BD171" t="str">
        <f t="shared" si="40"/>
        <v/>
      </c>
      <c r="BE171" t="str">
        <f t="shared" si="41"/>
        <v/>
      </c>
      <c r="BF171" t="str">
        <f t="shared" si="42"/>
        <v>No</v>
      </c>
      <c r="BG171" t="str">
        <f t="shared" si="43"/>
        <v>No</v>
      </c>
      <c r="BH171" t="str">
        <f t="shared" si="44"/>
        <v/>
      </c>
    </row>
    <row r="172" spans="9:60" x14ac:dyDescent="0.3">
      <c r="I172" t="str">
        <f t="shared" si="46"/>
        <v>N/A</v>
      </c>
      <c r="J172" t="str">
        <f t="shared" si="47"/>
        <v>N/A</v>
      </c>
      <c r="K172" t="str">
        <f t="shared" si="48"/>
        <v>N/A</v>
      </c>
      <c r="L172" t="str">
        <f t="shared" si="49"/>
        <v>N/A</v>
      </c>
      <c r="M172" t="str">
        <f t="shared" si="50"/>
        <v>N/A</v>
      </c>
      <c r="N172" t="str">
        <f t="shared" si="51"/>
        <v>N/A</v>
      </c>
      <c r="P172">
        <f t="shared" si="27"/>
        <v>0</v>
      </c>
      <c r="Q172" t="str">
        <f>IFERROR(J144+MATCH(P172,J172:N172,0)-1,"")</f>
        <v/>
      </c>
      <c r="R172" t="str">
        <f t="shared" si="28"/>
        <v/>
      </c>
      <c r="S172" t="str">
        <f>IFERROR(J144+MATCH(R172,J172:N172,0)-1,"")</f>
        <v/>
      </c>
      <c r="T172" t="str">
        <f t="shared" si="29"/>
        <v/>
      </c>
      <c r="U172" t="str">
        <f t="shared" si="30"/>
        <v/>
      </c>
      <c r="V172" t="str">
        <f t="shared" si="31"/>
        <v/>
      </c>
      <c r="W172" t="str">
        <f t="shared" si="32"/>
        <v/>
      </c>
      <c r="X172" t="str">
        <f t="shared" si="33"/>
        <v/>
      </c>
      <c r="Y172" t="str">
        <f t="shared" si="34"/>
        <v/>
      </c>
      <c r="Z172" t="str">
        <f t="shared" si="35"/>
        <v/>
      </c>
      <c r="AA172">
        <f t="shared" si="36"/>
        <v>0</v>
      </c>
      <c r="AB172" t="str">
        <f>IFERROR(V144+MATCH(AA172,V172:Z172,0)-1,"")</f>
        <v/>
      </c>
      <c r="AC172" t="str">
        <f t="shared" si="37"/>
        <v/>
      </c>
      <c r="AE172" t="str">
        <f>IF(ISNUMBER(MATCH("N/A",J172:N172,0)),"",IFERROR((5 * SUMPRODUCT(J144:N144,J172:N172) - PRODUCT(SUM(J144:N144),SUM(J172:N172))) / ((5 * SUM((J144^2)+(K144^2)+(L144^2)+(M144^2)+(N144^2))) - SUM(J144:N144)^2),""))</f>
        <v/>
      </c>
      <c r="AF172" t="str">
        <f>IFERROR(CORREL(J144:N144,J172:N172),"")</f>
        <v/>
      </c>
      <c r="AZ172">
        <f t="shared" si="38"/>
        <v>0</v>
      </c>
      <c r="BA172" t="str">
        <f>IF(AZ172=1,IF(Q172="","",IF(Q172=N144,"Yes","No")),"")</f>
        <v/>
      </c>
      <c r="BB172" t="str">
        <f t="shared" si="39"/>
        <v/>
      </c>
      <c r="BC172" t="str">
        <f>IF(AZ172=1,IF(S172="","",IF(S172=N144,"Yes","No")),"")</f>
        <v/>
      </c>
      <c r="BD172" t="str">
        <f t="shared" si="40"/>
        <v/>
      </c>
      <c r="BE172" t="str">
        <f t="shared" si="41"/>
        <v/>
      </c>
      <c r="BF172" t="str">
        <f t="shared" si="42"/>
        <v>No</v>
      </c>
      <c r="BG172" t="str">
        <f t="shared" si="43"/>
        <v>No</v>
      </c>
      <c r="BH172" t="str">
        <f t="shared" si="44"/>
        <v/>
      </c>
    </row>
    <row r="173" spans="9:60" x14ac:dyDescent="0.3">
      <c r="I173" t="str">
        <f t="shared" si="46"/>
        <v>N/A</v>
      </c>
      <c r="J173" t="str">
        <f t="shared" si="47"/>
        <v>N/A</v>
      </c>
      <c r="K173" t="str">
        <f t="shared" si="48"/>
        <v>N/A</v>
      </c>
      <c r="L173" t="str">
        <f t="shared" si="49"/>
        <v>N/A</v>
      </c>
      <c r="M173" t="str">
        <f t="shared" si="50"/>
        <v>N/A</v>
      </c>
      <c r="N173" t="str">
        <f t="shared" si="51"/>
        <v>N/A</v>
      </c>
      <c r="P173">
        <f t="shared" si="27"/>
        <v>0</v>
      </c>
      <c r="Q173" t="str">
        <f>IFERROR(J144+MATCH(P173,J173:N173,0)-1,"")</f>
        <v/>
      </c>
      <c r="R173" t="str">
        <f t="shared" si="28"/>
        <v/>
      </c>
      <c r="S173" t="str">
        <f>IFERROR(J144+MATCH(R173,J173:N173,0)-1,"")</f>
        <v/>
      </c>
      <c r="T173" t="str">
        <f t="shared" si="29"/>
        <v/>
      </c>
      <c r="U173" t="str">
        <f t="shared" si="30"/>
        <v/>
      </c>
      <c r="V173" t="str">
        <f t="shared" si="31"/>
        <v/>
      </c>
      <c r="W173" t="str">
        <f t="shared" si="32"/>
        <v/>
      </c>
      <c r="X173" t="str">
        <f t="shared" si="33"/>
        <v/>
      </c>
      <c r="Y173" t="str">
        <f t="shared" si="34"/>
        <v/>
      </c>
      <c r="Z173" t="str">
        <f t="shared" si="35"/>
        <v/>
      </c>
      <c r="AA173">
        <f t="shared" si="36"/>
        <v>0</v>
      </c>
      <c r="AB173" t="str">
        <f>IFERROR(V144+MATCH(AA173,V173:Z173,0)-1,"")</f>
        <v/>
      </c>
      <c r="AC173" t="str">
        <f t="shared" si="37"/>
        <v/>
      </c>
      <c r="AE173" t="str">
        <f>IF(ISNUMBER(MATCH("N/A",J173:N173,0)),"",IFERROR((5 * SUMPRODUCT(J144:N144,J173:N173) - PRODUCT(SUM(J144:N144),SUM(J173:N173))) / ((5 * SUM((J144^2)+(K144^2)+(L144^2)+(M144^2)+(N144^2))) - SUM(J144:N144)^2),""))</f>
        <v/>
      </c>
      <c r="AF173" t="str">
        <f>IFERROR(CORREL(J144:N144,J173:N173),"")</f>
        <v/>
      </c>
      <c r="AZ173">
        <f t="shared" si="38"/>
        <v>0</v>
      </c>
      <c r="BA173" t="str">
        <f>IF(AZ173=1,IF(Q173="","",IF(Q173=N144,"Yes","No")),"")</f>
        <v/>
      </c>
      <c r="BB173" t="str">
        <f t="shared" si="39"/>
        <v/>
      </c>
      <c r="BC173" t="str">
        <f>IF(AZ173=1,IF(S173="","",IF(S173=N144,"Yes","No")),"")</f>
        <v/>
      </c>
      <c r="BD173" t="str">
        <f t="shared" si="40"/>
        <v/>
      </c>
      <c r="BE173" t="str">
        <f t="shared" si="41"/>
        <v/>
      </c>
      <c r="BF173" t="str">
        <f t="shared" si="42"/>
        <v>No</v>
      </c>
      <c r="BG173" t="str">
        <f t="shared" si="43"/>
        <v>No</v>
      </c>
      <c r="BH173" t="str">
        <f t="shared" si="44"/>
        <v/>
      </c>
    </row>
    <row r="174" spans="9:60" x14ac:dyDescent="0.3">
      <c r="I174" t="str">
        <f t="shared" si="46"/>
        <v>N/A</v>
      </c>
      <c r="J174" t="str">
        <f t="shared" si="47"/>
        <v>N/A</v>
      </c>
      <c r="K174" t="str">
        <f t="shared" si="48"/>
        <v>N/A</v>
      </c>
      <c r="L174" t="str">
        <f t="shared" si="49"/>
        <v>N/A</v>
      </c>
      <c r="M174" t="str">
        <f t="shared" si="50"/>
        <v>N/A</v>
      </c>
      <c r="N174" t="str">
        <f t="shared" si="51"/>
        <v>N/A</v>
      </c>
      <c r="P174">
        <f t="shared" si="27"/>
        <v>0</v>
      </c>
      <c r="Q174" t="str">
        <f>IFERROR(J144+MATCH(P174,J174:N174,0)-1,"")</f>
        <v/>
      </c>
      <c r="R174" t="str">
        <f t="shared" si="28"/>
        <v/>
      </c>
      <c r="S174" t="str">
        <f>IFERROR(J144+MATCH(R174,J174:N174,0)-1,"")</f>
        <v/>
      </c>
      <c r="T174" t="str">
        <f t="shared" si="29"/>
        <v/>
      </c>
      <c r="U174" t="str">
        <f t="shared" si="30"/>
        <v/>
      </c>
      <c r="V174" t="str">
        <f t="shared" si="31"/>
        <v/>
      </c>
      <c r="W174" t="str">
        <f t="shared" si="32"/>
        <v/>
      </c>
      <c r="X174" t="str">
        <f t="shared" si="33"/>
        <v/>
      </c>
      <c r="Y174" t="str">
        <f t="shared" si="34"/>
        <v/>
      </c>
      <c r="Z174" t="str">
        <f t="shared" si="35"/>
        <v/>
      </c>
      <c r="AA174">
        <f t="shared" si="36"/>
        <v>0</v>
      </c>
      <c r="AB174" t="str">
        <f>IFERROR(V144+MATCH(AA174,V174:Z174,0)-1,"")</f>
        <v/>
      </c>
      <c r="AC174" t="str">
        <f t="shared" si="37"/>
        <v/>
      </c>
      <c r="AE174" t="str">
        <f>IF(ISNUMBER(MATCH("N/A",J174:N174,0)),"",IFERROR((5 * SUMPRODUCT(J144:N144,J174:N174) - PRODUCT(SUM(J144:N144),SUM(J174:N174))) / ((5 * SUM((J144^2)+(K144^2)+(L144^2)+(M144^2)+(N144^2))) - SUM(J144:N144)^2),""))</f>
        <v/>
      </c>
      <c r="AF174" t="str">
        <f>IFERROR(CORREL(J144:N144,J174:N174),"")</f>
        <v/>
      </c>
      <c r="AZ174">
        <f t="shared" si="38"/>
        <v>0</v>
      </c>
      <c r="BA174" t="str">
        <f>IF(AZ174=1,IF(Q174="","",IF(Q174=N144,"Yes","No")),"")</f>
        <v/>
      </c>
      <c r="BB174" t="str">
        <f t="shared" si="39"/>
        <v/>
      </c>
      <c r="BC174" t="str">
        <f>IF(AZ174=1,IF(S174="","",IF(S174=N144,"Yes","No")),"")</f>
        <v/>
      </c>
      <c r="BD174" t="str">
        <f t="shared" si="40"/>
        <v/>
      </c>
      <c r="BE174" t="str">
        <f t="shared" si="41"/>
        <v/>
      </c>
      <c r="BF174" t="str">
        <f t="shared" si="42"/>
        <v>No</v>
      </c>
      <c r="BG174" t="str">
        <f t="shared" si="43"/>
        <v>No</v>
      </c>
      <c r="BH174" t="str">
        <f t="shared" si="44"/>
        <v/>
      </c>
    </row>
    <row r="175" spans="9:60" x14ac:dyDescent="0.3">
      <c r="I175" t="str">
        <f t="shared" si="46"/>
        <v>N/A</v>
      </c>
      <c r="J175" t="str">
        <f t="shared" si="47"/>
        <v>N/A</v>
      </c>
      <c r="K175" t="str">
        <f t="shared" si="48"/>
        <v>N/A</v>
      </c>
      <c r="L175" t="str">
        <f t="shared" si="49"/>
        <v>N/A</v>
      </c>
      <c r="M175" t="str">
        <f t="shared" si="50"/>
        <v>N/A</v>
      </c>
      <c r="N175" t="str">
        <f t="shared" si="51"/>
        <v>N/A</v>
      </c>
      <c r="P175">
        <f t="shared" si="27"/>
        <v>0</v>
      </c>
      <c r="Q175" t="str">
        <f>IFERROR(J144+MATCH(P175,J175:N175,0)-1,"")</f>
        <v/>
      </c>
      <c r="R175" t="str">
        <f t="shared" si="28"/>
        <v/>
      </c>
      <c r="S175" t="str">
        <f>IFERROR(J144+MATCH(R175,J175:N175,0)-1,"")</f>
        <v/>
      </c>
      <c r="T175" t="str">
        <f t="shared" si="29"/>
        <v/>
      </c>
      <c r="U175" t="str">
        <f t="shared" si="30"/>
        <v/>
      </c>
      <c r="V175" t="str">
        <f t="shared" si="31"/>
        <v/>
      </c>
      <c r="W175" t="str">
        <f t="shared" si="32"/>
        <v/>
      </c>
      <c r="X175" t="str">
        <f t="shared" si="33"/>
        <v/>
      </c>
      <c r="Y175" t="str">
        <f t="shared" si="34"/>
        <v/>
      </c>
      <c r="Z175" t="str">
        <f t="shared" si="35"/>
        <v/>
      </c>
      <c r="AA175">
        <f t="shared" si="36"/>
        <v>0</v>
      </c>
      <c r="AB175" t="str">
        <f>IFERROR(V144+MATCH(AA175,V175:Z175,0)-1,"")</f>
        <v/>
      </c>
      <c r="AC175" t="str">
        <f t="shared" si="37"/>
        <v/>
      </c>
      <c r="AE175" t="str">
        <f>IF(ISNUMBER(MATCH("N/A",J175:N175,0)),"",IFERROR((5 * SUMPRODUCT(J144:N144,J175:N175) - PRODUCT(SUM(J144:N144),SUM(J175:N175))) / ((5 * SUM((J144^2)+(K144^2)+(L144^2)+(M144^2)+(N144^2))) - SUM(J144:N144)^2),""))</f>
        <v/>
      </c>
      <c r="AF175" t="str">
        <f>IFERROR(CORREL(J144:N144,J175:N175),"")</f>
        <v/>
      </c>
      <c r="AZ175">
        <f t="shared" si="38"/>
        <v>0</v>
      </c>
      <c r="BA175" t="str">
        <f>IF(AZ175=1,IF(Q175="","",IF(Q175=N144,"Yes","No")),"")</f>
        <v/>
      </c>
      <c r="BB175" t="str">
        <f t="shared" si="39"/>
        <v/>
      </c>
      <c r="BC175" t="str">
        <f>IF(AZ175=1,IF(S175="","",IF(S175=N144,"Yes","No")),"")</f>
        <v/>
      </c>
      <c r="BD175" t="str">
        <f t="shared" si="40"/>
        <v/>
      </c>
      <c r="BE175" t="str">
        <f t="shared" si="41"/>
        <v/>
      </c>
      <c r="BF175" t="str">
        <f t="shared" si="42"/>
        <v>No</v>
      </c>
      <c r="BG175" t="str">
        <f t="shared" si="43"/>
        <v>No</v>
      </c>
      <c r="BH175" t="str">
        <f t="shared" si="44"/>
        <v/>
      </c>
    </row>
    <row r="176" spans="9:60" x14ac:dyDescent="0.3">
      <c r="I176" t="str">
        <f t="shared" si="46"/>
        <v>N/A</v>
      </c>
      <c r="J176" t="str">
        <f t="shared" si="47"/>
        <v>N/A</v>
      </c>
      <c r="K176" t="str">
        <f t="shared" si="48"/>
        <v>N/A</v>
      </c>
      <c r="L176" t="str">
        <f t="shared" si="49"/>
        <v>N/A</v>
      </c>
      <c r="M176" t="str">
        <f t="shared" si="50"/>
        <v>N/A</v>
      </c>
      <c r="N176" t="str">
        <f t="shared" si="51"/>
        <v>N/A</v>
      </c>
      <c r="P176">
        <f t="shared" si="27"/>
        <v>0</v>
      </c>
      <c r="Q176" t="str">
        <f>IFERROR(J144+MATCH(P176,J176:N176,0)-1,"")</f>
        <v/>
      </c>
      <c r="R176" t="str">
        <f t="shared" si="28"/>
        <v/>
      </c>
      <c r="S176" t="str">
        <f>IFERROR(J144+MATCH(R176,J176:N176,0)-1,"")</f>
        <v/>
      </c>
      <c r="T176" t="str">
        <f t="shared" si="29"/>
        <v/>
      </c>
      <c r="U176" t="str">
        <f t="shared" si="30"/>
        <v/>
      </c>
      <c r="V176" t="str">
        <f t="shared" si="31"/>
        <v/>
      </c>
      <c r="W176" t="str">
        <f t="shared" si="32"/>
        <v/>
      </c>
      <c r="X176" t="str">
        <f t="shared" si="33"/>
        <v/>
      </c>
      <c r="Y176" t="str">
        <f t="shared" si="34"/>
        <v/>
      </c>
      <c r="Z176" t="str">
        <f t="shared" si="35"/>
        <v/>
      </c>
      <c r="AA176">
        <f t="shared" si="36"/>
        <v>0</v>
      </c>
      <c r="AB176" t="str">
        <f>IFERROR(V144+MATCH(AA176,V176:Z176,0)-1,"")</f>
        <v/>
      </c>
      <c r="AC176" t="str">
        <f t="shared" si="37"/>
        <v/>
      </c>
      <c r="AE176" t="str">
        <f>IF(ISNUMBER(MATCH("N/A",J176:N176,0)),"",IFERROR((5 * SUMPRODUCT(J144:N144,J176:N176) - PRODUCT(SUM(J144:N144),SUM(J176:N176))) / ((5 * SUM((J144^2)+(K144^2)+(L144^2)+(M144^2)+(N144^2))) - SUM(J144:N144)^2),""))</f>
        <v/>
      </c>
      <c r="AF176" t="str">
        <f>IFERROR(CORREL(J144:N144,J176:N176),"")</f>
        <v/>
      </c>
      <c r="AZ176">
        <f t="shared" si="38"/>
        <v>0</v>
      </c>
      <c r="BA176" t="str">
        <f>IF(AZ176=1,IF(Q176="","",IF(Q176=N144,"Yes","No")),"")</f>
        <v/>
      </c>
      <c r="BB176" t="str">
        <f t="shared" si="39"/>
        <v/>
      </c>
      <c r="BC176" t="str">
        <f>IF(AZ176=1,IF(S176="","",IF(S176=N144,"Yes","No")),"")</f>
        <v/>
      </c>
      <c r="BD176" t="str">
        <f t="shared" si="40"/>
        <v/>
      </c>
      <c r="BE176" t="str">
        <f t="shared" si="41"/>
        <v/>
      </c>
      <c r="BF176" t="str">
        <f t="shared" si="42"/>
        <v>No</v>
      </c>
      <c r="BG176" t="str">
        <f t="shared" si="43"/>
        <v>No</v>
      </c>
      <c r="BH176" t="str">
        <f t="shared" si="44"/>
        <v/>
      </c>
    </row>
    <row r="177" spans="9:60" x14ac:dyDescent="0.3">
      <c r="I177" t="str">
        <f t="shared" si="46"/>
        <v>N/A</v>
      </c>
      <c r="J177" t="str">
        <f t="shared" si="47"/>
        <v>N/A</v>
      </c>
      <c r="K177" t="str">
        <f t="shared" si="48"/>
        <v>N/A</v>
      </c>
      <c r="L177" t="str">
        <f t="shared" si="49"/>
        <v>N/A</v>
      </c>
      <c r="M177" t="str">
        <f t="shared" si="50"/>
        <v>N/A</v>
      </c>
      <c r="N177" t="str">
        <f t="shared" si="51"/>
        <v>N/A</v>
      </c>
      <c r="P177">
        <f t="shared" si="27"/>
        <v>0</v>
      </c>
      <c r="Q177" t="str">
        <f>IFERROR(J144+MATCH(P177,J177:N177,0)-1,"")</f>
        <v/>
      </c>
      <c r="R177" t="str">
        <f t="shared" si="28"/>
        <v/>
      </c>
      <c r="S177" t="str">
        <f>IFERROR(J144+MATCH(R177,J177:N177,0)-1,"")</f>
        <v/>
      </c>
      <c r="T177" t="str">
        <f t="shared" si="29"/>
        <v/>
      </c>
      <c r="U177" t="str">
        <f t="shared" si="30"/>
        <v/>
      </c>
      <c r="V177" t="str">
        <f t="shared" si="31"/>
        <v/>
      </c>
      <c r="W177" t="str">
        <f t="shared" si="32"/>
        <v/>
      </c>
      <c r="X177" t="str">
        <f t="shared" si="33"/>
        <v/>
      </c>
      <c r="Y177" t="str">
        <f t="shared" si="34"/>
        <v/>
      </c>
      <c r="Z177" t="str">
        <f t="shared" si="35"/>
        <v/>
      </c>
      <c r="AA177">
        <f t="shared" si="36"/>
        <v>0</v>
      </c>
      <c r="AB177" t="str">
        <f>IFERROR(V144+MATCH(AA177,V177:Z177,0)-1,"")</f>
        <v/>
      </c>
      <c r="AC177" t="str">
        <f t="shared" si="37"/>
        <v/>
      </c>
      <c r="AE177" t="str">
        <f>IF(ISNUMBER(MATCH("N/A",J177:N177,0)),"",IFERROR((5 * SUMPRODUCT(J144:N144,J177:N177) - PRODUCT(SUM(J144:N144),SUM(J177:N177))) / ((5 * SUM((J144^2)+(K144^2)+(L144^2)+(M144^2)+(N144^2))) - SUM(J144:N144)^2),""))</f>
        <v/>
      </c>
      <c r="AF177" t="str">
        <f>IFERROR(CORREL(J144:N144,J177:N177),"")</f>
        <v/>
      </c>
      <c r="AZ177">
        <f t="shared" si="38"/>
        <v>0</v>
      </c>
      <c r="BA177" t="str">
        <f>IF(AZ177=1,IF(Q177="","",IF(Q177=N144,"Yes","No")),"")</f>
        <v/>
      </c>
      <c r="BB177" t="str">
        <f t="shared" si="39"/>
        <v/>
      </c>
      <c r="BC177" t="str">
        <f>IF(AZ177=1,IF(S177="","",IF(S177=N144,"Yes","No")),"")</f>
        <v/>
      </c>
      <c r="BD177" t="str">
        <f t="shared" si="40"/>
        <v/>
      </c>
      <c r="BE177" t="str">
        <f t="shared" si="41"/>
        <v/>
      </c>
      <c r="BF177" t="str">
        <f t="shared" si="42"/>
        <v>No</v>
      </c>
      <c r="BG177" t="str">
        <f t="shared" si="43"/>
        <v>No</v>
      </c>
      <c r="BH177" t="str">
        <f t="shared" si="44"/>
        <v/>
      </c>
    </row>
    <row r="178" spans="9:60" x14ac:dyDescent="0.3">
      <c r="I178" t="str">
        <f t="shared" si="46"/>
        <v>N/A</v>
      </c>
      <c r="J178" t="str">
        <f t="shared" si="47"/>
        <v>N/A</v>
      </c>
      <c r="K178" t="str">
        <f t="shared" si="48"/>
        <v>N/A</v>
      </c>
      <c r="L178" t="str">
        <f t="shared" si="49"/>
        <v>N/A</v>
      </c>
      <c r="M178" t="str">
        <f t="shared" si="50"/>
        <v>N/A</v>
      </c>
      <c r="N178" t="str">
        <f t="shared" si="51"/>
        <v>N/A</v>
      </c>
      <c r="P178">
        <f t="shared" si="27"/>
        <v>0</v>
      </c>
      <c r="Q178" t="str">
        <f>IFERROR(J144+MATCH(P178,J178:N178,0)-1,"")</f>
        <v/>
      </c>
      <c r="R178" t="str">
        <f t="shared" si="28"/>
        <v/>
      </c>
      <c r="S178" t="str">
        <f>IFERROR(J144+MATCH(R178,J178:N178,0)-1,"")</f>
        <v/>
      </c>
      <c r="T178" t="str">
        <f t="shared" si="29"/>
        <v/>
      </c>
      <c r="U178" t="str">
        <f t="shared" si="30"/>
        <v/>
      </c>
      <c r="V178" t="str">
        <f t="shared" si="31"/>
        <v/>
      </c>
      <c r="W178" t="str">
        <f t="shared" si="32"/>
        <v/>
      </c>
      <c r="X178" t="str">
        <f t="shared" si="33"/>
        <v/>
      </c>
      <c r="Y178" t="str">
        <f t="shared" si="34"/>
        <v/>
      </c>
      <c r="Z178" t="str">
        <f t="shared" si="35"/>
        <v/>
      </c>
      <c r="AA178">
        <f t="shared" si="36"/>
        <v>0</v>
      </c>
      <c r="AB178" t="str">
        <f>IFERROR(V144+MATCH(AA178,V178:Z178,0)-1,"")</f>
        <v/>
      </c>
      <c r="AC178" t="str">
        <f t="shared" si="37"/>
        <v/>
      </c>
      <c r="AE178" t="str">
        <f>IF(ISNUMBER(MATCH("N/A",J178:N178,0)),"",IFERROR((5 * SUMPRODUCT(J144:N144,J178:N178) - PRODUCT(SUM(J144:N144),SUM(J178:N178))) / ((5 * SUM((J144^2)+(K144^2)+(L144^2)+(M144^2)+(N144^2))) - SUM(J144:N144)^2),""))</f>
        <v/>
      </c>
      <c r="AF178" t="str">
        <f>IFERROR(CORREL(J144:N144,J178:N178),"")</f>
        <v/>
      </c>
      <c r="AZ178">
        <f t="shared" si="38"/>
        <v>0</v>
      </c>
      <c r="BA178" t="str">
        <f>IF(AZ178=1,IF(Q178="","",IF(Q178=N144,"Yes","No")),"")</f>
        <v/>
      </c>
      <c r="BB178" t="str">
        <f t="shared" si="39"/>
        <v/>
      </c>
      <c r="BC178" t="str">
        <f>IF(AZ178=1,IF(S178="","",IF(S178=N144,"Yes","No")),"")</f>
        <v/>
      </c>
      <c r="BD178" t="str">
        <f t="shared" si="40"/>
        <v/>
      </c>
      <c r="BE178" t="str">
        <f t="shared" si="41"/>
        <v/>
      </c>
      <c r="BF178" t="str">
        <f t="shared" si="42"/>
        <v>No</v>
      </c>
      <c r="BG178" t="str">
        <f t="shared" si="43"/>
        <v>No</v>
      </c>
      <c r="BH178" t="str">
        <f t="shared" si="44"/>
        <v/>
      </c>
    </row>
    <row r="179" spans="9:60" x14ac:dyDescent="0.3">
      <c r="I179" t="str">
        <f t="shared" si="46"/>
        <v>N/A</v>
      </c>
      <c r="J179" t="str">
        <f t="shared" si="47"/>
        <v>N/A</v>
      </c>
      <c r="K179" t="str">
        <f t="shared" si="48"/>
        <v>N/A</v>
      </c>
      <c r="L179" t="str">
        <f t="shared" si="49"/>
        <v>N/A</v>
      </c>
      <c r="M179" t="str">
        <f t="shared" si="50"/>
        <v>N/A</v>
      </c>
      <c r="N179" t="str">
        <f t="shared" si="51"/>
        <v>N/A</v>
      </c>
      <c r="P179">
        <f t="shared" si="27"/>
        <v>0</v>
      </c>
      <c r="Q179" t="str">
        <f>IFERROR(J144+MATCH(P179,J179:N179,0)-1,"")</f>
        <v/>
      </c>
      <c r="R179" t="str">
        <f t="shared" si="28"/>
        <v/>
      </c>
      <c r="S179" t="str">
        <f>IFERROR(J144+MATCH(R179,J179:N179,0)-1,"")</f>
        <v/>
      </c>
      <c r="T179" t="str">
        <f t="shared" si="29"/>
        <v/>
      </c>
      <c r="U179" t="str">
        <f t="shared" si="30"/>
        <v/>
      </c>
      <c r="V179" t="str">
        <f t="shared" si="31"/>
        <v/>
      </c>
      <c r="W179" t="str">
        <f t="shared" si="32"/>
        <v/>
      </c>
      <c r="X179" t="str">
        <f t="shared" si="33"/>
        <v/>
      </c>
      <c r="Y179" t="str">
        <f t="shared" si="34"/>
        <v/>
      </c>
      <c r="Z179" t="str">
        <f t="shared" si="35"/>
        <v/>
      </c>
      <c r="AA179">
        <f t="shared" si="36"/>
        <v>0</v>
      </c>
      <c r="AB179" t="str">
        <f>IFERROR(V144+MATCH(AA179,V179:Z179,0)-1,"")</f>
        <v/>
      </c>
      <c r="AC179" t="str">
        <f t="shared" si="37"/>
        <v/>
      </c>
      <c r="AE179" t="str">
        <f>IF(ISNUMBER(MATCH("N/A",J179:N179,0)),"",IFERROR((5 * SUMPRODUCT(J144:N144,J179:N179) - PRODUCT(SUM(J144:N144),SUM(J179:N179))) / ((5 * SUM((J144^2)+(K144^2)+(L144^2)+(M144^2)+(N144^2))) - SUM(J144:N144)^2),""))</f>
        <v/>
      </c>
      <c r="AF179" t="str">
        <f>IFERROR(CORREL(J144:N144,J179:N179),"")</f>
        <v/>
      </c>
      <c r="AZ179">
        <f t="shared" si="38"/>
        <v>0</v>
      </c>
      <c r="BA179" t="str">
        <f>IF(AZ179=1,IF(Q179="","",IF(Q179=N144,"Yes","No")),"")</f>
        <v/>
      </c>
      <c r="BB179" t="str">
        <f t="shared" si="39"/>
        <v/>
      </c>
      <c r="BC179" t="str">
        <f>IF(AZ179=1,IF(S179="","",IF(S179=N144,"Yes","No")),"")</f>
        <v/>
      </c>
      <c r="BD179" t="str">
        <f t="shared" si="40"/>
        <v/>
      </c>
      <c r="BE179" t="str">
        <f t="shared" si="41"/>
        <v/>
      </c>
      <c r="BF179" t="str">
        <f t="shared" si="42"/>
        <v>No</v>
      </c>
      <c r="BG179" t="str">
        <f t="shared" si="43"/>
        <v>No</v>
      </c>
      <c r="BH179" t="str">
        <f t="shared" si="44"/>
        <v/>
      </c>
    </row>
    <row r="180" spans="9:60" x14ac:dyDescent="0.3">
      <c r="I180" t="str">
        <f t="shared" si="46"/>
        <v>N/A</v>
      </c>
      <c r="J180" t="str">
        <f t="shared" si="47"/>
        <v>N/A</v>
      </c>
      <c r="K180" t="str">
        <f t="shared" si="48"/>
        <v>N/A</v>
      </c>
      <c r="L180" t="str">
        <f t="shared" si="49"/>
        <v>N/A</v>
      </c>
      <c r="M180" t="str">
        <f t="shared" si="50"/>
        <v>N/A</v>
      </c>
      <c r="N180" t="str">
        <f t="shared" si="51"/>
        <v>N/A</v>
      </c>
      <c r="P180">
        <f t="shared" si="27"/>
        <v>0</v>
      </c>
      <c r="Q180" t="str">
        <f>IFERROR(J144+MATCH(P180,J180:N180,0)-1,"")</f>
        <v/>
      </c>
      <c r="R180" t="str">
        <f t="shared" si="28"/>
        <v/>
      </c>
      <c r="S180" t="str">
        <f>IFERROR(J144+MATCH(R180,J180:N180,0)-1,"")</f>
        <v/>
      </c>
      <c r="T180" t="str">
        <f t="shared" si="29"/>
        <v/>
      </c>
      <c r="U180" t="str">
        <f t="shared" si="30"/>
        <v/>
      </c>
      <c r="V180" t="str">
        <f t="shared" si="31"/>
        <v/>
      </c>
      <c r="W180" t="str">
        <f t="shared" si="32"/>
        <v/>
      </c>
      <c r="X180" t="str">
        <f t="shared" si="33"/>
        <v/>
      </c>
      <c r="Y180" t="str">
        <f t="shared" si="34"/>
        <v/>
      </c>
      <c r="Z180" t="str">
        <f t="shared" si="35"/>
        <v/>
      </c>
      <c r="AA180">
        <f t="shared" si="36"/>
        <v>0</v>
      </c>
      <c r="AB180" t="str">
        <f>IFERROR(V144+MATCH(AA180,V180:Z180,0)-1,"")</f>
        <v/>
      </c>
      <c r="AC180" t="str">
        <f t="shared" si="37"/>
        <v/>
      </c>
      <c r="AE180" t="str">
        <f>IF(ISNUMBER(MATCH("N/A",J180:N180,0)),"",IFERROR((5 * SUMPRODUCT(J144:N144,J180:N180) - PRODUCT(SUM(J144:N144),SUM(J180:N180))) / ((5 * SUM((J144^2)+(K144^2)+(L144^2)+(M144^2)+(N144^2))) - SUM(J144:N144)^2),""))</f>
        <v/>
      </c>
      <c r="AF180" t="str">
        <f>IFERROR(CORREL(J144:N144,J180:N180),"")</f>
        <v/>
      </c>
      <c r="AZ180">
        <f t="shared" si="38"/>
        <v>0</v>
      </c>
      <c r="BA180" t="str">
        <f>IF(AZ180=1,IF(Q180="","",IF(Q180=N144,"Yes","No")),"")</f>
        <v/>
      </c>
      <c r="BB180" t="str">
        <f t="shared" si="39"/>
        <v/>
      </c>
      <c r="BC180" t="str">
        <f>IF(AZ180=1,IF(S180="","",IF(S180=N144,"Yes","No")),"")</f>
        <v/>
      </c>
      <c r="BD180" t="str">
        <f t="shared" si="40"/>
        <v/>
      </c>
      <c r="BE180" t="str">
        <f t="shared" si="41"/>
        <v/>
      </c>
      <c r="BF180" t="str">
        <f t="shared" si="42"/>
        <v>No</v>
      </c>
      <c r="BG180" t="str">
        <f t="shared" si="43"/>
        <v>No</v>
      </c>
      <c r="BH180" t="str">
        <f t="shared" si="44"/>
        <v/>
      </c>
    </row>
    <row r="181" spans="9:60" x14ac:dyDescent="0.3">
      <c r="I181" t="str">
        <f t="shared" si="46"/>
        <v>N/A</v>
      </c>
      <c r="J181" t="str">
        <f t="shared" si="47"/>
        <v>N/A</v>
      </c>
      <c r="K181" t="str">
        <f t="shared" si="48"/>
        <v>N/A</v>
      </c>
      <c r="L181" t="str">
        <f t="shared" si="49"/>
        <v>N/A</v>
      </c>
      <c r="M181" t="str">
        <f t="shared" si="50"/>
        <v>N/A</v>
      </c>
      <c r="N181" t="str">
        <f t="shared" si="51"/>
        <v>N/A</v>
      </c>
      <c r="P181">
        <f t="shared" si="27"/>
        <v>0</v>
      </c>
      <c r="Q181" t="str">
        <f>IFERROR(J144+MATCH(P181,J181:N181,0)-1,"")</f>
        <v/>
      </c>
      <c r="R181" t="str">
        <f t="shared" si="28"/>
        <v/>
      </c>
      <c r="S181" t="str">
        <f>IFERROR(J144+MATCH(R181,J181:N181,0)-1,"")</f>
        <v/>
      </c>
      <c r="T181" t="str">
        <f t="shared" si="29"/>
        <v/>
      </c>
      <c r="U181" t="str">
        <f t="shared" si="30"/>
        <v/>
      </c>
      <c r="V181" t="str">
        <f t="shared" si="31"/>
        <v/>
      </c>
      <c r="W181" t="str">
        <f t="shared" si="32"/>
        <v/>
      </c>
      <c r="X181" t="str">
        <f t="shared" si="33"/>
        <v/>
      </c>
      <c r="Y181" t="str">
        <f t="shared" si="34"/>
        <v/>
      </c>
      <c r="Z181" t="str">
        <f t="shared" si="35"/>
        <v/>
      </c>
      <c r="AA181">
        <f t="shared" si="36"/>
        <v>0</v>
      </c>
      <c r="AB181" t="str">
        <f>IFERROR(V144+MATCH(AA181,V181:Z181,0)-1,"")</f>
        <v/>
      </c>
      <c r="AC181" t="str">
        <f t="shared" si="37"/>
        <v/>
      </c>
      <c r="AE181" t="str">
        <f>IF(ISNUMBER(MATCH("N/A",J181:N181,0)),"",IFERROR((5 * SUMPRODUCT(J144:N144,J181:N181) - PRODUCT(SUM(J144:N144),SUM(J181:N181))) / ((5 * SUM((J144^2)+(K144^2)+(L144^2)+(M144^2)+(N144^2))) - SUM(J144:N144)^2),""))</f>
        <v/>
      </c>
      <c r="AF181" t="str">
        <f>IFERROR(CORREL(J144:N144,J181:N181),"")</f>
        <v/>
      </c>
      <c r="AZ181">
        <f t="shared" si="38"/>
        <v>0</v>
      </c>
      <c r="BA181" t="str">
        <f>IF(AZ181=1,IF(Q181="","",IF(Q181=N144,"Yes","No")),"")</f>
        <v/>
      </c>
      <c r="BB181" t="str">
        <f t="shared" si="39"/>
        <v/>
      </c>
      <c r="BC181" t="str">
        <f>IF(AZ181=1,IF(S181="","",IF(S181=N144,"Yes","No")),"")</f>
        <v/>
      </c>
      <c r="BD181" t="str">
        <f t="shared" si="40"/>
        <v/>
      </c>
      <c r="BE181" t="str">
        <f t="shared" si="41"/>
        <v/>
      </c>
      <c r="BF181" t="str">
        <f t="shared" si="42"/>
        <v>No</v>
      </c>
      <c r="BG181" t="str">
        <f t="shared" si="43"/>
        <v>No</v>
      </c>
      <c r="BH181" t="str">
        <f t="shared" si="44"/>
        <v/>
      </c>
    </row>
    <row r="182" spans="9:60" x14ac:dyDescent="0.3">
      <c r="I182" t="str">
        <f t="shared" si="46"/>
        <v>N/A</v>
      </c>
      <c r="J182" t="str">
        <f t="shared" si="47"/>
        <v>N/A</v>
      </c>
      <c r="K182" t="str">
        <f t="shared" si="48"/>
        <v>N/A</v>
      </c>
      <c r="L182" t="str">
        <f t="shared" si="49"/>
        <v>N/A</v>
      </c>
      <c r="M182" t="str">
        <f t="shared" si="50"/>
        <v>N/A</v>
      </c>
      <c r="N182" t="str">
        <f t="shared" si="51"/>
        <v>N/A</v>
      </c>
      <c r="P182">
        <f t="shared" si="27"/>
        <v>0</v>
      </c>
      <c r="Q182" t="str">
        <f>IFERROR(J144+MATCH(P182,J182:N182,0)-1,"")</f>
        <v/>
      </c>
      <c r="R182" t="str">
        <f t="shared" si="28"/>
        <v/>
      </c>
      <c r="S182" t="str">
        <f>IFERROR(J144+MATCH(R182,J182:N182,0)-1,"")</f>
        <v/>
      </c>
      <c r="T182" t="str">
        <f t="shared" si="29"/>
        <v/>
      </c>
      <c r="U182" t="str">
        <f t="shared" si="30"/>
        <v/>
      </c>
      <c r="V182" t="str">
        <f t="shared" si="31"/>
        <v/>
      </c>
      <c r="W182" t="str">
        <f t="shared" si="32"/>
        <v/>
      </c>
      <c r="X182" t="str">
        <f t="shared" si="33"/>
        <v/>
      </c>
      <c r="Y182" t="str">
        <f t="shared" si="34"/>
        <v/>
      </c>
      <c r="Z182" t="str">
        <f t="shared" si="35"/>
        <v/>
      </c>
      <c r="AA182">
        <f t="shared" si="36"/>
        <v>0</v>
      </c>
      <c r="AB182" t="str">
        <f>IFERROR(V144+MATCH(AA182,V182:Z182,0)-1,"")</f>
        <v/>
      </c>
      <c r="AC182" t="str">
        <f t="shared" si="37"/>
        <v/>
      </c>
      <c r="AE182" t="str">
        <f>IF(ISNUMBER(MATCH("N/A",J182:N182,0)),"",IFERROR((5 * SUMPRODUCT(J144:N144,J182:N182) - PRODUCT(SUM(J144:N144),SUM(J182:N182))) / ((5 * SUM((J144^2)+(K144^2)+(L144^2)+(M144^2)+(N144^2))) - SUM(J144:N144)^2),""))</f>
        <v/>
      </c>
      <c r="AF182" t="str">
        <f>IFERROR(CORREL(J144:N144,J182:N182),"")</f>
        <v/>
      </c>
      <c r="AZ182">
        <f t="shared" si="38"/>
        <v>0</v>
      </c>
      <c r="BA182" t="str">
        <f>IF(AZ182=1,IF(Q182="","",IF(Q182=N144,"Yes","No")),"")</f>
        <v/>
      </c>
      <c r="BB182" t="str">
        <f t="shared" si="39"/>
        <v/>
      </c>
      <c r="BC182" t="str">
        <f>IF(AZ182=1,IF(S182="","",IF(S182=N144,"Yes","No")),"")</f>
        <v/>
      </c>
      <c r="BD182" t="str">
        <f t="shared" si="40"/>
        <v/>
      </c>
      <c r="BE182" t="str">
        <f t="shared" si="41"/>
        <v/>
      </c>
      <c r="BF182" t="str">
        <f t="shared" si="42"/>
        <v>No</v>
      </c>
      <c r="BG182" t="str">
        <f t="shared" si="43"/>
        <v>No</v>
      </c>
      <c r="BH182" t="str">
        <f t="shared" si="44"/>
        <v/>
      </c>
    </row>
    <row r="183" spans="9:60" x14ac:dyDescent="0.3">
      <c r="I183" t="str">
        <f t="shared" si="46"/>
        <v>N/A</v>
      </c>
      <c r="J183" t="str">
        <f t="shared" si="47"/>
        <v>N/A</v>
      </c>
      <c r="K183" t="str">
        <f t="shared" si="48"/>
        <v>N/A</v>
      </c>
      <c r="L183" t="str">
        <f t="shared" si="49"/>
        <v>N/A</v>
      </c>
      <c r="M183" t="str">
        <f t="shared" si="50"/>
        <v>N/A</v>
      </c>
      <c r="N183" t="str">
        <f t="shared" si="51"/>
        <v>N/A</v>
      </c>
      <c r="P183">
        <f t="shared" si="27"/>
        <v>0</v>
      </c>
      <c r="Q183" t="str">
        <f>IFERROR(J144+MATCH(P183,J183:N183,0)-1,"")</f>
        <v/>
      </c>
      <c r="R183" t="str">
        <f t="shared" si="28"/>
        <v/>
      </c>
      <c r="S183" t="str">
        <f>IFERROR(J144+MATCH(R183,J183:N183,0)-1,"")</f>
        <v/>
      </c>
      <c r="T183" t="str">
        <f t="shared" si="29"/>
        <v/>
      </c>
      <c r="U183" t="str">
        <f t="shared" si="30"/>
        <v/>
      </c>
      <c r="V183" t="str">
        <f t="shared" si="31"/>
        <v/>
      </c>
      <c r="W183" t="str">
        <f t="shared" si="32"/>
        <v/>
      </c>
      <c r="X183" t="str">
        <f t="shared" si="33"/>
        <v/>
      </c>
      <c r="Y183" t="str">
        <f t="shared" si="34"/>
        <v/>
      </c>
      <c r="Z183" t="str">
        <f t="shared" si="35"/>
        <v/>
      </c>
      <c r="AA183">
        <f t="shared" si="36"/>
        <v>0</v>
      </c>
      <c r="AB183" t="str">
        <f>IFERROR(V144+MATCH(AA183,V183:Z183,0)-1,"")</f>
        <v/>
      </c>
      <c r="AC183" t="str">
        <f t="shared" si="37"/>
        <v/>
      </c>
      <c r="AE183" t="str">
        <f>IF(ISNUMBER(MATCH("N/A",J183:N183,0)),"",IFERROR((5 * SUMPRODUCT(J144:N144,J183:N183) - PRODUCT(SUM(J144:N144),SUM(J183:N183))) / ((5 * SUM((J144^2)+(K144^2)+(L144^2)+(M144^2)+(N144^2))) - SUM(J144:N144)^2),""))</f>
        <v/>
      </c>
      <c r="AF183" t="str">
        <f>IFERROR(CORREL(J144:N144,J183:N183),"")</f>
        <v/>
      </c>
      <c r="AZ183">
        <f t="shared" si="38"/>
        <v>0</v>
      </c>
      <c r="BA183" t="str">
        <f>IF(AZ183=1,IF(Q183="","",IF(Q183=N144,"Yes","No")),"")</f>
        <v/>
      </c>
      <c r="BB183" t="str">
        <f t="shared" si="39"/>
        <v/>
      </c>
      <c r="BC183" t="str">
        <f>IF(AZ183=1,IF(S183="","",IF(S183=N144,"Yes","No")),"")</f>
        <v/>
      </c>
      <c r="BD183" t="str">
        <f t="shared" si="40"/>
        <v/>
      </c>
      <c r="BE183" t="str">
        <f t="shared" si="41"/>
        <v/>
      </c>
      <c r="BF183" t="str">
        <f t="shared" si="42"/>
        <v>No</v>
      </c>
      <c r="BG183" t="str">
        <f t="shared" si="43"/>
        <v>No</v>
      </c>
      <c r="BH183" t="str">
        <f t="shared" si="44"/>
        <v/>
      </c>
    </row>
    <row r="184" spans="9:60" x14ac:dyDescent="0.3">
      <c r="I184" t="str">
        <f t="shared" si="46"/>
        <v>N/A</v>
      </c>
      <c r="J184" t="str">
        <f t="shared" si="47"/>
        <v>N/A</v>
      </c>
      <c r="K184" t="str">
        <f t="shared" si="48"/>
        <v>N/A</v>
      </c>
      <c r="L184" t="str">
        <f t="shared" si="49"/>
        <v>N/A</v>
      </c>
      <c r="M184" t="str">
        <f t="shared" si="50"/>
        <v>N/A</v>
      </c>
      <c r="N184" t="str">
        <f t="shared" si="51"/>
        <v>N/A</v>
      </c>
      <c r="P184">
        <f t="shared" si="27"/>
        <v>0</v>
      </c>
      <c r="Q184" t="str">
        <f>IFERROR(J144+MATCH(P184,J184:N184,0)-1,"")</f>
        <v/>
      </c>
      <c r="R184" t="str">
        <f t="shared" si="28"/>
        <v/>
      </c>
      <c r="S184" t="str">
        <f>IFERROR(J144+MATCH(R184,J184:N184,0)-1,"")</f>
        <v/>
      </c>
      <c r="T184" t="str">
        <f t="shared" si="29"/>
        <v/>
      </c>
      <c r="U184" t="str">
        <f t="shared" si="30"/>
        <v/>
      </c>
      <c r="V184" t="str">
        <f t="shared" si="31"/>
        <v/>
      </c>
      <c r="W184" t="str">
        <f t="shared" si="32"/>
        <v/>
      </c>
      <c r="X184" t="str">
        <f t="shared" si="33"/>
        <v/>
      </c>
      <c r="Y184" t="str">
        <f t="shared" si="34"/>
        <v/>
      </c>
      <c r="Z184" t="str">
        <f t="shared" si="35"/>
        <v/>
      </c>
      <c r="AA184">
        <f t="shared" si="36"/>
        <v>0</v>
      </c>
      <c r="AB184" t="str">
        <f>IFERROR(V144+MATCH(AA184,V184:Z184,0)-1,"")</f>
        <v/>
      </c>
      <c r="AC184" t="str">
        <f t="shared" si="37"/>
        <v/>
      </c>
      <c r="AE184" t="str">
        <f>IF(ISNUMBER(MATCH("N/A",J184:N184,0)),"",IFERROR((5 * SUMPRODUCT(J144:N144,J184:N184) - PRODUCT(SUM(J144:N144),SUM(J184:N184))) / ((5 * SUM((J144^2)+(K144^2)+(L144^2)+(M144^2)+(N144^2))) - SUM(J144:N144)^2),""))</f>
        <v/>
      </c>
      <c r="AF184" t="str">
        <f>IFERROR(CORREL(J144:N144,J184:N184),"")</f>
        <v/>
      </c>
      <c r="AZ184">
        <f t="shared" si="38"/>
        <v>0</v>
      </c>
      <c r="BA184" t="str">
        <f>IF(AZ184=1,IF(Q184="","",IF(Q184=N144,"Yes","No")),"")</f>
        <v/>
      </c>
      <c r="BB184" t="str">
        <f t="shared" si="39"/>
        <v/>
      </c>
      <c r="BC184" t="str">
        <f>IF(AZ184=1,IF(S184="","",IF(S184=N144,"Yes","No")),"")</f>
        <v/>
      </c>
      <c r="BD184" t="str">
        <f t="shared" si="40"/>
        <v/>
      </c>
      <c r="BE184" t="str">
        <f t="shared" si="41"/>
        <v/>
      </c>
      <c r="BF184" t="str">
        <f t="shared" si="42"/>
        <v>No</v>
      </c>
      <c r="BG184" t="str">
        <f t="shared" si="43"/>
        <v>No</v>
      </c>
      <c r="BH184" t="str">
        <f t="shared" si="44"/>
        <v/>
      </c>
    </row>
    <row r="185" spans="9:60" x14ac:dyDescent="0.3">
      <c r="I185" t="str">
        <f t="shared" si="46"/>
        <v>N/A</v>
      </c>
      <c r="J185" t="str">
        <f t="shared" si="47"/>
        <v>N/A</v>
      </c>
      <c r="K185" t="str">
        <f t="shared" si="48"/>
        <v>N/A</v>
      </c>
      <c r="L185" t="str">
        <f t="shared" si="49"/>
        <v>N/A</v>
      </c>
      <c r="M185" t="str">
        <f t="shared" si="50"/>
        <v>N/A</v>
      </c>
      <c r="N185" t="str">
        <f t="shared" si="51"/>
        <v>N/A</v>
      </c>
      <c r="P185">
        <f t="shared" si="27"/>
        <v>0</v>
      </c>
      <c r="Q185" t="str">
        <f>IFERROR(J144+MATCH(P185,J185:N185,0)-1,"")</f>
        <v/>
      </c>
      <c r="R185" t="str">
        <f t="shared" si="28"/>
        <v/>
      </c>
      <c r="S185" t="str">
        <f>IFERROR(J144+MATCH(R185,J185:N185,0)-1,"")</f>
        <v/>
      </c>
      <c r="T185" t="str">
        <f t="shared" si="29"/>
        <v/>
      </c>
      <c r="U185" t="str">
        <f t="shared" si="30"/>
        <v/>
      </c>
      <c r="V185" t="str">
        <f t="shared" si="31"/>
        <v/>
      </c>
      <c r="W185" t="str">
        <f t="shared" si="32"/>
        <v/>
      </c>
      <c r="X185" t="str">
        <f t="shared" si="33"/>
        <v/>
      </c>
      <c r="Y185" t="str">
        <f t="shared" si="34"/>
        <v/>
      </c>
      <c r="Z185" t="str">
        <f t="shared" si="35"/>
        <v/>
      </c>
      <c r="AA185">
        <f t="shared" si="36"/>
        <v>0</v>
      </c>
      <c r="AB185" t="str">
        <f>IFERROR(V144+MATCH(AA185,V185:Z185,0)-1,"")</f>
        <v/>
      </c>
      <c r="AC185" t="str">
        <f t="shared" si="37"/>
        <v/>
      </c>
      <c r="AE185" t="str">
        <f>IF(ISNUMBER(MATCH("N/A",J185:N185,0)),"",IFERROR((5 * SUMPRODUCT(J144:N144,J185:N185) - PRODUCT(SUM(J144:N144),SUM(J185:N185))) / ((5 * SUM((J144^2)+(K144^2)+(L144^2)+(M144^2)+(N144^2))) - SUM(J144:N144)^2),""))</f>
        <v/>
      </c>
      <c r="AF185" t="str">
        <f>IFERROR(CORREL(J144:N144,J185:N185),"")</f>
        <v/>
      </c>
      <c r="AZ185">
        <f t="shared" si="38"/>
        <v>0</v>
      </c>
      <c r="BA185" t="str">
        <f>IF(AZ185=1,IF(Q185="","",IF(Q185=N144,"Yes","No")),"")</f>
        <v/>
      </c>
      <c r="BB185" t="str">
        <f t="shared" si="39"/>
        <v/>
      </c>
      <c r="BC185" t="str">
        <f>IF(AZ185=1,IF(S185="","",IF(S185=N144,"Yes","No")),"")</f>
        <v/>
      </c>
      <c r="BD185" t="str">
        <f t="shared" si="40"/>
        <v/>
      </c>
      <c r="BE185" t="str">
        <f t="shared" si="41"/>
        <v/>
      </c>
      <c r="BF185" t="str">
        <f t="shared" si="42"/>
        <v>No</v>
      </c>
      <c r="BG185" t="str">
        <f t="shared" si="43"/>
        <v>No</v>
      </c>
      <c r="BH185" t="str">
        <f t="shared" si="44"/>
        <v/>
      </c>
    </row>
    <row r="186" spans="9:60" x14ac:dyDescent="0.3">
      <c r="I186" t="str">
        <f t="shared" si="46"/>
        <v>N/A</v>
      </c>
      <c r="J186" t="str">
        <f t="shared" si="47"/>
        <v>N/A</v>
      </c>
      <c r="K186" t="str">
        <f t="shared" si="48"/>
        <v>N/A</v>
      </c>
      <c r="L186" t="str">
        <f t="shared" si="49"/>
        <v>N/A</v>
      </c>
      <c r="M186" t="str">
        <f t="shared" si="50"/>
        <v>N/A</v>
      </c>
      <c r="N186" t="str">
        <f t="shared" si="51"/>
        <v>N/A</v>
      </c>
      <c r="P186">
        <f t="shared" si="27"/>
        <v>0</v>
      </c>
      <c r="Q186" t="str">
        <f>IFERROR(J144+MATCH(P186,J186:N186,0)-1,"")</f>
        <v/>
      </c>
      <c r="R186" t="str">
        <f t="shared" si="28"/>
        <v/>
      </c>
      <c r="S186" t="str">
        <f>IFERROR(J144+MATCH(R186,J186:N186,0)-1,"")</f>
        <v/>
      </c>
      <c r="T186" t="str">
        <f t="shared" si="29"/>
        <v/>
      </c>
      <c r="U186" t="str">
        <f t="shared" si="30"/>
        <v/>
      </c>
      <c r="V186" t="str">
        <f t="shared" si="31"/>
        <v/>
      </c>
      <c r="W186" t="str">
        <f t="shared" si="32"/>
        <v/>
      </c>
      <c r="X186" t="str">
        <f t="shared" si="33"/>
        <v/>
      </c>
      <c r="Y186" t="str">
        <f t="shared" si="34"/>
        <v/>
      </c>
      <c r="Z186" t="str">
        <f t="shared" si="35"/>
        <v/>
      </c>
      <c r="AA186">
        <f t="shared" si="36"/>
        <v>0</v>
      </c>
      <c r="AB186" t="str">
        <f>IFERROR(V144+MATCH(AA186,V186:Z186,0)-1,"")</f>
        <v/>
      </c>
      <c r="AC186" t="str">
        <f t="shared" si="37"/>
        <v/>
      </c>
      <c r="AE186" t="str">
        <f>IF(ISNUMBER(MATCH("N/A",J186:N186,0)),"",IFERROR((5 * SUMPRODUCT(J144:N144,J186:N186) - PRODUCT(SUM(J144:N144),SUM(J186:N186))) / ((5 * SUM((J144^2)+(K144^2)+(L144^2)+(M144^2)+(N144^2))) - SUM(J144:N144)^2),""))</f>
        <v/>
      </c>
      <c r="AF186" t="str">
        <f>IFERROR(CORREL(J144:N144,J186:N186),"")</f>
        <v/>
      </c>
      <c r="AZ186">
        <f t="shared" si="38"/>
        <v>0</v>
      </c>
      <c r="BA186" t="str">
        <f>IF(AZ186=1,IF(Q186="","",IF(Q186=N144,"Yes","No")),"")</f>
        <v/>
      </c>
      <c r="BB186" t="str">
        <f t="shared" si="39"/>
        <v/>
      </c>
      <c r="BC186" t="str">
        <f>IF(AZ186=1,IF(S186="","",IF(S186=N144,"Yes","No")),"")</f>
        <v/>
      </c>
      <c r="BD186" t="str">
        <f t="shared" si="40"/>
        <v/>
      </c>
      <c r="BE186" t="str">
        <f t="shared" si="41"/>
        <v/>
      </c>
      <c r="BF186" t="str">
        <f t="shared" si="42"/>
        <v>No</v>
      </c>
      <c r="BG186" t="str">
        <f t="shared" si="43"/>
        <v>No</v>
      </c>
      <c r="BH186" t="str">
        <f t="shared" si="44"/>
        <v/>
      </c>
    </row>
    <row r="187" spans="9:60" x14ac:dyDescent="0.3">
      <c r="I187" t="str">
        <f t="shared" si="46"/>
        <v>N/A</v>
      </c>
      <c r="J187" t="str">
        <f t="shared" si="47"/>
        <v>N/A</v>
      </c>
      <c r="K187" t="str">
        <f t="shared" si="48"/>
        <v>N/A</v>
      </c>
      <c r="L187" t="str">
        <f t="shared" si="49"/>
        <v>N/A</v>
      </c>
      <c r="M187" t="str">
        <f t="shared" si="50"/>
        <v>N/A</v>
      </c>
      <c r="N187" t="str">
        <f t="shared" si="51"/>
        <v>N/A</v>
      </c>
      <c r="P187">
        <f t="shared" si="27"/>
        <v>0</v>
      </c>
      <c r="Q187" t="str">
        <f>IFERROR(J144+MATCH(P187,J187:N187,0)-1,"")</f>
        <v/>
      </c>
      <c r="R187" t="str">
        <f t="shared" si="28"/>
        <v/>
      </c>
      <c r="S187" t="str">
        <f>IFERROR(J144+MATCH(R187,J187:N187,0)-1,"")</f>
        <v/>
      </c>
      <c r="T187" t="str">
        <f t="shared" si="29"/>
        <v/>
      </c>
      <c r="U187" t="str">
        <f t="shared" si="30"/>
        <v/>
      </c>
      <c r="V187" t="str">
        <f t="shared" si="31"/>
        <v/>
      </c>
      <c r="W187" t="str">
        <f t="shared" si="32"/>
        <v/>
      </c>
      <c r="X187" t="str">
        <f t="shared" si="33"/>
        <v/>
      </c>
      <c r="Y187" t="str">
        <f t="shared" si="34"/>
        <v/>
      </c>
      <c r="Z187" t="str">
        <f t="shared" si="35"/>
        <v/>
      </c>
      <c r="AA187">
        <f t="shared" si="36"/>
        <v>0</v>
      </c>
      <c r="AB187" t="str">
        <f>IFERROR(V144+MATCH(AA187,V187:Z187,0)-1,"")</f>
        <v/>
      </c>
      <c r="AC187" t="str">
        <f t="shared" si="37"/>
        <v/>
      </c>
      <c r="AE187" t="str">
        <f>IF(ISNUMBER(MATCH("N/A",J187:N187,0)),"",IFERROR((5 * SUMPRODUCT(J144:N144,J187:N187) - PRODUCT(SUM(J144:N144),SUM(J187:N187))) / ((5 * SUM((J144^2)+(K144^2)+(L144^2)+(M144^2)+(N144^2))) - SUM(J144:N144)^2),""))</f>
        <v/>
      </c>
      <c r="AF187" t="str">
        <f>IFERROR(CORREL(J144:N144,J187:N187),"")</f>
        <v/>
      </c>
      <c r="AZ187">
        <f t="shared" si="38"/>
        <v>0</v>
      </c>
      <c r="BA187" t="str">
        <f>IF(AZ187=1,IF(Q187="","",IF(Q187=N144,"Yes","No")),"")</f>
        <v/>
      </c>
      <c r="BB187" t="str">
        <f t="shared" si="39"/>
        <v/>
      </c>
      <c r="BC187" t="str">
        <f>IF(AZ187=1,IF(S187="","",IF(S187=N144,"Yes","No")),"")</f>
        <v/>
      </c>
      <c r="BD187" t="str">
        <f t="shared" si="40"/>
        <v/>
      </c>
      <c r="BE187" t="str">
        <f t="shared" si="41"/>
        <v/>
      </c>
      <c r="BF187" t="str">
        <f t="shared" si="42"/>
        <v>No</v>
      </c>
      <c r="BG187" t="str">
        <f t="shared" si="43"/>
        <v>No</v>
      </c>
      <c r="BH187" t="str">
        <f t="shared" si="44"/>
        <v/>
      </c>
    </row>
    <row r="188" spans="9:60" x14ac:dyDescent="0.3">
      <c r="I188" t="str">
        <f t="shared" si="46"/>
        <v>N/A</v>
      </c>
      <c r="J188" t="str">
        <f t="shared" si="47"/>
        <v>N/A</v>
      </c>
      <c r="K188" t="str">
        <f t="shared" si="48"/>
        <v>N/A</v>
      </c>
      <c r="L188" t="str">
        <f t="shared" si="49"/>
        <v>N/A</v>
      </c>
      <c r="M188" t="str">
        <f t="shared" si="50"/>
        <v>N/A</v>
      </c>
      <c r="N188" t="str">
        <f t="shared" si="51"/>
        <v>N/A</v>
      </c>
      <c r="P188">
        <f t="shared" si="27"/>
        <v>0</v>
      </c>
      <c r="Q188" t="str">
        <f>IFERROR(J144+MATCH(P188,J188:N188,0)-1,"")</f>
        <v/>
      </c>
      <c r="R188" t="str">
        <f t="shared" si="28"/>
        <v/>
      </c>
      <c r="S188" t="str">
        <f>IFERROR(J144+MATCH(R188,J188:N188,0)-1,"")</f>
        <v/>
      </c>
      <c r="T188" t="str">
        <f t="shared" si="29"/>
        <v/>
      </c>
      <c r="U188" t="str">
        <f t="shared" si="30"/>
        <v/>
      </c>
      <c r="V188" t="str">
        <f t="shared" si="31"/>
        <v/>
      </c>
      <c r="W188" t="str">
        <f t="shared" si="32"/>
        <v/>
      </c>
      <c r="X188" t="str">
        <f t="shared" si="33"/>
        <v/>
      </c>
      <c r="Y188" t="str">
        <f t="shared" si="34"/>
        <v/>
      </c>
      <c r="Z188" t="str">
        <f t="shared" si="35"/>
        <v/>
      </c>
      <c r="AA188">
        <f t="shared" si="36"/>
        <v>0</v>
      </c>
      <c r="AB188" t="str">
        <f>IFERROR(V144+MATCH(AA188,V188:Z188,0)-1,"")</f>
        <v/>
      </c>
      <c r="AC188" t="str">
        <f t="shared" si="37"/>
        <v/>
      </c>
      <c r="AE188" t="str">
        <f>IF(ISNUMBER(MATCH("N/A",J188:N188,0)),"",IFERROR((5 * SUMPRODUCT(J144:N144,J188:N188) - PRODUCT(SUM(J144:N144),SUM(J188:N188))) / ((5 * SUM((J144^2)+(K144^2)+(L144^2)+(M144^2)+(N144^2))) - SUM(J144:N144)^2),""))</f>
        <v/>
      </c>
      <c r="AF188" t="str">
        <f>IFERROR(CORREL(J144:N144,J188:N188),"")</f>
        <v/>
      </c>
      <c r="AZ188">
        <f t="shared" si="38"/>
        <v>0</v>
      </c>
      <c r="BA188" t="str">
        <f>IF(AZ188=1,IF(Q188="","",IF(Q188=N144,"Yes","No")),"")</f>
        <v/>
      </c>
      <c r="BB188" t="str">
        <f t="shared" si="39"/>
        <v/>
      </c>
      <c r="BC188" t="str">
        <f>IF(AZ188=1,IF(S188="","",IF(S188=N144,"Yes","No")),"")</f>
        <v/>
      </c>
      <c r="BD188" t="str">
        <f t="shared" si="40"/>
        <v/>
      </c>
      <c r="BE188" t="str">
        <f t="shared" si="41"/>
        <v/>
      </c>
      <c r="BF188" t="str">
        <f t="shared" si="42"/>
        <v>No</v>
      </c>
      <c r="BG188" t="str">
        <f t="shared" si="43"/>
        <v>No</v>
      </c>
      <c r="BH188" t="str">
        <f t="shared" si="44"/>
        <v/>
      </c>
    </row>
    <row r="189" spans="9:60" x14ac:dyDescent="0.3">
      <c r="I189" t="str">
        <f t="shared" si="46"/>
        <v>N/A</v>
      </c>
      <c r="J189" t="str">
        <f t="shared" si="47"/>
        <v>N/A</v>
      </c>
      <c r="K189" t="str">
        <f t="shared" si="48"/>
        <v>N/A</v>
      </c>
      <c r="L189" t="str">
        <f t="shared" si="49"/>
        <v>N/A</v>
      </c>
      <c r="M189" t="str">
        <f t="shared" si="50"/>
        <v>N/A</v>
      </c>
      <c r="N189" t="str">
        <f t="shared" si="51"/>
        <v>N/A</v>
      </c>
      <c r="P189">
        <f t="shared" si="27"/>
        <v>0</v>
      </c>
      <c r="Q189" t="str">
        <f>IFERROR(J144+MATCH(P189,J189:N189,0)-1,"")</f>
        <v/>
      </c>
      <c r="R189" t="str">
        <f t="shared" si="28"/>
        <v/>
      </c>
      <c r="S189" t="str">
        <f>IFERROR(J144+MATCH(R189,J189:N189,0)-1,"")</f>
        <v/>
      </c>
      <c r="T189" t="str">
        <f t="shared" si="29"/>
        <v/>
      </c>
      <c r="U189" t="str">
        <f t="shared" si="30"/>
        <v/>
      </c>
      <c r="V189" t="str">
        <f t="shared" si="31"/>
        <v/>
      </c>
      <c r="W189" t="str">
        <f t="shared" si="32"/>
        <v/>
      </c>
      <c r="X189" t="str">
        <f t="shared" si="33"/>
        <v/>
      </c>
      <c r="Y189" t="str">
        <f t="shared" si="34"/>
        <v/>
      </c>
      <c r="Z189" t="str">
        <f t="shared" si="35"/>
        <v/>
      </c>
      <c r="AA189">
        <f t="shared" si="36"/>
        <v>0</v>
      </c>
      <c r="AB189" t="str">
        <f>IFERROR(V144+MATCH(AA189,V189:Z189,0)-1,"")</f>
        <v/>
      </c>
      <c r="AC189" t="str">
        <f t="shared" si="37"/>
        <v/>
      </c>
      <c r="AE189" t="str">
        <f>IF(ISNUMBER(MATCH("N/A",J189:N189,0)),"",IFERROR((5 * SUMPRODUCT(J144:N144,J189:N189) - PRODUCT(SUM(J144:N144),SUM(J189:N189))) / ((5 * SUM((J144^2)+(K144^2)+(L144^2)+(M144^2)+(N144^2))) - SUM(J144:N144)^2),""))</f>
        <v/>
      </c>
      <c r="AF189" t="str">
        <f>IFERROR(CORREL(J144:N144,J189:N189),"")</f>
        <v/>
      </c>
      <c r="AZ189">
        <f t="shared" si="38"/>
        <v>0</v>
      </c>
      <c r="BA189" t="str">
        <f>IF(AZ189=1,IF(Q189="","",IF(Q189=N144,"Yes","No")),"")</f>
        <v/>
      </c>
      <c r="BB189" t="str">
        <f t="shared" si="39"/>
        <v/>
      </c>
      <c r="BC189" t="str">
        <f>IF(AZ189=1,IF(S189="","",IF(S189=N144,"Yes","No")),"")</f>
        <v/>
      </c>
      <c r="BD189" t="str">
        <f t="shared" si="40"/>
        <v/>
      </c>
      <c r="BE189" t="str">
        <f t="shared" si="41"/>
        <v/>
      </c>
      <c r="BF189" t="str">
        <f t="shared" si="42"/>
        <v>No</v>
      </c>
      <c r="BG189" t="str">
        <f t="shared" si="43"/>
        <v>No</v>
      </c>
      <c r="BH189" t="str">
        <f t="shared" si="44"/>
        <v/>
      </c>
    </row>
    <row r="190" spans="9:60" x14ac:dyDescent="0.3">
      <c r="I190" t="str">
        <f t="shared" si="46"/>
        <v>N/A</v>
      </c>
      <c r="J190" t="str">
        <f t="shared" si="47"/>
        <v>N/A</v>
      </c>
      <c r="K190" t="str">
        <f t="shared" si="48"/>
        <v>N/A</v>
      </c>
      <c r="L190" t="str">
        <f t="shared" si="49"/>
        <v>N/A</v>
      </c>
      <c r="M190" t="str">
        <f t="shared" si="50"/>
        <v>N/A</v>
      </c>
      <c r="N190" t="str">
        <f t="shared" si="51"/>
        <v>N/A</v>
      </c>
      <c r="P190">
        <f t="shared" si="27"/>
        <v>0</v>
      </c>
      <c r="Q190" t="str">
        <f>IFERROR(J144+MATCH(P190,J190:N190,0)-1,"")</f>
        <v/>
      </c>
      <c r="R190" t="str">
        <f t="shared" si="28"/>
        <v/>
      </c>
      <c r="S190" t="str">
        <f>IFERROR(J144+MATCH(R190,J190:N190,0)-1,"")</f>
        <v/>
      </c>
      <c r="T190" t="str">
        <f t="shared" si="29"/>
        <v/>
      </c>
      <c r="U190" t="str">
        <f t="shared" si="30"/>
        <v/>
      </c>
      <c r="V190" t="str">
        <f t="shared" si="31"/>
        <v/>
      </c>
      <c r="W190" t="str">
        <f t="shared" si="32"/>
        <v/>
      </c>
      <c r="X190" t="str">
        <f t="shared" si="33"/>
        <v/>
      </c>
      <c r="Y190" t="str">
        <f t="shared" si="34"/>
        <v/>
      </c>
      <c r="Z190" t="str">
        <f t="shared" si="35"/>
        <v/>
      </c>
      <c r="AA190">
        <f t="shared" si="36"/>
        <v>0</v>
      </c>
      <c r="AB190" t="str">
        <f>IFERROR(V144+MATCH(AA190,V190:Z190,0)-1,"")</f>
        <v/>
      </c>
      <c r="AC190" t="str">
        <f t="shared" si="37"/>
        <v/>
      </c>
      <c r="AE190" t="str">
        <f>IF(ISNUMBER(MATCH("N/A",J190:N190,0)),"",IFERROR((5 * SUMPRODUCT(J144:N144,J190:N190) - PRODUCT(SUM(J144:N144),SUM(J190:N190))) / ((5 * SUM((J144^2)+(K144^2)+(L144^2)+(M144^2)+(N144^2))) - SUM(J144:N144)^2),""))</f>
        <v/>
      </c>
      <c r="AF190" t="str">
        <f>IFERROR(CORREL(J144:N144,J190:N190),"")</f>
        <v/>
      </c>
      <c r="AZ190">
        <f t="shared" si="38"/>
        <v>0</v>
      </c>
      <c r="BA190" t="str">
        <f>IF(AZ190=1,IF(Q190="","",IF(Q190=N144,"Yes","No")),"")</f>
        <v/>
      </c>
      <c r="BB190" t="str">
        <f t="shared" si="39"/>
        <v/>
      </c>
      <c r="BC190" t="str">
        <f>IF(AZ190=1,IF(S190="","",IF(S190=N144,"Yes","No")),"")</f>
        <v/>
      </c>
      <c r="BD190" t="str">
        <f t="shared" si="40"/>
        <v/>
      </c>
      <c r="BE190" t="str">
        <f t="shared" si="41"/>
        <v/>
      </c>
      <c r="BF190" t="str">
        <f t="shared" si="42"/>
        <v>No</v>
      </c>
      <c r="BG190" t="str">
        <f t="shared" si="43"/>
        <v>No</v>
      </c>
      <c r="BH190" t="str">
        <f t="shared" si="44"/>
        <v/>
      </c>
    </row>
    <row r="191" spans="9:60" x14ac:dyDescent="0.3">
      <c r="I191" t="str">
        <f t="shared" si="46"/>
        <v>N/A</v>
      </c>
      <c r="J191" t="str">
        <f t="shared" si="47"/>
        <v>N/A</v>
      </c>
      <c r="K191" t="str">
        <f t="shared" si="48"/>
        <v>N/A</v>
      </c>
      <c r="L191" t="str">
        <f t="shared" si="49"/>
        <v>N/A</v>
      </c>
      <c r="M191" t="str">
        <f t="shared" si="50"/>
        <v>N/A</v>
      </c>
      <c r="N191" t="str">
        <f t="shared" si="51"/>
        <v>N/A</v>
      </c>
      <c r="P191">
        <f t="shared" si="27"/>
        <v>0</v>
      </c>
      <c r="Q191" t="str">
        <f>IFERROR(J144+MATCH(P191,J191:N191,0)-1,"")</f>
        <v/>
      </c>
      <c r="R191" t="str">
        <f t="shared" si="28"/>
        <v/>
      </c>
      <c r="S191" t="str">
        <f>IFERROR(J144+MATCH(R191,J191:N191,0)-1,"")</f>
        <v/>
      </c>
      <c r="T191" t="str">
        <f t="shared" si="29"/>
        <v/>
      </c>
      <c r="U191" t="str">
        <f t="shared" si="30"/>
        <v/>
      </c>
      <c r="V191" t="str">
        <f t="shared" si="31"/>
        <v/>
      </c>
      <c r="W191" t="str">
        <f t="shared" si="32"/>
        <v/>
      </c>
      <c r="X191" t="str">
        <f t="shared" si="33"/>
        <v/>
      </c>
      <c r="Y191" t="str">
        <f t="shared" si="34"/>
        <v/>
      </c>
      <c r="Z191" t="str">
        <f t="shared" si="35"/>
        <v/>
      </c>
      <c r="AA191">
        <f t="shared" si="36"/>
        <v>0</v>
      </c>
      <c r="AB191" t="str">
        <f>IFERROR(V144+MATCH(AA191,V191:Z191,0)-1,"")</f>
        <v/>
      </c>
      <c r="AC191" t="str">
        <f t="shared" si="37"/>
        <v/>
      </c>
      <c r="AE191" t="str">
        <f>IF(ISNUMBER(MATCH("N/A",J191:N191,0)),"",IFERROR((5 * SUMPRODUCT(J144:N144,J191:N191) - PRODUCT(SUM(J144:N144),SUM(J191:N191))) / ((5 * SUM((J144^2)+(K144^2)+(L144^2)+(M144^2)+(N144^2))) - SUM(J144:N144)^2),""))</f>
        <v/>
      </c>
      <c r="AF191" t="str">
        <f>IFERROR(CORREL(J144:N144,J191:N191),"")</f>
        <v/>
      </c>
      <c r="AZ191">
        <f t="shared" si="38"/>
        <v>0</v>
      </c>
      <c r="BA191" t="str">
        <f>IF(AZ191=1,IF(Q191="","",IF(Q191=N144,"Yes","No")),"")</f>
        <v/>
      </c>
      <c r="BB191" t="str">
        <f t="shared" si="39"/>
        <v/>
      </c>
      <c r="BC191" t="str">
        <f>IF(AZ191=1,IF(S191="","",IF(S191=N144,"Yes","No")),"")</f>
        <v/>
      </c>
      <c r="BD191" t="str">
        <f t="shared" si="40"/>
        <v/>
      </c>
      <c r="BE191" t="str">
        <f t="shared" si="41"/>
        <v/>
      </c>
      <c r="BF191" t="str">
        <f t="shared" si="42"/>
        <v>No</v>
      </c>
      <c r="BG191" t="str">
        <f t="shared" si="43"/>
        <v>No</v>
      </c>
      <c r="BH191" t="str">
        <f t="shared" si="44"/>
        <v/>
      </c>
    </row>
    <row r="192" spans="9:60" x14ac:dyDescent="0.3">
      <c r="I192" t="str">
        <f t="shared" si="46"/>
        <v>N/A</v>
      </c>
      <c r="J192" t="str">
        <f t="shared" si="47"/>
        <v>N/A</v>
      </c>
      <c r="K192" t="str">
        <f t="shared" si="48"/>
        <v>N/A</v>
      </c>
      <c r="L192" t="str">
        <f t="shared" si="49"/>
        <v>N/A</v>
      </c>
      <c r="M192" t="str">
        <f t="shared" si="50"/>
        <v>N/A</v>
      </c>
      <c r="N192" t="str">
        <f t="shared" si="51"/>
        <v>N/A</v>
      </c>
      <c r="P192">
        <f t="shared" si="27"/>
        <v>0</v>
      </c>
      <c r="Q192" t="str">
        <f>IFERROR(J144+MATCH(P192,J192:N192,0)-1,"")</f>
        <v/>
      </c>
      <c r="R192" t="str">
        <f t="shared" si="28"/>
        <v/>
      </c>
      <c r="S192" t="str">
        <f>IFERROR(J144+MATCH(R192,J192:N192,0)-1,"")</f>
        <v/>
      </c>
      <c r="T192" t="str">
        <f t="shared" si="29"/>
        <v/>
      </c>
      <c r="U192" t="str">
        <f t="shared" si="30"/>
        <v/>
      </c>
      <c r="V192" t="str">
        <f t="shared" si="31"/>
        <v/>
      </c>
      <c r="W192" t="str">
        <f t="shared" si="32"/>
        <v/>
      </c>
      <c r="X192" t="str">
        <f t="shared" si="33"/>
        <v/>
      </c>
      <c r="Y192" t="str">
        <f t="shared" si="34"/>
        <v/>
      </c>
      <c r="Z192" t="str">
        <f t="shared" si="35"/>
        <v/>
      </c>
      <c r="AA192">
        <f t="shared" si="36"/>
        <v>0</v>
      </c>
      <c r="AB192" t="str">
        <f>IFERROR(V144+MATCH(AA192,V192:Z192,0)-1,"")</f>
        <v/>
      </c>
      <c r="AC192" t="str">
        <f t="shared" si="37"/>
        <v/>
      </c>
      <c r="AE192" t="str">
        <f>IF(ISNUMBER(MATCH("N/A",J192:N192,0)),"",IFERROR((5 * SUMPRODUCT(J144:N144,J192:N192) - PRODUCT(SUM(J144:N144),SUM(J192:N192))) / ((5 * SUM((J144^2)+(K144^2)+(L144^2)+(M144^2)+(N144^2))) - SUM(J144:N144)^2),""))</f>
        <v/>
      </c>
      <c r="AF192" t="str">
        <f>IFERROR(CORREL(J144:N144,J192:N192),"")</f>
        <v/>
      </c>
      <c r="AZ192">
        <f t="shared" si="38"/>
        <v>0</v>
      </c>
      <c r="BA192" t="str">
        <f>IF(AZ192=1,IF(Q192="","",IF(Q192=N144,"Yes","No")),"")</f>
        <v/>
      </c>
      <c r="BB192" t="str">
        <f t="shared" si="39"/>
        <v/>
      </c>
      <c r="BC192" t="str">
        <f>IF(AZ192=1,IF(S192="","",IF(S192=N144,"Yes","No")),"")</f>
        <v/>
      </c>
      <c r="BD192" t="str">
        <f t="shared" si="40"/>
        <v/>
      </c>
      <c r="BE192" t="str">
        <f t="shared" si="41"/>
        <v/>
      </c>
      <c r="BF192" t="str">
        <f t="shared" si="42"/>
        <v>No</v>
      </c>
      <c r="BG192" t="str">
        <f t="shared" si="43"/>
        <v>No</v>
      </c>
      <c r="BH192" t="str">
        <f t="shared" si="44"/>
        <v/>
      </c>
    </row>
    <row r="193" spans="9:60" x14ac:dyDescent="0.3">
      <c r="I193" t="str">
        <f t="shared" si="46"/>
        <v>N/A</v>
      </c>
      <c r="J193" t="str">
        <f t="shared" si="47"/>
        <v>N/A</v>
      </c>
      <c r="K193" t="str">
        <f t="shared" si="48"/>
        <v>N/A</v>
      </c>
      <c r="L193" t="str">
        <f t="shared" si="49"/>
        <v>N/A</v>
      </c>
      <c r="M193" t="str">
        <f t="shared" si="50"/>
        <v>N/A</v>
      </c>
      <c r="N193" t="str">
        <f t="shared" si="51"/>
        <v>N/A</v>
      </c>
      <c r="P193">
        <f t="shared" si="27"/>
        <v>0</v>
      </c>
      <c r="Q193" t="str">
        <f>IFERROR(J144+MATCH(P193,J193:N193,0)-1,"")</f>
        <v/>
      </c>
      <c r="R193" t="str">
        <f t="shared" si="28"/>
        <v/>
      </c>
      <c r="S193" t="str">
        <f>IFERROR(J144+MATCH(R193,J193:N193,0)-1,"")</f>
        <v/>
      </c>
      <c r="T193" t="str">
        <f t="shared" si="29"/>
        <v/>
      </c>
      <c r="U193" t="str">
        <f t="shared" si="30"/>
        <v/>
      </c>
      <c r="V193" t="str">
        <f t="shared" si="31"/>
        <v/>
      </c>
      <c r="W193" t="str">
        <f t="shared" si="32"/>
        <v/>
      </c>
      <c r="X193" t="str">
        <f t="shared" si="33"/>
        <v/>
      </c>
      <c r="Y193" t="str">
        <f t="shared" si="34"/>
        <v/>
      </c>
      <c r="Z193" t="str">
        <f t="shared" si="35"/>
        <v/>
      </c>
      <c r="AA193">
        <f t="shared" si="36"/>
        <v>0</v>
      </c>
      <c r="AB193" t="str">
        <f>IFERROR(V144+MATCH(AA193,V193:Z193,0)-1,"")</f>
        <v/>
      </c>
      <c r="AC193" t="str">
        <f t="shared" si="37"/>
        <v/>
      </c>
      <c r="AE193" t="str">
        <f>IF(ISNUMBER(MATCH("N/A",J193:N193,0)),"",IFERROR((5 * SUMPRODUCT(J144:N144,J193:N193) - PRODUCT(SUM(J144:N144),SUM(J193:N193))) / ((5 * SUM((J144^2)+(K144^2)+(L144^2)+(M144^2)+(N144^2))) - SUM(J144:N144)^2),""))</f>
        <v/>
      </c>
      <c r="AF193" t="str">
        <f>IFERROR(CORREL(J144:N144,J193:N193),"")</f>
        <v/>
      </c>
      <c r="AZ193">
        <f t="shared" si="38"/>
        <v>0</v>
      </c>
      <c r="BA193" t="str">
        <f>IF(AZ193=1,IF(Q193="","",IF(Q193=N144,"Yes","No")),"")</f>
        <v/>
      </c>
      <c r="BB193" t="str">
        <f t="shared" si="39"/>
        <v/>
      </c>
      <c r="BC193" t="str">
        <f>IF(AZ193=1,IF(S193="","",IF(S193=N144,"Yes","No")),"")</f>
        <v/>
      </c>
      <c r="BD193" t="str">
        <f t="shared" si="40"/>
        <v/>
      </c>
      <c r="BE193" t="str">
        <f t="shared" si="41"/>
        <v/>
      </c>
      <c r="BF193" t="str">
        <f t="shared" si="42"/>
        <v>No</v>
      </c>
      <c r="BG193" t="str">
        <f t="shared" si="43"/>
        <v>No</v>
      </c>
      <c r="BH193" t="str">
        <f t="shared" si="44"/>
        <v/>
      </c>
    </row>
    <row r="194" spans="9:60" x14ac:dyDescent="0.3">
      <c r="I194" t="str">
        <f t="shared" si="46"/>
        <v>N/A</v>
      </c>
      <c r="J194" t="str">
        <f t="shared" si="47"/>
        <v>N/A</v>
      </c>
      <c r="K194" t="str">
        <f t="shared" si="48"/>
        <v>N/A</v>
      </c>
      <c r="L194" t="str">
        <f t="shared" si="49"/>
        <v>N/A</v>
      </c>
      <c r="M194" t="str">
        <f t="shared" si="50"/>
        <v>N/A</v>
      </c>
      <c r="N194" t="str">
        <f t="shared" si="51"/>
        <v>N/A</v>
      </c>
      <c r="P194">
        <f t="shared" si="27"/>
        <v>0</v>
      </c>
      <c r="Q194" t="str">
        <f>IFERROR(J144+MATCH(P194,J194:N194,0)-1,"")</f>
        <v/>
      </c>
      <c r="R194" t="str">
        <f t="shared" si="28"/>
        <v/>
      </c>
      <c r="S194" t="str">
        <f>IFERROR(J144+MATCH(R194,J194:N194,0)-1,"")</f>
        <v/>
      </c>
      <c r="T194" t="str">
        <f t="shared" si="29"/>
        <v/>
      </c>
      <c r="U194" t="str">
        <f t="shared" si="30"/>
        <v/>
      </c>
      <c r="V194" t="str">
        <f t="shared" si="31"/>
        <v/>
      </c>
      <c r="W194" t="str">
        <f t="shared" si="32"/>
        <v/>
      </c>
      <c r="X194" t="str">
        <f t="shared" si="33"/>
        <v/>
      </c>
      <c r="Y194" t="str">
        <f t="shared" si="34"/>
        <v/>
      </c>
      <c r="Z194" t="str">
        <f t="shared" si="35"/>
        <v/>
      </c>
      <c r="AA194">
        <f t="shared" si="36"/>
        <v>0</v>
      </c>
      <c r="AB194" t="str">
        <f>IFERROR(V144+MATCH(AA194,V194:Z194,0)-1,"")</f>
        <v/>
      </c>
      <c r="AC194" t="str">
        <f t="shared" si="37"/>
        <v/>
      </c>
      <c r="AE194" t="str">
        <f>IF(ISNUMBER(MATCH("N/A",J194:N194,0)),"",IFERROR((5 * SUMPRODUCT(J144:N144,J194:N194) - PRODUCT(SUM(J144:N144),SUM(J194:N194))) / ((5 * SUM((J144^2)+(K144^2)+(L144^2)+(M144^2)+(N144^2))) - SUM(J144:N144)^2),""))</f>
        <v/>
      </c>
      <c r="AF194" t="str">
        <f>IFERROR(CORREL(J144:N144,J194:N194),"")</f>
        <v/>
      </c>
      <c r="AZ194">
        <f t="shared" si="38"/>
        <v>0</v>
      </c>
      <c r="BA194" t="str">
        <f>IF(AZ194=1,IF(Q194="","",IF(Q194=N144,"Yes","No")),"")</f>
        <v/>
      </c>
      <c r="BB194" t="str">
        <f t="shared" si="39"/>
        <v/>
      </c>
      <c r="BC194" t="str">
        <f>IF(AZ194=1,IF(S194="","",IF(S194=N144,"Yes","No")),"")</f>
        <v/>
      </c>
      <c r="BD194" t="str">
        <f t="shared" si="40"/>
        <v/>
      </c>
      <c r="BE194" t="str">
        <f t="shared" si="41"/>
        <v/>
      </c>
      <c r="BF194" t="str">
        <f t="shared" si="42"/>
        <v>No</v>
      </c>
      <c r="BG194" t="str">
        <f t="shared" si="43"/>
        <v>No</v>
      </c>
      <c r="BH194" t="str">
        <f t="shared" si="44"/>
        <v/>
      </c>
    </row>
    <row r="195" spans="9:60" x14ac:dyDescent="0.3">
      <c r="I195" t="str">
        <f t="shared" si="46"/>
        <v>N/A</v>
      </c>
      <c r="J195" t="str">
        <f t="shared" si="47"/>
        <v>N/A</v>
      </c>
      <c r="K195" t="str">
        <f t="shared" si="48"/>
        <v>N/A</v>
      </c>
      <c r="L195" t="str">
        <f t="shared" si="49"/>
        <v>N/A</v>
      </c>
      <c r="M195" t="str">
        <f t="shared" si="50"/>
        <v>N/A</v>
      </c>
      <c r="N195" t="str">
        <f t="shared" si="51"/>
        <v>N/A</v>
      </c>
      <c r="P195">
        <f t="shared" si="27"/>
        <v>0</v>
      </c>
      <c r="Q195" t="str">
        <f>IFERROR(J144+MATCH(P195,J195:N195,0)-1,"")</f>
        <v/>
      </c>
      <c r="R195" t="str">
        <f t="shared" si="28"/>
        <v/>
      </c>
      <c r="S195" t="str">
        <f>IFERROR(J144+MATCH(R195,J195:N195,0)-1,"")</f>
        <v/>
      </c>
      <c r="T195" t="str">
        <f t="shared" si="29"/>
        <v/>
      </c>
      <c r="U195" t="str">
        <f t="shared" si="30"/>
        <v/>
      </c>
      <c r="V195" t="str">
        <f t="shared" si="31"/>
        <v/>
      </c>
      <c r="W195" t="str">
        <f t="shared" si="32"/>
        <v/>
      </c>
      <c r="X195" t="str">
        <f t="shared" si="33"/>
        <v/>
      </c>
      <c r="Y195" t="str">
        <f t="shared" si="34"/>
        <v/>
      </c>
      <c r="Z195" t="str">
        <f t="shared" si="35"/>
        <v/>
      </c>
      <c r="AA195">
        <f t="shared" si="36"/>
        <v>0</v>
      </c>
      <c r="AB195" t="str">
        <f>IFERROR(V144+MATCH(AA195,V195:Z195,0)-1,"")</f>
        <v/>
      </c>
      <c r="AC195" t="str">
        <f t="shared" si="37"/>
        <v/>
      </c>
      <c r="AE195" t="str">
        <f>IF(ISNUMBER(MATCH("N/A",J195:N195,0)),"",IFERROR((5 * SUMPRODUCT(J144:N144,J195:N195) - PRODUCT(SUM(J144:N144),SUM(J195:N195))) / ((5 * SUM((J144^2)+(K144^2)+(L144^2)+(M144^2)+(N144^2))) - SUM(J144:N144)^2),""))</f>
        <v/>
      </c>
      <c r="AF195" t="str">
        <f>IFERROR(CORREL(J144:N144,J195:N195),"")</f>
        <v/>
      </c>
      <c r="AZ195">
        <f t="shared" si="38"/>
        <v>0</v>
      </c>
      <c r="BA195" t="str">
        <f>IF(AZ195=1,IF(Q195="","",IF(Q195=N144,"Yes","No")),"")</f>
        <v/>
      </c>
      <c r="BB195" t="str">
        <f t="shared" si="39"/>
        <v/>
      </c>
      <c r="BC195" t="str">
        <f>IF(AZ195=1,IF(S195="","",IF(S195=N144,"Yes","No")),"")</f>
        <v/>
      </c>
      <c r="BD195" t="str">
        <f t="shared" si="40"/>
        <v/>
      </c>
      <c r="BE195" t="str">
        <f t="shared" si="41"/>
        <v/>
      </c>
      <c r="BF195" t="str">
        <f t="shared" si="42"/>
        <v>No</v>
      </c>
      <c r="BG195" t="str">
        <f t="shared" si="43"/>
        <v>No</v>
      </c>
      <c r="BH195" t="str">
        <f t="shared" si="44"/>
        <v/>
      </c>
    </row>
    <row r="196" spans="9:60" x14ac:dyDescent="0.3">
      <c r="I196" t="str">
        <f t="shared" si="46"/>
        <v>N/A</v>
      </c>
      <c r="J196" t="str">
        <f t="shared" si="47"/>
        <v>N/A</v>
      </c>
      <c r="K196" t="str">
        <f t="shared" si="48"/>
        <v>N/A</v>
      </c>
      <c r="L196" t="str">
        <f t="shared" si="49"/>
        <v>N/A</v>
      </c>
      <c r="M196" t="str">
        <f t="shared" si="50"/>
        <v>N/A</v>
      </c>
      <c r="N196" t="str">
        <f t="shared" si="51"/>
        <v>N/A</v>
      </c>
      <c r="P196">
        <f t="shared" si="27"/>
        <v>0</v>
      </c>
      <c r="Q196" t="str">
        <f>IFERROR(J144+MATCH(P196,J196:N196,0)-1,"")</f>
        <v/>
      </c>
      <c r="R196" t="str">
        <f t="shared" si="28"/>
        <v/>
      </c>
      <c r="S196" t="str">
        <f>IFERROR(J144+MATCH(R196,J196:N196,0)-1,"")</f>
        <v/>
      </c>
      <c r="T196" t="str">
        <f t="shared" si="29"/>
        <v/>
      </c>
      <c r="U196" t="str">
        <f t="shared" si="30"/>
        <v/>
      </c>
      <c r="V196" t="str">
        <f t="shared" si="31"/>
        <v/>
      </c>
      <c r="W196" t="str">
        <f t="shared" si="32"/>
        <v/>
      </c>
      <c r="X196" t="str">
        <f t="shared" si="33"/>
        <v/>
      </c>
      <c r="Y196" t="str">
        <f t="shared" si="34"/>
        <v/>
      </c>
      <c r="Z196" t="str">
        <f t="shared" si="35"/>
        <v/>
      </c>
      <c r="AA196">
        <f t="shared" si="36"/>
        <v>0</v>
      </c>
      <c r="AB196" t="str">
        <f>IFERROR(V144+MATCH(AA196,V196:Z196,0)-1,"")</f>
        <v/>
      </c>
      <c r="AC196" t="str">
        <f t="shared" si="37"/>
        <v/>
      </c>
      <c r="AE196" t="str">
        <f>IF(ISNUMBER(MATCH("N/A",J196:N196,0)),"",IFERROR((5 * SUMPRODUCT(J144:N144,J196:N196) - PRODUCT(SUM(J144:N144),SUM(J196:N196))) / ((5 * SUM((J144^2)+(K144^2)+(L144^2)+(M144^2)+(N144^2))) - SUM(J144:N144)^2),""))</f>
        <v/>
      </c>
      <c r="AF196" t="str">
        <f>IFERROR(CORREL(J144:N144,J196:N196),"")</f>
        <v/>
      </c>
      <c r="AZ196">
        <f t="shared" si="38"/>
        <v>0</v>
      </c>
      <c r="BA196" t="str">
        <f>IF(AZ196=1,IF(Q196="","",IF(Q196=N144,"Yes","No")),"")</f>
        <v/>
      </c>
      <c r="BB196" t="str">
        <f t="shared" si="39"/>
        <v/>
      </c>
      <c r="BC196" t="str">
        <f>IF(AZ196=1,IF(S196="","",IF(S196=N144,"Yes","No")),"")</f>
        <v/>
      </c>
      <c r="BD196" t="str">
        <f t="shared" si="40"/>
        <v/>
      </c>
      <c r="BE196" t="str">
        <f t="shared" si="41"/>
        <v/>
      </c>
      <c r="BF196" t="str">
        <f t="shared" si="42"/>
        <v>No</v>
      </c>
      <c r="BG196" t="str">
        <f t="shared" si="43"/>
        <v>No</v>
      </c>
      <c r="BH196" t="str">
        <f t="shared" si="44"/>
        <v/>
      </c>
    </row>
    <row r="197" spans="9:60" x14ac:dyDescent="0.3">
      <c r="I197" t="str">
        <f t="shared" si="46"/>
        <v>N/A</v>
      </c>
      <c r="J197" t="str">
        <f t="shared" si="47"/>
        <v>N/A</v>
      </c>
      <c r="K197" t="str">
        <f t="shared" si="48"/>
        <v>N/A</v>
      </c>
      <c r="L197" t="str">
        <f t="shared" si="49"/>
        <v>N/A</v>
      </c>
      <c r="M197" t="str">
        <f t="shared" si="50"/>
        <v>N/A</v>
      </c>
      <c r="N197" t="str">
        <f t="shared" si="51"/>
        <v>N/A</v>
      </c>
      <c r="P197">
        <f t="shared" si="27"/>
        <v>0</v>
      </c>
      <c r="Q197" t="str">
        <f>IFERROR(J144+MATCH(P197,J197:N197,0)-1,"")</f>
        <v/>
      </c>
      <c r="R197" t="str">
        <f t="shared" si="28"/>
        <v/>
      </c>
      <c r="S197" t="str">
        <f>IFERROR(J144+MATCH(R197,J197:N197,0)-1,"")</f>
        <v/>
      </c>
      <c r="T197" t="str">
        <f t="shared" si="29"/>
        <v/>
      </c>
      <c r="U197" t="str">
        <f t="shared" si="30"/>
        <v/>
      </c>
      <c r="V197" t="str">
        <f t="shared" si="31"/>
        <v/>
      </c>
      <c r="W197" t="str">
        <f t="shared" si="32"/>
        <v/>
      </c>
      <c r="X197" t="str">
        <f t="shared" si="33"/>
        <v/>
      </c>
      <c r="Y197" t="str">
        <f t="shared" si="34"/>
        <v/>
      </c>
      <c r="Z197" t="str">
        <f t="shared" si="35"/>
        <v/>
      </c>
      <c r="AA197">
        <f t="shared" si="36"/>
        <v>0</v>
      </c>
      <c r="AB197" t="str">
        <f>IFERROR(V144+MATCH(AA197,V197:Z197,0)-1,"")</f>
        <v/>
      </c>
      <c r="AC197" t="str">
        <f t="shared" si="37"/>
        <v/>
      </c>
      <c r="AE197" t="str">
        <f>IF(ISNUMBER(MATCH("N/A",J197:N197,0)),"",IFERROR((5 * SUMPRODUCT(J144:N144,J197:N197) - PRODUCT(SUM(J144:N144),SUM(J197:N197))) / ((5 * SUM((J144^2)+(K144^2)+(L144^2)+(M144^2)+(N144^2))) - SUM(J144:N144)^2),""))</f>
        <v/>
      </c>
      <c r="AF197" t="str">
        <f>IFERROR(CORREL(J144:N144,J197:N197),"")</f>
        <v/>
      </c>
      <c r="AZ197">
        <f t="shared" si="38"/>
        <v>0</v>
      </c>
      <c r="BA197" t="str">
        <f>IF(AZ197=1,IF(Q197="","",IF(Q197=N144,"Yes","No")),"")</f>
        <v/>
      </c>
      <c r="BB197" t="str">
        <f t="shared" si="39"/>
        <v/>
      </c>
      <c r="BC197" t="str">
        <f>IF(AZ197=1,IF(S197="","",IF(S197=N144,"Yes","No")),"")</f>
        <v/>
      </c>
      <c r="BD197" t="str">
        <f t="shared" si="40"/>
        <v/>
      </c>
      <c r="BE197" t="str">
        <f t="shared" si="41"/>
        <v/>
      </c>
      <c r="BF197" t="str">
        <f t="shared" si="42"/>
        <v>No</v>
      </c>
      <c r="BG197" t="str">
        <f t="shared" si="43"/>
        <v>No</v>
      </c>
      <c r="BH197" t="str">
        <f t="shared" si="44"/>
        <v/>
      </c>
    </row>
    <row r="198" spans="9:60" x14ac:dyDescent="0.3">
      <c r="I198" t="str">
        <f t="shared" si="46"/>
        <v>N/A</v>
      </c>
      <c r="J198" t="str">
        <f t="shared" si="47"/>
        <v>N/A</v>
      </c>
      <c r="K198" t="str">
        <f t="shared" si="48"/>
        <v>N/A</v>
      </c>
      <c r="L198" t="str">
        <f t="shared" si="49"/>
        <v>N/A</v>
      </c>
      <c r="M198" t="str">
        <f t="shared" si="50"/>
        <v>N/A</v>
      </c>
      <c r="N198" t="str">
        <f t="shared" si="51"/>
        <v>N/A</v>
      </c>
      <c r="P198">
        <f t="shared" si="27"/>
        <v>0</v>
      </c>
      <c r="Q198" t="str">
        <f>IFERROR(J144+MATCH(P198,J198:N198,0)-1,"")</f>
        <v/>
      </c>
      <c r="R198" t="str">
        <f t="shared" si="28"/>
        <v/>
      </c>
      <c r="S198" t="str">
        <f>IFERROR(J144+MATCH(R198,J198:N198,0)-1,"")</f>
        <v/>
      </c>
      <c r="T198" t="str">
        <f t="shared" si="29"/>
        <v/>
      </c>
      <c r="U198" t="str">
        <f t="shared" si="30"/>
        <v/>
      </c>
      <c r="V198" t="str">
        <f t="shared" si="31"/>
        <v/>
      </c>
      <c r="W198" t="str">
        <f t="shared" si="32"/>
        <v/>
      </c>
      <c r="X198" t="str">
        <f t="shared" si="33"/>
        <v/>
      </c>
      <c r="Y198" t="str">
        <f t="shared" si="34"/>
        <v/>
      </c>
      <c r="Z198" t="str">
        <f t="shared" si="35"/>
        <v/>
      </c>
      <c r="AA198">
        <f t="shared" si="36"/>
        <v>0</v>
      </c>
      <c r="AB198" t="str">
        <f>IFERROR(V144+MATCH(AA198,V198:Z198,0)-1,"")</f>
        <v/>
      </c>
      <c r="AC198" t="str">
        <f t="shared" si="37"/>
        <v/>
      </c>
      <c r="AE198" t="str">
        <f>IF(ISNUMBER(MATCH("N/A",J198:N198,0)),"",IFERROR((5 * SUMPRODUCT(J144:N144,J198:N198) - PRODUCT(SUM(J144:N144),SUM(J198:N198))) / ((5 * SUM((J144^2)+(K144^2)+(L144^2)+(M144^2)+(N144^2))) - SUM(J144:N144)^2),""))</f>
        <v/>
      </c>
      <c r="AF198" t="str">
        <f>IFERROR(CORREL(J144:N144,J198:N198),"")</f>
        <v/>
      </c>
      <c r="AZ198">
        <f t="shared" si="38"/>
        <v>0</v>
      </c>
      <c r="BA198" t="str">
        <f>IF(AZ198=1,IF(Q198="","",IF(Q198=N144,"Yes","No")),"")</f>
        <v/>
      </c>
      <c r="BB198" t="str">
        <f t="shared" si="39"/>
        <v/>
      </c>
      <c r="BC198" t="str">
        <f>IF(AZ198=1,IF(S198="","",IF(S198=N144,"Yes","No")),"")</f>
        <v/>
      </c>
      <c r="BD198" t="str">
        <f t="shared" si="40"/>
        <v/>
      </c>
      <c r="BE198" t="str">
        <f t="shared" si="41"/>
        <v/>
      </c>
      <c r="BF198" t="str">
        <f t="shared" si="42"/>
        <v>No</v>
      </c>
      <c r="BG198" t="str">
        <f t="shared" si="43"/>
        <v>No</v>
      </c>
      <c r="BH198" t="str">
        <f t="shared" si="44"/>
        <v/>
      </c>
    </row>
    <row r="199" spans="9:60" x14ac:dyDescent="0.3">
      <c r="I199" t="str">
        <f t="shared" si="46"/>
        <v>N/A</v>
      </c>
      <c r="J199" t="str">
        <f t="shared" si="47"/>
        <v>N/A</v>
      </c>
      <c r="K199" t="str">
        <f t="shared" si="48"/>
        <v>N/A</v>
      </c>
      <c r="L199" t="str">
        <f t="shared" si="49"/>
        <v>N/A</v>
      </c>
      <c r="M199" t="str">
        <f t="shared" si="50"/>
        <v>N/A</v>
      </c>
      <c r="N199" t="str">
        <f t="shared" si="51"/>
        <v>N/A</v>
      </c>
      <c r="P199">
        <f t="shared" si="27"/>
        <v>0</v>
      </c>
      <c r="Q199" t="str">
        <f>IFERROR(J144+MATCH(P199,J199:N199,0)-1,"")</f>
        <v/>
      </c>
      <c r="R199" t="str">
        <f t="shared" si="28"/>
        <v/>
      </c>
      <c r="S199" t="str">
        <f>IFERROR(J144+MATCH(R199,J199:N199,0)-1,"")</f>
        <v/>
      </c>
      <c r="T199" t="str">
        <f t="shared" si="29"/>
        <v/>
      </c>
      <c r="U199" t="str">
        <f t="shared" si="30"/>
        <v/>
      </c>
      <c r="V199" t="str">
        <f t="shared" si="31"/>
        <v/>
      </c>
      <c r="W199" t="str">
        <f t="shared" si="32"/>
        <v/>
      </c>
      <c r="X199" t="str">
        <f t="shared" si="33"/>
        <v/>
      </c>
      <c r="Y199" t="str">
        <f t="shared" si="34"/>
        <v/>
      </c>
      <c r="Z199" t="str">
        <f t="shared" si="35"/>
        <v/>
      </c>
      <c r="AA199">
        <f t="shared" si="36"/>
        <v>0</v>
      </c>
      <c r="AB199" t="str">
        <f>IFERROR(V144+MATCH(AA199,V199:Z199,0)-1,"")</f>
        <v/>
      </c>
      <c r="AC199" t="str">
        <f t="shared" si="37"/>
        <v/>
      </c>
      <c r="AE199" t="str">
        <f>IF(ISNUMBER(MATCH("N/A",J199:N199,0)),"",IFERROR((5 * SUMPRODUCT(J144:N144,J199:N199) - PRODUCT(SUM(J144:N144),SUM(J199:N199))) / ((5 * SUM((J144^2)+(K144^2)+(L144^2)+(M144^2)+(N144^2))) - SUM(J144:N144)^2),""))</f>
        <v/>
      </c>
      <c r="AF199" t="str">
        <f>IFERROR(CORREL(J144:N144,J199:N199),"")</f>
        <v/>
      </c>
      <c r="AZ199">
        <f t="shared" si="38"/>
        <v>0</v>
      </c>
      <c r="BA199" t="str">
        <f>IF(AZ199=1,IF(Q199="","",IF(Q199=N144,"Yes","No")),"")</f>
        <v/>
      </c>
      <c r="BB199" t="str">
        <f t="shared" si="39"/>
        <v/>
      </c>
      <c r="BC199" t="str">
        <f>IF(AZ199=1,IF(S199="","",IF(S199=N144,"Yes","No")),"")</f>
        <v/>
      </c>
      <c r="BD199" t="str">
        <f t="shared" si="40"/>
        <v/>
      </c>
      <c r="BE199" t="str">
        <f t="shared" si="41"/>
        <v/>
      </c>
      <c r="BF199" t="str">
        <f t="shared" si="42"/>
        <v>No</v>
      </c>
      <c r="BG199" t="str">
        <f t="shared" si="43"/>
        <v>No</v>
      </c>
      <c r="BH199" t="str">
        <f t="shared" si="44"/>
        <v/>
      </c>
    </row>
    <row r="200" spans="9:60" x14ac:dyDescent="0.3">
      <c r="I200" t="str">
        <f t="shared" si="46"/>
        <v>N/A</v>
      </c>
      <c r="J200" t="str">
        <f t="shared" si="47"/>
        <v>N/A</v>
      </c>
      <c r="K200" t="str">
        <f t="shared" si="48"/>
        <v>N/A</v>
      </c>
      <c r="L200" t="str">
        <f t="shared" si="49"/>
        <v>N/A</v>
      </c>
      <c r="M200" t="str">
        <f t="shared" si="50"/>
        <v>N/A</v>
      </c>
      <c r="N200" t="str">
        <f t="shared" si="51"/>
        <v>N/A</v>
      </c>
      <c r="P200">
        <f t="shared" si="27"/>
        <v>0</v>
      </c>
      <c r="Q200" t="str">
        <f>IFERROR(J144+MATCH(P200,J200:N200,0)-1,"")</f>
        <v/>
      </c>
      <c r="R200" t="str">
        <f t="shared" si="28"/>
        <v/>
      </c>
      <c r="S200" t="str">
        <f>IFERROR(J144+MATCH(R200,J200:N200,0)-1,"")</f>
        <v/>
      </c>
      <c r="T200" t="str">
        <f t="shared" si="29"/>
        <v/>
      </c>
      <c r="U200" t="str">
        <f t="shared" si="30"/>
        <v/>
      </c>
      <c r="V200" t="str">
        <f t="shared" si="31"/>
        <v/>
      </c>
      <c r="W200" t="str">
        <f t="shared" si="32"/>
        <v/>
      </c>
      <c r="X200" t="str">
        <f t="shared" si="33"/>
        <v/>
      </c>
      <c r="Y200" t="str">
        <f t="shared" si="34"/>
        <v/>
      </c>
      <c r="Z200" t="str">
        <f t="shared" si="35"/>
        <v/>
      </c>
      <c r="AA200">
        <f t="shared" si="36"/>
        <v>0</v>
      </c>
      <c r="AB200" t="str">
        <f>IFERROR(V144+MATCH(AA200,V200:Z200,0)-1,"")</f>
        <v/>
      </c>
      <c r="AC200" t="str">
        <f t="shared" si="37"/>
        <v/>
      </c>
      <c r="AE200" t="str">
        <f>IF(ISNUMBER(MATCH("N/A",J200:N200,0)),"",IFERROR((5 * SUMPRODUCT(J144:N144,J200:N200) - PRODUCT(SUM(J144:N144),SUM(J200:N200))) / ((5 * SUM((J144^2)+(K144^2)+(L144^2)+(M144^2)+(N144^2))) - SUM(J144:N144)^2),""))</f>
        <v/>
      </c>
      <c r="AF200" t="str">
        <f>IFERROR(CORREL(J144:N144,J200:N200),"")</f>
        <v/>
      </c>
      <c r="AZ200">
        <f t="shared" si="38"/>
        <v>0</v>
      </c>
      <c r="BA200" t="str">
        <f>IF(AZ200=1,IF(Q200="","",IF(Q200=N144,"Yes","No")),"")</f>
        <v/>
      </c>
      <c r="BB200" t="str">
        <f t="shared" si="39"/>
        <v/>
      </c>
      <c r="BC200" t="str">
        <f>IF(AZ200=1,IF(S200="","",IF(S200=N144,"Yes","No")),"")</f>
        <v/>
      </c>
      <c r="BD200" t="str">
        <f t="shared" si="40"/>
        <v/>
      </c>
      <c r="BE200" t="str">
        <f t="shared" si="41"/>
        <v/>
      </c>
      <c r="BF200" t="str">
        <f t="shared" si="42"/>
        <v>No</v>
      </c>
      <c r="BG200" t="str">
        <f t="shared" si="43"/>
        <v>No</v>
      </c>
      <c r="BH200" t="str">
        <f t="shared" si="44"/>
        <v/>
      </c>
    </row>
    <row r="201" spans="9:60" x14ac:dyDescent="0.3">
      <c r="I201" t="str">
        <f t="shared" si="46"/>
        <v>N/A</v>
      </c>
      <c r="J201" t="str">
        <f t="shared" si="47"/>
        <v>N/A</v>
      </c>
      <c r="K201" t="str">
        <f t="shared" si="48"/>
        <v>N/A</v>
      </c>
      <c r="L201" t="str">
        <f t="shared" si="49"/>
        <v>N/A</v>
      </c>
      <c r="M201" t="str">
        <f t="shared" si="50"/>
        <v>N/A</v>
      </c>
      <c r="N201" t="str">
        <f t="shared" si="51"/>
        <v>N/A</v>
      </c>
      <c r="P201">
        <f t="shared" si="27"/>
        <v>0</v>
      </c>
      <c r="Q201" t="str">
        <f>IFERROR(J144+MATCH(P201,J201:N201,0)-1,"")</f>
        <v/>
      </c>
      <c r="R201" t="str">
        <f t="shared" si="28"/>
        <v/>
      </c>
      <c r="S201" t="str">
        <f>IFERROR(J144+MATCH(R201,J201:N201,0)-1,"")</f>
        <v/>
      </c>
      <c r="T201" t="str">
        <f t="shared" si="29"/>
        <v/>
      </c>
      <c r="U201" t="str">
        <f t="shared" si="30"/>
        <v/>
      </c>
      <c r="V201" t="str">
        <f t="shared" si="31"/>
        <v/>
      </c>
      <c r="W201" t="str">
        <f t="shared" si="32"/>
        <v/>
      </c>
      <c r="X201" t="str">
        <f t="shared" si="33"/>
        <v/>
      </c>
      <c r="Y201" t="str">
        <f t="shared" si="34"/>
        <v/>
      </c>
      <c r="Z201" t="str">
        <f t="shared" si="35"/>
        <v/>
      </c>
      <c r="AA201">
        <f t="shared" si="36"/>
        <v>0</v>
      </c>
      <c r="AB201" t="str">
        <f>IFERROR(V144+MATCH(AA201,V201:Z201,0)-1,"")</f>
        <v/>
      </c>
      <c r="AC201" t="str">
        <f t="shared" si="37"/>
        <v/>
      </c>
      <c r="AE201" t="str">
        <f>IF(ISNUMBER(MATCH("N/A",J201:N201,0)),"",IFERROR((5 * SUMPRODUCT(J144:N144,J201:N201) - PRODUCT(SUM(J144:N144),SUM(J201:N201))) / ((5 * SUM((J144^2)+(K144^2)+(L144^2)+(M144^2)+(N144^2))) - SUM(J144:N144)^2),""))</f>
        <v/>
      </c>
      <c r="AF201" t="str">
        <f>IFERROR(CORREL(J144:N144,J201:N201),"")</f>
        <v/>
      </c>
      <c r="AZ201">
        <f t="shared" si="38"/>
        <v>0</v>
      </c>
      <c r="BA201" t="str">
        <f>IF(AZ201=1,IF(Q201="","",IF(Q201=N144,"Yes","No")),"")</f>
        <v/>
      </c>
      <c r="BB201" t="str">
        <f t="shared" si="39"/>
        <v/>
      </c>
      <c r="BC201" t="str">
        <f>IF(AZ201=1,IF(S201="","",IF(S201=N144,"Yes","No")),"")</f>
        <v/>
      </c>
      <c r="BD201" t="str">
        <f t="shared" si="40"/>
        <v/>
      </c>
      <c r="BE201" t="str">
        <f t="shared" si="41"/>
        <v/>
      </c>
      <c r="BF201" t="str">
        <f t="shared" si="42"/>
        <v>No</v>
      </c>
      <c r="BG201" t="str">
        <f t="shared" si="43"/>
        <v>No</v>
      </c>
      <c r="BH201" t="str">
        <f t="shared" si="44"/>
        <v/>
      </c>
    </row>
    <row r="202" spans="9:60" x14ac:dyDescent="0.3">
      <c r="I202" t="str">
        <f t="shared" si="46"/>
        <v>N/A</v>
      </c>
      <c r="J202" t="str">
        <f t="shared" si="47"/>
        <v>N/A</v>
      </c>
      <c r="K202" t="str">
        <f t="shared" si="48"/>
        <v>N/A</v>
      </c>
      <c r="L202" t="str">
        <f t="shared" si="49"/>
        <v>N/A</v>
      </c>
      <c r="M202" t="str">
        <f t="shared" si="50"/>
        <v>N/A</v>
      </c>
      <c r="N202" t="str">
        <f t="shared" si="51"/>
        <v>N/A</v>
      </c>
      <c r="P202">
        <f t="shared" si="27"/>
        <v>0</v>
      </c>
      <c r="Q202" t="str">
        <f>IFERROR(J144+MATCH(P202,J202:N202,0)-1,"")</f>
        <v/>
      </c>
      <c r="R202" t="str">
        <f t="shared" si="28"/>
        <v/>
      </c>
      <c r="S202" t="str">
        <f>IFERROR(J144+MATCH(R202,J202:N202,0)-1,"")</f>
        <v/>
      </c>
      <c r="T202" t="str">
        <f t="shared" si="29"/>
        <v/>
      </c>
      <c r="U202" t="str">
        <f t="shared" si="30"/>
        <v/>
      </c>
      <c r="V202" t="str">
        <f t="shared" si="31"/>
        <v/>
      </c>
      <c r="W202" t="str">
        <f t="shared" si="32"/>
        <v/>
      </c>
      <c r="X202" t="str">
        <f t="shared" si="33"/>
        <v/>
      </c>
      <c r="Y202" t="str">
        <f t="shared" si="34"/>
        <v/>
      </c>
      <c r="Z202" t="str">
        <f t="shared" si="35"/>
        <v/>
      </c>
      <c r="AA202">
        <f t="shared" si="36"/>
        <v>0</v>
      </c>
      <c r="AB202" t="str">
        <f>IFERROR(V144+MATCH(AA202,V202:Z202,0)-1,"")</f>
        <v/>
      </c>
      <c r="AC202" t="str">
        <f t="shared" si="37"/>
        <v/>
      </c>
      <c r="AE202" t="str">
        <f>IF(ISNUMBER(MATCH("N/A",J202:N202,0)),"",IFERROR((5 * SUMPRODUCT(J144:N144,J202:N202) - PRODUCT(SUM(J144:N144),SUM(J202:N202))) / ((5 * SUM((J144^2)+(K144^2)+(L144^2)+(M144^2)+(N144^2))) - SUM(J144:N144)^2),""))</f>
        <v/>
      </c>
      <c r="AF202" t="str">
        <f>IFERROR(CORREL(J144:N144,J202:N202),"")</f>
        <v/>
      </c>
      <c r="AZ202">
        <f t="shared" si="38"/>
        <v>0</v>
      </c>
      <c r="BA202" t="str">
        <f>IF(AZ202=1,IF(Q202="","",IF(Q202=N144,"Yes","No")),"")</f>
        <v/>
      </c>
      <c r="BB202" t="str">
        <f t="shared" si="39"/>
        <v/>
      </c>
      <c r="BC202" t="str">
        <f>IF(AZ202=1,IF(S202="","",IF(S202=N144,"Yes","No")),"")</f>
        <v/>
      </c>
      <c r="BD202" t="str">
        <f t="shared" si="40"/>
        <v/>
      </c>
      <c r="BE202" t="str">
        <f t="shared" si="41"/>
        <v/>
      </c>
      <c r="BF202" t="str">
        <f t="shared" si="42"/>
        <v>No</v>
      </c>
      <c r="BG202" t="str">
        <f t="shared" si="43"/>
        <v>No</v>
      </c>
      <c r="BH202" t="str">
        <f t="shared" si="44"/>
        <v/>
      </c>
    </row>
    <row r="203" spans="9:60" x14ac:dyDescent="0.3">
      <c r="I203" t="str">
        <f t="shared" si="46"/>
        <v>N/A</v>
      </c>
      <c r="J203" t="str">
        <f t="shared" si="47"/>
        <v>N/A</v>
      </c>
      <c r="K203" t="str">
        <f t="shared" si="48"/>
        <v>N/A</v>
      </c>
      <c r="L203" t="str">
        <f t="shared" si="49"/>
        <v>N/A</v>
      </c>
      <c r="M203" t="str">
        <f t="shared" si="50"/>
        <v>N/A</v>
      </c>
      <c r="N203" t="str">
        <f t="shared" si="51"/>
        <v>N/A</v>
      </c>
      <c r="P203">
        <f t="shared" si="27"/>
        <v>0</v>
      </c>
      <c r="Q203" t="str">
        <f>IFERROR(J144+MATCH(P203,J203:N203,0)-1,"")</f>
        <v/>
      </c>
      <c r="R203" t="str">
        <f t="shared" si="28"/>
        <v/>
      </c>
      <c r="S203" t="str">
        <f>IFERROR(J144+MATCH(R203,J203:N203,0)-1,"")</f>
        <v/>
      </c>
      <c r="T203" t="str">
        <f t="shared" si="29"/>
        <v/>
      </c>
      <c r="U203" t="str">
        <f t="shared" si="30"/>
        <v/>
      </c>
      <c r="V203" t="str">
        <f t="shared" si="31"/>
        <v/>
      </c>
      <c r="W203" t="str">
        <f t="shared" si="32"/>
        <v/>
      </c>
      <c r="X203" t="str">
        <f t="shared" si="33"/>
        <v/>
      </c>
      <c r="Y203" t="str">
        <f t="shared" si="34"/>
        <v/>
      </c>
      <c r="Z203" t="str">
        <f t="shared" si="35"/>
        <v/>
      </c>
      <c r="AA203">
        <f t="shared" si="36"/>
        <v>0</v>
      </c>
      <c r="AB203" t="str">
        <f>IFERROR(V144+MATCH(AA203,V203:Z203,0)-1,"")</f>
        <v/>
      </c>
      <c r="AC203" t="str">
        <f t="shared" si="37"/>
        <v/>
      </c>
      <c r="AE203" t="str">
        <f>IF(ISNUMBER(MATCH("N/A",J203:N203,0)),"",IFERROR((5 * SUMPRODUCT(J144:N144,J203:N203) - PRODUCT(SUM(J144:N144),SUM(J203:N203))) / ((5 * SUM((J144^2)+(K144^2)+(L144^2)+(M144^2)+(N144^2))) - SUM(J144:N144)^2),""))</f>
        <v/>
      </c>
      <c r="AF203" t="str">
        <f>IFERROR(CORREL(J144:N144,J203:N203),"")</f>
        <v/>
      </c>
      <c r="AZ203">
        <f t="shared" si="38"/>
        <v>0</v>
      </c>
      <c r="BA203" t="str">
        <f>IF(AZ203=1,IF(Q203="","",IF(Q203=N144,"Yes","No")),"")</f>
        <v/>
      </c>
      <c r="BB203" t="str">
        <f t="shared" si="39"/>
        <v/>
      </c>
      <c r="BC203" t="str">
        <f>IF(AZ203=1,IF(S203="","",IF(S203=N144,"Yes","No")),"")</f>
        <v/>
      </c>
      <c r="BD203" t="str">
        <f t="shared" si="40"/>
        <v/>
      </c>
      <c r="BE203" t="str">
        <f t="shared" si="41"/>
        <v/>
      </c>
      <c r="BF203" t="str">
        <f t="shared" si="42"/>
        <v>No</v>
      </c>
      <c r="BG203" t="str">
        <f t="shared" si="43"/>
        <v>No</v>
      </c>
      <c r="BH203" t="str">
        <f t="shared" si="44"/>
        <v/>
      </c>
    </row>
    <row r="204" spans="9:60" x14ac:dyDescent="0.3">
      <c r="I204" t="str">
        <f t="shared" si="46"/>
        <v>N/A</v>
      </c>
      <c r="J204" t="str">
        <f t="shared" si="47"/>
        <v>N/A</v>
      </c>
      <c r="K204" t="str">
        <f t="shared" si="48"/>
        <v>N/A</v>
      </c>
      <c r="L204" t="str">
        <f t="shared" si="49"/>
        <v>N/A</v>
      </c>
      <c r="M204" t="str">
        <f t="shared" si="50"/>
        <v>N/A</v>
      </c>
      <c r="N204" t="str">
        <f t="shared" si="51"/>
        <v>N/A</v>
      </c>
      <c r="P204">
        <f t="shared" si="27"/>
        <v>0</v>
      </c>
      <c r="Q204" t="str">
        <f>IFERROR(J144+MATCH(P204,J204:N204,0)-1,"")</f>
        <v/>
      </c>
      <c r="R204" t="str">
        <f t="shared" si="28"/>
        <v/>
      </c>
      <c r="S204" t="str">
        <f>IFERROR(J144+MATCH(R204,J204:N204,0)-1,"")</f>
        <v/>
      </c>
      <c r="T204" t="str">
        <f t="shared" si="29"/>
        <v/>
      </c>
      <c r="U204" t="str">
        <f t="shared" si="30"/>
        <v/>
      </c>
      <c r="V204" t="str">
        <f t="shared" si="31"/>
        <v/>
      </c>
      <c r="W204" t="str">
        <f t="shared" si="32"/>
        <v/>
      </c>
      <c r="X204" t="str">
        <f t="shared" si="33"/>
        <v/>
      </c>
      <c r="Y204" t="str">
        <f t="shared" si="34"/>
        <v/>
      </c>
      <c r="Z204" t="str">
        <f t="shared" si="35"/>
        <v/>
      </c>
      <c r="AA204">
        <f t="shared" si="36"/>
        <v>0</v>
      </c>
      <c r="AB204" t="str">
        <f>IFERROR(V144+MATCH(AA204,V204:Z204,0)-1,"")</f>
        <v/>
      </c>
      <c r="AC204" t="str">
        <f t="shared" si="37"/>
        <v/>
      </c>
      <c r="AE204" t="str">
        <f>IF(ISNUMBER(MATCH("N/A",J204:N204,0)),"",IFERROR((5 * SUMPRODUCT(J144:N144,J204:N204) - PRODUCT(SUM(J144:N144),SUM(J204:N204))) / ((5 * SUM((J144^2)+(K144^2)+(L144^2)+(M144^2)+(N144^2))) - SUM(J144:N144)^2),""))</f>
        <v/>
      </c>
      <c r="AF204" t="str">
        <f>IFERROR(CORREL(J144:N144,J204:N204),"")</f>
        <v/>
      </c>
      <c r="AZ204">
        <f t="shared" si="38"/>
        <v>0</v>
      </c>
      <c r="BA204" t="str">
        <f>IF(AZ204=1,IF(Q204="","",IF(Q204=N144,"Yes","No")),"")</f>
        <v/>
      </c>
      <c r="BB204" t="str">
        <f t="shared" si="39"/>
        <v/>
      </c>
      <c r="BC204" t="str">
        <f>IF(AZ204=1,IF(S204="","",IF(S204=N144,"Yes","No")),"")</f>
        <v/>
      </c>
      <c r="BD204" t="str">
        <f t="shared" si="40"/>
        <v/>
      </c>
      <c r="BE204" t="str">
        <f t="shared" si="41"/>
        <v/>
      </c>
      <c r="BF204" t="str">
        <f t="shared" si="42"/>
        <v>No</v>
      </c>
      <c r="BG204" t="str">
        <f t="shared" si="43"/>
        <v>No</v>
      </c>
      <c r="BH204" t="str">
        <f t="shared" si="44"/>
        <v/>
      </c>
    </row>
    <row r="205" spans="9:60" x14ac:dyDescent="0.3">
      <c r="P205">
        <f t="shared" si="27"/>
        <v>0</v>
      </c>
      <c r="Q205" t="str">
        <f>IFERROR(J144+MATCH(P205,J205:N205,0)-1,"")</f>
        <v/>
      </c>
      <c r="R205" t="str">
        <f t="shared" si="28"/>
        <v/>
      </c>
      <c r="S205" t="str">
        <f>IFERROR(J144+MATCH(R205,J205:N205,0)-1,"")</f>
        <v/>
      </c>
      <c r="T205" t="str">
        <f t="shared" si="29"/>
        <v/>
      </c>
      <c r="U205" t="str">
        <f t="shared" si="30"/>
        <v/>
      </c>
      <c r="V205" t="str">
        <f t="shared" si="31"/>
        <v/>
      </c>
      <c r="W205" t="str">
        <f t="shared" si="32"/>
        <v/>
      </c>
      <c r="X205" t="str">
        <f t="shared" si="33"/>
        <v/>
      </c>
      <c r="Y205" t="str">
        <f t="shared" si="34"/>
        <v/>
      </c>
      <c r="Z205" t="str">
        <f t="shared" si="35"/>
        <v/>
      </c>
      <c r="AA205">
        <f t="shared" si="36"/>
        <v>0</v>
      </c>
      <c r="AB205" t="str">
        <f>IFERROR(V144+MATCH(AA205,V205:Z205,0)-1,"")</f>
        <v/>
      </c>
      <c r="AC205" t="str">
        <f t="shared" si="37"/>
        <v/>
      </c>
      <c r="AE205" t="str">
        <f>IF(ISNUMBER(MATCH("N/A",J205:N205,0)),"",IFERROR((5 * SUMPRODUCT(J144:N144,J205:N205) - PRODUCT(SUM(J144:N144),SUM(J205:N205))) / ((5 * SUM((J144^2)+(K144^2)+(L144^2)+(M144^2)+(N144^2))) - SUM(J144:N144)^2),""))</f>
        <v/>
      </c>
      <c r="AF205" t="str">
        <f>IFERROR(CORREL(J144:N144,J205:N205),"")</f>
        <v/>
      </c>
      <c r="AZ205">
        <f t="shared" si="38"/>
        <v>0</v>
      </c>
      <c r="BA205" t="str">
        <f>IF(AZ205=1,IF(Q205="","",IF(Q205=N144,"Yes","No")),"")</f>
        <v/>
      </c>
      <c r="BB205" t="str">
        <f t="shared" si="39"/>
        <v/>
      </c>
      <c r="BC205" t="str">
        <f>IF(AZ205=1,IF(S205="","",IF(S205=N144,"Yes","No")),"")</f>
        <v/>
      </c>
      <c r="BD205" t="str">
        <f t="shared" si="40"/>
        <v/>
      </c>
      <c r="BE205" t="str">
        <f t="shared" si="41"/>
        <v/>
      </c>
      <c r="BF205" t="str">
        <f t="shared" si="42"/>
        <v>No</v>
      </c>
      <c r="BG205" t="str">
        <f t="shared" si="43"/>
        <v>No</v>
      </c>
      <c r="BH205" t="str">
        <f t="shared" si="44"/>
        <v/>
      </c>
    </row>
    <row r="206" spans="9:60" x14ac:dyDescent="0.3">
      <c r="I206" t="str">
        <f t="shared" ref="I206:I226" si="52">IF(AND(K206&gt; J206, L206&gt; K206, M206&gt; L206, N206&gt; M206), "pos_trend", IF(AND(K206&lt; J206, L206&lt; K206, M206&lt; L206, N206&lt; M206), "neg_trend", "N/A"))</f>
        <v>N/A</v>
      </c>
      <c r="J206" t="str">
        <f t="shared" ref="J206:J226" si="53">IFERROR(IF(TRIM(C206)="-", "N/A", IF(RIGHT(C206,1)=")",IF(RIGHT(C206,2)="T)",-1000000000000*VALUE(MID(C206,2,LEN(C206)-3)),IF(RIGHT(C206,2)="M)",-1000000*VALUE(MID(C206,2,LEN(C206)-3)),IF(RIGHT(C206,2)="B)",-1000000000*VALUE(MID(C206,2,LEN(C206)-3)),IF(RIGHT(C206,2)="k)",-1000*VALUE(MID(C206,2,LEN(C206)-3)),VALUE(SUBSTITUTE(C206,",","")))))),IF(RIGHT(C206,1)="T",1000000000000*VALUE(LEFT(C206,LEN(C206)-1)),IF(RIGHT(C206,1)="M",1000000*VALUE(LEFT(C206,LEN(C206)-1)),IF(RIGHT(C206,1)="B",1000000000*VALUE(LEFT(C206,LEN(C206)-1)),IF(RIGHT(C206,1)="%",0.01*VALUE(LEFT(C206,LEN(C206)-1)),IF(RIGHT(C206,1)="k",1000*VALUE(LEFT(C206,LEN(C206)-1)),VALUE(SUBSTITUTE(C206,",",""))))))))),"N/A")</f>
        <v>N/A</v>
      </c>
      <c r="K206" t="str">
        <f t="shared" ref="K206:K226" si="54">IFERROR(IF(TRIM(D206)="-", "N/A", IF(RIGHT(D206,1)=")",IF(RIGHT(D206,2)="T)",-1000000000000*VALUE(MID(D206,2,LEN(D206)-3)),IF(RIGHT(D206,2)="M)",-1000000*VALUE(MID(D206,2,LEN(D206)-3)),IF(RIGHT(D206,2)="B)",-1000000000*VALUE(MID(D206,2,LEN(D206)-3)),IF(RIGHT(D206,2)="k)",-1000*VALUE(MID(D206,2,LEN(D206)-3)),VALUE(SUBSTITUTE(D206,",","")))))),IF(RIGHT(D206,1)="T",1000000000000*VALUE(LEFT(D206,LEN(D206)-1)),IF(RIGHT(D206,1)="M",1000000*VALUE(LEFT(D206,LEN(D206)-1)),IF(RIGHT(D206,1)="B",1000000000*VALUE(LEFT(D206,LEN(D206)-1)),IF(RIGHT(D206,1)="%",0.01*VALUE(LEFT(D206,LEN(D206)-1)),IF(RIGHT(D206,1)="k",1000*VALUE(LEFT(D206,LEN(D206)-1)),VALUE(SUBSTITUTE(D206,",",""))))))))),"N/A")</f>
        <v>N/A</v>
      </c>
      <c r="L206" t="str">
        <f t="shared" ref="L206:L226" si="55">IFERROR(IF(TRIM(E206)="-", "N/A", IF(RIGHT(E206,1)=")",IF(RIGHT(E206,2)="T)",-1000000000000*VALUE(MID(E206,2,LEN(E206)-3)),IF(RIGHT(E206,2)="M)",-1000000*VALUE(MID(E206,2,LEN(E206)-3)),IF(RIGHT(E206,2)="B)",-1000000000*VALUE(MID(E206,2,LEN(E206)-3)),IF(RIGHT(E206,2)="k)",-1000*VALUE(MID(E206,2,LEN(E206)-3)),VALUE(SUBSTITUTE(E206,",","")))))),IF(RIGHT(E206,1)="T",1000000000000*VALUE(LEFT(E206,LEN(E206)-1)),IF(RIGHT(E206,1)="M",1000000*VALUE(LEFT(E206,LEN(E206)-1)),IF(RIGHT(E206,1)="B",1000000000*VALUE(LEFT(E206,LEN(E206)-1)),IF(RIGHT(E206,1)="%",0.01*VALUE(LEFT(E206,LEN(E206)-1)),IF(RIGHT(E206,1)="k",1000*VALUE(LEFT(E206,LEN(E206)-1)),VALUE(SUBSTITUTE(E206,",",""))))))))),"N/A")</f>
        <v>N/A</v>
      </c>
      <c r="M206" t="str">
        <f t="shared" ref="M206:M226" si="56">IFERROR(IF(TRIM(F206)="-", "N/A", IF(RIGHT(F206,1)=")",IF(RIGHT(F206,2)="T)",-1000000000000*VALUE(MID(F206,2,LEN(F206)-3)),IF(RIGHT(F206,2)="M)",-1000000*VALUE(MID(F206,2,LEN(F206)-3)),IF(RIGHT(F206,2)="B)",-1000000000*VALUE(MID(F206,2,LEN(F206)-3)),IF(RIGHT(F206,2)="k)",-1000*VALUE(MID(F206,2,LEN(F206)-3)),VALUE(SUBSTITUTE(F206,",","")))))),IF(RIGHT(F206,1)="T",1000000000000*VALUE(LEFT(F206,LEN(F206)-1)),IF(RIGHT(F206,1)="M",1000000*VALUE(LEFT(F206,LEN(F206)-1)),IF(RIGHT(F206,1)="B",1000000000*VALUE(LEFT(F206,LEN(F206)-1)),IF(RIGHT(F206,1)="%",0.01*VALUE(LEFT(F206,LEN(F206)-1)),IF(RIGHT(F206,1)="k",1000*VALUE(LEFT(F206,LEN(F206)-1)),VALUE(SUBSTITUTE(F206,",",""))))))))),"N/A")</f>
        <v>N/A</v>
      </c>
      <c r="N206" t="str">
        <f t="shared" ref="N206:N226" si="57">IFERROR(IF(TRIM(G206)="-", "N/A", IF(RIGHT(G206,1)=")",IF(RIGHT(G206,2)="T)",-1000000000000*VALUE(MID(G206,2,LEN(G206)-3)),IF(RIGHT(G206,2)="M)",-1000000*VALUE(MID(G206,2,LEN(G206)-3)),IF(RIGHT(G206,2)="B)",-1000000000*VALUE(MID(G206,2,LEN(G206)-3)),IF(RIGHT(G206,2)="k)",-1000*VALUE(MID(G206,2,LEN(G206)-3)),VALUE(SUBSTITUTE(G206,",","")))))),IF(RIGHT(G206,1)="T",1000000000000*VALUE(LEFT(G206,LEN(G206)-1)),IF(RIGHT(G206,1)="M",1000000*VALUE(LEFT(G206,LEN(G206)-1)),IF(RIGHT(G206,1)="B",1000000000*VALUE(LEFT(G206,LEN(G206)-1)),IF(RIGHT(G206,1)="%",0.01*VALUE(LEFT(G206,LEN(G206)-1)),IF(RIGHT(G206,1)="k",1000*VALUE(LEFT(G206,LEN(G206)-1)),VALUE(SUBSTITUTE(G206,",",""))))))))),"N/A")</f>
        <v>N/A</v>
      </c>
      <c r="P206">
        <f t="shared" si="27"/>
        <v>0</v>
      </c>
      <c r="Q206" t="str">
        <f>IFERROR(J144+MATCH(P206,J206:N206,0)-1,"")</f>
        <v/>
      </c>
      <c r="R206" t="str">
        <f t="shared" si="28"/>
        <v/>
      </c>
      <c r="S206" t="str">
        <f>IFERROR(J144+MATCH(R206,J206:N206,0)-1,"")</f>
        <v/>
      </c>
      <c r="T206" t="str">
        <f t="shared" si="29"/>
        <v/>
      </c>
      <c r="U206" t="str">
        <f t="shared" si="30"/>
        <v/>
      </c>
      <c r="V206" t="str">
        <f t="shared" si="31"/>
        <v/>
      </c>
      <c r="W206" t="str">
        <f t="shared" si="32"/>
        <v/>
      </c>
      <c r="X206" t="str">
        <f t="shared" si="33"/>
        <v/>
      </c>
      <c r="Y206" t="str">
        <f t="shared" si="34"/>
        <v/>
      </c>
      <c r="Z206" t="str">
        <f t="shared" si="35"/>
        <v/>
      </c>
      <c r="AA206">
        <f t="shared" si="36"/>
        <v>0</v>
      </c>
      <c r="AB206" t="str">
        <f>IFERROR(V144+MATCH(AA206,V206:Z206,0)-1,"")</f>
        <v/>
      </c>
      <c r="AC206" t="str">
        <f t="shared" si="37"/>
        <v/>
      </c>
      <c r="AE206" t="str">
        <f>IF(ISNUMBER(MATCH("N/A",J206:N206,0)),"",IFERROR((5 * SUMPRODUCT(J144:N144,J206:N206) - PRODUCT(SUM(J144:N144),SUM(J206:N206))) / ((5 * SUM((J144^2)+(K144^2)+(L144^2)+(M144^2)+(N144^2))) - SUM(J144:N144)^2),""))</f>
        <v/>
      </c>
      <c r="AF206" t="str">
        <f>IFERROR(CORREL(J144:N144,J206:N206),"")</f>
        <v/>
      </c>
      <c r="AZ206">
        <f t="shared" si="38"/>
        <v>0</v>
      </c>
      <c r="BA206" t="str">
        <f>IF(AZ206=1,IF(Q206="","",IF(Q206=N144,"Yes","No")),"")</f>
        <v/>
      </c>
      <c r="BB206" t="str">
        <f t="shared" si="39"/>
        <v/>
      </c>
      <c r="BC206" t="str">
        <f>IF(AZ206=1,IF(S206="","",IF(S206=N144,"Yes","No")),"")</f>
        <v/>
      </c>
      <c r="BD206" t="str">
        <f t="shared" si="40"/>
        <v/>
      </c>
      <c r="BE206" t="str">
        <f t="shared" si="41"/>
        <v/>
      </c>
      <c r="BF206" t="str">
        <f t="shared" si="42"/>
        <v>No</v>
      </c>
      <c r="BG206" t="str">
        <f t="shared" si="43"/>
        <v>No</v>
      </c>
      <c r="BH206" t="str">
        <f t="shared" si="44"/>
        <v/>
      </c>
    </row>
    <row r="207" spans="9:60" x14ac:dyDescent="0.3">
      <c r="I207" t="str">
        <f t="shared" si="52"/>
        <v>N/A</v>
      </c>
      <c r="J207" t="str">
        <f t="shared" si="53"/>
        <v>N/A</v>
      </c>
      <c r="K207" t="str">
        <f t="shared" si="54"/>
        <v>N/A</v>
      </c>
      <c r="L207" t="str">
        <f t="shared" si="55"/>
        <v>N/A</v>
      </c>
      <c r="M207" t="str">
        <f t="shared" si="56"/>
        <v>N/A</v>
      </c>
      <c r="N207" t="str">
        <f t="shared" si="57"/>
        <v>N/A</v>
      </c>
      <c r="P207">
        <f t="shared" si="27"/>
        <v>0</v>
      </c>
      <c r="Q207" t="str">
        <f>IFERROR(J144+MATCH(P207,J207:N207,0)-1,"")</f>
        <v/>
      </c>
      <c r="R207" t="str">
        <f t="shared" si="28"/>
        <v/>
      </c>
      <c r="S207" t="str">
        <f>IFERROR(J144+MATCH(R207,J207:N207,0)-1,"")</f>
        <v/>
      </c>
      <c r="T207" t="str">
        <f t="shared" si="29"/>
        <v/>
      </c>
      <c r="U207" t="str">
        <f t="shared" si="30"/>
        <v/>
      </c>
      <c r="V207" t="str">
        <f t="shared" si="31"/>
        <v/>
      </c>
      <c r="W207" t="str">
        <f t="shared" si="32"/>
        <v/>
      </c>
      <c r="X207" t="str">
        <f t="shared" si="33"/>
        <v/>
      </c>
      <c r="Y207" t="str">
        <f t="shared" si="34"/>
        <v/>
      </c>
      <c r="Z207" t="str">
        <f t="shared" si="35"/>
        <v/>
      </c>
      <c r="AA207">
        <f t="shared" si="36"/>
        <v>0</v>
      </c>
      <c r="AB207" t="str">
        <f>IFERROR(V144+MATCH(AA207,V207:Z207,0)-1,"")</f>
        <v/>
      </c>
      <c r="AC207" t="str">
        <f t="shared" si="37"/>
        <v/>
      </c>
      <c r="AE207" t="str">
        <f>IF(ISNUMBER(MATCH("N/A",J207:N207,0)),"",IFERROR((5 * SUMPRODUCT(J144:N144,J207:N207) - PRODUCT(SUM(J144:N144),SUM(J207:N207))) / ((5 * SUM((J144^2)+(K144^2)+(L144^2)+(M144^2)+(N144^2))) - SUM(J144:N144)^2),""))</f>
        <v/>
      </c>
      <c r="AF207" t="str">
        <f>IFERROR(CORREL(J144:N144,J207:N207),"")</f>
        <v/>
      </c>
      <c r="AZ207">
        <f t="shared" si="38"/>
        <v>0</v>
      </c>
      <c r="BA207" t="str">
        <f>IF(AZ207=1,IF(Q207="","",IF(Q207=N144,"Yes","No")),"")</f>
        <v/>
      </c>
      <c r="BB207" t="str">
        <f t="shared" si="39"/>
        <v/>
      </c>
      <c r="BC207" t="str">
        <f>IF(AZ207=1,IF(S207="","",IF(S207=N144,"Yes","No")),"")</f>
        <v/>
      </c>
      <c r="BD207" t="str">
        <f t="shared" si="40"/>
        <v/>
      </c>
      <c r="BE207" t="str">
        <f t="shared" si="41"/>
        <v/>
      </c>
      <c r="BF207" t="str">
        <f t="shared" si="42"/>
        <v>No</v>
      </c>
      <c r="BG207" t="str">
        <f t="shared" si="43"/>
        <v>No</v>
      </c>
      <c r="BH207" t="str">
        <f t="shared" si="44"/>
        <v/>
      </c>
    </row>
    <row r="208" spans="9:60" x14ac:dyDescent="0.3">
      <c r="I208" t="str">
        <f t="shared" si="52"/>
        <v>N/A</v>
      </c>
      <c r="J208" t="str">
        <f t="shared" si="53"/>
        <v>N/A</v>
      </c>
      <c r="K208" t="str">
        <f t="shared" si="54"/>
        <v>N/A</v>
      </c>
      <c r="L208" t="str">
        <f t="shared" si="55"/>
        <v>N/A</v>
      </c>
      <c r="M208" t="str">
        <f t="shared" si="56"/>
        <v>N/A</v>
      </c>
      <c r="N208" t="str">
        <f t="shared" si="57"/>
        <v>N/A</v>
      </c>
      <c r="P208">
        <f t="shared" si="27"/>
        <v>0</v>
      </c>
      <c r="Q208" t="str">
        <f>IFERROR(J144+MATCH(P208,J208:N208,0)-1,"")</f>
        <v/>
      </c>
      <c r="R208" t="str">
        <f t="shared" si="28"/>
        <v/>
      </c>
      <c r="S208" t="str">
        <f>IFERROR(J144+MATCH(R208,J208:N208,0)-1,"")</f>
        <v/>
      </c>
      <c r="T208" t="str">
        <f t="shared" si="29"/>
        <v/>
      </c>
      <c r="U208" t="str">
        <f t="shared" si="30"/>
        <v/>
      </c>
      <c r="V208" t="str">
        <f t="shared" si="31"/>
        <v/>
      </c>
      <c r="W208" t="str">
        <f t="shared" si="32"/>
        <v/>
      </c>
      <c r="X208" t="str">
        <f t="shared" si="33"/>
        <v/>
      </c>
      <c r="Y208" t="str">
        <f t="shared" si="34"/>
        <v/>
      </c>
      <c r="Z208" t="str">
        <f t="shared" si="35"/>
        <v/>
      </c>
      <c r="AA208">
        <f t="shared" si="36"/>
        <v>0</v>
      </c>
      <c r="AB208" t="str">
        <f>IFERROR(V144+MATCH(AA208,V208:Z208,0)-1,"")</f>
        <v/>
      </c>
      <c r="AC208" t="str">
        <f t="shared" si="37"/>
        <v/>
      </c>
      <c r="AE208" t="str">
        <f>IF(ISNUMBER(MATCH("N/A",J208:N208,0)),"",IFERROR((5 * SUMPRODUCT(J144:N144,J208:N208) - PRODUCT(SUM(J144:N144),SUM(J208:N208))) / ((5 * SUM((J144^2)+(K144^2)+(L144^2)+(M144^2)+(N144^2))) - SUM(J144:N144)^2),""))</f>
        <v/>
      </c>
      <c r="AF208" t="str">
        <f>IFERROR(CORREL(J144:N144,J208:N208),"")</f>
        <v/>
      </c>
      <c r="AZ208">
        <f t="shared" si="38"/>
        <v>0</v>
      </c>
      <c r="BA208" t="str">
        <f>IF(AZ208=1,IF(Q208="","",IF(Q208=N144,"Yes","No")),"")</f>
        <v/>
      </c>
      <c r="BB208" t="str">
        <f t="shared" si="39"/>
        <v/>
      </c>
      <c r="BC208" t="str">
        <f>IF(AZ208=1,IF(S208="","",IF(S208=N144,"Yes","No")),"")</f>
        <v/>
      </c>
      <c r="BD208" t="str">
        <f t="shared" si="40"/>
        <v/>
      </c>
      <c r="BE208" t="str">
        <f t="shared" si="41"/>
        <v/>
      </c>
      <c r="BF208" t="str">
        <f t="shared" si="42"/>
        <v>No</v>
      </c>
      <c r="BG208" t="str">
        <f t="shared" si="43"/>
        <v>No</v>
      </c>
      <c r="BH208" t="str">
        <f t="shared" si="44"/>
        <v/>
      </c>
    </row>
    <row r="209" spans="9:60" x14ac:dyDescent="0.3">
      <c r="I209" t="str">
        <f t="shared" si="52"/>
        <v>N/A</v>
      </c>
      <c r="J209" t="str">
        <f t="shared" si="53"/>
        <v>N/A</v>
      </c>
      <c r="K209" t="str">
        <f t="shared" si="54"/>
        <v>N/A</v>
      </c>
      <c r="L209" t="str">
        <f t="shared" si="55"/>
        <v>N/A</v>
      </c>
      <c r="M209" t="str">
        <f t="shared" si="56"/>
        <v>N/A</v>
      </c>
      <c r="N209" t="str">
        <f t="shared" si="57"/>
        <v>N/A</v>
      </c>
      <c r="P209">
        <f t="shared" ref="P209:P272" si="58">MAX(J209:N209)</f>
        <v>0</v>
      </c>
      <c r="Q209" t="str">
        <f>IFERROR(J144+MATCH(P209,J209:N209,0)-1,"")</f>
        <v/>
      </c>
      <c r="R209" t="str">
        <f t="shared" ref="R209:R272" si="59">IF(Q209="","",MIN(J209:N209))</f>
        <v/>
      </c>
      <c r="S209" t="str">
        <f>IFERROR(J144+MATCH(R209,J209:N209,0)-1,"")</f>
        <v/>
      </c>
      <c r="T209" t="str">
        <f t="shared" ref="T209:T272" si="60">IFERROR(AVERAGE(J209:N209),"")</f>
        <v/>
      </c>
      <c r="U209" t="str">
        <f t="shared" ref="U209:U272" si="61">IFERROR(STDEV(J209:N209),"")</f>
        <v/>
      </c>
      <c r="V209" t="str">
        <f t="shared" ref="V209:V272" si="62">IFERROR(IF(C209="-","",IF(ISBLANK(B209),"",IF(OR(ISNUMBER(FIND("Growth",B209)),ISNUMBER(FIND("Margin",B209))),"",(J209-T209)/U209))),"")</f>
        <v/>
      </c>
      <c r="W209" t="str">
        <f t="shared" ref="W209:W272" si="63">IFERROR(IF(OR(D209="-",ISBLANK(D209)),"",(K209-T209)/U209),"")</f>
        <v/>
      </c>
      <c r="X209" t="str">
        <f t="shared" ref="X209:X272" si="64">IFERROR(IF(OR(E209="-",ISBLANK(E209)),"",(L209-T209)/U209),"")</f>
        <v/>
      </c>
      <c r="Y209" t="str">
        <f t="shared" ref="Y209:Y272" si="65">IFERROR(IF(OR(F209="-",ISBLANK(F209)),"",(M209-T209)/U209),"")</f>
        <v/>
      </c>
      <c r="Z209" t="str">
        <f t="shared" ref="Z209:Z272" si="66">IFERROR(IF(OR(G209="-",ISBLANK(G209)),"",(N209-T209)/U209),"")</f>
        <v/>
      </c>
      <c r="AA209">
        <f t="shared" ref="AA209:AA272" si="67">IF(MAX(MAX(V209:Z209),ABS(MIN(V209:Z209)))=ABS(MIN(V209:Z209)),MIN(V209:Z209),MAX(V209:Z209))</f>
        <v>0</v>
      </c>
      <c r="AB209" t="str">
        <f>IFERROR(V144+MATCH(AA209,V209:Z209,0)-1,"")</f>
        <v/>
      </c>
      <c r="AC209" t="str">
        <f t="shared" ref="AC209:AC272" si="68">IF(AB209&lt;&gt;"",IF(S209=AB209,"Low",IF(AB209=Q209,"High","")),"")</f>
        <v/>
      </c>
      <c r="AE209" t="str">
        <f>IF(ISNUMBER(MATCH("N/A",J209:N209,0)),"",IFERROR((5 * SUMPRODUCT(J144:N144,J209:N209) - PRODUCT(SUM(J144:N144),SUM(J209:N209))) / ((5 * SUM((J144^2)+(K144^2)+(L144^2)+(M144^2)+(N144^2))) - SUM(J144:N144)^2),""))</f>
        <v/>
      </c>
      <c r="AF209" t="str">
        <f>IFERROR(CORREL(J144:N144,J209:N209),"")</f>
        <v/>
      </c>
      <c r="AZ209">
        <f t="shared" ref="AZ209:AZ272" si="69">IF(Q209=S209,0,1)</f>
        <v>0</v>
      </c>
      <c r="BA209" t="str">
        <f>IF(AZ209=1,IF(Q209="","",IF(Q209=N144,"Yes","No")),"")</f>
        <v/>
      </c>
      <c r="BB209" t="str">
        <f t="shared" ref="BB209:BB272" si="70">IF(BA209="Yes",P209,"")</f>
        <v/>
      </c>
      <c r="BC209" t="str">
        <f>IF(AZ209=1,IF(S209="","",IF(S209=N144,"Yes","No")),"")</f>
        <v/>
      </c>
      <c r="BD209" t="str">
        <f t="shared" ref="BD209:BD272" si="71">IF(BC209="Yes",R209,"")</f>
        <v/>
      </c>
      <c r="BE209" t="str">
        <f t="shared" ref="BE209:BE272" si="72">IFERROR(IF(SIGN(AE209)=1,"Increasing",IF(SIGN(AE209)=-1,"Decreasing","")),"")</f>
        <v/>
      </c>
      <c r="BF209" t="str">
        <f t="shared" ref="BF209:BF272" si="73">IF(OR(AND(BE209="Increasing",BA209="Yes"),AND(BE209="Decreasing",BC209="Yes")),"Yes","No")</f>
        <v>No</v>
      </c>
      <c r="BG209" t="str">
        <f t="shared" ref="BG209:BG272" si="74">IF(I209="pos_trend","Yes","No")</f>
        <v>No</v>
      </c>
      <c r="BH209" t="str">
        <f t="shared" ref="BH209:BH272" si="75">IF(AF209&lt;&gt;"",IF(ABS(AF209)&gt;0.8,"Yes","No"),"")</f>
        <v/>
      </c>
    </row>
    <row r="210" spans="9:60" x14ac:dyDescent="0.3">
      <c r="I210" t="str">
        <f t="shared" si="52"/>
        <v>N/A</v>
      </c>
      <c r="J210" t="str">
        <f t="shared" si="53"/>
        <v>N/A</v>
      </c>
      <c r="K210" t="str">
        <f t="shared" si="54"/>
        <v>N/A</v>
      </c>
      <c r="L210" t="str">
        <f t="shared" si="55"/>
        <v>N/A</v>
      </c>
      <c r="M210" t="str">
        <f t="shared" si="56"/>
        <v>N/A</v>
      </c>
      <c r="N210" t="str">
        <f t="shared" si="57"/>
        <v>N/A</v>
      </c>
      <c r="P210">
        <f t="shared" si="58"/>
        <v>0</v>
      </c>
      <c r="Q210" t="str">
        <f>IFERROR(J144+MATCH(P210,J210:N210,0)-1,"")</f>
        <v/>
      </c>
      <c r="R210" t="str">
        <f t="shared" si="59"/>
        <v/>
      </c>
      <c r="S210" t="str">
        <f>IFERROR(J144+MATCH(R210,J210:N210,0)-1,"")</f>
        <v/>
      </c>
      <c r="T210" t="str">
        <f t="shared" si="60"/>
        <v/>
      </c>
      <c r="U210" t="str">
        <f t="shared" si="61"/>
        <v/>
      </c>
      <c r="V210" t="str">
        <f t="shared" si="62"/>
        <v/>
      </c>
      <c r="W210" t="str">
        <f t="shared" si="63"/>
        <v/>
      </c>
      <c r="X210" t="str">
        <f t="shared" si="64"/>
        <v/>
      </c>
      <c r="Y210" t="str">
        <f t="shared" si="65"/>
        <v/>
      </c>
      <c r="Z210" t="str">
        <f t="shared" si="66"/>
        <v/>
      </c>
      <c r="AA210">
        <f t="shared" si="67"/>
        <v>0</v>
      </c>
      <c r="AB210" t="str">
        <f>IFERROR(V144+MATCH(AA210,V210:Z210,0)-1,"")</f>
        <v/>
      </c>
      <c r="AC210" t="str">
        <f t="shared" si="68"/>
        <v/>
      </c>
      <c r="AE210" t="str">
        <f>IF(ISNUMBER(MATCH("N/A",J210:N210,0)),"",IFERROR((5 * SUMPRODUCT(J144:N144,J210:N210) - PRODUCT(SUM(J144:N144),SUM(J210:N210))) / ((5 * SUM((J144^2)+(K144^2)+(L144^2)+(M144^2)+(N144^2))) - SUM(J144:N144)^2),""))</f>
        <v/>
      </c>
      <c r="AF210" t="str">
        <f>IFERROR(CORREL(J144:N144,J210:N210),"")</f>
        <v/>
      </c>
      <c r="AZ210">
        <f t="shared" si="69"/>
        <v>0</v>
      </c>
      <c r="BA210" t="str">
        <f>IF(AZ210=1,IF(Q210="","",IF(Q210=N144,"Yes","No")),"")</f>
        <v/>
      </c>
      <c r="BB210" t="str">
        <f t="shared" si="70"/>
        <v/>
      </c>
      <c r="BC210" t="str">
        <f>IF(AZ210=1,IF(S210="","",IF(S210=N144,"Yes","No")),"")</f>
        <v/>
      </c>
      <c r="BD210" t="str">
        <f t="shared" si="71"/>
        <v/>
      </c>
      <c r="BE210" t="str">
        <f t="shared" si="72"/>
        <v/>
      </c>
      <c r="BF210" t="str">
        <f t="shared" si="73"/>
        <v>No</v>
      </c>
      <c r="BG210" t="str">
        <f t="shared" si="74"/>
        <v>No</v>
      </c>
      <c r="BH210" t="str">
        <f t="shared" si="75"/>
        <v/>
      </c>
    </row>
    <row r="211" spans="9:60" x14ac:dyDescent="0.3">
      <c r="I211" t="str">
        <f t="shared" si="52"/>
        <v>N/A</v>
      </c>
      <c r="J211" t="str">
        <f t="shared" si="53"/>
        <v>N/A</v>
      </c>
      <c r="K211" t="str">
        <f t="shared" si="54"/>
        <v>N/A</v>
      </c>
      <c r="L211" t="str">
        <f t="shared" si="55"/>
        <v>N/A</v>
      </c>
      <c r="M211" t="str">
        <f t="shared" si="56"/>
        <v>N/A</v>
      </c>
      <c r="N211" t="str">
        <f t="shared" si="57"/>
        <v>N/A</v>
      </c>
      <c r="P211">
        <f t="shared" si="58"/>
        <v>0</v>
      </c>
      <c r="Q211" t="str">
        <f>IFERROR(J144+MATCH(P211,J211:N211,0)-1,"")</f>
        <v/>
      </c>
      <c r="R211" t="str">
        <f t="shared" si="59"/>
        <v/>
      </c>
      <c r="S211" t="str">
        <f>IFERROR(J144+MATCH(R211,J211:N211,0)-1,"")</f>
        <v/>
      </c>
      <c r="T211" t="str">
        <f t="shared" si="60"/>
        <v/>
      </c>
      <c r="U211" t="str">
        <f t="shared" si="61"/>
        <v/>
      </c>
      <c r="V211" t="str">
        <f t="shared" si="62"/>
        <v/>
      </c>
      <c r="W211" t="str">
        <f t="shared" si="63"/>
        <v/>
      </c>
      <c r="X211" t="str">
        <f t="shared" si="64"/>
        <v/>
      </c>
      <c r="Y211" t="str">
        <f t="shared" si="65"/>
        <v/>
      </c>
      <c r="Z211" t="str">
        <f t="shared" si="66"/>
        <v/>
      </c>
      <c r="AA211">
        <f t="shared" si="67"/>
        <v>0</v>
      </c>
      <c r="AB211" t="str">
        <f>IFERROR(V144+MATCH(AA211,V211:Z211,0)-1,"")</f>
        <v/>
      </c>
      <c r="AC211" t="str">
        <f t="shared" si="68"/>
        <v/>
      </c>
      <c r="AE211" t="str">
        <f>IF(ISNUMBER(MATCH("N/A",J211:N211,0)),"",IFERROR((5 * SUMPRODUCT(J144:N144,J211:N211) - PRODUCT(SUM(J144:N144),SUM(J211:N211))) / ((5 * SUM((J144^2)+(K144^2)+(L144^2)+(M144^2)+(N144^2))) - SUM(J144:N144)^2),""))</f>
        <v/>
      </c>
      <c r="AF211" t="str">
        <f>IFERROR(CORREL(J144:N144,J211:N211),"")</f>
        <v/>
      </c>
      <c r="AZ211">
        <f t="shared" si="69"/>
        <v>0</v>
      </c>
      <c r="BA211" t="str">
        <f>IF(AZ211=1,IF(Q211="","",IF(Q211=N144,"Yes","No")),"")</f>
        <v/>
      </c>
      <c r="BB211" t="str">
        <f t="shared" si="70"/>
        <v/>
      </c>
      <c r="BC211" t="str">
        <f>IF(AZ211=1,IF(S211="","",IF(S211=N144,"Yes","No")),"")</f>
        <v/>
      </c>
      <c r="BD211" t="str">
        <f t="shared" si="71"/>
        <v/>
      </c>
      <c r="BE211" t="str">
        <f t="shared" si="72"/>
        <v/>
      </c>
      <c r="BF211" t="str">
        <f t="shared" si="73"/>
        <v>No</v>
      </c>
      <c r="BG211" t="str">
        <f t="shared" si="74"/>
        <v>No</v>
      </c>
      <c r="BH211" t="str">
        <f t="shared" si="75"/>
        <v/>
      </c>
    </row>
    <row r="212" spans="9:60" x14ac:dyDescent="0.3">
      <c r="I212" t="str">
        <f t="shared" si="52"/>
        <v>N/A</v>
      </c>
      <c r="J212" t="str">
        <f t="shared" si="53"/>
        <v>N/A</v>
      </c>
      <c r="K212" t="str">
        <f t="shared" si="54"/>
        <v>N/A</v>
      </c>
      <c r="L212" t="str">
        <f t="shared" si="55"/>
        <v>N/A</v>
      </c>
      <c r="M212" t="str">
        <f t="shared" si="56"/>
        <v>N/A</v>
      </c>
      <c r="N212" t="str">
        <f t="shared" si="57"/>
        <v>N/A</v>
      </c>
      <c r="P212">
        <f t="shared" si="58"/>
        <v>0</v>
      </c>
      <c r="Q212" t="str">
        <f>IFERROR(J144+MATCH(P212,J212:N212,0)-1,"")</f>
        <v/>
      </c>
      <c r="R212" t="str">
        <f t="shared" si="59"/>
        <v/>
      </c>
      <c r="S212" t="str">
        <f>IFERROR(J144+MATCH(R212,J212:N212,0)-1,"")</f>
        <v/>
      </c>
      <c r="T212" t="str">
        <f t="shared" si="60"/>
        <v/>
      </c>
      <c r="U212" t="str">
        <f t="shared" si="61"/>
        <v/>
      </c>
      <c r="V212" t="str">
        <f t="shared" si="62"/>
        <v/>
      </c>
      <c r="W212" t="str">
        <f t="shared" si="63"/>
        <v/>
      </c>
      <c r="X212" t="str">
        <f t="shared" si="64"/>
        <v/>
      </c>
      <c r="Y212" t="str">
        <f t="shared" si="65"/>
        <v/>
      </c>
      <c r="Z212" t="str">
        <f t="shared" si="66"/>
        <v/>
      </c>
      <c r="AA212">
        <f t="shared" si="67"/>
        <v>0</v>
      </c>
      <c r="AB212" t="str">
        <f>IFERROR(V144+MATCH(AA212,V212:Z212,0)-1,"")</f>
        <v/>
      </c>
      <c r="AC212" t="str">
        <f t="shared" si="68"/>
        <v/>
      </c>
      <c r="AE212" t="str">
        <f>IF(ISNUMBER(MATCH("N/A",J212:N212,0)),"",IFERROR((5 * SUMPRODUCT(J144:N144,J212:N212) - PRODUCT(SUM(J144:N144),SUM(J212:N212))) / ((5 * SUM((J144^2)+(K144^2)+(L144^2)+(M144^2)+(N144^2))) - SUM(J144:N144)^2),""))</f>
        <v/>
      </c>
      <c r="AF212" t="str">
        <f>IFERROR(CORREL(J144:N144,J212:N212),"")</f>
        <v/>
      </c>
      <c r="AZ212">
        <f t="shared" si="69"/>
        <v>0</v>
      </c>
      <c r="BA212" t="str">
        <f>IF(AZ212=1,IF(Q212="","",IF(Q212=N144,"Yes","No")),"")</f>
        <v/>
      </c>
      <c r="BB212" t="str">
        <f t="shared" si="70"/>
        <v/>
      </c>
      <c r="BC212" t="str">
        <f>IF(AZ212=1,IF(S212="","",IF(S212=N144,"Yes","No")),"")</f>
        <v/>
      </c>
      <c r="BD212" t="str">
        <f t="shared" si="71"/>
        <v/>
      </c>
      <c r="BE212" t="str">
        <f t="shared" si="72"/>
        <v/>
      </c>
      <c r="BF212" t="str">
        <f t="shared" si="73"/>
        <v>No</v>
      </c>
      <c r="BG212" t="str">
        <f t="shared" si="74"/>
        <v>No</v>
      </c>
      <c r="BH212" t="str">
        <f t="shared" si="75"/>
        <v/>
      </c>
    </row>
    <row r="213" spans="9:60" x14ac:dyDescent="0.3">
      <c r="I213" t="str">
        <f t="shared" si="52"/>
        <v>N/A</v>
      </c>
      <c r="J213" t="str">
        <f t="shared" si="53"/>
        <v>N/A</v>
      </c>
      <c r="K213" t="str">
        <f t="shared" si="54"/>
        <v>N/A</v>
      </c>
      <c r="L213" t="str">
        <f t="shared" si="55"/>
        <v>N/A</v>
      </c>
      <c r="M213" t="str">
        <f t="shared" si="56"/>
        <v>N/A</v>
      </c>
      <c r="N213" t="str">
        <f t="shared" si="57"/>
        <v>N/A</v>
      </c>
      <c r="P213">
        <f t="shared" si="58"/>
        <v>0</v>
      </c>
      <c r="Q213" t="str">
        <f>IFERROR(J144+MATCH(P213,J213:N213,0)-1,"")</f>
        <v/>
      </c>
      <c r="R213" t="str">
        <f t="shared" si="59"/>
        <v/>
      </c>
      <c r="S213" t="str">
        <f>IFERROR(J144+MATCH(R213,J213:N213,0)-1,"")</f>
        <v/>
      </c>
      <c r="T213" t="str">
        <f t="shared" si="60"/>
        <v/>
      </c>
      <c r="U213" t="str">
        <f t="shared" si="61"/>
        <v/>
      </c>
      <c r="V213" t="str">
        <f t="shared" si="62"/>
        <v/>
      </c>
      <c r="W213" t="str">
        <f t="shared" si="63"/>
        <v/>
      </c>
      <c r="X213" t="str">
        <f t="shared" si="64"/>
        <v/>
      </c>
      <c r="Y213" t="str">
        <f t="shared" si="65"/>
        <v/>
      </c>
      <c r="Z213" t="str">
        <f t="shared" si="66"/>
        <v/>
      </c>
      <c r="AA213">
        <f t="shared" si="67"/>
        <v>0</v>
      </c>
      <c r="AB213" t="str">
        <f>IFERROR(V144+MATCH(AA213,V213:Z213,0)-1,"")</f>
        <v/>
      </c>
      <c r="AC213" t="str">
        <f t="shared" si="68"/>
        <v/>
      </c>
      <c r="AE213" t="str">
        <f>IF(ISNUMBER(MATCH("N/A",J213:N213,0)),"",IFERROR((5 * SUMPRODUCT(J144:N144,J213:N213) - PRODUCT(SUM(J144:N144),SUM(J213:N213))) / ((5 * SUM((J144^2)+(K144^2)+(L144^2)+(M144^2)+(N144^2))) - SUM(J144:N144)^2),""))</f>
        <v/>
      </c>
      <c r="AF213" t="str">
        <f>IFERROR(CORREL(J144:N144,J213:N213),"")</f>
        <v/>
      </c>
      <c r="AZ213">
        <f t="shared" si="69"/>
        <v>0</v>
      </c>
      <c r="BA213" t="str">
        <f>IF(AZ213=1,IF(Q213="","",IF(Q213=N144,"Yes","No")),"")</f>
        <v/>
      </c>
      <c r="BB213" t="str">
        <f t="shared" si="70"/>
        <v/>
      </c>
      <c r="BC213" t="str">
        <f>IF(AZ213=1,IF(S213="","",IF(S213=N144,"Yes","No")),"")</f>
        <v/>
      </c>
      <c r="BD213" t="str">
        <f t="shared" si="71"/>
        <v/>
      </c>
      <c r="BE213" t="str">
        <f t="shared" si="72"/>
        <v/>
      </c>
      <c r="BF213" t="str">
        <f t="shared" si="73"/>
        <v>No</v>
      </c>
      <c r="BG213" t="str">
        <f t="shared" si="74"/>
        <v>No</v>
      </c>
      <c r="BH213" t="str">
        <f t="shared" si="75"/>
        <v/>
      </c>
    </row>
    <row r="214" spans="9:60" x14ac:dyDescent="0.3">
      <c r="I214" t="str">
        <f t="shared" si="52"/>
        <v>N/A</v>
      </c>
      <c r="J214" t="str">
        <f t="shared" si="53"/>
        <v>N/A</v>
      </c>
      <c r="K214" t="str">
        <f t="shared" si="54"/>
        <v>N/A</v>
      </c>
      <c r="L214" t="str">
        <f t="shared" si="55"/>
        <v>N/A</v>
      </c>
      <c r="M214" t="str">
        <f t="shared" si="56"/>
        <v>N/A</v>
      </c>
      <c r="N214" t="str">
        <f t="shared" si="57"/>
        <v>N/A</v>
      </c>
      <c r="P214">
        <f t="shared" si="58"/>
        <v>0</v>
      </c>
      <c r="Q214" t="str">
        <f>IFERROR(J144+MATCH(P214,J214:N214,0)-1,"")</f>
        <v/>
      </c>
      <c r="R214" t="str">
        <f t="shared" si="59"/>
        <v/>
      </c>
      <c r="S214" t="str">
        <f>IFERROR(J144+MATCH(R214,J214:N214,0)-1,"")</f>
        <v/>
      </c>
      <c r="T214" t="str">
        <f t="shared" si="60"/>
        <v/>
      </c>
      <c r="U214" t="str">
        <f t="shared" si="61"/>
        <v/>
      </c>
      <c r="V214" t="str">
        <f t="shared" si="62"/>
        <v/>
      </c>
      <c r="W214" t="str">
        <f t="shared" si="63"/>
        <v/>
      </c>
      <c r="X214" t="str">
        <f t="shared" si="64"/>
        <v/>
      </c>
      <c r="Y214" t="str">
        <f t="shared" si="65"/>
        <v/>
      </c>
      <c r="Z214" t="str">
        <f t="shared" si="66"/>
        <v/>
      </c>
      <c r="AA214">
        <f t="shared" si="67"/>
        <v>0</v>
      </c>
      <c r="AB214" t="str">
        <f>IFERROR(V144+MATCH(AA214,V214:Z214,0)-1,"")</f>
        <v/>
      </c>
      <c r="AC214" t="str">
        <f t="shared" si="68"/>
        <v/>
      </c>
      <c r="AE214" t="str">
        <f>IF(ISNUMBER(MATCH("N/A",J214:N214,0)),"",IFERROR((5 * SUMPRODUCT(J144:N144,J214:N214) - PRODUCT(SUM(J144:N144),SUM(J214:N214))) / ((5 * SUM((J144^2)+(K144^2)+(L144^2)+(M144^2)+(N144^2))) - SUM(J144:N144)^2),""))</f>
        <v/>
      </c>
      <c r="AF214" t="str">
        <f>IFERROR(CORREL(J144:N144,J214:N214),"")</f>
        <v/>
      </c>
      <c r="AZ214">
        <f t="shared" si="69"/>
        <v>0</v>
      </c>
      <c r="BA214" t="str">
        <f>IF(AZ214=1,IF(Q214="","",IF(Q214=N144,"Yes","No")),"")</f>
        <v/>
      </c>
      <c r="BB214" t="str">
        <f t="shared" si="70"/>
        <v/>
      </c>
      <c r="BC214" t="str">
        <f>IF(AZ214=1,IF(S214="","",IF(S214=N144,"Yes","No")),"")</f>
        <v/>
      </c>
      <c r="BD214" t="str">
        <f t="shared" si="71"/>
        <v/>
      </c>
      <c r="BE214" t="str">
        <f t="shared" si="72"/>
        <v/>
      </c>
      <c r="BF214" t="str">
        <f t="shared" si="73"/>
        <v>No</v>
      </c>
      <c r="BG214" t="str">
        <f t="shared" si="74"/>
        <v>No</v>
      </c>
      <c r="BH214" t="str">
        <f t="shared" si="75"/>
        <v/>
      </c>
    </row>
    <row r="215" spans="9:60" x14ac:dyDescent="0.3">
      <c r="I215" t="str">
        <f t="shared" si="52"/>
        <v>N/A</v>
      </c>
      <c r="J215" t="str">
        <f t="shared" si="53"/>
        <v>N/A</v>
      </c>
      <c r="K215" t="str">
        <f t="shared" si="54"/>
        <v>N/A</v>
      </c>
      <c r="L215" t="str">
        <f t="shared" si="55"/>
        <v>N/A</v>
      </c>
      <c r="M215" t="str">
        <f t="shared" si="56"/>
        <v>N/A</v>
      </c>
      <c r="N215" t="str">
        <f t="shared" si="57"/>
        <v>N/A</v>
      </c>
      <c r="P215">
        <f t="shared" si="58"/>
        <v>0</v>
      </c>
      <c r="Q215" t="str">
        <f>IFERROR(J144+MATCH(P215,J215:N215,0)-1,"")</f>
        <v/>
      </c>
      <c r="R215" t="str">
        <f t="shared" si="59"/>
        <v/>
      </c>
      <c r="S215" t="str">
        <f>IFERROR(J144+MATCH(R215,J215:N215,0)-1,"")</f>
        <v/>
      </c>
      <c r="T215" t="str">
        <f t="shared" si="60"/>
        <v/>
      </c>
      <c r="U215" t="str">
        <f t="shared" si="61"/>
        <v/>
      </c>
      <c r="V215" t="str">
        <f t="shared" si="62"/>
        <v/>
      </c>
      <c r="W215" t="str">
        <f t="shared" si="63"/>
        <v/>
      </c>
      <c r="X215" t="str">
        <f t="shared" si="64"/>
        <v/>
      </c>
      <c r="Y215" t="str">
        <f t="shared" si="65"/>
        <v/>
      </c>
      <c r="Z215" t="str">
        <f t="shared" si="66"/>
        <v/>
      </c>
      <c r="AA215">
        <f t="shared" si="67"/>
        <v>0</v>
      </c>
      <c r="AB215" t="str">
        <f>IFERROR(V144+MATCH(AA215,V215:Z215,0)-1,"")</f>
        <v/>
      </c>
      <c r="AC215" t="str">
        <f t="shared" si="68"/>
        <v/>
      </c>
      <c r="AE215" t="str">
        <f>IF(ISNUMBER(MATCH("N/A",J215:N215,0)),"",IFERROR((5 * SUMPRODUCT(J144:N144,J215:N215) - PRODUCT(SUM(J144:N144),SUM(J215:N215))) / ((5 * SUM((J144^2)+(K144^2)+(L144^2)+(M144^2)+(N144^2))) - SUM(J144:N144)^2),""))</f>
        <v/>
      </c>
      <c r="AF215" t="str">
        <f>IFERROR(CORREL(J144:N144,J215:N215),"")</f>
        <v/>
      </c>
      <c r="AZ215">
        <f t="shared" si="69"/>
        <v>0</v>
      </c>
      <c r="BA215" t="str">
        <f>IF(AZ215=1,IF(Q215="","",IF(Q215=N144,"Yes","No")),"")</f>
        <v/>
      </c>
      <c r="BB215" t="str">
        <f t="shared" si="70"/>
        <v/>
      </c>
      <c r="BC215" t="str">
        <f>IF(AZ215=1,IF(S215="","",IF(S215=N144,"Yes","No")),"")</f>
        <v/>
      </c>
      <c r="BD215" t="str">
        <f t="shared" si="71"/>
        <v/>
      </c>
      <c r="BE215" t="str">
        <f t="shared" si="72"/>
        <v/>
      </c>
      <c r="BF215" t="str">
        <f t="shared" si="73"/>
        <v>No</v>
      </c>
      <c r="BG215" t="str">
        <f t="shared" si="74"/>
        <v>No</v>
      </c>
      <c r="BH215" t="str">
        <f t="shared" si="75"/>
        <v/>
      </c>
    </row>
    <row r="216" spans="9:60" x14ac:dyDescent="0.3">
      <c r="I216" t="str">
        <f t="shared" si="52"/>
        <v>N/A</v>
      </c>
      <c r="J216" t="str">
        <f t="shared" si="53"/>
        <v>N/A</v>
      </c>
      <c r="K216" t="str">
        <f t="shared" si="54"/>
        <v>N/A</v>
      </c>
      <c r="L216" t="str">
        <f t="shared" si="55"/>
        <v>N/A</v>
      </c>
      <c r="M216" t="str">
        <f t="shared" si="56"/>
        <v>N/A</v>
      </c>
      <c r="N216" t="str">
        <f t="shared" si="57"/>
        <v>N/A</v>
      </c>
      <c r="P216">
        <f t="shared" si="58"/>
        <v>0</v>
      </c>
      <c r="Q216" t="str">
        <f>IFERROR(J144+MATCH(P216,J216:N216,0)-1,"")</f>
        <v/>
      </c>
      <c r="R216" t="str">
        <f t="shared" si="59"/>
        <v/>
      </c>
      <c r="S216" t="str">
        <f>IFERROR(J144+MATCH(R216,J216:N216,0)-1,"")</f>
        <v/>
      </c>
      <c r="T216" t="str">
        <f t="shared" si="60"/>
        <v/>
      </c>
      <c r="U216" t="str">
        <f t="shared" si="61"/>
        <v/>
      </c>
      <c r="V216" t="str">
        <f t="shared" si="62"/>
        <v/>
      </c>
      <c r="W216" t="str">
        <f t="shared" si="63"/>
        <v/>
      </c>
      <c r="X216" t="str">
        <f t="shared" si="64"/>
        <v/>
      </c>
      <c r="Y216" t="str">
        <f t="shared" si="65"/>
        <v/>
      </c>
      <c r="Z216" t="str">
        <f t="shared" si="66"/>
        <v/>
      </c>
      <c r="AA216">
        <f t="shared" si="67"/>
        <v>0</v>
      </c>
      <c r="AB216" t="str">
        <f>IFERROR(V144+MATCH(AA216,V216:Z216,0)-1,"")</f>
        <v/>
      </c>
      <c r="AC216" t="str">
        <f t="shared" si="68"/>
        <v/>
      </c>
      <c r="AE216" t="str">
        <f>IF(ISNUMBER(MATCH("N/A",J216:N216,0)),"",IFERROR((5 * SUMPRODUCT(J144:N144,J216:N216) - PRODUCT(SUM(J144:N144),SUM(J216:N216))) / ((5 * SUM((J144^2)+(K144^2)+(L144^2)+(M144^2)+(N144^2))) - SUM(J144:N144)^2),""))</f>
        <v/>
      </c>
      <c r="AF216" t="str">
        <f>IFERROR(CORREL(J144:N144,J216:N216),"")</f>
        <v/>
      </c>
      <c r="AZ216">
        <f t="shared" si="69"/>
        <v>0</v>
      </c>
      <c r="BA216" t="str">
        <f>IF(AZ216=1,IF(Q216="","",IF(Q216=N144,"Yes","No")),"")</f>
        <v/>
      </c>
      <c r="BB216" t="str">
        <f t="shared" si="70"/>
        <v/>
      </c>
      <c r="BC216" t="str">
        <f>IF(AZ216=1,IF(S216="","",IF(S216=N144,"Yes","No")),"")</f>
        <v/>
      </c>
      <c r="BD216" t="str">
        <f t="shared" si="71"/>
        <v/>
      </c>
      <c r="BE216" t="str">
        <f t="shared" si="72"/>
        <v/>
      </c>
      <c r="BF216" t="str">
        <f t="shared" si="73"/>
        <v>No</v>
      </c>
      <c r="BG216" t="str">
        <f t="shared" si="74"/>
        <v>No</v>
      </c>
      <c r="BH216" t="str">
        <f t="shared" si="75"/>
        <v/>
      </c>
    </row>
    <row r="217" spans="9:60" x14ac:dyDescent="0.3">
      <c r="I217" t="str">
        <f t="shared" si="52"/>
        <v>N/A</v>
      </c>
      <c r="J217" t="str">
        <f t="shared" si="53"/>
        <v>N/A</v>
      </c>
      <c r="K217" t="str">
        <f t="shared" si="54"/>
        <v>N/A</v>
      </c>
      <c r="L217" t="str">
        <f t="shared" si="55"/>
        <v>N/A</v>
      </c>
      <c r="M217" t="str">
        <f t="shared" si="56"/>
        <v>N/A</v>
      </c>
      <c r="N217" t="str">
        <f t="shared" si="57"/>
        <v>N/A</v>
      </c>
      <c r="P217">
        <f t="shared" si="58"/>
        <v>0</v>
      </c>
      <c r="Q217" t="str">
        <f>IFERROR(J144+MATCH(P217,J217:N217,0)-1,"")</f>
        <v/>
      </c>
      <c r="R217" t="str">
        <f t="shared" si="59"/>
        <v/>
      </c>
      <c r="S217" t="str">
        <f>IFERROR(J144+MATCH(R217,J217:N217,0)-1,"")</f>
        <v/>
      </c>
      <c r="T217" t="str">
        <f t="shared" si="60"/>
        <v/>
      </c>
      <c r="U217" t="str">
        <f t="shared" si="61"/>
        <v/>
      </c>
      <c r="V217" t="str">
        <f t="shared" si="62"/>
        <v/>
      </c>
      <c r="W217" t="str">
        <f t="shared" si="63"/>
        <v/>
      </c>
      <c r="X217" t="str">
        <f t="shared" si="64"/>
        <v/>
      </c>
      <c r="Y217" t="str">
        <f t="shared" si="65"/>
        <v/>
      </c>
      <c r="Z217" t="str">
        <f t="shared" si="66"/>
        <v/>
      </c>
      <c r="AA217">
        <f t="shared" si="67"/>
        <v>0</v>
      </c>
      <c r="AB217" t="str">
        <f>IFERROR(V144+MATCH(AA217,V217:Z217,0)-1,"")</f>
        <v/>
      </c>
      <c r="AC217" t="str">
        <f t="shared" si="68"/>
        <v/>
      </c>
      <c r="AE217" t="str">
        <f>IF(ISNUMBER(MATCH("N/A",J217:N217,0)),"",IFERROR((5 * SUMPRODUCT(J144:N144,J217:N217) - PRODUCT(SUM(J144:N144),SUM(J217:N217))) / ((5 * SUM((J144^2)+(K144^2)+(L144^2)+(M144^2)+(N144^2))) - SUM(J144:N144)^2),""))</f>
        <v/>
      </c>
      <c r="AF217" t="str">
        <f>IFERROR(CORREL(J144:N144,J217:N217),"")</f>
        <v/>
      </c>
      <c r="AZ217">
        <f t="shared" si="69"/>
        <v>0</v>
      </c>
      <c r="BA217" t="str">
        <f>IF(AZ217=1,IF(Q217="","",IF(Q217=N144,"Yes","No")),"")</f>
        <v/>
      </c>
      <c r="BB217" t="str">
        <f t="shared" si="70"/>
        <v/>
      </c>
      <c r="BC217" t="str">
        <f>IF(AZ217=1,IF(S217="","",IF(S217=N144,"Yes","No")),"")</f>
        <v/>
      </c>
      <c r="BD217" t="str">
        <f t="shared" si="71"/>
        <v/>
      </c>
      <c r="BE217" t="str">
        <f t="shared" si="72"/>
        <v/>
      </c>
      <c r="BF217" t="str">
        <f t="shared" si="73"/>
        <v>No</v>
      </c>
      <c r="BG217" t="str">
        <f t="shared" si="74"/>
        <v>No</v>
      </c>
      <c r="BH217" t="str">
        <f t="shared" si="75"/>
        <v/>
      </c>
    </row>
    <row r="218" spans="9:60" x14ac:dyDescent="0.3">
      <c r="I218" t="str">
        <f t="shared" si="52"/>
        <v>N/A</v>
      </c>
      <c r="J218" t="str">
        <f t="shared" si="53"/>
        <v>N/A</v>
      </c>
      <c r="K218" t="str">
        <f t="shared" si="54"/>
        <v>N/A</v>
      </c>
      <c r="L218" t="str">
        <f t="shared" si="55"/>
        <v>N/A</v>
      </c>
      <c r="M218" t="str">
        <f t="shared" si="56"/>
        <v>N/A</v>
      </c>
      <c r="N218" t="str">
        <f t="shared" si="57"/>
        <v>N/A</v>
      </c>
      <c r="P218">
        <f t="shared" si="58"/>
        <v>0</v>
      </c>
      <c r="Q218" t="str">
        <f>IFERROR(J144+MATCH(P218,J218:N218,0)-1,"")</f>
        <v/>
      </c>
      <c r="R218" t="str">
        <f t="shared" si="59"/>
        <v/>
      </c>
      <c r="S218" t="str">
        <f>IFERROR(J144+MATCH(R218,J218:N218,0)-1,"")</f>
        <v/>
      </c>
      <c r="T218" t="str">
        <f t="shared" si="60"/>
        <v/>
      </c>
      <c r="U218" t="str">
        <f t="shared" si="61"/>
        <v/>
      </c>
      <c r="V218" t="str">
        <f t="shared" si="62"/>
        <v/>
      </c>
      <c r="W218" t="str">
        <f t="shared" si="63"/>
        <v/>
      </c>
      <c r="X218" t="str">
        <f t="shared" si="64"/>
        <v/>
      </c>
      <c r="Y218" t="str">
        <f t="shared" si="65"/>
        <v/>
      </c>
      <c r="Z218" t="str">
        <f t="shared" si="66"/>
        <v/>
      </c>
      <c r="AA218">
        <f t="shared" si="67"/>
        <v>0</v>
      </c>
      <c r="AB218" t="str">
        <f>IFERROR(V144+MATCH(AA218,V218:Z218,0)-1,"")</f>
        <v/>
      </c>
      <c r="AC218" t="str">
        <f t="shared" si="68"/>
        <v/>
      </c>
      <c r="AE218" t="str">
        <f>IF(ISNUMBER(MATCH("N/A",J218:N218,0)),"",IFERROR((5 * SUMPRODUCT(J144:N144,J218:N218) - PRODUCT(SUM(J144:N144),SUM(J218:N218))) / ((5 * SUM((J144^2)+(K144^2)+(L144^2)+(M144^2)+(N144^2))) - SUM(J144:N144)^2),""))</f>
        <v/>
      </c>
      <c r="AF218" t="str">
        <f>IFERROR(CORREL(J144:N144,J218:N218),"")</f>
        <v/>
      </c>
      <c r="AZ218">
        <f t="shared" si="69"/>
        <v>0</v>
      </c>
      <c r="BA218" t="str">
        <f>IF(AZ218=1,IF(Q218="","",IF(Q218=N144,"Yes","No")),"")</f>
        <v/>
      </c>
      <c r="BB218" t="str">
        <f t="shared" si="70"/>
        <v/>
      </c>
      <c r="BC218" t="str">
        <f>IF(AZ218=1,IF(S218="","",IF(S218=N144,"Yes","No")),"")</f>
        <v/>
      </c>
      <c r="BD218" t="str">
        <f t="shared" si="71"/>
        <v/>
      </c>
      <c r="BE218" t="str">
        <f t="shared" si="72"/>
        <v/>
      </c>
      <c r="BF218" t="str">
        <f t="shared" si="73"/>
        <v>No</v>
      </c>
      <c r="BG218" t="str">
        <f t="shared" si="74"/>
        <v>No</v>
      </c>
      <c r="BH218" t="str">
        <f t="shared" si="75"/>
        <v/>
      </c>
    </row>
    <row r="219" spans="9:60" x14ac:dyDescent="0.3">
      <c r="I219" t="str">
        <f t="shared" si="52"/>
        <v>N/A</v>
      </c>
      <c r="J219" t="str">
        <f t="shared" si="53"/>
        <v>N/A</v>
      </c>
      <c r="K219" t="str">
        <f t="shared" si="54"/>
        <v>N/A</v>
      </c>
      <c r="L219" t="str">
        <f t="shared" si="55"/>
        <v>N/A</v>
      </c>
      <c r="M219" t="str">
        <f t="shared" si="56"/>
        <v>N/A</v>
      </c>
      <c r="N219" t="str">
        <f t="shared" si="57"/>
        <v>N/A</v>
      </c>
      <c r="P219">
        <f t="shared" si="58"/>
        <v>0</v>
      </c>
      <c r="Q219" t="str">
        <f>IFERROR(J144+MATCH(P219,J219:N219,0)-1,"")</f>
        <v/>
      </c>
      <c r="R219" t="str">
        <f t="shared" si="59"/>
        <v/>
      </c>
      <c r="S219" t="str">
        <f>IFERROR(J144+MATCH(R219,J219:N219,0)-1,"")</f>
        <v/>
      </c>
      <c r="T219" t="str">
        <f t="shared" si="60"/>
        <v/>
      </c>
      <c r="U219" t="str">
        <f t="shared" si="61"/>
        <v/>
      </c>
      <c r="V219" t="str">
        <f t="shared" si="62"/>
        <v/>
      </c>
      <c r="W219" t="str">
        <f t="shared" si="63"/>
        <v/>
      </c>
      <c r="X219" t="str">
        <f t="shared" si="64"/>
        <v/>
      </c>
      <c r="Y219" t="str">
        <f t="shared" si="65"/>
        <v/>
      </c>
      <c r="Z219" t="str">
        <f t="shared" si="66"/>
        <v/>
      </c>
      <c r="AA219">
        <f t="shared" si="67"/>
        <v>0</v>
      </c>
      <c r="AB219" t="str">
        <f>IFERROR(V144+MATCH(AA219,V219:Z219,0)-1,"")</f>
        <v/>
      </c>
      <c r="AC219" t="str">
        <f t="shared" si="68"/>
        <v/>
      </c>
      <c r="AE219" t="str">
        <f>IF(ISNUMBER(MATCH("N/A",J219:N219,0)),"",IFERROR((5 * SUMPRODUCT(J144:N144,J219:N219) - PRODUCT(SUM(J144:N144),SUM(J219:N219))) / ((5 * SUM((J144^2)+(K144^2)+(L144^2)+(M144^2)+(N144^2))) - SUM(J144:N144)^2),""))</f>
        <v/>
      </c>
      <c r="AF219" t="str">
        <f>IFERROR(CORREL(J144:N144,J219:N219),"")</f>
        <v/>
      </c>
      <c r="AZ219">
        <f t="shared" si="69"/>
        <v>0</v>
      </c>
      <c r="BA219" t="str">
        <f>IF(AZ219=1,IF(Q219="","",IF(Q219=N144,"Yes","No")),"")</f>
        <v/>
      </c>
      <c r="BB219" t="str">
        <f t="shared" si="70"/>
        <v/>
      </c>
      <c r="BC219" t="str">
        <f>IF(AZ219=1,IF(S219="","",IF(S219=N144,"Yes","No")),"")</f>
        <v/>
      </c>
      <c r="BD219" t="str">
        <f t="shared" si="71"/>
        <v/>
      </c>
      <c r="BE219" t="str">
        <f t="shared" si="72"/>
        <v/>
      </c>
      <c r="BF219" t="str">
        <f t="shared" si="73"/>
        <v>No</v>
      </c>
      <c r="BG219" t="str">
        <f t="shared" si="74"/>
        <v>No</v>
      </c>
      <c r="BH219" t="str">
        <f t="shared" si="75"/>
        <v/>
      </c>
    </row>
    <row r="220" spans="9:60" x14ac:dyDescent="0.3">
      <c r="I220" t="str">
        <f t="shared" si="52"/>
        <v>N/A</v>
      </c>
      <c r="J220" t="str">
        <f t="shared" si="53"/>
        <v>N/A</v>
      </c>
      <c r="K220" t="str">
        <f t="shared" si="54"/>
        <v>N/A</v>
      </c>
      <c r="L220" t="str">
        <f t="shared" si="55"/>
        <v>N/A</v>
      </c>
      <c r="M220" t="str">
        <f t="shared" si="56"/>
        <v>N/A</v>
      </c>
      <c r="N220" t="str">
        <f t="shared" si="57"/>
        <v>N/A</v>
      </c>
      <c r="P220">
        <f t="shared" si="58"/>
        <v>0</v>
      </c>
      <c r="Q220" t="str">
        <f>IFERROR(J144+MATCH(P220,J220:N220,0)-1,"")</f>
        <v/>
      </c>
      <c r="R220" t="str">
        <f t="shared" si="59"/>
        <v/>
      </c>
      <c r="S220" t="str">
        <f>IFERROR(J144+MATCH(R220,J220:N220,0)-1,"")</f>
        <v/>
      </c>
      <c r="T220" t="str">
        <f t="shared" si="60"/>
        <v/>
      </c>
      <c r="U220" t="str">
        <f t="shared" si="61"/>
        <v/>
      </c>
      <c r="V220" t="str">
        <f t="shared" si="62"/>
        <v/>
      </c>
      <c r="W220" t="str">
        <f t="shared" si="63"/>
        <v/>
      </c>
      <c r="X220" t="str">
        <f t="shared" si="64"/>
        <v/>
      </c>
      <c r="Y220" t="str">
        <f t="shared" si="65"/>
        <v/>
      </c>
      <c r="Z220" t="str">
        <f t="shared" si="66"/>
        <v/>
      </c>
      <c r="AA220">
        <f t="shared" si="67"/>
        <v>0</v>
      </c>
      <c r="AB220" t="str">
        <f>IFERROR(V144+MATCH(AA220,V220:Z220,0)-1,"")</f>
        <v/>
      </c>
      <c r="AC220" t="str">
        <f t="shared" si="68"/>
        <v/>
      </c>
      <c r="AE220" t="str">
        <f>IF(ISNUMBER(MATCH("N/A",J220:N220,0)),"",IFERROR((5 * SUMPRODUCT(J144:N144,J220:N220) - PRODUCT(SUM(J144:N144),SUM(J220:N220))) / ((5 * SUM((J144^2)+(K144^2)+(L144^2)+(M144^2)+(N144^2))) - SUM(J144:N144)^2),""))</f>
        <v/>
      </c>
      <c r="AF220" t="str">
        <f>IFERROR(CORREL(J144:N144,J220:N220),"")</f>
        <v/>
      </c>
      <c r="AZ220">
        <f t="shared" si="69"/>
        <v>0</v>
      </c>
      <c r="BA220" t="str">
        <f>IF(AZ220=1,IF(Q220="","",IF(Q220=N144,"Yes","No")),"")</f>
        <v/>
      </c>
      <c r="BB220" t="str">
        <f t="shared" si="70"/>
        <v/>
      </c>
      <c r="BC220" t="str">
        <f>IF(AZ220=1,IF(S220="","",IF(S220=N144,"Yes","No")),"")</f>
        <v/>
      </c>
      <c r="BD220" t="str">
        <f t="shared" si="71"/>
        <v/>
      </c>
      <c r="BE220" t="str">
        <f t="shared" si="72"/>
        <v/>
      </c>
      <c r="BF220" t="str">
        <f t="shared" si="73"/>
        <v>No</v>
      </c>
      <c r="BG220" t="str">
        <f t="shared" si="74"/>
        <v>No</v>
      </c>
      <c r="BH220" t="str">
        <f t="shared" si="75"/>
        <v/>
      </c>
    </row>
    <row r="221" spans="9:60" x14ac:dyDescent="0.3">
      <c r="I221" t="str">
        <f t="shared" si="52"/>
        <v>N/A</v>
      </c>
      <c r="J221" t="str">
        <f t="shared" si="53"/>
        <v>N/A</v>
      </c>
      <c r="K221" t="str">
        <f t="shared" si="54"/>
        <v>N/A</v>
      </c>
      <c r="L221" t="str">
        <f t="shared" si="55"/>
        <v>N/A</v>
      </c>
      <c r="M221" t="str">
        <f t="shared" si="56"/>
        <v>N/A</v>
      </c>
      <c r="N221" t="str">
        <f t="shared" si="57"/>
        <v>N/A</v>
      </c>
      <c r="P221">
        <f t="shared" si="58"/>
        <v>0</v>
      </c>
      <c r="Q221" t="str">
        <f>IFERROR(J144+MATCH(P221,J221:N221,0)-1,"")</f>
        <v/>
      </c>
      <c r="R221" t="str">
        <f t="shared" si="59"/>
        <v/>
      </c>
      <c r="S221" t="str">
        <f>IFERROR(J144+MATCH(R221,J221:N221,0)-1,"")</f>
        <v/>
      </c>
      <c r="T221" t="str">
        <f t="shared" si="60"/>
        <v/>
      </c>
      <c r="U221" t="str">
        <f t="shared" si="61"/>
        <v/>
      </c>
      <c r="V221" t="str">
        <f t="shared" si="62"/>
        <v/>
      </c>
      <c r="W221" t="str">
        <f t="shared" si="63"/>
        <v/>
      </c>
      <c r="X221" t="str">
        <f t="shared" si="64"/>
        <v/>
      </c>
      <c r="Y221" t="str">
        <f t="shared" si="65"/>
        <v/>
      </c>
      <c r="Z221" t="str">
        <f t="shared" si="66"/>
        <v/>
      </c>
      <c r="AA221">
        <f t="shared" si="67"/>
        <v>0</v>
      </c>
      <c r="AB221" t="str">
        <f>IFERROR(V144+MATCH(AA221,V221:Z221,0)-1,"")</f>
        <v/>
      </c>
      <c r="AC221" t="str">
        <f t="shared" si="68"/>
        <v/>
      </c>
      <c r="AE221" t="str">
        <f>IF(ISNUMBER(MATCH("N/A",J221:N221,0)),"",IFERROR((5 * SUMPRODUCT(J144:N144,J221:N221) - PRODUCT(SUM(J144:N144),SUM(J221:N221))) / ((5 * SUM((J144^2)+(K144^2)+(L144^2)+(M144^2)+(N144^2))) - SUM(J144:N144)^2),""))</f>
        <v/>
      </c>
      <c r="AF221" t="str">
        <f>IFERROR(CORREL(J144:N144,J221:N221),"")</f>
        <v/>
      </c>
      <c r="AZ221">
        <f t="shared" si="69"/>
        <v>0</v>
      </c>
      <c r="BA221" t="str">
        <f>IF(AZ221=1,IF(Q221="","",IF(Q221=N144,"Yes","No")),"")</f>
        <v/>
      </c>
      <c r="BB221" t="str">
        <f t="shared" si="70"/>
        <v/>
      </c>
      <c r="BC221" t="str">
        <f>IF(AZ221=1,IF(S221="","",IF(S221=N144,"Yes","No")),"")</f>
        <v/>
      </c>
      <c r="BD221" t="str">
        <f t="shared" si="71"/>
        <v/>
      </c>
      <c r="BE221" t="str">
        <f t="shared" si="72"/>
        <v/>
      </c>
      <c r="BF221" t="str">
        <f t="shared" si="73"/>
        <v>No</v>
      </c>
      <c r="BG221" t="str">
        <f t="shared" si="74"/>
        <v>No</v>
      </c>
      <c r="BH221" t="str">
        <f t="shared" si="75"/>
        <v/>
      </c>
    </row>
    <row r="222" spans="9:60" x14ac:dyDescent="0.3">
      <c r="I222" t="str">
        <f t="shared" si="52"/>
        <v>N/A</v>
      </c>
      <c r="J222" t="str">
        <f t="shared" si="53"/>
        <v>N/A</v>
      </c>
      <c r="K222" t="str">
        <f t="shared" si="54"/>
        <v>N/A</v>
      </c>
      <c r="L222" t="str">
        <f t="shared" si="55"/>
        <v>N/A</v>
      </c>
      <c r="M222" t="str">
        <f t="shared" si="56"/>
        <v>N/A</v>
      </c>
      <c r="N222" t="str">
        <f t="shared" si="57"/>
        <v>N/A</v>
      </c>
      <c r="P222">
        <f t="shared" si="58"/>
        <v>0</v>
      </c>
      <c r="Q222" t="str">
        <f>IFERROR(J144+MATCH(P222,J222:N222,0)-1,"")</f>
        <v/>
      </c>
      <c r="R222" t="str">
        <f t="shared" si="59"/>
        <v/>
      </c>
      <c r="S222" t="str">
        <f>IFERROR(J144+MATCH(R222,J222:N222,0)-1,"")</f>
        <v/>
      </c>
      <c r="T222" t="str">
        <f t="shared" si="60"/>
        <v/>
      </c>
      <c r="U222" t="str">
        <f t="shared" si="61"/>
        <v/>
      </c>
      <c r="V222" t="str">
        <f t="shared" si="62"/>
        <v/>
      </c>
      <c r="W222" t="str">
        <f t="shared" si="63"/>
        <v/>
      </c>
      <c r="X222" t="str">
        <f t="shared" si="64"/>
        <v/>
      </c>
      <c r="Y222" t="str">
        <f t="shared" si="65"/>
        <v/>
      </c>
      <c r="Z222" t="str">
        <f t="shared" si="66"/>
        <v/>
      </c>
      <c r="AA222">
        <f t="shared" si="67"/>
        <v>0</v>
      </c>
      <c r="AB222" t="str">
        <f>IFERROR(V144+MATCH(AA222,V222:Z222,0)-1,"")</f>
        <v/>
      </c>
      <c r="AC222" t="str">
        <f t="shared" si="68"/>
        <v/>
      </c>
      <c r="AE222" t="str">
        <f>IF(ISNUMBER(MATCH("N/A",J222:N222,0)),"",IFERROR((5 * SUMPRODUCT(J144:N144,J222:N222) - PRODUCT(SUM(J144:N144),SUM(J222:N222))) / ((5 * SUM((J144^2)+(K144^2)+(L144^2)+(M144^2)+(N144^2))) - SUM(J144:N144)^2),""))</f>
        <v/>
      </c>
      <c r="AF222" t="str">
        <f>IFERROR(CORREL(J144:N144,J222:N222),"")</f>
        <v/>
      </c>
      <c r="AZ222">
        <f t="shared" si="69"/>
        <v>0</v>
      </c>
      <c r="BA222" t="str">
        <f>IF(AZ222=1,IF(Q222="","",IF(Q222=N144,"Yes","No")),"")</f>
        <v/>
      </c>
      <c r="BB222" t="str">
        <f t="shared" si="70"/>
        <v/>
      </c>
      <c r="BC222" t="str">
        <f>IF(AZ222=1,IF(S222="","",IF(S222=N144,"Yes","No")),"")</f>
        <v/>
      </c>
      <c r="BD222" t="str">
        <f t="shared" si="71"/>
        <v/>
      </c>
      <c r="BE222" t="str">
        <f t="shared" si="72"/>
        <v/>
      </c>
      <c r="BF222" t="str">
        <f t="shared" si="73"/>
        <v>No</v>
      </c>
      <c r="BG222" t="str">
        <f t="shared" si="74"/>
        <v>No</v>
      </c>
      <c r="BH222" t="str">
        <f t="shared" si="75"/>
        <v/>
      </c>
    </row>
    <row r="223" spans="9:60" x14ac:dyDescent="0.3">
      <c r="I223" t="str">
        <f t="shared" si="52"/>
        <v>N/A</v>
      </c>
      <c r="J223" t="str">
        <f t="shared" si="53"/>
        <v>N/A</v>
      </c>
      <c r="K223" t="str">
        <f t="shared" si="54"/>
        <v>N/A</v>
      </c>
      <c r="L223" t="str">
        <f t="shared" si="55"/>
        <v>N/A</v>
      </c>
      <c r="M223" t="str">
        <f t="shared" si="56"/>
        <v>N/A</v>
      </c>
      <c r="N223" t="str">
        <f t="shared" si="57"/>
        <v>N/A</v>
      </c>
      <c r="P223">
        <f t="shared" si="58"/>
        <v>0</v>
      </c>
      <c r="Q223" t="str">
        <f>IFERROR(J144+MATCH(P223,J223:N223,0)-1,"")</f>
        <v/>
      </c>
      <c r="R223" t="str">
        <f t="shared" si="59"/>
        <v/>
      </c>
      <c r="S223" t="str">
        <f>IFERROR(J144+MATCH(R223,J223:N223,0)-1,"")</f>
        <v/>
      </c>
      <c r="T223" t="str">
        <f t="shared" si="60"/>
        <v/>
      </c>
      <c r="U223" t="str">
        <f t="shared" si="61"/>
        <v/>
      </c>
      <c r="V223" t="str">
        <f t="shared" si="62"/>
        <v/>
      </c>
      <c r="W223" t="str">
        <f t="shared" si="63"/>
        <v/>
      </c>
      <c r="X223" t="str">
        <f t="shared" si="64"/>
        <v/>
      </c>
      <c r="Y223" t="str">
        <f t="shared" si="65"/>
        <v/>
      </c>
      <c r="Z223" t="str">
        <f t="shared" si="66"/>
        <v/>
      </c>
      <c r="AA223">
        <f t="shared" si="67"/>
        <v>0</v>
      </c>
      <c r="AB223" t="str">
        <f>IFERROR(V144+MATCH(AA223,V223:Z223,0)-1,"")</f>
        <v/>
      </c>
      <c r="AC223" t="str">
        <f t="shared" si="68"/>
        <v/>
      </c>
      <c r="AE223" t="str">
        <f>IF(ISNUMBER(MATCH("N/A",J223:N223,0)),"",IFERROR((5 * SUMPRODUCT(J144:N144,J223:N223) - PRODUCT(SUM(J144:N144),SUM(J223:N223))) / ((5 * SUM((J144^2)+(K144^2)+(L144^2)+(M144^2)+(N144^2))) - SUM(J144:N144)^2),""))</f>
        <v/>
      </c>
      <c r="AF223" t="str">
        <f>IFERROR(CORREL(J144:N144,J223:N223),"")</f>
        <v/>
      </c>
      <c r="AZ223">
        <f t="shared" si="69"/>
        <v>0</v>
      </c>
      <c r="BA223" t="str">
        <f>IF(AZ223=1,IF(Q223="","",IF(Q223=N144,"Yes","No")),"")</f>
        <v/>
      </c>
      <c r="BB223" t="str">
        <f t="shared" si="70"/>
        <v/>
      </c>
      <c r="BC223" t="str">
        <f>IF(AZ223=1,IF(S223="","",IF(S223=N144,"Yes","No")),"")</f>
        <v/>
      </c>
      <c r="BD223" t="str">
        <f t="shared" si="71"/>
        <v/>
      </c>
      <c r="BE223" t="str">
        <f t="shared" si="72"/>
        <v/>
      </c>
      <c r="BF223" t="str">
        <f t="shared" si="73"/>
        <v>No</v>
      </c>
      <c r="BG223" t="str">
        <f t="shared" si="74"/>
        <v>No</v>
      </c>
      <c r="BH223" t="str">
        <f t="shared" si="75"/>
        <v/>
      </c>
    </row>
    <row r="224" spans="9:60" x14ac:dyDescent="0.3">
      <c r="I224" t="str">
        <f t="shared" si="52"/>
        <v>N/A</v>
      </c>
      <c r="J224" t="str">
        <f t="shared" si="53"/>
        <v>N/A</v>
      </c>
      <c r="K224" t="str">
        <f t="shared" si="54"/>
        <v>N/A</v>
      </c>
      <c r="L224" t="str">
        <f t="shared" si="55"/>
        <v>N/A</v>
      </c>
      <c r="M224" t="str">
        <f t="shared" si="56"/>
        <v>N/A</v>
      </c>
      <c r="N224" t="str">
        <f t="shared" si="57"/>
        <v>N/A</v>
      </c>
      <c r="P224">
        <f t="shared" si="58"/>
        <v>0</v>
      </c>
      <c r="Q224" t="str">
        <f>IFERROR(J144+MATCH(P224,J224:N224,0)-1,"")</f>
        <v/>
      </c>
      <c r="R224" t="str">
        <f t="shared" si="59"/>
        <v/>
      </c>
      <c r="S224" t="str">
        <f>IFERROR(J144+MATCH(R224,J224:N224,0)-1,"")</f>
        <v/>
      </c>
      <c r="T224" t="str">
        <f t="shared" si="60"/>
        <v/>
      </c>
      <c r="U224" t="str">
        <f t="shared" si="61"/>
        <v/>
      </c>
      <c r="V224" t="str">
        <f t="shared" si="62"/>
        <v/>
      </c>
      <c r="W224" t="str">
        <f t="shared" si="63"/>
        <v/>
      </c>
      <c r="X224" t="str">
        <f t="shared" si="64"/>
        <v/>
      </c>
      <c r="Y224" t="str">
        <f t="shared" si="65"/>
        <v/>
      </c>
      <c r="Z224" t="str">
        <f t="shared" si="66"/>
        <v/>
      </c>
      <c r="AA224">
        <f t="shared" si="67"/>
        <v>0</v>
      </c>
      <c r="AB224" t="str">
        <f>IFERROR(V144+MATCH(AA224,V224:Z224,0)-1,"")</f>
        <v/>
      </c>
      <c r="AC224" t="str">
        <f t="shared" si="68"/>
        <v/>
      </c>
      <c r="AE224" t="str">
        <f>IF(ISNUMBER(MATCH("N/A",J224:N224,0)),"",IFERROR((5 * SUMPRODUCT(J144:N144,J224:N224) - PRODUCT(SUM(J144:N144),SUM(J224:N224))) / ((5 * SUM((J144^2)+(K144^2)+(L144^2)+(M144^2)+(N144^2))) - SUM(J144:N144)^2),""))</f>
        <v/>
      </c>
      <c r="AF224" t="str">
        <f>IFERROR(CORREL(J144:N144,J224:N224),"")</f>
        <v/>
      </c>
      <c r="AZ224">
        <f t="shared" si="69"/>
        <v>0</v>
      </c>
      <c r="BA224" t="str">
        <f>IF(AZ224=1,IF(Q224="","",IF(Q224=N144,"Yes","No")),"")</f>
        <v/>
      </c>
      <c r="BB224" t="str">
        <f t="shared" si="70"/>
        <v/>
      </c>
      <c r="BC224" t="str">
        <f>IF(AZ224=1,IF(S224="","",IF(S224=N144,"Yes","No")),"")</f>
        <v/>
      </c>
      <c r="BD224" t="str">
        <f t="shared" si="71"/>
        <v/>
      </c>
      <c r="BE224" t="str">
        <f t="shared" si="72"/>
        <v/>
      </c>
      <c r="BF224" t="str">
        <f t="shared" si="73"/>
        <v>No</v>
      </c>
      <c r="BG224" t="str">
        <f t="shared" si="74"/>
        <v>No</v>
      </c>
      <c r="BH224" t="str">
        <f t="shared" si="75"/>
        <v/>
      </c>
    </row>
    <row r="225" spans="9:60" x14ac:dyDescent="0.3">
      <c r="I225" t="str">
        <f t="shared" si="52"/>
        <v>N/A</v>
      </c>
      <c r="J225" t="str">
        <f t="shared" si="53"/>
        <v>N/A</v>
      </c>
      <c r="K225" t="str">
        <f t="shared" si="54"/>
        <v>N/A</v>
      </c>
      <c r="L225" t="str">
        <f t="shared" si="55"/>
        <v>N/A</v>
      </c>
      <c r="M225" t="str">
        <f t="shared" si="56"/>
        <v>N/A</v>
      </c>
      <c r="N225" t="str">
        <f t="shared" si="57"/>
        <v>N/A</v>
      </c>
      <c r="P225">
        <f t="shared" si="58"/>
        <v>0</v>
      </c>
      <c r="Q225" t="str">
        <f>IFERROR(J144+MATCH(P225,J225:N225,0)-1,"")</f>
        <v/>
      </c>
      <c r="R225" t="str">
        <f t="shared" si="59"/>
        <v/>
      </c>
      <c r="S225" t="str">
        <f>IFERROR(J144+MATCH(R225,J225:N225,0)-1,"")</f>
        <v/>
      </c>
      <c r="T225" t="str">
        <f t="shared" si="60"/>
        <v/>
      </c>
      <c r="U225" t="str">
        <f t="shared" si="61"/>
        <v/>
      </c>
      <c r="V225" t="str">
        <f t="shared" si="62"/>
        <v/>
      </c>
      <c r="W225" t="str">
        <f t="shared" si="63"/>
        <v/>
      </c>
      <c r="X225" t="str">
        <f t="shared" si="64"/>
        <v/>
      </c>
      <c r="Y225" t="str">
        <f t="shared" si="65"/>
        <v/>
      </c>
      <c r="Z225" t="str">
        <f t="shared" si="66"/>
        <v/>
      </c>
      <c r="AA225">
        <f t="shared" si="67"/>
        <v>0</v>
      </c>
      <c r="AB225" t="str">
        <f>IFERROR(V144+MATCH(AA225,V225:Z225,0)-1,"")</f>
        <v/>
      </c>
      <c r="AC225" t="str">
        <f t="shared" si="68"/>
        <v/>
      </c>
      <c r="AE225" t="str">
        <f>IF(ISNUMBER(MATCH("N/A",J225:N225,0)),"",IFERROR((5 * SUMPRODUCT(J144:N144,J225:N225) - PRODUCT(SUM(J144:N144),SUM(J225:N225))) / ((5 * SUM((J144^2)+(K144^2)+(L144^2)+(M144^2)+(N144^2))) - SUM(J144:N144)^2),""))</f>
        <v/>
      </c>
      <c r="AF225" t="str">
        <f>IFERROR(CORREL(J144:N144,J225:N225),"")</f>
        <v/>
      </c>
      <c r="AZ225">
        <f t="shared" si="69"/>
        <v>0</v>
      </c>
      <c r="BA225" t="str">
        <f>IF(AZ225=1,IF(Q225="","",IF(Q225=N144,"Yes","No")),"")</f>
        <v/>
      </c>
      <c r="BB225" t="str">
        <f t="shared" si="70"/>
        <v/>
      </c>
      <c r="BC225" t="str">
        <f>IF(AZ225=1,IF(S225="","",IF(S225=N144,"Yes","No")),"")</f>
        <v/>
      </c>
      <c r="BD225" t="str">
        <f t="shared" si="71"/>
        <v/>
      </c>
      <c r="BE225" t="str">
        <f t="shared" si="72"/>
        <v/>
      </c>
      <c r="BF225" t="str">
        <f t="shared" si="73"/>
        <v>No</v>
      </c>
      <c r="BG225" t="str">
        <f t="shared" si="74"/>
        <v>No</v>
      </c>
      <c r="BH225" t="str">
        <f t="shared" si="75"/>
        <v/>
      </c>
    </row>
    <row r="226" spans="9:60" x14ac:dyDescent="0.3">
      <c r="I226" t="str">
        <f t="shared" si="52"/>
        <v>N/A</v>
      </c>
      <c r="J226" t="str">
        <f t="shared" si="53"/>
        <v>N/A</v>
      </c>
      <c r="K226" t="str">
        <f t="shared" si="54"/>
        <v>N/A</v>
      </c>
      <c r="L226" t="str">
        <f t="shared" si="55"/>
        <v>N/A</v>
      </c>
      <c r="M226" t="str">
        <f t="shared" si="56"/>
        <v>N/A</v>
      </c>
      <c r="N226" t="str">
        <f t="shared" si="57"/>
        <v>N/A</v>
      </c>
      <c r="P226">
        <f t="shared" si="58"/>
        <v>0</v>
      </c>
      <c r="Q226" t="str">
        <f>IFERROR(J144+MATCH(P226,J226:N226,0)-1,"")</f>
        <v/>
      </c>
      <c r="R226" t="str">
        <f t="shared" si="59"/>
        <v/>
      </c>
      <c r="S226" t="str">
        <f>IFERROR(J144+MATCH(R226,J226:N226,0)-1,"")</f>
        <v/>
      </c>
      <c r="T226" t="str">
        <f t="shared" si="60"/>
        <v/>
      </c>
      <c r="U226" t="str">
        <f t="shared" si="61"/>
        <v/>
      </c>
      <c r="V226" t="str">
        <f t="shared" si="62"/>
        <v/>
      </c>
      <c r="W226" t="str">
        <f t="shared" si="63"/>
        <v/>
      </c>
      <c r="X226" t="str">
        <f t="shared" si="64"/>
        <v/>
      </c>
      <c r="Y226" t="str">
        <f t="shared" si="65"/>
        <v/>
      </c>
      <c r="Z226" t="str">
        <f t="shared" si="66"/>
        <v/>
      </c>
      <c r="AA226">
        <f t="shared" si="67"/>
        <v>0</v>
      </c>
      <c r="AB226" t="str">
        <f>IFERROR(V144+MATCH(AA226,V226:Z226,0)-1,"")</f>
        <v/>
      </c>
      <c r="AC226" t="str">
        <f t="shared" si="68"/>
        <v/>
      </c>
      <c r="AE226" t="str">
        <f>IF(ISNUMBER(MATCH("N/A",J226:N226,0)),"",IFERROR((5 * SUMPRODUCT(J144:N144,J226:N226) - PRODUCT(SUM(J144:N144),SUM(J226:N226))) / ((5 * SUM((J144^2)+(K144^2)+(L144^2)+(M144^2)+(N144^2))) - SUM(J144:N144)^2),""))</f>
        <v/>
      </c>
      <c r="AF226" t="str">
        <f>IFERROR(CORREL(J144:N144,J226:N226),"")</f>
        <v/>
      </c>
      <c r="AZ226">
        <f t="shared" si="69"/>
        <v>0</v>
      </c>
      <c r="BA226" t="str">
        <f>IF(AZ226=1,IF(Q226="","",IF(Q226=N144,"Yes","No")),"")</f>
        <v/>
      </c>
      <c r="BB226" t="str">
        <f t="shared" si="70"/>
        <v/>
      </c>
      <c r="BC226" t="str">
        <f>IF(AZ226=1,IF(S226="","",IF(S226=N144,"Yes","No")),"")</f>
        <v/>
      </c>
      <c r="BD226" t="str">
        <f t="shared" si="71"/>
        <v/>
      </c>
      <c r="BE226" t="str">
        <f t="shared" si="72"/>
        <v/>
      </c>
      <c r="BF226" t="str">
        <f t="shared" si="73"/>
        <v>No</v>
      </c>
      <c r="BG226" t="str">
        <f t="shared" si="74"/>
        <v>No</v>
      </c>
      <c r="BH226" t="str">
        <f t="shared" si="75"/>
        <v/>
      </c>
    </row>
    <row r="227" spans="9:60" x14ac:dyDescent="0.3">
      <c r="P227">
        <f t="shared" si="58"/>
        <v>0</v>
      </c>
      <c r="Q227" t="str">
        <f>IFERROR(J144+MATCH(P227,J227:N227,0)-1,"")</f>
        <v/>
      </c>
      <c r="R227" t="str">
        <f t="shared" si="59"/>
        <v/>
      </c>
      <c r="S227" t="str">
        <f>IFERROR(J144+MATCH(R227,J227:N227,0)-1,"")</f>
        <v/>
      </c>
      <c r="T227" t="str">
        <f t="shared" si="60"/>
        <v/>
      </c>
      <c r="U227" t="str">
        <f t="shared" si="61"/>
        <v/>
      </c>
      <c r="V227" t="str">
        <f t="shared" si="62"/>
        <v/>
      </c>
      <c r="W227" t="str">
        <f t="shared" si="63"/>
        <v/>
      </c>
      <c r="X227" t="str">
        <f t="shared" si="64"/>
        <v/>
      </c>
      <c r="Y227" t="str">
        <f t="shared" si="65"/>
        <v/>
      </c>
      <c r="Z227" t="str">
        <f t="shared" si="66"/>
        <v/>
      </c>
      <c r="AA227">
        <f t="shared" si="67"/>
        <v>0</v>
      </c>
      <c r="AB227" t="str">
        <f>IFERROR(V144+MATCH(AA227,V227:Z227,0)-1,"")</f>
        <v/>
      </c>
      <c r="AC227" t="str">
        <f t="shared" si="68"/>
        <v/>
      </c>
      <c r="AE227" t="str">
        <f>IF(ISNUMBER(MATCH("N/A",J227:N227,0)),"",IFERROR((5 * SUMPRODUCT(J144:N144,J227:N227) - PRODUCT(SUM(J144:N144),SUM(J227:N227))) / ((5 * SUM((J144^2)+(K144^2)+(L144^2)+(M144^2)+(N144^2))) - SUM(J144:N144)^2),""))</f>
        <v/>
      </c>
      <c r="AF227" t="str">
        <f>IFERROR(CORREL(J144:N144,J227:N227),"")</f>
        <v/>
      </c>
      <c r="AZ227">
        <f t="shared" si="69"/>
        <v>0</v>
      </c>
      <c r="BA227" t="str">
        <f>IF(AZ227=1,IF(Q227="","",IF(Q227=N144,"Yes","No")),"")</f>
        <v/>
      </c>
      <c r="BB227" t="str">
        <f t="shared" si="70"/>
        <v/>
      </c>
      <c r="BC227" t="str">
        <f>IF(AZ227=1,IF(S227="","",IF(S227=N144,"Yes","No")),"")</f>
        <v/>
      </c>
      <c r="BD227" t="str">
        <f t="shared" si="71"/>
        <v/>
      </c>
      <c r="BE227" t="str">
        <f t="shared" si="72"/>
        <v/>
      </c>
      <c r="BF227" t="str">
        <f t="shared" si="73"/>
        <v>No</v>
      </c>
      <c r="BG227" t="str">
        <f t="shared" si="74"/>
        <v>No</v>
      </c>
      <c r="BH227" t="str">
        <f t="shared" si="75"/>
        <v/>
      </c>
    </row>
    <row r="228" spans="9:60" x14ac:dyDescent="0.3">
      <c r="I228" t="str">
        <f t="shared" ref="I228:I245" si="76">IF(AND(K228&gt; J228, L228&gt; K228, M228&gt; L228, N228&gt; M228), "pos_trend", IF(AND(K228&lt; J228, L228&lt; K228, M228&lt; L228, N228&lt; M228), "neg_trend", "N/A"))</f>
        <v>N/A</v>
      </c>
      <c r="J228" t="str">
        <f t="shared" ref="J228:J245" si="77">IFERROR(IF(TRIM(C228)="-", "N/A", IF(RIGHT(C228,1)=")",IF(RIGHT(C228,2)="T)",-1000000000000*VALUE(MID(C228,2,LEN(C228)-3)),IF(RIGHT(C228,2)="M)",-1000000*VALUE(MID(C228,2,LEN(C228)-3)),IF(RIGHT(C228,2)="B)",-1000000000*VALUE(MID(C228,2,LEN(C228)-3)),IF(RIGHT(C228,2)="k)",-1000*VALUE(MID(C228,2,LEN(C228)-3)),VALUE(SUBSTITUTE(C228,",","")))))),IF(RIGHT(C228,1)="T",1000000000000*VALUE(LEFT(C228,LEN(C228)-1)),IF(RIGHT(C228,1)="M",1000000*VALUE(LEFT(C228,LEN(C228)-1)),IF(RIGHT(C228,1)="B",1000000000*VALUE(LEFT(C228,LEN(C228)-1)),IF(RIGHT(C228,1)="%",0.01*VALUE(LEFT(C228,LEN(C228)-1)),IF(RIGHT(C228,1)="k",1000*VALUE(LEFT(C228,LEN(C228)-1)),VALUE(SUBSTITUTE(C228,",",""))))))))),"N/A")</f>
        <v>N/A</v>
      </c>
      <c r="K228" t="str">
        <f t="shared" ref="K228:K245" si="78">IFERROR(IF(TRIM(D228)="-", "N/A", IF(RIGHT(D228,1)=")",IF(RIGHT(D228,2)="T)",-1000000000000*VALUE(MID(D228,2,LEN(D228)-3)),IF(RIGHT(D228,2)="M)",-1000000*VALUE(MID(D228,2,LEN(D228)-3)),IF(RIGHT(D228,2)="B)",-1000000000*VALUE(MID(D228,2,LEN(D228)-3)),IF(RIGHT(D228,2)="k)",-1000*VALUE(MID(D228,2,LEN(D228)-3)),VALUE(SUBSTITUTE(D228,",","")))))),IF(RIGHT(D228,1)="T",1000000000000*VALUE(LEFT(D228,LEN(D228)-1)),IF(RIGHT(D228,1)="M",1000000*VALUE(LEFT(D228,LEN(D228)-1)),IF(RIGHT(D228,1)="B",1000000000*VALUE(LEFT(D228,LEN(D228)-1)),IF(RIGHT(D228,1)="%",0.01*VALUE(LEFT(D228,LEN(D228)-1)),IF(RIGHT(D228,1)="k",1000*VALUE(LEFT(D228,LEN(D228)-1)),VALUE(SUBSTITUTE(D228,",",""))))))))),"N/A")</f>
        <v>N/A</v>
      </c>
      <c r="L228" t="str">
        <f t="shared" ref="L228:L245" si="79">IFERROR(IF(TRIM(E228)="-", "N/A", IF(RIGHT(E228,1)=")",IF(RIGHT(E228,2)="T)",-1000000000000*VALUE(MID(E228,2,LEN(E228)-3)),IF(RIGHT(E228,2)="M)",-1000000*VALUE(MID(E228,2,LEN(E228)-3)),IF(RIGHT(E228,2)="B)",-1000000000*VALUE(MID(E228,2,LEN(E228)-3)),IF(RIGHT(E228,2)="k)",-1000*VALUE(MID(E228,2,LEN(E228)-3)),VALUE(SUBSTITUTE(E228,",","")))))),IF(RIGHT(E228,1)="T",1000000000000*VALUE(LEFT(E228,LEN(E228)-1)),IF(RIGHT(E228,1)="M",1000000*VALUE(LEFT(E228,LEN(E228)-1)),IF(RIGHT(E228,1)="B",1000000000*VALUE(LEFT(E228,LEN(E228)-1)),IF(RIGHT(E228,1)="%",0.01*VALUE(LEFT(E228,LEN(E228)-1)),IF(RIGHT(E228,1)="k",1000*VALUE(LEFT(E228,LEN(E228)-1)),VALUE(SUBSTITUTE(E228,",",""))))))))),"N/A")</f>
        <v>N/A</v>
      </c>
      <c r="M228" t="str">
        <f t="shared" ref="M228:M245" si="80">IFERROR(IF(TRIM(F228)="-", "N/A", IF(RIGHT(F228,1)=")",IF(RIGHT(F228,2)="T)",-1000000000000*VALUE(MID(F228,2,LEN(F228)-3)),IF(RIGHT(F228,2)="M)",-1000000*VALUE(MID(F228,2,LEN(F228)-3)),IF(RIGHT(F228,2)="B)",-1000000000*VALUE(MID(F228,2,LEN(F228)-3)),IF(RIGHT(F228,2)="k)",-1000*VALUE(MID(F228,2,LEN(F228)-3)),VALUE(SUBSTITUTE(F228,",","")))))),IF(RIGHT(F228,1)="T",1000000000000*VALUE(LEFT(F228,LEN(F228)-1)),IF(RIGHT(F228,1)="M",1000000*VALUE(LEFT(F228,LEN(F228)-1)),IF(RIGHT(F228,1)="B",1000000000*VALUE(LEFT(F228,LEN(F228)-1)),IF(RIGHT(F228,1)="%",0.01*VALUE(LEFT(F228,LEN(F228)-1)),IF(RIGHT(F228,1)="k",1000*VALUE(LEFT(F228,LEN(F228)-1)),VALUE(SUBSTITUTE(F228,",",""))))))))),"N/A")</f>
        <v>N/A</v>
      </c>
      <c r="N228" t="str">
        <f t="shared" ref="N228:N245" si="81">IFERROR(IF(TRIM(G228)="-", "N/A", IF(RIGHT(G228,1)=")",IF(RIGHT(G228,2)="T)",-1000000000000*VALUE(MID(G228,2,LEN(G228)-3)),IF(RIGHT(G228,2)="M)",-1000000*VALUE(MID(G228,2,LEN(G228)-3)),IF(RIGHT(G228,2)="B)",-1000000000*VALUE(MID(G228,2,LEN(G228)-3)),IF(RIGHT(G228,2)="k)",-1000*VALUE(MID(G228,2,LEN(G228)-3)),VALUE(SUBSTITUTE(G228,",","")))))),IF(RIGHT(G228,1)="T",1000000000000*VALUE(LEFT(G228,LEN(G228)-1)),IF(RIGHT(G228,1)="M",1000000*VALUE(LEFT(G228,LEN(G228)-1)),IF(RIGHT(G228,1)="B",1000000000*VALUE(LEFT(G228,LEN(G228)-1)),IF(RIGHT(G228,1)="%",0.01*VALUE(LEFT(G228,LEN(G228)-1)),IF(RIGHT(G228,1)="k",1000*VALUE(LEFT(G228,LEN(G228)-1)),VALUE(SUBSTITUTE(G228,",",""))))))))),"N/A")</f>
        <v>N/A</v>
      </c>
      <c r="P228">
        <f t="shared" si="58"/>
        <v>0</v>
      </c>
      <c r="Q228" t="str">
        <f>IFERROR(J144+MATCH(P228,J228:N228,0)-1,"")</f>
        <v/>
      </c>
      <c r="R228" t="str">
        <f t="shared" si="59"/>
        <v/>
      </c>
      <c r="S228" t="str">
        <f>IFERROR(J144+MATCH(R228,J228:N228,0)-1,"")</f>
        <v/>
      </c>
      <c r="T228" t="str">
        <f t="shared" si="60"/>
        <v/>
      </c>
      <c r="U228" t="str">
        <f t="shared" si="61"/>
        <v/>
      </c>
      <c r="V228" t="str">
        <f t="shared" si="62"/>
        <v/>
      </c>
      <c r="W228" t="str">
        <f t="shared" si="63"/>
        <v/>
      </c>
      <c r="X228" t="str">
        <f t="shared" si="64"/>
        <v/>
      </c>
      <c r="Y228" t="str">
        <f t="shared" si="65"/>
        <v/>
      </c>
      <c r="Z228" t="str">
        <f t="shared" si="66"/>
        <v/>
      </c>
      <c r="AA228">
        <f t="shared" si="67"/>
        <v>0</v>
      </c>
      <c r="AB228" t="str">
        <f>IFERROR(V144+MATCH(AA228,V228:Z228,0)-1,"")</f>
        <v/>
      </c>
      <c r="AC228" t="str">
        <f t="shared" si="68"/>
        <v/>
      </c>
      <c r="AE228" t="str">
        <f>IF(ISNUMBER(MATCH("N/A",J228:N228,0)),"",IFERROR((5 * SUMPRODUCT(J144:N144,J228:N228) - PRODUCT(SUM(J144:N144),SUM(J228:N228))) / ((5 * SUM((J144^2)+(K144^2)+(L144^2)+(M144^2)+(N144^2))) - SUM(J144:N144)^2),""))</f>
        <v/>
      </c>
      <c r="AF228" t="str">
        <f>IFERROR(CORREL(J144:N144,J228:N228),"")</f>
        <v/>
      </c>
      <c r="AZ228">
        <f t="shared" si="69"/>
        <v>0</v>
      </c>
      <c r="BA228" t="str">
        <f>IF(AZ228=1,IF(Q228="","",IF(Q228=N144,"Yes","No")),"")</f>
        <v/>
      </c>
      <c r="BB228" t="str">
        <f t="shared" si="70"/>
        <v/>
      </c>
      <c r="BC228" t="str">
        <f>IF(AZ228=1,IF(S228="","",IF(S228=N144,"Yes","No")),"")</f>
        <v/>
      </c>
      <c r="BD228" t="str">
        <f t="shared" si="71"/>
        <v/>
      </c>
      <c r="BE228" t="str">
        <f t="shared" si="72"/>
        <v/>
      </c>
      <c r="BF228" t="str">
        <f t="shared" si="73"/>
        <v>No</v>
      </c>
      <c r="BG228" t="str">
        <f t="shared" si="74"/>
        <v>No</v>
      </c>
      <c r="BH228" t="str">
        <f t="shared" si="75"/>
        <v/>
      </c>
    </row>
    <row r="229" spans="9:60" x14ac:dyDescent="0.3">
      <c r="I229" t="str">
        <f t="shared" si="76"/>
        <v>N/A</v>
      </c>
      <c r="J229" t="str">
        <f t="shared" si="77"/>
        <v>N/A</v>
      </c>
      <c r="K229" t="str">
        <f t="shared" si="78"/>
        <v>N/A</v>
      </c>
      <c r="L229" t="str">
        <f t="shared" si="79"/>
        <v>N/A</v>
      </c>
      <c r="M229" t="str">
        <f t="shared" si="80"/>
        <v>N/A</v>
      </c>
      <c r="N229" t="str">
        <f t="shared" si="81"/>
        <v>N/A</v>
      </c>
      <c r="P229">
        <f t="shared" si="58"/>
        <v>0</v>
      </c>
      <c r="Q229" t="str">
        <f>IFERROR(J144+MATCH(P229,J229:N229,0)-1,"")</f>
        <v/>
      </c>
      <c r="R229" t="str">
        <f t="shared" si="59"/>
        <v/>
      </c>
      <c r="S229" t="str">
        <f>IFERROR(J144+MATCH(R229,J229:N229,0)-1,"")</f>
        <v/>
      </c>
      <c r="T229" t="str">
        <f t="shared" si="60"/>
        <v/>
      </c>
      <c r="U229" t="str">
        <f t="shared" si="61"/>
        <v/>
      </c>
      <c r="V229" t="str">
        <f t="shared" si="62"/>
        <v/>
      </c>
      <c r="W229" t="str">
        <f t="shared" si="63"/>
        <v/>
      </c>
      <c r="X229" t="str">
        <f t="shared" si="64"/>
        <v/>
      </c>
      <c r="Y229" t="str">
        <f t="shared" si="65"/>
        <v/>
      </c>
      <c r="Z229" t="str">
        <f t="shared" si="66"/>
        <v/>
      </c>
      <c r="AA229">
        <f t="shared" si="67"/>
        <v>0</v>
      </c>
      <c r="AB229" t="str">
        <f>IFERROR(V144+MATCH(AA229,V229:Z229,0)-1,"")</f>
        <v/>
      </c>
      <c r="AC229" t="str">
        <f t="shared" si="68"/>
        <v/>
      </c>
      <c r="AE229" t="str">
        <f>IF(ISNUMBER(MATCH("N/A",J229:N229,0)),"",IFERROR((5 * SUMPRODUCT(J144:N144,J229:N229) - PRODUCT(SUM(J144:N144),SUM(J229:N229))) / ((5 * SUM((J144^2)+(K144^2)+(L144^2)+(M144^2)+(N144^2))) - SUM(J144:N144)^2),""))</f>
        <v/>
      </c>
      <c r="AF229" t="str">
        <f>IFERROR(CORREL(J144:N144,J229:N229),"")</f>
        <v/>
      </c>
      <c r="AZ229">
        <f t="shared" si="69"/>
        <v>0</v>
      </c>
      <c r="BA229" t="str">
        <f>IF(AZ229=1,IF(Q229="","",IF(Q229=N144,"Yes","No")),"")</f>
        <v/>
      </c>
      <c r="BB229" t="str">
        <f t="shared" si="70"/>
        <v/>
      </c>
      <c r="BC229" t="str">
        <f>IF(AZ229=1,IF(S229="","",IF(S229=N144,"Yes","No")),"")</f>
        <v/>
      </c>
      <c r="BD229" t="str">
        <f t="shared" si="71"/>
        <v/>
      </c>
      <c r="BE229" t="str">
        <f t="shared" si="72"/>
        <v/>
      </c>
      <c r="BF229" t="str">
        <f t="shared" si="73"/>
        <v>No</v>
      </c>
      <c r="BG229" t="str">
        <f t="shared" si="74"/>
        <v>No</v>
      </c>
      <c r="BH229" t="str">
        <f t="shared" si="75"/>
        <v/>
      </c>
    </row>
    <row r="230" spans="9:60" x14ac:dyDescent="0.3">
      <c r="I230" t="str">
        <f t="shared" si="76"/>
        <v>N/A</v>
      </c>
      <c r="J230" t="str">
        <f t="shared" si="77"/>
        <v>N/A</v>
      </c>
      <c r="K230" t="str">
        <f t="shared" si="78"/>
        <v>N/A</v>
      </c>
      <c r="L230" t="str">
        <f t="shared" si="79"/>
        <v>N/A</v>
      </c>
      <c r="M230" t="str">
        <f t="shared" si="80"/>
        <v>N/A</v>
      </c>
      <c r="N230" t="str">
        <f t="shared" si="81"/>
        <v>N/A</v>
      </c>
      <c r="P230">
        <f t="shared" si="58"/>
        <v>0</v>
      </c>
      <c r="Q230" t="str">
        <f>IFERROR(J144+MATCH(P230,J230:N230,0)-1,"")</f>
        <v/>
      </c>
      <c r="R230" t="str">
        <f t="shared" si="59"/>
        <v/>
      </c>
      <c r="S230" t="str">
        <f>IFERROR(J144+MATCH(R230,J230:N230,0)-1,"")</f>
        <v/>
      </c>
      <c r="T230" t="str">
        <f t="shared" si="60"/>
        <v/>
      </c>
      <c r="U230" t="str">
        <f t="shared" si="61"/>
        <v/>
      </c>
      <c r="V230" t="str">
        <f t="shared" si="62"/>
        <v/>
      </c>
      <c r="W230" t="str">
        <f t="shared" si="63"/>
        <v/>
      </c>
      <c r="X230" t="str">
        <f t="shared" si="64"/>
        <v/>
      </c>
      <c r="Y230" t="str">
        <f t="shared" si="65"/>
        <v/>
      </c>
      <c r="Z230" t="str">
        <f t="shared" si="66"/>
        <v/>
      </c>
      <c r="AA230">
        <f t="shared" si="67"/>
        <v>0</v>
      </c>
      <c r="AB230" t="str">
        <f>IFERROR(V144+MATCH(AA230,V230:Z230,0)-1,"")</f>
        <v/>
      </c>
      <c r="AC230" t="str">
        <f t="shared" si="68"/>
        <v/>
      </c>
      <c r="AE230" t="str">
        <f>IF(ISNUMBER(MATCH("N/A",J230:N230,0)),"",IFERROR((5 * SUMPRODUCT(J144:N144,J230:N230) - PRODUCT(SUM(J144:N144),SUM(J230:N230))) / ((5 * SUM((J144^2)+(K144^2)+(L144^2)+(M144^2)+(N144^2))) - SUM(J144:N144)^2),""))</f>
        <v/>
      </c>
      <c r="AF230" t="str">
        <f>IFERROR(CORREL(J144:N144,J230:N230),"")</f>
        <v/>
      </c>
      <c r="AZ230">
        <f t="shared" si="69"/>
        <v>0</v>
      </c>
      <c r="BA230" t="str">
        <f>IF(AZ230=1,IF(Q230="","",IF(Q230=N144,"Yes","No")),"")</f>
        <v/>
      </c>
      <c r="BB230" t="str">
        <f t="shared" si="70"/>
        <v/>
      </c>
      <c r="BC230" t="str">
        <f>IF(AZ230=1,IF(S230="","",IF(S230=N144,"Yes","No")),"")</f>
        <v/>
      </c>
      <c r="BD230" t="str">
        <f t="shared" si="71"/>
        <v/>
      </c>
      <c r="BE230" t="str">
        <f t="shared" si="72"/>
        <v/>
      </c>
      <c r="BF230" t="str">
        <f t="shared" si="73"/>
        <v>No</v>
      </c>
      <c r="BG230" t="str">
        <f t="shared" si="74"/>
        <v>No</v>
      </c>
      <c r="BH230" t="str">
        <f t="shared" si="75"/>
        <v/>
      </c>
    </row>
    <row r="231" spans="9:60" x14ac:dyDescent="0.3">
      <c r="I231" t="str">
        <f t="shared" si="76"/>
        <v>N/A</v>
      </c>
      <c r="J231" t="str">
        <f t="shared" si="77"/>
        <v>N/A</v>
      </c>
      <c r="K231" t="str">
        <f t="shared" si="78"/>
        <v>N/A</v>
      </c>
      <c r="L231" t="str">
        <f t="shared" si="79"/>
        <v>N/A</v>
      </c>
      <c r="M231" t="str">
        <f t="shared" si="80"/>
        <v>N/A</v>
      </c>
      <c r="N231" t="str">
        <f t="shared" si="81"/>
        <v>N/A</v>
      </c>
      <c r="P231">
        <f t="shared" si="58"/>
        <v>0</v>
      </c>
      <c r="Q231" t="str">
        <f>IFERROR(J144+MATCH(P231,J231:N231,0)-1,"")</f>
        <v/>
      </c>
      <c r="R231" t="str">
        <f t="shared" si="59"/>
        <v/>
      </c>
      <c r="S231" t="str">
        <f>IFERROR(J144+MATCH(R231,J231:N231,0)-1,"")</f>
        <v/>
      </c>
      <c r="T231" t="str">
        <f t="shared" si="60"/>
        <v/>
      </c>
      <c r="U231" t="str">
        <f t="shared" si="61"/>
        <v/>
      </c>
      <c r="V231" t="str">
        <f t="shared" si="62"/>
        <v/>
      </c>
      <c r="W231" t="str">
        <f t="shared" si="63"/>
        <v/>
      </c>
      <c r="X231" t="str">
        <f t="shared" si="64"/>
        <v/>
      </c>
      <c r="Y231" t="str">
        <f t="shared" si="65"/>
        <v/>
      </c>
      <c r="Z231" t="str">
        <f t="shared" si="66"/>
        <v/>
      </c>
      <c r="AA231">
        <f t="shared" si="67"/>
        <v>0</v>
      </c>
      <c r="AB231" t="str">
        <f>IFERROR(V144+MATCH(AA231,V231:Z231,0)-1,"")</f>
        <v/>
      </c>
      <c r="AC231" t="str">
        <f t="shared" si="68"/>
        <v/>
      </c>
      <c r="AE231" t="str">
        <f>IF(ISNUMBER(MATCH("N/A",J231:N231,0)),"",IFERROR((5 * SUMPRODUCT(J144:N144,J231:N231) - PRODUCT(SUM(J144:N144),SUM(J231:N231))) / ((5 * SUM((J144^2)+(K144^2)+(L144^2)+(M144^2)+(N144^2))) - SUM(J144:N144)^2),""))</f>
        <v/>
      </c>
      <c r="AF231" t="str">
        <f>IFERROR(CORREL(J144:N144,J231:N231),"")</f>
        <v/>
      </c>
      <c r="AZ231">
        <f t="shared" si="69"/>
        <v>0</v>
      </c>
      <c r="BA231" t="str">
        <f>IF(AZ231=1,IF(Q231="","",IF(Q231=N144,"Yes","No")),"")</f>
        <v/>
      </c>
      <c r="BB231" t="str">
        <f t="shared" si="70"/>
        <v/>
      </c>
      <c r="BC231" t="str">
        <f>IF(AZ231=1,IF(S231="","",IF(S231=N144,"Yes","No")),"")</f>
        <v/>
      </c>
      <c r="BD231" t="str">
        <f t="shared" si="71"/>
        <v/>
      </c>
      <c r="BE231" t="str">
        <f t="shared" si="72"/>
        <v/>
      </c>
      <c r="BF231" t="str">
        <f t="shared" si="73"/>
        <v>No</v>
      </c>
      <c r="BG231" t="str">
        <f t="shared" si="74"/>
        <v>No</v>
      </c>
      <c r="BH231" t="str">
        <f t="shared" si="75"/>
        <v/>
      </c>
    </row>
    <row r="232" spans="9:60" x14ac:dyDescent="0.3">
      <c r="I232" t="str">
        <f t="shared" si="76"/>
        <v>N/A</v>
      </c>
      <c r="J232" t="str">
        <f t="shared" si="77"/>
        <v>N/A</v>
      </c>
      <c r="K232" t="str">
        <f t="shared" si="78"/>
        <v>N/A</v>
      </c>
      <c r="L232" t="str">
        <f t="shared" si="79"/>
        <v>N/A</v>
      </c>
      <c r="M232" t="str">
        <f t="shared" si="80"/>
        <v>N/A</v>
      </c>
      <c r="N232" t="str">
        <f t="shared" si="81"/>
        <v>N/A</v>
      </c>
      <c r="P232">
        <f t="shared" si="58"/>
        <v>0</v>
      </c>
      <c r="Q232" t="str">
        <f>IFERROR(J144+MATCH(P232,J232:N232,0)-1,"")</f>
        <v/>
      </c>
      <c r="R232" t="str">
        <f t="shared" si="59"/>
        <v/>
      </c>
      <c r="S232" t="str">
        <f>IFERROR(J144+MATCH(R232,J232:N232,0)-1,"")</f>
        <v/>
      </c>
      <c r="T232" t="str">
        <f t="shared" si="60"/>
        <v/>
      </c>
      <c r="U232" t="str">
        <f t="shared" si="61"/>
        <v/>
      </c>
      <c r="V232" t="str">
        <f t="shared" si="62"/>
        <v/>
      </c>
      <c r="W232" t="str">
        <f t="shared" si="63"/>
        <v/>
      </c>
      <c r="X232" t="str">
        <f t="shared" si="64"/>
        <v/>
      </c>
      <c r="Y232" t="str">
        <f t="shared" si="65"/>
        <v/>
      </c>
      <c r="Z232" t="str">
        <f t="shared" si="66"/>
        <v/>
      </c>
      <c r="AA232">
        <f t="shared" si="67"/>
        <v>0</v>
      </c>
      <c r="AB232" t="str">
        <f>IFERROR(V144+MATCH(AA232,V232:Z232,0)-1,"")</f>
        <v/>
      </c>
      <c r="AC232" t="str">
        <f t="shared" si="68"/>
        <v/>
      </c>
      <c r="AE232" t="str">
        <f>IF(ISNUMBER(MATCH("N/A",J232:N232,0)),"",IFERROR((5 * SUMPRODUCT(J144:N144,J232:N232) - PRODUCT(SUM(J144:N144),SUM(J232:N232))) / ((5 * SUM((J144^2)+(K144^2)+(L144^2)+(M144^2)+(N144^2))) - SUM(J144:N144)^2),""))</f>
        <v/>
      </c>
      <c r="AF232" t="str">
        <f>IFERROR(CORREL(J144:N144,J232:N232),"")</f>
        <v/>
      </c>
      <c r="AZ232">
        <f t="shared" si="69"/>
        <v>0</v>
      </c>
      <c r="BA232" t="str">
        <f>IF(AZ232=1,IF(Q232="","",IF(Q232=N144,"Yes","No")),"")</f>
        <v/>
      </c>
      <c r="BB232" t="str">
        <f t="shared" si="70"/>
        <v/>
      </c>
      <c r="BC232" t="str">
        <f>IF(AZ232=1,IF(S232="","",IF(S232=N144,"Yes","No")),"")</f>
        <v/>
      </c>
      <c r="BD232" t="str">
        <f t="shared" si="71"/>
        <v/>
      </c>
      <c r="BE232" t="str">
        <f t="shared" si="72"/>
        <v/>
      </c>
      <c r="BF232" t="str">
        <f t="shared" si="73"/>
        <v>No</v>
      </c>
      <c r="BG232" t="str">
        <f t="shared" si="74"/>
        <v>No</v>
      </c>
      <c r="BH232" t="str">
        <f t="shared" si="75"/>
        <v/>
      </c>
    </row>
    <row r="233" spans="9:60" x14ac:dyDescent="0.3">
      <c r="I233" t="str">
        <f t="shared" si="76"/>
        <v>N/A</v>
      </c>
      <c r="J233" t="str">
        <f t="shared" si="77"/>
        <v>N/A</v>
      </c>
      <c r="K233" t="str">
        <f t="shared" si="78"/>
        <v>N/A</v>
      </c>
      <c r="L233" t="str">
        <f t="shared" si="79"/>
        <v>N/A</v>
      </c>
      <c r="M233" t="str">
        <f t="shared" si="80"/>
        <v>N/A</v>
      </c>
      <c r="N233" t="str">
        <f t="shared" si="81"/>
        <v>N/A</v>
      </c>
      <c r="P233">
        <f t="shared" si="58"/>
        <v>0</v>
      </c>
      <c r="Q233" t="str">
        <f>IFERROR(J144+MATCH(P233,J233:N233,0)-1,"")</f>
        <v/>
      </c>
      <c r="R233" t="str">
        <f t="shared" si="59"/>
        <v/>
      </c>
      <c r="S233" t="str">
        <f>IFERROR(J144+MATCH(R233,J233:N233,0)-1,"")</f>
        <v/>
      </c>
      <c r="T233" t="str">
        <f t="shared" si="60"/>
        <v/>
      </c>
      <c r="U233" t="str">
        <f t="shared" si="61"/>
        <v/>
      </c>
      <c r="V233" t="str">
        <f t="shared" si="62"/>
        <v/>
      </c>
      <c r="W233" t="str">
        <f t="shared" si="63"/>
        <v/>
      </c>
      <c r="X233" t="str">
        <f t="shared" si="64"/>
        <v/>
      </c>
      <c r="Y233" t="str">
        <f t="shared" si="65"/>
        <v/>
      </c>
      <c r="Z233" t="str">
        <f t="shared" si="66"/>
        <v/>
      </c>
      <c r="AA233">
        <f t="shared" si="67"/>
        <v>0</v>
      </c>
      <c r="AB233" t="str">
        <f>IFERROR(V144+MATCH(AA233,V233:Z233,0)-1,"")</f>
        <v/>
      </c>
      <c r="AC233" t="str">
        <f t="shared" si="68"/>
        <v/>
      </c>
      <c r="AE233" t="str">
        <f>IF(ISNUMBER(MATCH("N/A",J233:N233,0)),"",IFERROR((5 * SUMPRODUCT(J144:N144,J233:N233) - PRODUCT(SUM(J144:N144),SUM(J233:N233))) / ((5 * SUM((J144^2)+(K144^2)+(L144^2)+(M144^2)+(N144^2))) - SUM(J144:N144)^2),""))</f>
        <v/>
      </c>
      <c r="AF233" t="str">
        <f>IFERROR(CORREL(J144:N144,J233:N233),"")</f>
        <v/>
      </c>
      <c r="AZ233">
        <f t="shared" si="69"/>
        <v>0</v>
      </c>
      <c r="BA233" t="str">
        <f>IF(AZ233=1,IF(Q233="","",IF(Q233=N144,"Yes","No")),"")</f>
        <v/>
      </c>
      <c r="BB233" t="str">
        <f t="shared" si="70"/>
        <v/>
      </c>
      <c r="BC233" t="str">
        <f>IF(AZ233=1,IF(S233="","",IF(S233=N144,"Yes","No")),"")</f>
        <v/>
      </c>
      <c r="BD233" t="str">
        <f t="shared" si="71"/>
        <v/>
      </c>
      <c r="BE233" t="str">
        <f t="shared" si="72"/>
        <v/>
      </c>
      <c r="BF233" t="str">
        <f t="shared" si="73"/>
        <v>No</v>
      </c>
      <c r="BG233" t="str">
        <f t="shared" si="74"/>
        <v>No</v>
      </c>
      <c r="BH233" t="str">
        <f t="shared" si="75"/>
        <v/>
      </c>
    </row>
    <row r="234" spans="9:60" x14ac:dyDescent="0.3">
      <c r="I234" t="str">
        <f t="shared" si="76"/>
        <v>N/A</v>
      </c>
      <c r="J234" t="str">
        <f t="shared" si="77"/>
        <v>N/A</v>
      </c>
      <c r="K234" t="str">
        <f t="shared" si="78"/>
        <v>N/A</v>
      </c>
      <c r="L234" t="str">
        <f t="shared" si="79"/>
        <v>N/A</v>
      </c>
      <c r="M234" t="str">
        <f t="shared" si="80"/>
        <v>N/A</v>
      </c>
      <c r="N234" t="str">
        <f t="shared" si="81"/>
        <v>N/A</v>
      </c>
      <c r="P234">
        <f t="shared" si="58"/>
        <v>0</v>
      </c>
      <c r="Q234" t="str">
        <f>IFERROR(J144+MATCH(P234,J234:N234,0)-1,"")</f>
        <v/>
      </c>
      <c r="R234" t="str">
        <f t="shared" si="59"/>
        <v/>
      </c>
      <c r="S234" t="str">
        <f>IFERROR(J144+MATCH(R234,J234:N234,0)-1,"")</f>
        <v/>
      </c>
      <c r="T234" t="str">
        <f t="shared" si="60"/>
        <v/>
      </c>
      <c r="U234" t="str">
        <f t="shared" si="61"/>
        <v/>
      </c>
      <c r="V234" t="str">
        <f t="shared" si="62"/>
        <v/>
      </c>
      <c r="W234" t="str">
        <f t="shared" si="63"/>
        <v/>
      </c>
      <c r="X234" t="str">
        <f t="shared" si="64"/>
        <v/>
      </c>
      <c r="Y234" t="str">
        <f t="shared" si="65"/>
        <v/>
      </c>
      <c r="Z234" t="str">
        <f t="shared" si="66"/>
        <v/>
      </c>
      <c r="AA234">
        <f t="shared" si="67"/>
        <v>0</v>
      </c>
      <c r="AB234" t="str">
        <f>IFERROR(V144+MATCH(AA234,V234:Z234,0)-1,"")</f>
        <v/>
      </c>
      <c r="AC234" t="str">
        <f t="shared" si="68"/>
        <v/>
      </c>
      <c r="AE234" t="str">
        <f>IF(ISNUMBER(MATCH("N/A",J234:N234,0)),"",IFERROR((5 * SUMPRODUCT(J144:N144,J234:N234) - PRODUCT(SUM(J144:N144),SUM(J234:N234))) / ((5 * SUM((J144^2)+(K144^2)+(L144^2)+(M144^2)+(N144^2))) - SUM(J144:N144)^2),""))</f>
        <v/>
      </c>
      <c r="AF234" t="str">
        <f>IFERROR(CORREL(J144:N144,J234:N234),"")</f>
        <v/>
      </c>
      <c r="AZ234">
        <f t="shared" si="69"/>
        <v>0</v>
      </c>
      <c r="BA234" t="str">
        <f>IF(AZ234=1,IF(Q234="","",IF(Q234=N144,"Yes","No")),"")</f>
        <v/>
      </c>
      <c r="BB234" t="str">
        <f t="shared" si="70"/>
        <v/>
      </c>
      <c r="BC234" t="str">
        <f>IF(AZ234=1,IF(S234="","",IF(S234=N144,"Yes","No")),"")</f>
        <v/>
      </c>
      <c r="BD234" t="str">
        <f t="shared" si="71"/>
        <v/>
      </c>
      <c r="BE234" t="str">
        <f t="shared" si="72"/>
        <v/>
      </c>
      <c r="BF234" t="str">
        <f t="shared" si="73"/>
        <v>No</v>
      </c>
      <c r="BG234" t="str">
        <f t="shared" si="74"/>
        <v>No</v>
      </c>
      <c r="BH234" t="str">
        <f t="shared" si="75"/>
        <v/>
      </c>
    </row>
    <row r="235" spans="9:60" x14ac:dyDescent="0.3">
      <c r="I235" t="str">
        <f t="shared" si="76"/>
        <v>N/A</v>
      </c>
      <c r="J235" t="str">
        <f t="shared" si="77"/>
        <v>N/A</v>
      </c>
      <c r="K235" t="str">
        <f t="shared" si="78"/>
        <v>N/A</v>
      </c>
      <c r="L235" t="str">
        <f t="shared" si="79"/>
        <v>N/A</v>
      </c>
      <c r="M235" t="str">
        <f t="shared" si="80"/>
        <v>N/A</v>
      </c>
      <c r="N235" t="str">
        <f t="shared" si="81"/>
        <v>N/A</v>
      </c>
      <c r="P235">
        <f t="shared" si="58"/>
        <v>0</v>
      </c>
      <c r="Q235" t="str">
        <f>IFERROR(J144+MATCH(P235,J235:N235,0)-1,"")</f>
        <v/>
      </c>
      <c r="R235" t="str">
        <f t="shared" si="59"/>
        <v/>
      </c>
      <c r="S235" t="str">
        <f>IFERROR(J144+MATCH(R235,J235:N235,0)-1,"")</f>
        <v/>
      </c>
      <c r="T235" t="str">
        <f t="shared" si="60"/>
        <v/>
      </c>
      <c r="U235" t="str">
        <f t="shared" si="61"/>
        <v/>
      </c>
      <c r="V235" t="str">
        <f t="shared" si="62"/>
        <v/>
      </c>
      <c r="W235" t="str">
        <f t="shared" si="63"/>
        <v/>
      </c>
      <c r="X235" t="str">
        <f t="shared" si="64"/>
        <v/>
      </c>
      <c r="Y235" t="str">
        <f t="shared" si="65"/>
        <v/>
      </c>
      <c r="Z235" t="str">
        <f t="shared" si="66"/>
        <v/>
      </c>
      <c r="AA235">
        <f t="shared" si="67"/>
        <v>0</v>
      </c>
      <c r="AB235" t="str">
        <f>IFERROR(V144+MATCH(AA235,V235:Z235,0)-1,"")</f>
        <v/>
      </c>
      <c r="AC235" t="str">
        <f t="shared" si="68"/>
        <v/>
      </c>
      <c r="AE235" t="str">
        <f>IF(ISNUMBER(MATCH("N/A",J235:N235,0)),"",IFERROR((5 * SUMPRODUCT(J144:N144,J235:N235) - PRODUCT(SUM(J144:N144),SUM(J235:N235))) / ((5 * SUM((J144^2)+(K144^2)+(L144^2)+(M144^2)+(N144^2))) - SUM(J144:N144)^2),""))</f>
        <v/>
      </c>
      <c r="AF235" t="str">
        <f>IFERROR(CORREL(J144:N144,J235:N235),"")</f>
        <v/>
      </c>
      <c r="AZ235">
        <f t="shared" si="69"/>
        <v>0</v>
      </c>
      <c r="BA235" t="str">
        <f>IF(AZ235=1,IF(Q235="","",IF(Q235=N144,"Yes","No")),"")</f>
        <v/>
      </c>
      <c r="BB235" t="str">
        <f t="shared" si="70"/>
        <v/>
      </c>
      <c r="BC235" t="str">
        <f>IF(AZ235=1,IF(S235="","",IF(S235=N144,"Yes","No")),"")</f>
        <v/>
      </c>
      <c r="BD235" t="str">
        <f t="shared" si="71"/>
        <v/>
      </c>
      <c r="BE235" t="str">
        <f t="shared" si="72"/>
        <v/>
      </c>
      <c r="BF235" t="str">
        <f t="shared" si="73"/>
        <v>No</v>
      </c>
      <c r="BG235" t="str">
        <f t="shared" si="74"/>
        <v>No</v>
      </c>
      <c r="BH235" t="str">
        <f t="shared" si="75"/>
        <v/>
      </c>
    </row>
    <row r="236" spans="9:60" x14ac:dyDescent="0.3">
      <c r="I236" t="str">
        <f t="shared" si="76"/>
        <v>N/A</v>
      </c>
      <c r="J236" t="str">
        <f t="shared" si="77"/>
        <v>N/A</v>
      </c>
      <c r="K236" t="str">
        <f t="shared" si="78"/>
        <v>N/A</v>
      </c>
      <c r="L236" t="str">
        <f t="shared" si="79"/>
        <v>N/A</v>
      </c>
      <c r="M236" t="str">
        <f t="shared" si="80"/>
        <v>N/A</v>
      </c>
      <c r="N236" t="str">
        <f t="shared" si="81"/>
        <v>N/A</v>
      </c>
      <c r="P236">
        <f t="shared" si="58"/>
        <v>0</v>
      </c>
      <c r="Q236" t="str">
        <f>IFERROR(J144+MATCH(P236,J236:N236,0)-1,"")</f>
        <v/>
      </c>
      <c r="R236" t="str">
        <f t="shared" si="59"/>
        <v/>
      </c>
      <c r="S236" t="str">
        <f>IFERROR(J144+MATCH(R236,J236:N236,0)-1,"")</f>
        <v/>
      </c>
      <c r="T236" t="str">
        <f t="shared" si="60"/>
        <v/>
      </c>
      <c r="U236" t="str">
        <f t="shared" si="61"/>
        <v/>
      </c>
      <c r="V236" t="str">
        <f t="shared" si="62"/>
        <v/>
      </c>
      <c r="W236" t="str">
        <f t="shared" si="63"/>
        <v/>
      </c>
      <c r="X236" t="str">
        <f t="shared" si="64"/>
        <v/>
      </c>
      <c r="Y236" t="str">
        <f t="shared" si="65"/>
        <v/>
      </c>
      <c r="Z236" t="str">
        <f t="shared" si="66"/>
        <v/>
      </c>
      <c r="AA236">
        <f t="shared" si="67"/>
        <v>0</v>
      </c>
      <c r="AB236" t="str">
        <f>IFERROR(V144+MATCH(AA236,V236:Z236,0)-1,"")</f>
        <v/>
      </c>
      <c r="AC236" t="str">
        <f t="shared" si="68"/>
        <v/>
      </c>
      <c r="AE236" t="str">
        <f>IF(ISNUMBER(MATCH("N/A",J236:N236,0)),"",IFERROR((5 * SUMPRODUCT(J144:N144,J236:N236) - PRODUCT(SUM(J144:N144),SUM(J236:N236))) / ((5 * SUM((J144^2)+(K144^2)+(L144^2)+(M144^2)+(N144^2))) - SUM(J144:N144)^2),""))</f>
        <v/>
      </c>
      <c r="AF236" t="str">
        <f>IFERROR(CORREL(J144:N144,J236:N236),"")</f>
        <v/>
      </c>
      <c r="AZ236">
        <f t="shared" si="69"/>
        <v>0</v>
      </c>
      <c r="BA236" t="str">
        <f>IF(AZ236=1,IF(Q236="","",IF(Q236=N144,"Yes","No")),"")</f>
        <v/>
      </c>
      <c r="BB236" t="str">
        <f t="shared" si="70"/>
        <v/>
      </c>
      <c r="BC236" t="str">
        <f>IF(AZ236=1,IF(S236="","",IF(S236=N144,"Yes","No")),"")</f>
        <v/>
      </c>
      <c r="BD236" t="str">
        <f t="shared" si="71"/>
        <v/>
      </c>
      <c r="BE236" t="str">
        <f t="shared" si="72"/>
        <v/>
      </c>
      <c r="BF236" t="str">
        <f t="shared" si="73"/>
        <v>No</v>
      </c>
      <c r="BG236" t="str">
        <f t="shared" si="74"/>
        <v>No</v>
      </c>
      <c r="BH236" t="str">
        <f t="shared" si="75"/>
        <v/>
      </c>
    </row>
    <row r="237" spans="9:60" x14ac:dyDescent="0.3">
      <c r="I237" t="str">
        <f t="shared" si="76"/>
        <v>N/A</v>
      </c>
      <c r="J237" t="str">
        <f t="shared" si="77"/>
        <v>N/A</v>
      </c>
      <c r="K237" t="str">
        <f t="shared" si="78"/>
        <v>N/A</v>
      </c>
      <c r="L237" t="str">
        <f t="shared" si="79"/>
        <v>N/A</v>
      </c>
      <c r="M237" t="str">
        <f t="shared" si="80"/>
        <v>N/A</v>
      </c>
      <c r="N237" t="str">
        <f t="shared" si="81"/>
        <v>N/A</v>
      </c>
      <c r="P237">
        <f t="shared" si="58"/>
        <v>0</v>
      </c>
      <c r="Q237" t="str">
        <f>IFERROR(J144+MATCH(P237,J237:N237,0)-1,"")</f>
        <v/>
      </c>
      <c r="R237" t="str">
        <f t="shared" si="59"/>
        <v/>
      </c>
      <c r="S237" t="str">
        <f>IFERROR(J144+MATCH(R237,J237:N237,0)-1,"")</f>
        <v/>
      </c>
      <c r="T237" t="str">
        <f t="shared" si="60"/>
        <v/>
      </c>
      <c r="U237" t="str">
        <f t="shared" si="61"/>
        <v/>
      </c>
      <c r="V237" t="str">
        <f t="shared" si="62"/>
        <v/>
      </c>
      <c r="W237" t="str">
        <f t="shared" si="63"/>
        <v/>
      </c>
      <c r="X237" t="str">
        <f t="shared" si="64"/>
        <v/>
      </c>
      <c r="Y237" t="str">
        <f t="shared" si="65"/>
        <v/>
      </c>
      <c r="Z237" t="str">
        <f t="shared" si="66"/>
        <v/>
      </c>
      <c r="AA237">
        <f t="shared" si="67"/>
        <v>0</v>
      </c>
      <c r="AB237" t="str">
        <f>IFERROR(V144+MATCH(AA237,V237:Z237,0)-1,"")</f>
        <v/>
      </c>
      <c r="AC237" t="str">
        <f t="shared" si="68"/>
        <v/>
      </c>
      <c r="AE237" t="str">
        <f>IF(ISNUMBER(MATCH("N/A",J237:N237,0)),"",IFERROR((5 * SUMPRODUCT(J144:N144,J237:N237) - PRODUCT(SUM(J144:N144),SUM(J237:N237))) / ((5 * SUM((J144^2)+(K144^2)+(L144^2)+(M144^2)+(N144^2))) - SUM(J144:N144)^2),""))</f>
        <v/>
      </c>
      <c r="AF237" t="str">
        <f>IFERROR(CORREL(J144:N144,J237:N237),"")</f>
        <v/>
      </c>
      <c r="AZ237">
        <f t="shared" si="69"/>
        <v>0</v>
      </c>
      <c r="BA237" t="str">
        <f>IF(AZ237=1,IF(Q237="","",IF(Q237=N144,"Yes","No")),"")</f>
        <v/>
      </c>
      <c r="BB237" t="str">
        <f t="shared" si="70"/>
        <v/>
      </c>
      <c r="BC237" t="str">
        <f>IF(AZ237=1,IF(S237="","",IF(S237=N144,"Yes","No")),"")</f>
        <v/>
      </c>
      <c r="BD237" t="str">
        <f t="shared" si="71"/>
        <v/>
      </c>
      <c r="BE237" t="str">
        <f t="shared" si="72"/>
        <v/>
      </c>
      <c r="BF237" t="str">
        <f t="shared" si="73"/>
        <v>No</v>
      </c>
      <c r="BG237" t="str">
        <f t="shared" si="74"/>
        <v>No</v>
      </c>
      <c r="BH237" t="str">
        <f t="shared" si="75"/>
        <v/>
      </c>
    </row>
    <row r="238" spans="9:60" x14ac:dyDescent="0.3">
      <c r="I238" t="str">
        <f t="shared" si="76"/>
        <v>N/A</v>
      </c>
      <c r="J238" t="str">
        <f t="shared" si="77"/>
        <v>N/A</v>
      </c>
      <c r="K238" t="str">
        <f t="shared" si="78"/>
        <v>N/A</v>
      </c>
      <c r="L238" t="str">
        <f t="shared" si="79"/>
        <v>N/A</v>
      </c>
      <c r="M238" t="str">
        <f t="shared" si="80"/>
        <v>N/A</v>
      </c>
      <c r="N238" t="str">
        <f t="shared" si="81"/>
        <v>N/A</v>
      </c>
      <c r="P238">
        <f t="shared" si="58"/>
        <v>0</v>
      </c>
      <c r="Q238" t="str">
        <f>IFERROR(J144+MATCH(P238,J238:N238,0)-1,"")</f>
        <v/>
      </c>
      <c r="R238" t="str">
        <f t="shared" si="59"/>
        <v/>
      </c>
      <c r="S238" t="str">
        <f>IFERROR(J144+MATCH(R238,J238:N238,0)-1,"")</f>
        <v/>
      </c>
      <c r="T238" t="str">
        <f t="shared" si="60"/>
        <v/>
      </c>
      <c r="U238" t="str">
        <f t="shared" si="61"/>
        <v/>
      </c>
      <c r="V238" t="str">
        <f t="shared" si="62"/>
        <v/>
      </c>
      <c r="W238" t="str">
        <f t="shared" si="63"/>
        <v/>
      </c>
      <c r="X238" t="str">
        <f t="shared" si="64"/>
        <v/>
      </c>
      <c r="Y238" t="str">
        <f t="shared" si="65"/>
        <v/>
      </c>
      <c r="Z238" t="str">
        <f t="shared" si="66"/>
        <v/>
      </c>
      <c r="AA238">
        <f t="shared" si="67"/>
        <v>0</v>
      </c>
      <c r="AB238" t="str">
        <f>IFERROR(V144+MATCH(AA238,V238:Z238,0)-1,"")</f>
        <v/>
      </c>
      <c r="AC238" t="str">
        <f t="shared" si="68"/>
        <v/>
      </c>
      <c r="AE238" t="str">
        <f>IF(ISNUMBER(MATCH("N/A",J238:N238,0)),"",IFERROR((5 * SUMPRODUCT(J144:N144,J238:N238) - PRODUCT(SUM(J144:N144),SUM(J238:N238))) / ((5 * SUM((J144^2)+(K144^2)+(L144^2)+(M144^2)+(N144^2))) - SUM(J144:N144)^2),""))</f>
        <v/>
      </c>
      <c r="AF238" t="str">
        <f>IFERROR(CORREL(J144:N144,J238:N238),"")</f>
        <v/>
      </c>
      <c r="AZ238">
        <f t="shared" si="69"/>
        <v>0</v>
      </c>
      <c r="BA238" t="str">
        <f>IF(AZ238=1,IF(Q238="","",IF(Q238=N144,"Yes","No")),"")</f>
        <v/>
      </c>
      <c r="BB238" t="str">
        <f t="shared" si="70"/>
        <v/>
      </c>
      <c r="BC238" t="str">
        <f>IF(AZ238=1,IF(S238="","",IF(S238=N144,"Yes","No")),"")</f>
        <v/>
      </c>
      <c r="BD238" t="str">
        <f t="shared" si="71"/>
        <v/>
      </c>
      <c r="BE238" t="str">
        <f t="shared" si="72"/>
        <v/>
      </c>
      <c r="BF238" t="str">
        <f t="shared" si="73"/>
        <v>No</v>
      </c>
      <c r="BG238" t="str">
        <f t="shared" si="74"/>
        <v>No</v>
      </c>
      <c r="BH238" t="str">
        <f t="shared" si="75"/>
        <v/>
      </c>
    </row>
    <row r="239" spans="9:60" x14ac:dyDescent="0.3">
      <c r="I239" t="str">
        <f t="shared" si="76"/>
        <v>N/A</v>
      </c>
      <c r="J239" t="str">
        <f t="shared" si="77"/>
        <v>N/A</v>
      </c>
      <c r="K239" t="str">
        <f t="shared" si="78"/>
        <v>N/A</v>
      </c>
      <c r="L239" t="str">
        <f t="shared" si="79"/>
        <v>N/A</v>
      </c>
      <c r="M239" t="str">
        <f t="shared" si="80"/>
        <v>N/A</v>
      </c>
      <c r="N239" t="str">
        <f t="shared" si="81"/>
        <v>N/A</v>
      </c>
      <c r="P239">
        <f t="shared" si="58"/>
        <v>0</v>
      </c>
      <c r="Q239" t="str">
        <f>IFERROR(J144+MATCH(P239,J239:N239,0)-1,"")</f>
        <v/>
      </c>
      <c r="R239" t="str">
        <f t="shared" si="59"/>
        <v/>
      </c>
      <c r="S239" t="str">
        <f>IFERROR(J144+MATCH(R239,J239:N239,0)-1,"")</f>
        <v/>
      </c>
      <c r="T239" t="str">
        <f t="shared" si="60"/>
        <v/>
      </c>
      <c r="U239" t="str">
        <f t="shared" si="61"/>
        <v/>
      </c>
      <c r="V239" t="str">
        <f t="shared" si="62"/>
        <v/>
      </c>
      <c r="W239" t="str">
        <f t="shared" si="63"/>
        <v/>
      </c>
      <c r="X239" t="str">
        <f t="shared" si="64"/>
        <v/>
      </c>
      <c r="Y239" t="str">
        <f t="shared" si="65"/>
        <v/>
      </c>
      <c r="Z239" t="str">
        <f t="shared" si="66"/>
        <v/>
      </c>
      <c r="AA239">
        <f t="shared" si="67"/>
        <v>0</v>
      </c>
      <c r="AB239" t="str">
        <f>IFERROR(V144+MATCH(AA239,V239:Z239,0)-1,"")</f>
        <v/>
      </c>
      <c r="AC239" t="str">
        <f t="shared" si="68"/>
        <v/>
      </c>
      <c r="AE239" t="str">
        <f>IF(ISNUMBER(MATCH("N/A",J239:N239,0)),"",IFERROR((5 * SUMPRODUCT(J144:N144,J239:N239) - PRODUCT(SUM(J144:N144),SUM(J239:N239))) / ((5 * SUM((J144^2)+(K144^2)+(L144^2)+(M144^2)+(N144^2))) - SUM(J144:N144)^2),""))</f>
        <v/>
      </c>
      <c r="AF239" t="str">
        <f>IFERROR(CORREL(J144:N144,J239:N239),"")</f>
        <v/>
      </c>
      <c r="AZ239">
        <f t="shared" si="69"/>
        <v>0</v>
      </c>
      <c r="BA239" t="str">
        <f>IF(AZ239=1,IF(Q239="","",IF(Q239=N144,"Yes","No")),"")</f>
        <v/>
      </c>
      <c r="BB239" t="str">
        <f t="shared" si="70"/>
        <v/>
      </c>
      <c r="BC239" t="str">
        <f>IF(AZ239=1,IF(S239="","",IF(S239=N144,"Yes","No")),"")</f>
        <v/>
      </c>
      <c r="BD239" t="str">
        <f t="shared" si="71"/>
        <v/>
      </c>
      <c r="BE239" t="str">
        <f t="shared" si="72"/>
        <v/>
      </c>
      <c r="BF239" t="str">
        <f t="shared" si="73"/>
        <v>No</v>
      </c>
      <c r="BG239" t="str">
        <f t="shared" si="74"/>
        <v>No</v>
      </c>
      <c r="BH239" t="str">
        <f t="shared" si="75"/>
        <v/>
      </c>
    </row>
    <row r="240" spans="9:60" x14ac:dyDescent="0.3">
      <c r="I240" t="str">
        <f t="shared" si="76"/>
        <v>N/A</v>
      </c>
      <c r="J240" t="str">
        <f t="shared" si="77"/>
        <v>N/A</v>
      </c>
      <c r="K240" t="str">
        <f t="shared" si="78"/>
        <v>N/A</v>
      </c>
      <c r="L240" t="str">
        <f t="shared" si="79"/>
        <v>N/A</v>
      </c>
      <c r="M240" t="str">
        <f t="shared" si="80"/>
        <v>N/A</v>
      </c>
      <c r="N240" t="str">
        <f t="shared" si="81"/>
        <v>N/A</v>
      </c>
      <c r="P240">
        <f t="shared" si="58"/>
        <v>0</v>
      </c>
      <c r="Q240" t="str">
        <f>IFERROR(J144+MATCH(P240,J240:N240,0)-1,"")</f>
        <v/>
      </c>
      <c r="R240" t="str">
        <f t="shared" si="59"/>
        <v/>
      </c>
      <c r="S240" t="str">
        <f>IFERROR(J144+MATCH(R240,J240:N240,0)-1,"")</f>
        <v/>
      </c>
      <c r="T240" t="str">
        <f t="shared" si="60"/>
        <v/>
      </c>
      <c r="U240" t="str">
        <f t="shared" si="61"/>
        <v/>
      </c>
      <c r="V240" t="str">
        <f t="shared" si="62"/>
        <v/>
      </c>
      <c r="W240" t="str">
        <f t="shared" si="63"/>
        <v/>
      </c>
      <c r="X240" t="str">
        <f t="shared" si="64"/>
        <v/>
      </c>
      <c r="Y240" t="str">
        <f t="shared" si="65"/>
        <v/>
      </c>
      <c r="Z240" t="str">
        <f t="shared" si="66"/>
        <v/>
      </c>
      <c r="AA240">
        <f t="shared" si="67"/>
        <v>0</v>
      </c>
      <c r="AB240" t="str">
        <f>IFERROR(V144+MATCH(AA240,V240:Z240,0)-1,"")</f>
        <v/>
      </c>
      <c r="AC240" t="str">
        <f t="shared" si="68"/>
        <v/>
      </c>
      <c r="AE240" t="str">
        <f>IF(ISNUMBER(MATCH("N/A",J240:N240,0)),"",IFERROR((5 * SUMPRODUCT(J144:N144,J240:N240) - PRODUCT(SUM(J144:N144),SUM(J240:N240))) / ((5 * SUM((J144^2)+(K144^2)+(L144^2)+(M144^2)+(N144^2))) - SUM(J144:N144)^2),""))</f>
        <v/>
      </c>
      <c r="AF240" t="str">
        <f>IFERROR(CORREL(J144:N144,J240:N240),"")</f>
        <v/>
      </c>
      <c r="AZ240">
        <f t="shared" si="69"/>
        <v>0</v>
      </c>
      <c r="BA240" t="str">
        <f>IF(AZ240=1,IF(Q240="","",IF(Q240=N144,"Yes","No")),"")</f>
        <v/>
      </c>
      <c r="BB240" t="str">
        <f t="shared" si="70"/>
        <v/>
      </c>
      <c r="BC240" t="str">
        <f>IF(AZ240=1,IF(S240="","",IF(S240=N144,"Yes","No")),"")</f>
        <v/>
      </c>
      <c r="BD240" t="str">
        <f t="shared" si="71"/>
        <v/>
      </c>
      <c r="BE240" t="str">
        <f t="shared" si="72"/>
        <v/>
      </c>
      <c r="BF240" t="str">
        <f t="shared" si="73"/>
        <v>No</v>
      </c>
      <c r="BG240" t="str">
        <f t="shared" si="74"/>
        <v>No</v>
      </c>
      <c r="BH240" t="str">
        <f t="shared" si="75"/>
        <v/>
      </c>
    </row>
    <row r="241" spans="9:60" x14ac:dyDescent="0.3">
      <c r="I241" t="str">
        <f t="shared" si="76"/>
        <v>N/A</v>
      </c>
      <c r="J241" t="str">
        <f t="shared" si="77"/>
        <v>N/A</v>
      </c>
      <c r="K241" t="str">
        <f t="shared" si="78"/>
        <v>N/A</v>
      </c>
      <c r="L241" t="str">
        <f t="shared" si="79"/>
        <v>N/A</v>
      </c>
      <c r="M241" t="str">
        <f t="shared" si="80"/>
        <v>N/A</v>
      </c>
      <c r="N241" t="str">
        <f t="shared" si="81"/>
        <v>N/A</v>
      </c>
      <c r="P241">
        <f t="shared" si="58"/>
        <v>0</v>
      </c>
      <c r="Q241" t="str">
        <f>IFERROR(J144+MATCH(P241,J241:N241,0)-1,"")</f>
        <v/>
      </c>
      <c r="R241" t="str">
        <f t="shared" si="59"/>
        <v/>
      </c>
      <c r="S241" t="str">
        <f>IFERROR(J144+MATCH(R241,J241:N241,0)-1,"")</f>
        <v/>
      </c>
      <c r="T241" t="str">
        <f t="shared" si="60"/>
        <v/>
      </c>
      <c r="U241" t="str">
        <f t="shared" si="61"/>
        <v/>
      </c>
      <c r="V241" t="str">
        <f t="shared" si="62"/>
        <v/>
      </c>
      <c r="W241" t="str">
        <f t="shared" si="63"/>
        <v/>
      </c>
      <c r="X241" t="str">
        <f t="shared" si="64"/>
        <v/>
      </c>
      <c r="Y241" t="str">
        <f t="shared" si="65"/>
        <v/>
      </c>
      <c r="Z241" t="str">
        <f t="shared" si="66"/>
        <v/>
      </c>
      <c r="AA241">
        <f t="shared" si="67"/>
        <v>0</v>
      </c>
      <c r="AB241" t="str">
        <f>IFERROR(V144+MATCH(AA241,V241:Z241,0)-1,"")</f>
        <v/>
      </c>
      <c r="AC241" t="str">
        <f t="shared" si="68"/>
        <v/>
      </c>
      <c r="AE241" t="str">
        <f>IF(ISNUMBER(MATCH("N/A",J241:N241,0)),"",IFERROR((5 * SUMPRODUCT(J144:N144,J241:N241) - PRODUCT(SUM(J144:N144),SUM(J241:N241))) / ((5 * SUM((J144^2)+(K144^2)+(L144^2)+(M144^2)+(N144^2))) - SUM(J144:N144)^2),""))</f>
        <v/>
      </c>
      <c r="AF241" t="str">
        <f>IFERROR(CORREL(J144:N144,J241:N241),"")</f>
        <v/>
      </c>
      <c r="AZ241">
        <f t="shared" si="69"/>
        <v>0</v>
      </c>
      <c r="BA241" t="str">
        <f>IF(AZ241=1,IF(Q241="","",IF(Q241=N144,"Yes","No")),"")</f>
        <v/>
      </c>
      <c r="BB241" t="str">
        <f t="shared" si="70"/>
        <v/>
      </c>
      <c r="BC241" t="str">
        <f>IF(AZ241=1,IF(S241="","",IF(S241=N144,"Yes","No")),"")</f>
        <v/>
      </c>
      <c r="BD241" t="str">
        <f t="shared" si="71"/>
        <v/>
      </c>
      <c r="BE241" t="str">
        <f t="shared" si="72"/>
        <v/>
      </c>
      <c r="BF241" t="str">
        <f t="shared" si="73"/>
        <v>No</v>
      </c>
      <c r="BG241" t="str">
        <f t="shared" si="74"/>
        <v>No</v>
      </c>
      <c r="BH241" t="str">
        <f t="shared" si="75"/>
        <v/>
      </c>
    </row>
    <row r="242" spans="9:60" x14ac:dyDescent="0.3">
      <c r="I242" t="str">
        <f t="shared" si="76"/>
        <v>N/A</v>
      </c>
      <c r="J242" t="str">
        <f t="shared" si="77"/>
        <v>N/A</v>
      </c>
      <c r="K242" t="str">
        <f t="shared" si="78"/>
        <v>N/A</v>
      </c>
      <c r="L242" t="str">
        <f t="shared" si="79"/>
        <v>N/A</v>
      </c>
      <c r="M242" t="str">
        <f t="shared" si="80"/>
        <v>N/A</v>
      </c>
      <c r="N242" t="str">
        <f t="shared" si="81"/>
        <v>N/A</v>
      </c>
      <c r="P242">
        <f t="shared" si="58"/>
        <v>0</v>
      </c>
      <c r="Q242" t="str">
        <f>IFERROR(J144+MATCH(P242,J242:N242,0)-1,"")</f>
        <v/>
      </c>
      <c r="R242" t="str">
        <f t="shared" si="59"/>
        <v/>
      </c>
      <c r="S242" t="str">
        <f>IFERROR(J144+MATCH(R242,J242:N242,0)-1,"")</f>
        <v/>
      </c>
      <c r="T242" t="str">
        <f t="shared" si="60"/>
        <v/>
      </c>
      <c r="U242" t="str">
        <f t="shared" si="61"/>
        <v/>
      </c>
      <c r="V242" t="str">
        <f t="shared" si="62"/>
        <v/>
      </c>
      <c r="W242" t="str">
        <f t="shared" si="63"/>
        <v/>
      </c>
      <c r="X242" t="str">
        <f t="shared" si="64"/>
        <v/>
      </c>
      <c r="Y242" t="str">
        <f t="shared" si="65"/>
        <v/>
      </c>
      <c r="Z242" t="str">
        <f t="shared" si="66"/>
        <v/>
      </c>
      <c r="AA242">
        <f t="shared" si="67"/>
        <v>0</v>
      </c>
      <c r="AB242" t="str">
        <f>IFERROR(V144+MATCH(AA242,V242:Z242,0)-1,"")</f>
        <v/>
      </c>
      <c r="AC242" t="str">
        <f t="shared" si="68"/>
        <v/>
      </c>
      <c r="AE242" t="str">
        <f>IF(ISNUMBER(MATCH("N/A",J242:N242,0)),"",IFERROR((5 * SUMPRODUCT(J144:N144,J242:N242) - PRODUCT(SUM(J144:N144),SUM(J242:N242))) / ((5 * SUM((J144^2)+(K144^2)+(L144^2)+(M144^2)+(N144^2))) - SUM(J144:N144)^2),""))</f>
        <v/>
      </c>
      <c r="AF242" t="str">
        <f>IFERROR(CORREL(J144:N144,J242:N242),"")</f>
        <v/>
      </c>
      <c r="AZ242">
        <f t="shared" si="69"/>
        <v>0</v>
      </c>
      <c r="BA242" t="str">
        <f>IF(AZ242=1,IF(Q242="","",IF(Q242=N144,"Yes","No")),"")</f>
        <v/>
      </c>
      <c r="BB242" t="str">
        <f t="shared" si="70"/>
        <v/>
      </c>
      <c r="BC242" t="str">
        <f>IF(AZ242=1,IF(S242="","",IF(S242=N144,"Yes","No")),"")</f>
        <v/>
      </c>
      <c r="BD242" t="str">
        <f t="shared" si="71"/>
        <v/>
      </c>
      <c r="BE242" t="str">
        <f t="shared" si="72"/>
        <v/>
      </c>
      <c r="BF242" t="str">
        <f t="shared" si="73"/>
        <v>No</v>
      </c>
      <c r="BG242" t="str">
        <f t="shared" si="74"/>
        <v>No</v>
      </c>
      <c r="BH242" t="str">
        <f t="shared" si="75"/>
        <v/>
      </c>
    </row>
    <row r="243" spans="9:60" x14ac:dyDescent="0.3">
      <c r="I243" t="str">
        <f t="shared" si="76"/>
        <v>N/A</v>
      </c>
      <c r="J243" t="str">
        <f t="shared" si="77"/>
        <v>N/A</v>
      </c>
      <c r="K243" t="str">
        <f t="shared" si="78"/>
        <v>N/A</v>
      </c>
      <c r="L243" t="str">
        <f t="shared" si="79"/>
        <v>N/A</v>
      </c>
      <c r="M243" t="str">
        <f t="shared" si="80"/>
        <v>N/A</v>
      </c>
      <c r="N243" t="str">
        <f t="shared" si="81"/>
        <v>N/A</v>
      </c>
      <c r="P243">
        <f t="shared" si="58"/>
        <v>0</v>
      </c>
      <c r="Q243" t="str">
        <f>IFERROR(J144+MATCH(P243,J243:N243,0)-1,"")</f>
        <v/>
      </c>
      <c r="R243" t="str">
        <f t="shared" si="59"/>
        <v/>
      </c>
      <c r="S243" t="str">
        <f>IFERROR(J144+MATCH(R243,J243:N243,0)-1,"")</f>
        <v/>
      </c>
      <c r="T243" t="str">
        <f t="shared" si="60"/>
        <v/>
      </c>
      <c r="U243" t="str">
        <f t="shared" si="61"/>
        <v/>
      </c>
      <c r="V243" t="str">
        <f t="shared" si="62"/>
        <v/>
      </c>
      <c r="W243" t="str">
        <f t="shared" si="63"/>
        <v/>
      </c>
      <c r="X243" t="str">
        <f t="shared" si="64"/>
        <v/>
      </c>
      <c r="Y243" t="str">
        <f t="shared" si="65"/>
        <v/>
      </c>
      <c r="Z243" t="str">
        <f t="shared" si="66"/>
        <v/>
      </c>
      <c r="AA243">
        <f t="shared" si="67"/>
        <v>0</v>
      </c>
      <c r="AB243" t="str">
        <f>IFERROR(V144+MATCH(AA243,V243:Z243,0)-1,"")</f>
        <v/>
      </c>
      <c r="AC243" t="str">
        <f t="shared" si="68"/>
        <v/>
      </c>
      <c r="AE243" t="str">
        <f>IF(ISNUMBER(MATCH("N/A",J243:N243,0)),"",IFERROR((5 * SUMPRODUCT(J144:N144,J243:N243) - PRODUCT(SUM(J144:N144),SUM(J243:N243))) / ((5 * SUM((J144^2)+(K144^2)+(L144^2)+(M144^2)+(N144^2))) - SUM(J144:N144)^2),""))</f>
        <v/>
      </c>
      <c r="AF243" t="str">
        <f>IFERROR(CORREL(J144:N144,J243:N243),"")</f>
        <v/>
      </c>
      <c r="AZ243">
        <f t="shared" si="69"/>
        <v>0</v>
      </c>
      <c r="BA243" t="str">
        <f>IF(AZ243=1,IF(Q243="","",IF(Q243=N144,"Yes","No")),"")</f>
        <v/>
      </c>
      <c r="BB243" t="str">
        <f t="shared" si="70"/>
        <v/>
      </c>
      <c r="BC243" t="str">
        <f>IF(AZ243=1,IF(S243="","",IF(S243=N144,"Yes","No")),"")</f>
        <v/>
      </c>
      <c r="BD243" t="str">
        <f t="shared" si="71"/>
        <v/>
      </c>
      <c r="BE243" t="str">
        <f t="shared" si="72"/>
        <v/>
      </c>
      <c r="BF243" t="str">
        <f t="shared" si="73"/>
        <v>No</v>
      </c>
      <c r="BG243" t="str">
        <f t="shared" si="74"/>
        <v>No</v>
      </c>
      <c r="BH243" t="str">
        <f t="shared" si="75"/>
        <v/>
      </c>
    </row>
    <row r="244" spans="9:60" x14ac:dyDescent="0.3">
      <c r="I244" t="str">
        <f t="shared" si="76"/>
        <v>N/A</v>
      </c>
      <c r="J244" t="str">
        <f t="shared" si="77"/>
        <v>N/A</v>
      </c>
      <c r="K244" t="str">
        <f t="shared" si="78"/>
        <v>N/A</v>
      </c>
      <c r="L244" t="str">
        <f t="shared" si="79"/>
        <v>N/A</v>
      </c>
      <c r="M244" t="str">
        <f t="shared" si="80"/>
        <v>N/A</v>
      </c>
      <c r="N244" t="str">
        <f t="shared" si="81"/>
        <v>N/A</v>
      </c>
      <c r="P244">
        <f t="shared" si="58"/>
        <v>0</v>
      </c>
      <c r="Q244" t="str">
        <f>IFERROR(J144+MATCH(P244,J244:N244,0)-1,"")</f>
        <v/>
      </c>
      <c r="R244" t="str">
        <f t="shared" si="59"/>
        <v/>
      </c>
      <c r="S244" t="str">
        <f>IFERROR(J144+MATCH(R244,J244:N244,0)-1,"")</f>
        <v/>
      </c>
      <c r="T244" t="str">
        <f t="shared" si="60"/>
        <v/>
      </c>
      <c r="U244" t="str">
        <f t="shared" si="61"/>
        <v/>
      </c>
      <c r="V244" t="str">
        <f t="shared" si="62"/>
        <v/>
      </c>
      <c r="W244" t="str">
        <f t="shared" si="63"/>
        <v/>
      </c>
      <c r="X244" t="str">
        <f t="shared" si="64"/>
        <v/>
      </c>
      <c r="Y244" t="str">
        <f t="shared" si="65"/>
        <v/>
      </c>
      <c r="Z244" t="str">
        <f t="shared" si="66"/>
        <v/>
      </c>
      <c r="AA244">
        <f t="shared" si="67"/>
        <v>0</v>
      </c>
      <c r="AB244" t="str">
        <f>IFERROR(V144+MATCH(AA244,V244:Z244,0)-1,"")</f>
        <v/>
      </c>
      <c r="AC244" t="str">
        <f t="shared" si="68"/>
        <v/>
      </c>
      <c r="AE244" t="str">
        <f>IF(ISNUMBER(MATCH("N/A",J244:N244,0)),"",IFERROR((5 * SUMPRODUCT(J144:N144,J244:N244) - PRODUCT(SUM(J144:N144),SUM(J244:N244))) / ((5 * SUM((J144^2)+(K144^2)+(L144^2)+(M144^2)+(N144^2))) - SUM(J144:N144)^2),""))</f>
        <v/>
      </c>
      <c r="AF244" t="str">
        <f>IFERROR(CORREL(J144:N144,J244:N244),"")</f>
        <v/>
      </c>
      <c r="AZ244">
        <f t="shared" si="69"/>
        <v>0</v>
      </c>
      <c r="BA244" t="str">
        <f>IF(AZ244=1,IF(Q244="","",IF(Q244=N144,"Yes","No")),"")</f>
        <v/>
      </c>
      <c r="BB244" t="str">
        <f t="shared" si="70"/>
        <v/>
      </c>
      <c r="BC244" t="str">
        <f>IF(AZ244=1,IF(S244="","",IF(S244=N144,"Yes","No")),"")</f>
        <v/>
      </c>
      <c r="BD244" t="str">
        <f t="shared" si="71"/>
        <v/>
      </c>
      <c r="BE244" t="str">
        <f t="shared" si="72"/>
        <v/>
      </c>
      <c r="BF244" t="str">
        <f t="shared" si="73"/>
        <v>No</v>
      </c>
      <c r="BG244" t="str">
        <f t="shared" si="74"/>
        <v>No</v>
      </c>
      <c r="BH244" t="str">
        <f t="shared" si="75"/>
        <v/>
      </c>
    </row>
    <row r="245" spans="9:60" x14ac:dyDescent="0.3">
      <c r="I245" t="str">
        <f t="shared" si="76"/>
        <v>N/A</v>
      </c>
      <c r="J245" t="str">
        <f t="shared" si="77"/>
        <v>N/A</v>
      </c>
      <c r="K245" t="str">
        <f t="shared" si="78"/>
        <v>N/A</v>
      </c>
      <c r="L245" t="str">
        <f t="shared" si="79"/>
        <v>N/A</v>
      </c>
      <c r="M245" t="str">
        <f t="shared" si="80"/>
        <v>N/A</v>
      </c>
      <c r="N245" t="str">
        <f t="shared" si="81"/>
        <v>N/A</v>
      </c>
      <c r="P245">
        <f t="shared" si="58"/>
        <v>0</v>
      </c>
      <c r="Q245" t="str">
        <f>IFERROR(J144+MATCH(P245,J245:N245,0)-1,"")</f>
        <v/>
      </c>
      <c r="R245" t="str">
        <f t="shared" si="59"/>
        <v/>
      </c>
      <c r="S245" t="str">
        <f>IFERROR(J144+MATCH(R245,J245:N245,0)-1,"")</f>
        <v/>
      </c>
      <c r="T245" t="str">
        <f t="shared" si="60"/>
        <v/>
      </c>
      <c r="U245" t="str">
        <f t="shared" si="61"/>
        <v/>
      </c>
      <c r="V245" t="str">
        <f t="shared" si="62"/>
        <v/>
      </c>
      <c r="W245" t="str">
        <f t="shared" si="63"/>
        <v/>
      </c>
      <c r="X245" t="str">
        <f t="shared" si="64"/>
        <v/>
      </c>
      <c r="Y245" t="str">
        <f t="shared" si="65"/>
        <v/>
      </c>
      <c r="Z245" t="str">
        <f t="shared" si="66"/>
        <v/>
      </c>
      <c r="AA245">
        <f t="shared" si="67"/>
        <v>0</v>
      </c>
      <c r="AB245" t="str">
        <f>IFERROR(V144+MATCH(AA245,V245:Z245,0)-1,"")</f>
        <v/>
      </c>
      <c r="AC245" t="str">
        <f t="shared" si="68"/>
        <v/>
      </c>
      <c r="AE245" t="str">
        <f>IF(ISNUMBER(MATCH("N/A",J245:N245,0)),"",IFERROR((5 * SUMPRODUCT(J144:N144,J245:N245) - PRODUCT(SUM(J144:N144),SUM(J245:N245))) / ((5 * SUM((J144^2)+(K144^2)+(L144^2)+(M144^2)+(N144^2))) - SUM(J144:N144)^2),""))</f>
        <v/>
      </c>
      <c r="AF245" t="str">
        <f>IFERROR(CORREL(J144:N144,J245:N245),"")</f>
        <v/>
      </c>
      <c r="AZ245">
        <f t="shared" si="69"/>
        <v>0</v>
      </c>
      <c r="BA245" t="str">
        <f>IF(AZ245=1,IF(Q245="","",IF(Q245=N144,"Yes","No")),"")</f>
        <v/>
      </c>
      <c r="BB245" t="str">
        <f t="shared" si="70"/>
        <v/>
      </c>
      <c r="BC245" t="str">
        <f>IF(AZ245=1,IF(S245="","",IF(S245=N144,"Yes","No")),"")</f>
        <v/>
      </c>
      <c r="BD245" t="str">
        <f t="shared" si="71"/>
        <v/>
      </c>
      <c r="BE245" t="str">
        <f t="shared" si="72"/>
        <v/>
      </c>
      <c r="BF245" t="str">
        <f t="shared" si="73"/>
        <v>No</v>
      </c>
      <c r="BG245" t="str">
        <f t="shared" si="74"/>
        <v>No</v>
      </c>
      <c r="BH245" t="str">
        <f t="shared" si="75"/>
        <v/>
      </c>
    </row>
    <row r="246" spans="9:60" x14ac:dyDescent="0.3">
      <c r="P246">
        <f t="shared" si="58"/>
        <v>0</v>
      </c>
      <c r="Q246" t="str">
        <f>IFERROR(J144+MATCH(P246,J246:N246,0)-1,"")</f>
        <v/>
      </c>
      <c r="R246" t="str">
        <f t="shared" si="59"/>
        <v/>
      </c>
      <c r="S246" t="str">
        <f>IFERROR(J144+MATCH(R246,J246:N246,0)-1,"")</f>
        <v/>
      </c>
      <c r="T246" t="str">
        <f t="shared" si="60"/>
        <v/>
      </c>
      <c r="U246" t="str">
        <f t="shared" si="61"/>
        <v/>
      </c>
      <c r="V246" t="str">
        <f t="shared" si="62"/>
        <v/>
      </c>
      <c r="W246" t="str">
        <f t="shared" si="63"/>
        <v/>
      </c>
      <c r="X246" t="str">
        <f t="shared" si="64"/>
        <v/>
      </c>
      <c r="Y246" t="str">
        <f t="shared" si="65"/>
        <v/>
      </c>
      <c r="Z246" t="str">
        <f t="shared" si="66"/>
        <v/>
      </c>
      <c r="AA246">
        <f t="shared" si="67"/>
        <v>0</v>
      </c>
      <c r="AB246" t="str">
        <f>IFERROR(V144+MATCH(AA246,V246:Z246,0)-1,"")</f>
        <v/>
      </c>
      <c r="AC246" t="str">
        <f t="shared" si="68"/>
        <v/>
      </c>
      <c r="AE246" t="str">
        <f>IF(ISNUMBER(MATCH("N/A",J246:N246,0)),"",IFERROR((5 * SUMPRODUCT(J144:N144,J246:N246) - PRODUCT(SUM(J144:N144),SUM(J246:N246))) / ((5 * SUM((J144^2)+(K144^2)+(L144^2)+(M144^2)+(N144^2))) - SUM(J144:N144)^2),""))</f>
        <v/>
      </c>
      <c r="AF246" t="str">
        <f>IFERROR(CORREL(J144:N144,J246:N246),"")</f>
        <v/>
      </c>
      <c r="AZ246">
        <f t="shared" si="69"/>
        <v>0</v>
      </c>
      <c r="BA246" t="str">
        <f>IF(AZ246=1,IF(Q246="","",IF(Q246=N144,"Yes","No")),"")</f>
        <v/>
      </c>
      <c r="BB246" t="str">
        <f t="shared" si="70"/>
        <v/>
      </c>
      <c r="BC246" t="str">
        <f>IF(AZ246=1,IF(S246="","",IF(S246=N144,"Yes","No")),"")</f>
        <v/>
      </c>
      <c r="BD246" t="str">
        <f t="shared" si="71"/>
        <v/>
      </c>
      <c r="BE246" t="str">
        <f t="shared" si="72"/>
        <v/>
      </c>
      <c r="BF246" t="str">
        <f t="shared" si="73"/>
        <v>No</v>
      </c>
      <c r="BG246" t="str">
        <f t="shared" si="74"/>
        <v>No</v>
      </c>
      <c r="BH246" t="str">
        <f t="shared" si="75"/>
        <v/>
      </c>
    </row>
    <row r="247" spans="9:60" x14ac:dyDescent="0.3">
      <c r="I247" t="str">
        <f t="shared" ref="I247:I270" si="82">IF(AND(K247&gt; J247, L247&gt; K247, M247&gt; L247, N247&gt; M247), "pos_trend", IF(AND(K247&lt; J247, L247&lt; K247, M247&lt; L247, N247&lt; M247), "neg_trend", "N/A"))</f>
        <v>N/A</v>
      </c>
      <c r="J247" t="str">
        <f t="shared" ref="J247:J270" si="83">IFERROR(IF(TRIM(C247)="-", "N/A", IF(RIGHT(C247,1)=")",IF(RIGHT(C247,2)="T)",-1000000000000*VALUE(MID(C247,2,LEN(C247)-3)),IF(RIGHT(C247,2)="M)",-1000000*VALUE(MID(C247,2,LEN(C247)-3)),IF(RIGHT(C247,2)="B)",-1000000000*VALUE(MID(C247,2,LEN(C247)-3)),IF(RIGHT(C247,2)="k)",-1000*VALUE(MID(C247,2,LEN(C247)-3)),VALUE(SUBSTITUTE(C247,",","")))))),IF(RIGHT(C247,1)="T",1000000000000*VALUE(LEFT(C247,LEN(C247)-1)),IF(RIGHT(C247,1)="M",1000000*VALUE(LEFT(C247,LEN(C247)-1)),IF(RIGHT(C247,1)="B",1000000000*VALUE(LEFT(C247,LEN(C247)-1)),IF(RIGHT(C247,1)="%",0.01*VALUE(LEFT(C247,LEN(C247)-1)),IF(RIGHT(C247,1)="k",1000*VALUE(LEFT(C247,LEN(C247)-1)),VALUE(SUBSTITUTE(C247,",",""))))))))),"N/A")</f>
        <v>N/A</v>
      </c>
      <c r="K247" t="str">
        <f t="shared" ref="K247:K270" si="84">IFERROR(IF(TRIM(D247)="-", "N/A", IF(RIGHT(D247,1)=")",IF(RIGHT(D247,2)="T)",-1000000000000*VALUE(MID(D247,2,LEN(D247)-3)),IF(RIGHT(D247,2)="M)",-1000000*VALUE(MID(D247,2,LEN(D247)-3)),IF(RIGHT(D247,2)="B)",-1000000000*VALUE(MID(D247,2,LEN(D247)-3)),IF(RIGHT(D247,2)="k)",-1000*VALUE(MID(D247,2,LEN(D247)-3)),VALUE(SUBSTITUTE(D247,",","")))))),IF(RIGHT(D247,1)="T",1000000000000*VALUE(LEFT(D247,LEN(D247)-1)),IF(RIGHT(D247,1)="M",1000000*VALUE(LEFT(D247,LEN(D247)-1)),IF(RIGHT(D247,1)="B",1000000000*VALUE(LEFT(D247,LEN(D247)-1)),IF(RIGHT(D247,1)="%",0.01*VALUE(LEFT(D247,LEN(D247)-1)),IF(RIGHT(D247,1)="k",1000*VALUE(LEFT(D247,LEN(D247)-1)),VALUE(SUBSTITUTE(D247,",",""))))))))),"N/A")</f>
        <v>N/A</v>
      </c>
      <c r="L247" t="str">
        <f t="shared" ref="L247:L270" si="85">IFERROR(IF(TRIM(E247)="-", "N/A", IF(RIGHT(E247,1)=")",IF(RIGHT(E247,2)="T)",-1000000000000*VALUE(MID(E247,2,LEN(E247)-3)),IF(RIGHT(E247,2)="M)",-1000000*VALUE(MID(E247,2,LEN(E247)-3)),IF(RIGHT(E247,2)="B)",-1000000000*VALUE(MID(E247,2,LEN(E247)-3)),IF(RIGHT(E247,2)="k)",-1000*VALUE(MID(E247,2,LEN(E247)-3)),VALUE(SUBSTITUTE(E247,",","")))))),IF(RIGHT(E247,1)="T",1000000000000*VALUE(LEFT(E247,LEN(E247)-1)),IF(RIGHT(E247,1)="M",1000000*VALUE(LEFT(E247,LEN(E247)-1)),IF(RIGHT(E247,1)="B",1000000000*VALUE(LEFT(E247,LEN(E247)-1)),IF(RIGHT(E247,1)="%",0.01*VALUE(LEFT(E247,LEN(E247)-1)),IF(RIGHT(E247,1)="k",1000*VALUE(LEFT(E247,LEN(E247)-1)),VALUE(SUBSTITUTE(E247,",",""))))))))),"N/A")</f>
        <v>N/A</v>
      </c>
      <c r="M247" t="str">
        <f t="shared" ref="M247:M270" si="86">IFERROR(IF(TRIM(F247)="-", "N/A", IF(RIGHT(F247,1)=")",IF(RIGHT(F247,2)="T)",-1000000000000*VALUE(MID(F247,2,LEN(F247)-3)),IF(RIGHT(F247,2)="M)",-1000000*VALUE(MID(F247,2,LEN(F247)-3)),IF(RIGHT(F247,2)="B)",-1000000000*VALUE(MID(F247,2,LEN(F247)-3)),IF(RIGHT(F247,2)="k)",-1000*VALUE(MID(F247,2,LEN(F247)-3)),VALUE(SUBSTITUTE(F247,",","")))))),IF(RIGHT(F247,1)="T",1000000000000*VALUE(LEFT(F247,LEN(F247)-1)),IF(RIGHT(F247,1)="M",1000000*VALUE(LEFT(F247,LEN(F247)-1)),IF(RIGHT(F247,1)="B",1000000000*VALUE(LEFT(F247,LEN(F247)-1)),IF(RIGHT(F247,1)="%",0.01*VALUE(LEFT(F247,LEN(F247)-1)),IF(RIGHT(F247,1)="k",1000*VALUE(LEFT(F247,LEN(F247)-1)),VALUE(SUBSTITUTE(F247,",",""))))))))),"N/A")</f>
        <v>N/A</v>
      </c>
      <c r="N247" t="str">
        <f t="shared" ref="N247:N270" si="87">IFERROR(IF(TRIM(G247)="-", "N/A", IF(RIGHT(G247,1)=")",IF(RIGHT(G247,2)="T)",-1000000000000*VALUE(MID(G247,2,LEN(G247)-3)),IF(RIGHT(G247,2)="M)",-1000000*VALUE(MID(G247,2,LEN(G247)-3)),IF(RIGHT(G247,2)="B)",-1000000000*VALUE(MID(G247,2,LEN(G247)-3)),IF(RIGHT(G247,2)="k)",-1000*VALUE(MID(G247,2,LEN(G247)-3)),VALUE(SUBSTITUTE(G247,",","")))))),IF(RIGHT(G247,1)="T",1000000000000*VALUE(LEFT(G247,LEN(G247)-1)),IF(RIGHT(G247,1)="M",1000000*VALUE(LEFT(G247,LEN(G247)-1)),IF(RIGHT(G247,1)="B",1000000000*VALUE(LEFT(G247,LEN(G247)-1)),IF(RIGHT(G247,1)="%",0.01*VALUE(LEFT(G247,LEN(G247)-1)),IF(RIGHT(G247,1)="k",1000*VALUE(LEFT(G247,LEN(G247)-1)),VALUE(SUBSTITUTE(G247,",",""))))))))),"N/A")</f>
        <v>N/A</v>
      </c>
      <c r="P247">
        <f t="shared" si="58"/>
        <v>0</v>
      </c>
      <c r="Q247" t="str">
        <f>IFERROR(J144+MATCH(P247,J247:N247,0)-1,"")</f>
        <v/>
      </c>
      <c r="R247" t="str">
        <f t="shared" si="59"/>
        <v/>
      </c>
      <c r="S247" t="str">
        <f>IFERROR(J144+MATCH(R247,J247:N247,0)-1,"")</f>
        <v/>
      </c>
      <c r="T247" t="str">
        <f t="shared" si="60"/>
        <v/>
      </c>
      <c r="U247" t="str">
        <f t="shared" si="61"/>
        <v/>
      </c>
      <c r="V247" t="str">
        <f t="shared" si="62"/>
        <v/>
      </c>
      <c r="W247" t="str">
        <f t="shared" si="63"/>
        <v/>
      </c>
      <c r="X247" t="str">
        <f t="shared" si="64"/>
        <v/>
      </c>
      <c r="Y247" t="str">
        <f t="shared" si="65"/>
        <v/>
      </c>
      <c r="Z247" t="str">
        <f t="shared" si="66"/>
        <v/>
      </c>
      <c r="AA247">
        <f t="shared" si="67"/>
        <v>0</v>
      </c>
      <c r="AB247" t="str">
        <f>IFERROR(V144+MATCH(AA247,V247:Z247,0)-1,"")</f>
        <v/>
      </c>
      <c r="AC247" t="str">
        <f t="shared" si="68"/>
        <v/>
      </c>
      <c r="AE247" t="str">
        <f>IF(ISNUMBER(MATCH("N/A",J247:N247,0)),"",IFERROR((5 * SUMPRODUCT(J144:N144,J247:N247) - PRODUCT(SUM(J144:N144),SUM(J247:N247))) / ((5 * SUM((J144^2)+(K144^2)+(L144^2)+(M144^2)+(N144^2))) - SUM(J144:N144)^2),""))</f>
        <v/>
      </c>
      <c r="AF247" t="str">
        <f>IFERROR(CORREL(J144:N144,J247:N247),"")</f>
        <v/>
      </c>
      <c r="AZ247">
        <f t="shared" si="69"/>
        <v>0</v>
      </c>
      <c r="BA247" t="str">
        <f>IF(AZ247=1,IF(Q247="","",IF(Q247=N144,"Yes","No")),"")</f>
        <v/>
      </c>
      <c r="BB247" t="str">
        <f t="shared" si="70"/>
        <v/>
      </c>
      <c r="BC247" t="str">
        <f>IF(AZ247=1,IF(S247="","",IF(S247=N144,"Yes","No")),"")</f>
        <v/>
      </c>
      <c r="BD247" t="str">
        <f t="shared" si="71"/>
        <v/>
      </c>
      <c r="BE247" t="str">
        <f t="shared" si="72"/>
        <v/>
      </c>
      <c r="BF247" t="str">
        <f t="shared" si="73"/>
        <v>No</v>
      </c>
      <c r="BG247" t="str">
        <f t="shared" si="74"/>
        <v>No</v>
      </c>
      <c r="BH247" t="str">
        <f t="shared" si="75"/>
        <v/>
      </c>
    </row>
    <row r="248" spans="9:60" x14ac:dyDescent="0.3">
      <c r="I248" t="str">
        <f t="shared" si="82"/>
        <v>N/A</v>
      </c>
      <c r="J248" t="str">
        <f t="shared" si="83"/>
        <v>N/A</v>
      </c>
      <c r="K248" t="str">
        <f t="shared" si="84"/>
        <v>N/A</v>
      </c>
      <c r="L248" t="str">
        <f t="shared" si="85"/>
        <v>N/A</v>
      </c>
      <c r="M248" t="str">
        <f t="shared" si="86"/>
        <v>N/A</v>
      </c>
      <c r="N248" t="str">
        <f t="shared" si="87"/>
        <v>N/A</v>
      </c>
      <c r="P248">
        <f t="shared" si="58"/>
        <v>0</v>
      </c>
      <c r="Q248" t="str">
        <f>IFERROR(J144+MATCH(P248,J248:N248,0)-1,"")</f>
        <v/>
      </c>
      <c r="R248" t="str">
        <f t="shared" si="59"/>
        <v/>
      </c>
      <c r="S248" t="str">
        <f>IFERROR(J144+MATCH(R248,J248:N248,0)-1,"")</f>
        <v/>
      </c>
      <c r="T248" t="str">
        <f t="shared" si="60"/>
        <v/>
      </c>
      <c r="U248" t="str">
        <f t="shared" si="61"/>
        <v/>
      </c>
      <c r="V248" t="str">
        <f t="shared" si="62"/>
        <v/>
      </c>
      <c r="W248" t="str">
        <f t="shared" si="63"/>
        <v/>
      </c>
      <c r="X248" t="str">
        <f t="shared" si="64"/>
        <v/>
      </c>
      <c r="Y248" t="str">
        <f t="shared" si="65"/>
        <v/>
      </c>
      <c r="Z248" t="str">
        <f t="shared" si="66"/>
        <v/>
      </c>
      <c r="AA248">
        <f t="shared" si="67"/>
        <v>0</v>
      </c>
      <c r="AB248" t="str">
        <f>IFERROR(V144+MATCH(AA248,V248:Z248,0)-1,"")</f>
        <v/>
      </c>
      <c r="AC248" t="str">
        <f t="shared" si="68"/>
        <v/>
      </c>
      <c r="AE248" t="str">
        <f>IF(ISNUMBER(MATCH("N/A",J248:N248,0)),"",IFERROR((5 * SUMPRODUCT(J144:N144,J248:N248) - PRODUCT(SUM(J144:N144),SUM(J248:N248))) / ((5 * SUM((J144^2)+(K144^2)+(L144^2)+(M144^2)+(N144^2))) - SUM(J144:N144)^2),""))</f>
        <v/>
      </c>
      <c r="AF248" t="str">
        <f>IFERROR(CORREL(J144:N144,J248:N248),"")</f>
        <v/>
      </c>
      <c r="AZ248">
        <f t="shared" si="69"/>
        <v>0</v>
      </c>
      <c r="BA248" t="str">
        <f>IF(AZ248=1,IF(Q248="","",IF(Q248=N144,"Yes","No")),"")</f>
        <v/>
      </c>
      <c r="BB248" t="str">
        <f t="shared" si="70"/>
        <v/>
      </c>
      <c r="BC248" t="str">
        <f>IF(AZ248=1,IF(S248="","",IF(S248=N144,"Yes","No")),"")</f>
        <v/>
      </c>
      <c r="BD248" t="str">
        <f t="shared" si="71"/>
        <v/>
      </c>
      <c r="BE248" t="str">
        <f t="shared" si="72"/>
        <v/>
      </c>
      <c r="BF248" t="str">
        <f t="shared" si="73"/>
        <v>No</v>
      </c>
      <c r="BG248" t="str">
        <f t="shared" si="74"/>
        <v>No</v>
      </c>
      <c r="BH248" t="str">
        <f t="shared" si="75"/>
        <v/>
      </c>
    </row>
    <row r="249" spans="9:60" x14ac:dyDescent="0.3">
      <c r="I249" t="str">
        <f t="shared" si="82"/>
        <v>N/A</v>
      </c>
      <c r="J249" t="str">
        <f t="shared" si="83"/>
        <v>N/A</v>
      </c>
      <c r="K249" t="str">
        <f t="shared" si="84"/>
        <v>N/A</v>
      </c>
      <c r="L249" t="str">
        <f t="shared" si="85"/>
        <v>N/A</v>
      </c>
      <c r="M249" t="str">
        <f t="shared" si="86"/>
        <v>N/A</v>
      </c>
      <c r="N249" t="str">
        <f t="shared" si="87"/>
        <v>N/A</v>
      </c>
      <c r="P249">
        <f t="shared" si="58"/>
        <v>0</v>
      </c>
      <c r="Q249" t="str">
        <f>IFERROR(J144+MATCH(P249,J249:N249,0)-1,"")</f>
        <v/>
      </c>
      <c r="R249" t="str">
        <f t="shared" si="59"/>
        <v/>
      </c>
      <c r="S249" t="str">
        <f>IFERROR(J144+MATCH(R249,J249:N249,0)-1,"")</f>
        <v/>
      </c>
      <c r="T249" t="str">
        <f t="shared" si="60"/>
        <v/>
      </c>
      <c r="U249" t="str">
        <f t="shared" si="61"/>
        <v/>
      </c>
      <c r="V249" t="str">
        <f t="shared" si="62"/>
        <v/>
      </c>
      <c r="W249" t="str">
        <f t="shared" si="63"/>
        <v/>
      </c>
      <c r="X249" t="str">
        <f t="shared" si="64"/>
        <v/>
      </c>
      <c r="Y249" t="str">
        <f t="shared" si="65"/>
        <v/>
      </c>
      <c r="Z249" t="str">
        <f t="shared" si="66"/>
        <v/>
      </c>
      <c r="AA249">
        <f t="shared" si="67"/>
        <v>0</v>
      </c>
      <c r="AB249" t="str">
        <f>IFERROR(V144+MATCH(AA249,V249:Z249,0)-1,"")</f>
        <v/>
      </c>
      <c r="AC249" t="str">
        <f t="shared" si="68"/>
        <v/>
      </c>
      <c r="AE249" t="str">
        <f>IF(ISNUMBER(MATCH("N/A",J249:N249,0)),"",IFERROR((5 * SUMPRODUCT(J144:N144,J249:N249) - PRODUCT(SUM(J144:N144),SUM(J249:N249))) / ((5 * SUM((J144^2)+(K144^2)+(L144^2)+(M144^2)+(N144^2))) - SUM(J144:N144)^2),""))</f>
        <v/>
      </c>
      <c r="AF249" t="str">
        <f>IFERROR(CORREL(J144:N144,J249:N249),"")</f>
        <v/>
      </c>
      <c r="AZ249">
        <f t="shared" si="69"/>
        <v>0</v>
      </c>
      <c r="BA249" t="str">
        <f>IF(AZ249=1,IF(Q249="","",IF(Q249=N144,"Yes","No")),"")</f>
        <v/>
      </c>
      <c r="BB249" t="str">
        <f t="shared" si="70"/>
        <v/>
      </c>
      <c r="BC249" t="str">
        <f>IF(AZ249=1,IF(S249="","",IF(S249=N144,"Yes","No")),"")</f>
        <v/>
      </c>
      <c r="BD249" t="str">
        <f t="shared" si="71"/>
        <v/>
      </c>
      <c r="BE249" t="str">
        <f t="shared" si="72"/>
        <v/>
      </c>
      <c r="BF249" t="str">
        <f t="shared" si="73"/>
        <v>No</v>
      </c>
      <c r="BG249" t="str">
        <f t="shared" si="74"/>
        <v>No</v>
      </c>
      <c r="BH249" t="str">
        <f t="shared" si="75"/>
        <v/>
      </c>
    </row>
    <row r="250" spans="9:60" x14ac:dyDescent="0.3">
      <c r="I250" t="str">
        <f t="shared" si="82"/>
        <v>N/A</v>
      </c>
      <c r="J250" t="str">
        <f t="shared" si="83"/>
        <v>N/A</v>
      </c>
      <c r="K250" t="str">
        <f t="shared" si="84"/>
        <v>N/A</v>
      </c>
      <c r="L250" t="str">
        <f t="shared" si="85"/>
        <v>N/A</v>
      </c>
      <c r="M250" t="str">
        <f t="shared" si="86"/>
        <v>N/A</v>
      </c>
      <c r="N250" t="str">
        <f t="shared" si="87"/>
        <v>N/A</v>
      </c>
      <c r="P250">
        <f t="shared" si="58"/>
        <v>0</v>
      </c>
      <c r="Q250" t="str">
        <f>IFERROR(J144+MATCH(P250,J250:N250,0)-1,"")</f>
        <v/>
      </c>
      <c r="R250" t="str">
        <f t="shared" si="59"/>
        <v/>
      </c>
      <c r="S250" t="str">
        <f>IFERROR(J144+MATCH(R250,J250:N250,0)-1,"")</f>
        <v/>
      </c>
      <c r="T250" t="str">
        <f t="shared" si="60"/>
        <v/>
      </c>
      <c r="U250" t="str">
        <f t="shared" si="61"/>
        <v/>
      </c>
      <c r="V250" t="str">
        <f t="shared" si="62"/>
        <v/>
      </c>
      <c r="W250" t="str">
        <f t="shared" si="63"/>
        <v/>
      </c>
      <c r="X250" t="str">
        <f t="shared" si="64"/>
        <v/>
      </c>
      <c r="Y250" t="str">
        <f t="shared" si="65"/>
        <v/>
      </c>
      <c r="Z250" t="str">
        <f t="shared" si="66"/>
        <v/>
      </c>
      <c r="AA250">
        <f t="shared" si="67"/>
        <v>0</v>
      </c>
      <c r="AB250" t="str">
        <f>IFERROR(V144+MATCH(AA250,V250:Z250,0)-1,"")</f>
        <v/>
      </c>
      <c r="AC250" t="str">
        <f t="shared" si="68"/>
        <v/>
      </c>
      <c r="AE250" t="str">
        <f>IF(ISNUMBER(MATCH("N/A",J250:N250,0)),"",IFERROR((5 * SUMPRODUCT(J144:N144,J250:N250) - PRODUCT(SUM(J144:N144),SUM(J250:N250))) / ((5 * SUM((J144^2)+(K144^2)+(L144^2)+(M144^2)+(N144^2))) - SUM(J144:N144)^2),""))</f>
        <v/>
      </c>
      <c r="AF250" t="str">
        <f>IFERROR(CORREL(J144:N144,J250:N250),"")</f>
        <v/>
      </c>
      <c r="AZ250">
        <f t="shared" si="69"/>
        <v>0</v>
      </c>
      <c r="BA250" t="str">
        <f>IF(AZ250=1,IF(Q250="","",IF(Q250=N144,"Yes","No")),"")</f>
        <v/>
      </c>
      <c r="BB250" t="str">
        <f t="shared" si="70"/>
        <v/>
      </c>
      <c r="BC250" t="str">
        <f>IF(AZ250=1,IF(S250="","",IF(S250=N144,"Yes","No")),"")</f>
        <v/>
      </c>
      <c r="BD250" t="str">
        <f t="shared" si="71"/>
        <v/>
      </c>
      <c r="BE250" t="str">
        <f t="shared" si="72"/>
        <v/>
      </c>
      <c r="BF250" t="str">
        <f t="shared" si="73"/>
        <v>No</v>
      </c>
      <c r="BG250" t="str">
        <f t="shared" si="74"/>
        <v>No</v>
      </c>
      <c r="BH250" t="str">
        <f t="shared" si="75"/>
        <v/>
      </c>
    </row>
    <row r="251" spans="9:60" x14ac:dyDescent="0.3">
      <c r="I251" t="str">
        <f t="shared" si="82"/>
        <v>N/A</v>
      </c>
      <c r="J251" t="str">
        <f t="shared" si="83"/>
        <v>N/A</v>
      </c>
      <c r="K251" t="str">
        <f t="shared" si="84"/>
        <v>N/A</v>
      </c>
      <c r="L251" t="str">
        <f t="shared" si="85"/>
        <v>N/A</v>
      </c>
      <c r="M251" t="str">
        <f t="shared" si="86"/>
        <v>N/A</v>
      </c>
      <c r="N251" t="str">
        <f t="shared" si="87"/>
        <v>N/A</v>
      </c>
      <c r="P251">
        <f t="shared" si="58"/>
        <v>0</v>
      </c>
      <c r="Q251" t="str">
        <f>IFERROR(J144+MATCH(P251,J251:N251,0)-1,"")</f>
        <v/>
      </c>
      <c r="R251" t="str">
        <f t="shared" si="59"/>
        <v/>
      </c>
      <c r="S251" t="str">
        <f>IFERROR(J144+MATCH(R251,J251:N251,0)-1,"")</f>
        <v/>
      </c>
      <c r="T251" t="str">
        <f t="shared" si="60"/>
        <v/>
      </c>
      <c r="U251" t="str">
        <f t="shared" si="61"/>
        <v/>
      </c>
      <c r="V251" t="str">
        <f t="shared" si="62"/>
        <v/>
      </c>
      <c r="W251" t="str">
        <f t="shared" si="63"/>
        <v/>
      </c>
      <c r="X251" t="str">
        <f t="shared" si="64"/>
        <v/>
      </c>
      <c r="Y251" t="str">
        <f t="shared" si="65"/>
        <v/>
      </c>
      <c r="Z251" t="str">
        <f t="shared" si="66"/>
        <v/>
      </c>
      <c r="AA251">
        <f t="shared" si="67"/>
        <v>0</v>
      </c>
      <c r="AB251" t="str">
        <f>IFERROR(V144+MATCH(AA251,V251:Z251,0)-1,"")</f>
        <v/>
      </c>
      <c r="AC251" t="str">
        <f t="shared" si="68"/>
        <v/>
      </c>
      <c r="AE251" t="str">
        <f>IF(ISNUMBER(MATCH("N/A",J251:N251,0)),"",IFERROR((5 * SUMPRODUCT(J144:N144,J251:N251) - PRODUCT(SUM(J144:N144),SUM(J251:N251))) / ((5 * SUM((J144^2)+(K144^2)+(L144^2)+(M144^2)+(N144^2))) - SUM(J144:N144)^2),""))</f>
        <v/>
      </c>
      <c r="AF251" t="str">
        <f>IFERROR(CORREL(J144:N144,J251:N251),"")</f>
        <v/>
      </c>
      <c r="AZ251">
        <f t="shared" si="69"/>
        <v>0</v>
      </c>
      <c r="BA251" t="str">
        <f>IF(AZ251=1,IF(Q251="","",IF(Q251=N144,"Yes","No")),"")</f>
        <v/>
      </c>
      <c r="BB251" t="str">
        <f t="shared" si="70"/>
        <v/>
      </c>
      <c r="BC251" t="str">
        <f>IF(AZ251=1,IF(S251="","",IF(S251=N144,"Yes","No")),"")</f>
        <v/>
      </c>
      <c r="BD251" t="str">
        <f t="shared" si="71"/>
        <v/>
      </c>
      <c r="BE251" t="str">
        <f t="shared" si="72"/>
        <v/>
      </c>
      <c r="BF251" t="str">
        <f t="shared" si="73"/>
        <v>No</v>
      </c>
      <c r="BG251" t="str">
        <f t="shared" si="74"/>
        <v>No</v>
      </c>
      <c r="BH251" t="str">
        <f t="shared" si="75"/>
        <v/>
      </c>
    </row>
    <row r="252" spans="9:60" x14ac:dyDescent="0.3">
      <c r="I252" t="str">
        <f t="shared" si="82"/>
        <v>N/A</v>
      </c>
      <c r="J252" t="str">
        <f t="shared" si="83"/>
        <v>N/A</v>
      </c>
      <c r="K252" t="str">
        <f t="shared" si="84"/>
        <v>N/A</v>
      </c>
      <c r="L252" t="str">
        <f t="shared" si="85"/>
        <v>N/A</v>
      </c>
      <c r="M252" t="str">
        <f t="shared" si="86"/>
        <v>N/A</v>
      </c>
      <c r="N252" t="str">
        <f t="shared" si="87"/>
        <v>N/A</v>
      </c>
      <c r="P252">
        <f t="shared" si="58"/>
        <v>0</v>
      </c>
      <c r="Q252" t="str">
        <f>IFERROR(J144+MATCH(P252,J252:N252,0)-1,"")</f>
        <v/>
      </c>
      <c r="R252" t="str">
        <f t="shared" si="59"/>
        <v/>
      </c>
      <c r="S252" t="str">
        <f>IFERROR(J144+MATCH(R252,J252:N252,0)-1,"")</f>
        <v/>
      </c>
      <c r="T252" t="str">
        <f t="shared" si="60"/>
        <v/>
      </c>
      <c r="U252" t="str">
        <f t="shared" si="61"/>
        <v/>
      </c>
      <c r="V252" t="str">
        <f t="shared" si="62"/>
        <v/>
      </c>
      <c r="W252" t="str">
        <f t="shared" si="63"/>
        <v/>
      </c>
      <c r="X252" t="str">
        <f t="shared" si="64"/>
        <v/>
      </c>
      <c r="Y252" t="str">
        <f t="shared" si="65"/>
        <v/>
      </c>
      <c r="Z252" t="str">
        <f t="shared" si="66"/>
        <v/>
      </c>
      <c r="AA252">
        <f t="shared" si="67"/>
        <v>0</v>
      </c>
      <c r="AB252" t="str">
        <f>IFERROR(V144+MATCH(AA252,V252:Z252,0)-1,"")</f>
        <v/>
      </c>
      <c r="AC252" t="str">
        <f t="shared" si="68"/>
        <v/>
      </c>
      <c r="AE252" t="str">
        <f>IF(ISNUMBER(MATCH("N/A",J252:N252,0)),"",IFERROR((5 * SUMPRODUCT(J144:N144,J252:N252) - PRODUCT(SUM(J144:N144),SUM(J252:N252))) / ((5 * SUM((J144^2)+(K144^2)+(L144^2)+(M144^2)+(N144^2))) - SUM(J144:N144)^2),""))</f>
        <v/>
      </c>
      <c r="AF252" t="str">
        <f>IFERROR(CORREL(J144:N144,J252:N252),"")</f>
        <v/>
      </c>
      <c r="AZ252">
        <f t="shared" si="69"/>
        <v>0</v>
      </c>
      <c r="BA252" t="str">
        <f>IF(AZ252=1,IF(Q252="","",IF(Q252=N144,"Yes","No")),"")</f>
        <v/>
      </c>
      <c r="BB252" t="str">
        <f t="shared" si="70"/>
        <v/>
      </c>
      <c r="BC252" t="str">
        <f>IF(AZ252=1,IF(S252="","",IF(S252=N144,"Yes","No")),"")</f>
        <v/>
      </c>
      <c r="BD252" t="str">
        <f t="shared" si="71"/>
        <v/>
      </c>
      <c r="BE252" t="str">
        <f t="shared" si="72"/>
        <v/>
      </c>
      <c r="BF252" t="str">
        <f t="shared" si="73"/>
        <v>No</v>
      </c>
      <c r="BG252" t="str">
        <f t="shared" si="74"/>
        <v>No</v>
      </c>
      <c r="BH252" t="str">
        <f t="shared" si="75"/>
        <v/>
      </c>
    </row>
    <row r="253" spans="9:60" x14ac:dyDescent="0.3">
      <c r="I253" t="str">
        <f t="shared" si="82"/>
        <v>N/A</v>
      </c>
      <c r="J253" t="str">
        <f t="shared" si="83"/>
        <v>N/A</v>
      </c>
      <c r="K253" t="str">
        <f t="shared" si="84"/>
        <v>N/A</v>
      </c>
      <c r="L253" t="str">
        <f t="shared" si="85"/>
        <v>N/A</v>
      </c>
      <c r="M253" t="str">
        <f t="shared" si="86"/>
        <v>N/A</v>
      </c>
      <c r="N253" t="str">
        <f t="shared" si="87"/>
        <v>N/A</v>
      </c>
      <c r="P253">
        <f t="shared" si="58"/>
        <v>0</v>
      </c>
      <c r="Q253" t="str">
        <f>IFERROR(J144+MATCH(P253,J253:N253,0)-1,"")</f>
        <v/>
      </c>
      <c r="R253" t="str">
        <f t="shared" si="59"/>
        <v/>
      </c>
      <c r="S253" t="str">
        <f>IFERROR(J144+MATCH(R253,J253:N253,0)-1,"")</f>
        <v/>
      </c>
      <c r="T253" t="str">
        <f t="shared" si="60"/>
        <v/>
      </c>
      <c r="U253" t="str">
        <f t="shared" si="61"/>
        <v/>
      </c>
      <c r="V253" t="str">
        <f t="shared" si="62"/>
        <v/>
      </c>
      <c r="W253" t="str">
        <f t="shared" si="63"/>
        <v/>
      </c>
      <c r="X253" t="str">
        <f t="shared" si="64"/>
        <v/>
      </c>
      <c r="Y253" t="str">
        <f t="shared" si="65"/>
        <v/>
      </c>
      <c r="Z253" t="str">
        <f t="shared" si="66"/>
        <v/>
      </c>
      <c r="AA253">
        <f t="shared" si="67"/>
        <v>0</v>
      </c>
      <c r="AB253" t="str">
        <f>IFERROR(V144+MATCH(AA253,V253:Z253,0)-1,"")</f>
        <v/>
      </c>
      <c r="AC253" t="str">
        <f t="shared" si="68"/>
        <v/>
      </c>
      <c r="AE253" t="str">
        <f>IF(ISNUMBER(MATCH("N/A",J253:N253,0)),"",IFERROR((5 * SUMPRODUCT(J144:N144,J253:N253) - PRODUCT(SUM(J144:N144),SUM(J253:N253))) / ((5 * SUM((J144^2)+(K144^2)+(L144^2)+(M144^2)+(N144^2))) - SUM(J144:N144)^2),""))</f>
        <v/>
      </c>
      <c r="AF253" t="str">
        <f>IFERROR(CORREL(J144:N144,J253:N253),"")</f>
        <v/>
      </c>
      <c r="AZ253">
        <f t="shared" si="69"/>
        <v>0</v>
      </c>
      <c r="BA253" t="str">
        <f>IF(AZ253=1,IF(Q253="","",IF(Q253=N144,"Yes","No")),"")</f>
        <v/>
      </c>
      <c r="BB253" t="str">
        <f t="shared" si="70"/>
        <v/>
      </c>
      <c r="BC253" t="str">
        <f>IF(AZ253=1,IF(S253="","",IF(S253=N144,"Yes","No")),"")</f>
        <v/>
      </c>
      <c r="BD253" t="str">
        <f t="shared" si="71"/>
        <v/>
      </c>
      <c r="BE253" t="str">
        <f t="shared" si="72"/>
        <v/>
      </c>
      <c r="BF253" t="str">
        <f t="shared" si="73"/>
        <v>No</v>
      </c>
      <c r="BG253" t="str">
        <f t="shared" si="74"/>
        <v>No</v>
      </c>
      <c r="BH253" t="str">
        <f t="shared" si="75"/>
        <v/>
      </c>
    </row>
    <row r="254" spans="9:60" x14ac:dyDescent="0.3">
      <c r="I254" t="str">
        <f t="shared" si="82"/>
        <v>N/A</v>
      </c>
      <c r="J254" t="str">
        <f t="shared" si="83"/>
        <v>N/A</v>
      </c>
      <c r="K254" t="str">
        <f t="shared" si="84"/>
        <v>N/A</v>
      </c>
      <c r="L254" t="str">
        <f t="shared" si="85"/>
        <v>N/A</v>
      </c>
      <c r="M254" t="str">
        <f t="shared" si="86"/>
        <v>N/A</v>
      </c>
      <c r="N254" t="str">
        <f t="shared" si="87"/>
        <v>N/A</v>
      </c>
      <c r="P254">
        <f t="shared" si="58"/>
        <v>0</v>
      </c>
      <c r="Q254" t="str">
        <f>IFERROR(J144+MATCH(P254,J254:N254,0)-1,"")</f>
        <v/>
      </c>
      <c r="R254" t="str">
        <f t="shared" si="59"/>
        <v/>
      </c>
      <c r="S254" t="str">
        <f>IFERROR(J144+MATCH(R254,J254:N254,0)-1,"")</f>
        <v/>
      </c>
      <c r="T254" t="str">
        <f t="shared" si="60"/>
        <v/>
      </c>
      <c r="U254" t="str">
        <f t="shared" si="61"/>
        <v/>
      </c>
      <c r="V254" t="str">
        <f t="shared" si="62"/>
        <v/>
      </c>
      <c r="W254" t="str">
        <f t="shared" si="63"/>
        <v/>
      </c>
      <c r="X254" t="str">
        <f t="shared" si="64"/>
        <v/>
      </c>
      <c r="Y254" t="str">
        <f t="shared" si="65"/>
        <v/>
      </c>
      <c r="Z254" t="str">
        <f t="shared" si="66"/>
        <v/>
      </c>
      <c r="AA254">
        <f t="shared" si="67"/>
        <v>0</v>
      </c>
      <c r="AB254" t="str">
        <f>IFERROR(V144+MATCH(AA254,V254:Z254,0)-1,"")</f>
        <v/>
      </c>
      <c r="AC254" t="str">
        <f t="shared" si="68"/>
        <v/>
      </c>
      <c r="AE254" t="str">
        <f>IF(ISNUMBER(MATCH("N/A",J254:N254,0)),"",IFERROR((5 * SUMPRODUCT(J144:N144,J254:N254) - PRODUCT(SUM(J144:N144),SUM(J254:N254))) / ((5 * SUM((J144^2)+(K144^2)+(L144^2)+(M144^2)+(N144^2))) - SUM(J144:N144)^2),""))</f>
        <v/>
      </c>
      <c r="AF254" t="str">
        <f>IFERROR(CORREL(J144:N144,J254:N254),"")</f>
        <v/>
      </c>
      <c r="AZ254">
        <f t="shared" si="69"/>
        <v>0</v>
      </c>
      <c r="BA254" t="str">
        <f>IF(AZ254=1,IF(Q254="","",IF(Q254=N144,"Yes","No")),"")</f>
        <v/>
      </c>
      <c r="BB254" t="str">
        <f t="shared" si="70"/>
        <v/>
      </c>
      <c r="BC254" t="str">
        <f>IF(AZ254=1,IF(S254="","",IF(S254=N144,"Yes","No")),"")</f>
        <v/>
      </c>
      <c r="BD254" t="str">
        <f t="shared" si="71"/>
        <v/>
      </c>
      <c r="BE254" t="str">
        <f t="shared" si="72"/>
        <v/>
      </c>
      <c r="BF254" t="str">
        <f t="shared" si="73"/>
        <v>No</v>
      </c>
      <c r="BG254" t="str">
        <f t="shared" si="74"/>
        <v>No</v>
      </c>
      <c r="BH254" t="str">
        <f t="shared" si="75"/>
        <v/>
      </c>
    </row>
    <row r="255" spans="9:60" x14ac:dyDescent="0.3">
      <c r="I255" t="str">
        <f t="shared" si="82"/>
        <v>N/A</v>
      </c>
      <c r="J255" t="str">
        <f t="shared" si="83"/>
        <v>N/A</v>
      </c>
      <c r="K255" t="str">
        <f t="shared" si="84"/>
        <v>N/A</v>
      </c>
      <c r="L255" t="str">
        <f t="shared" si="85"/>
        <v>N/A</v>
      </c>
      <c r="M255" t="str">
        <f t="shared" si="86"/>
        <v>N/A</v>
      </c>
      <c r="N255" t="str">
        <f t="shared" si="87"/>
        <v>N/A</v>
      </c>
      <c r="P255">
        <f t="shared" si="58"/>
        <v>0</v>
      </c>
      <c r="Q255" t="str">
        <f>IFERROR(J144+MATCH(P255,J255:N255,0)-1,"")</f>
        <v/>
      </c>
      <c r="R255" t="str">
        <f t="shared" si="59"/>
        <v/>
      </c>
      <c r="S255" t="str">
        <f>IFERROR(J144+MATCH(R255,J255:N255,0)-1,"")</f>
        <v/>
      </c>
      <c r="T255" t="str">
        <f t="shared" si="60"/>
        <v/>
      </c>
      <c r="U255" t="str">
        <f t="shared" si="61"/>
        <v/>
      </c>
      <c r="V255" t="str">
        <f t="shared" si="62"/>
        <v/>
      </c>
      <c r="W255" t="str">
        <f t="shared" si="63"/>
        <v/>
      </c>
      <c r="X255" t="str">
        <f t="shared" si="64"/>
        <v/>
      </c>
      <c r="Y255" t="str">
        <f t="shared" si="65"/>
        <v/>
      </c>
      <c r="Z255" t="str">
        <f t="shared" si="66"/>
        <v/>
      </c>
      <c r="AA255">
        <f t="shared" si="67"/>
        <v>0</v>
      </c>
      <c r="AB255" t="str">
        <f>IFERROR(V144+MATCH(AA255,V255:Z255,0)-1,"")</f>
        <v/>
      </c>
      <c r="AC255" t="str">
        <f t="shared" si="68"/>
        <v/>
      </c>
      <c r="AE255" t="str">
        <f>IF(ISNUMBER(MATCH("N/A",J255:N255,0)),"",IFERROR((5 * SUMPRODUCT(J144:N144,J255:N255) - PRODUCT(SUM(J144:N144),SUM(J255:N255))) / ((5 * SUM((J144^2)+(K144^2)+(L144^2)+(M144^2)+(N144^2))) - SUM(J144:N144)^2),""))</f>
        <v/>
      </c>
      <c r="AF255" t="str">
        <f>IFERROR(CORREL(J144:N144,J255:N255),"")</f>
        <v/>
      </c>
      <c r="AZ255">
        <f t="shared" si="69"/>
        <v>0</v>
      </c>
      <c r="BA255" t="str">
        <f>IF(AZ255=1,IF(Q255="","",IF(Q255=N144,"Yes","No")),"")</f>
        <v/>
      </c>
      <c r="BB255" t="str">
        <f t="shared" si="70"/>
        <v/>
      </c>
      <c r="BC255" t="str">
        <f>IF(AZ255=1,IF(S255="","",IF(S255=N144,"Yes","No")),"")</f>
        <v/>
      </c>
      <c r="BD255" t="str">
        <f t="shared" si="71"/>
        <v/>
      </c>
      <c r="BE255" t="str">
        <f t="shared" si="72"/>
        <v/>
      </c>
      <c r="BF255" t="str">
        <f t="shared" si="73"/>
        <v>No</v>
      </c>
      <c r="BG255" t="str">
        <f t="shared" si="74"/>
        <v>No</v>
      </c>
      <c r="BH255" t="str">
        <f t="shared" si="75"/>
        <v/>
      </c>
    </row>
    <row r="256" spans="9:60" x14ac:dyDescent="0.3">
      <c r="I256" t="str">
        <f t="shared" si="82"/>
        <v>N/A</v>
      </c>
      <c r="J256" t="str">
        <f t="shared" si="83"/>
        <v>N/A</v>
      </c>
      <c r="K256" t="str">
        <f t="shared" si="84"/>
        <v>N/A</v>
      </c>
      <c r="L256" t="str">
        <f t="shared" si="85"/>
        <v>N/A</v>
      </c>
      <c r="M256" t="str">
        <f t="shared" si="86"/>
        <v>N/A</v>
      </c>
      <c r="N256" t="str">
        <f t="shared" si="87"/>
        <v>N/A</v>
      </c>
      <c r="P256">
        <f t="shared" si="58"/>
        <v>0</v>
      </c>
      <c r="Q256" t="str">
        <f>IFERROR(J144+MATCH(P256,J256:N256,0)-1,"")</f>
        <v/>
      </c>
      <c r="R256" t="str">
        <f t="shared" si="59"/>
        <v/>
      </c>
      <c r="S256" t="str">
        <f>IFERROR(J144+MATCH(R256,J256:N256,0)-1,"")</f>
        <v/>
      </c>
      <c r="T256" t="str">
        <f t="shared" si="60"/>
        <v/>
      </c>
      <c r="U256" t="str">
        <f t="shared" si="61"/>
        <v/>
      </c>
      <c r="V256" t="str">
        <f t="shared" si="62"/>
        <v/>
      </c>
      <c r="W256" t="str">
        <f t="shared" si="63"/>
        <v/>
      </c>
      <c r="X256" t="str">
        <f t="shared" si="64"/>
        <v/>
      </c>
      <c r="Y256" t="str">
        <f t="shared" si="65"/>
        <v/>
      </c>
      <c r="Z256" t="str">
        <f t="shared" si="66"/>
        <v/>
      </c>
      <c r="AA256">
        <f t="shared" si="67"/>
        <v>0</v>
      </c>
      <c r="AB256" t="str">
        <f>IFERROR(V144+MATCH(AA256,V256:Z256,0)-1,"")</f>
        <v/>
      </c>
      <c r="AC256" t="str">
        <f t="shared" si="68"/>
        <v/>
      </c>
      <c r="AE256" t="str">
        <f>IF(ISNUMBER(MATCH("N/A",J256:N256,0)),"",IFERROR((5 * SUMPRODUCT(J144:N144,J256:N256) - PRODUCT(SUM(J144:N144),SUM(J256:N256))) / ((5 * SUM((J144^2)+(K144^2)+(L144^2)+(M144^2)+(N144^2))) - SUM(J144:N144)^2),""))</f>
        <v/>
      </c>
      <c r="AF256" t="str">
        <f>IFERROR(CORREL(J144:N144,J256:N256),"")</f>
        <v/>
      </c>
      <c r="AZ256">
        <f t="shared" si="69"/>
        <v>0</v>
      </c>
      <c r="BA256" t="str">
        <f>IF(AZ256=1,IF(Q256="","",IF(Q256=N144,"Yes","No")),"")</f>
        <v/>
      </c>
      <c r="BB256" t="str">
        <f t="shared" si="70"/>
        <v/>
      </c>
      <c r="BC256" t="str">
        <f>IF(AZ256=1,IF(S256="","",IF(S256=N144,"Yes","No")),"")</f>
        <v/>
      </c>
      <c r="BD256" t="str">
        <f t="shared" si="71"/>
        <v/>
      </c>
      <c r="BE256" t="str">
        <f t="shared" si="72"/>
        <v/>
      </c>
      <c r="BF256" t="str">
        <f t="shared" si="73"/>
        <v>No</v>
      </c>
      <c r="BG256" t="str">
        <f t="shared" si="74"/>
        <v>No</v>
      </c>
      <c r="BH256" t="str">
        <f t="shared" si="75"/>
        <v/>
      </c>
    </row>
    <row r="257" spans="9:60" x14ac:dyDescent="0.3">
      <c r="I257" t="str">
        <f t="shared" si="82"/>
        <v>N/A</v>
      </c>
      <c r="J257" t="str">
        <f t="shared" si="83"/>
        <v>N/A</v>
      </c>
      <c r="K257" t="str">
        <f t="shared" si="84"/>
        <v>N/A</v>
      </c>
      <c r="L257" t="str">
        <f t="shared" si="85"/>
        <v>N/A</v>
      </c>
      <c r="M257" t="str">
        <f t="shared" si="86"/>
        <v>N/A</v>
      </c>
      <c r="N257" t="str">
        <f t="shared" si="87"/>
        <v>N/A</v>
      </c>
      <c r="P257">
        <f t="shared" si="58"/>
        <v>0</v>
      </c>
      <c r="Q257" t="str">
        <f>IFERROR(J144+MATCH(P257,J257:N257,0)-1,"")</f>
        <v/>
      </c>
      <c r="R257" t="str">
        <f t="shared" si="59"/>
        <v/>
      </c>
      <c r="S257" t="str">
        <f>IFERROR(J144+MATCH(R257,J257:N257,0)-1,"")</f>
        <v/>
      </c>
      <c r="T257" t="str">
        <f t="shared" si="60"/>
        <v/>
      </c>
      <c r="U257" t="str">
        <f t="shared" si="61"/>
        <v/>
      </c>
      <c r="V257" t="str">
        <f t="shared" si="62"/>
        <v/>
      </c>
      <c r="W257" t="str">
        <f t="shared" si="63"/>
        <v/>
      </c>
      <c r="X257" t="str">
        <f t="shared" si="64"/>
        <v/>
      </c>
      <c r="Y257" t="str">
        <f t="shared" si="65"/>
        <v/>
      </c>
      <c r="Z257" t="str">
        <f t="shared" si="66"/>
        <v/>
      </c>
      <c r="AA257">
        <f t="shared" si="67"/>
        <v>0</v>
      </c>
      <c r="AB257" t="str">
        <f>IFERROR(V144+MATCH(AA257,V257:Z257,0)-1,"")</f>
        <v/>
      </c>
      <c r="AC257" t="str">
        <f t="shared" si="68"/>
        <v/>
      </c>
      <c r="AE257" t="str">
        <f>IF(ISNUMBER(MATCH("N/A",J257:N257,0)),"",IFERROR((5 * SUMPRODUCT(J144:N144,J257:N257) - PRODUCT(SUM(J144:N144),SUM(J257:N257))) / ((5 * SUM((J144^2)+(K144^2)+(L144^2)+(M144^2)+(N144^2))) - SUM(J144:N144)^2),""))</f>
        <v/>
      </c>
      <c r="AF257" t="str">
        <f>IFERROR(CORREL(J144:N144,J257:N257),"")</f>
        <v/>
      </c>
      <c r="AZ257">
        <f t="shared" si="69"/>
        <v>0</v>
      </c>
      <c r="BA257" t="str">
        <f>IF(AZ257=1,IF(Q257="","",IF(Q257=N144,"Yes","No")),"")</f>
        <v/>
      </c>
      <c r="BB257" t="str">
        <f t="shared" si="70"/>
        <v/>
      </c>
      <c r="BC257" t="str">
        <f>IF(AZ257=1,IF(S257="","",IF(S257=N144,"Yes","No")),"")</f>
        <v/>
      </c>
      <c r="BD257" t="str">
        <f t="shared" si="71"/>
        <v/>
      </c>
      <c r="BE257" t="str">
        <f t="shared" si="72"/>
        <v/>
      </c>
      <c r="BF257" t="str">
        <f t="shared" si="73"/>
        <v>No</v>
      </c>
      <c r="BG257" t="str">
        <f t="shared" si="74"/>
        <v>No</v>
      </c>
      <c r="BH257" t="str">
        <f t="shared" si="75"/>
        <v/>
      </c>
    </row>
    <row r="258" spans="9:60" x14ac:dyDescent="0.3">
      <c r="I258" t="str">
        <f t="shared" si="82"/>
        <v>N/A</v>
      </c>
      <c r="J258" t="str">
        <f t="shared" si="83"/>
        <v>N/A</v>
      </c>
      <c r="K258" t="str">
        <f t="shared" si="84"/>
        <v>N/A</v>
      </c>
      <c r="L258" t="str">
        <f t="shared" si="85"/>
        <v>N/A</v>
      </c>
      <c r="M258" t="str">
        <f t="shared" si="86"/>
        <v>N/A</v>
      </c>
      <c r="N258" t="str">
        <f t="shared" si="87"/>
        <v>N/A</v>
      </c>
      <c r="P258">
        <f t="shared" si="58"/>
        <v>0</v>
      </c>
      <c r="Q258" t="str">
        <f>IFERROR(J144+MATCH(P258,J258:N258,0)-1,"")</f>
        <v/>
      </c>
      <c r="R258" t="str">
        <f t="shared" si="59"/>
        <v/>
      </c>
      <c r="S258" t="str">
        <f>IFERROR(J144+MATCH(R258,J258:N258,0)-1,"")</f>
        <v/>
      </c>
      <c r="T258" t="str">
        <f t="shared" si="60"/>
        <v/>
      </c>
      <c r="U258" t="str">
        <f t="shared" si="61"/>
        <v/>
      </c>
      <c r="V258" t="str">
        <f t="shared" si="62"/>
        <v/>
      </c>
      <c r="W258" t="str">
        <f t="shared" si="63"/>
        <v/>
      </c>
      <c r="X258" t="str">
        <f t="shared" si="64"/>
        <v/>
      </c>
      <c r="Y258" t="str">
        <f t="shared" si="65"/>
        <v/>
      </c>
      <c r="Z258" t="str">
        <f t="shared" si="66"/>
        <v/>
      </c>
      <c r="AA258">
        <f t="shared" si="67"/>
        <v>0</v>
      </c>
      <c r="AB258" t="str">
        <f>IFERROR(V144+MATCH(AA258,V258:Z258,0)-1,"")</f>
        <v/>
      </c>
      <c r="AC258" t="str">
        <f t="shared" si="68"/>
        <v/>
      </c>
      <c r="AE258" t="str">
        <f>IF(ISNUMBER(MATCH("N/A",J258:N258,0)),"",IFERROR((5 * SUMPRODUCT(J144:N144,J258:N258) - PRODUCT(SUM(J144:N144),SUM(J258:N258))) / ((5 * SUM((J144^2)+(K144^2)+(L144^2)+(M144^2)+(N144^2))) - SUM(J144:N144)^2),""))</f>
        <v/>
      </c>
      <c r="AF258" t="str">
        <f>IFERROR(CORREL(J144:N144,J258:N258),"")</f>
        <v/>
      </c>
      <c r="AZ258">
        <f t="shared" si="69"/>
        <v>0</v>
      </c>
      <c r="BA258" t="str">
        <f>IF(AZ258=1,IF(Q258="","",IF(Q258=N144,"Yes","No")),"")</f>
        <v/>
      </c>
      <c r="BB258" t="str">
        <f t="shared" si="70"/>
        <v/>
      </c>
      <c r="BC258" t="str">
        <f>IF(AZ258=1,IF(S258="","",IF(S258=N144,"Yes","No")),"")</f>
        <v/>
      </c>
      <c r="BD258" t="str">
        <f t="shared" si="71"/>
        <v/>
      </c>
      <c r="BE258" t="str">
        <f t="shared" si="72"/>
        <v/>
      </c>
      <c r="BF258" t="str">
        <f t="shared" si="73"/>
        <v>No</v>
      </c>
      <c r="BG258" t="str">
        <f t="shared" si="74"/>
        <v>No</v>
      </c>
      <c r="BH258" t="str">
        <f t="shared" si="75"/>
        <v/>
      </c>
    </row>
    <row r="259" spans="9:60" x14ac:dyDescent="0.3">
      <c r="I259" t="str">
        <f t="shared" si="82"/>
        <v>N/A</v>
      </c>
      <c r="J259" t="str">
        <f t="shared" si="83"/>
        <v>N/A</v>
      </c>
      <c r="K259" t="str">
        <f t="shared" si="84"/>
        <v>N/A</v>
      </c>
      <c r="L259" t="str">
        <f t="shared" si="85"/>
        <v>N/A</v>
      </c>
      <c r="M259" t="str">
        <f t="shared" si="86"/>
        <v>N/A</v>
      </c>
      <c r="N259" t="str">
        <f t="shared" si="87"/>
        <v>N/A</v>
      </c>
      <c r="P259">
        <f t="shared" si="58"/>
        <v>0</v>
      </c>
      <c r="Q259" t="str">
        <f>IFERROR(J144+MATCH(P259,J259:N259,0)-1,"")</f>
        <v/>
      </c>
      <c r="R259" t="str">
        <f t="shared" si="59"/>
        <v/>
      </c>
      <c r="S259" t="str">
        <f>IFERROR(J144+MATCH(R259,J259:N259,0)-1,"")</f>
        <v/>
      </c>
      <c r="T259" t="str">
        <f t="shared" si="60"/>
        <v/>
      </c>
      <c r="U259" t="str">
        <f t="shared" si="61"/>
        <v/>
      </c>
      <c r="V259" t="str">
        <f t="shared" si="62"/>
        <v/>
      </c>
      <c r="W259" t="str">
        <f t="shared" si="63"/>
        <v/>
      </c>
      <c r="X259" t="str">
        <f t="shared" si="64"/>
        <v/>
      </c>
      <c r="Y259" t="str">
        <f t="shared" si="65"/>
        <v/>
      </c>
      <c r="Z259" t="str">
        <f t="shared" si="66"/>
        <v/>
      </c>
      <c r="AA259">
        <f t="shared" si="67"/>
        <v>0</v>
      </c>
      <c r="AB259" t="str">
        <f>IFERROR(V144+MATCH(AA259,V259:Z259,0)-1,"")</f>
        <v/>
      </c>
      <c r="AC259" t="str">
        <f t="shared" si="68"/>
        <v/>
      </c>
      <c r="AE259" t="str">
        <f>IF(ISNUMBER(MATCH("N/A",J259:N259,0)),"",IFERROR((5 * SUMPRODUCT(J144:N144,J259:N259) - PRODUCT(SUM(J144:N144),SUM(J259:N259))) / ((5 * SUM((J144^2)+(K144^2)+(L144^2)+(M144^2)+(N144^2))) - SUM(J144:N144)^2),""))</f>
        <v/>
      </c>
      <c r="AF259" t="str">
        <f>IFERROR(CORREL(J144:N144,J259:N259),"")</f>
        <v/>
      </c>
      <c r="AZ259">
        <f t="shared" si="69"/>
        <v>0</v>
      </c>
      <c r="BA259" t="str">
        <f>IF(AZ259=1,IF(Q259="","",IF(Q259=N144,"Yes","No")),"")</f>
        <v/>
      </c>
      <c r="BB259" t="str">
        <f t="shared" si="70"/>
        <v/>
      </c>
      <c r="BC259" t="str">
        <f>IF(AZ259=1,IF(S259="","",IF(S259=N144,"Yes","No")),"")</f>
        <v/>
      </c>
      <c r="BD259" t="str">
        <f t="shared" si="71"/>
        <v/>
      </c>
      <c r="BE259" t="str">
        <f t="shared" si="72"/>
        <v/>
      </c>
      <c r="BF259" t="str">
        <f t="shared" si="73"/>
        <v>No</v>
      </c>
      <c r="BG259" t="str">
        <f t="shared" si="74"/>
        <v>No</v>
      </c>
      <c r="BH259" t="str">
        <f t="shared" si="75"/>
        <v/>
      </c>
    </row>
    <row r="260" spans="9:60" x14ac:dyDescent="0.3">
      <c r="I260" t="str">
        <f t="shared" si="82"/>
        <v>N/A</v>
      </c>
      <c r="J260" t="str">
        <f t="shared" si="83"/>
        <v>N/A</v>
      </c>
      <c r="K260" t="str">
        <f t="shared" si="84"/>
        <v>N/A</v>
      </c>
      <c r="L260" t="str">
        <f t="shared" si="85"/>
        <v>N/A</v>
      </c>
      <c r="M260" t="str">
        <f t="shared" si="86"/>
        <v>N/A</v>
      </c>
      <c r="N260" t="str">
        <f t="shared" si="87"/>
        <v>N/A</v>
      </c>
      <c r="P260">
        <f t="shared" si="58"/>
        <v>0</v>
      </c>
      <c r="Q260" t="str">
        <f>IFERROR(J144+MATCH(P260,J260:N260,0)-1,"")</f>
        <v/>
      </c>
      <c r="R260" t="str">
        <f t="shared" si="59"/>
        <v/>
      </c>
      <c r="S260" t="str">
        <f>IFERROR(J144+MATCH(R260,J260:N260,0)-1,"")</f>
        <v/>
      </c>
      <c r="T260" t="str">
        <f t="shared" si="60"/>
        <v/>
      </c>
      <c r="U260" t="str">
        <f t="shared" si="61"/>
        <v/>
      </c>
      <c r="V260" t="str">
        <f t="shared" si="62"/>
        <v/>
      </c>
      <c r="W260" t="str">
        <f t="shared" si="63"/>
        <v/>
      </c>
      <c r="X260" t="str">
        <f t="shared" si="64"/>
        <v/>
      </c>
      <c r="Y260" t="str">
        <f t="shared" si="65"/>
        <v/>
      </c>
      <c r="Z260" t="str">
        <f t="shared" si="66"/>
        <v/>
      </c>
      <c r="AA260">
        <f t="shared" si="67"/>
        <v>0</v>
      </c>
      <c r="AB260" t="str">
        <f>IFERROR(V144+MATCH(AA260,V260:Z260,0)-1,"")</f>
        <v/>
      </c>
      <c r="AC260" t="str">
        <f t="shared" si="68"/>
        <v/>
      </c>
      <c r="AE260" t="str">
        <f>IF(ISNUMBER(MATCH("N/A",J260:N260,0)),"",IFERROR((5 * SUMPRODUCT(J144:N144,J260:N260) - PRODUCT(SUM(J144:N144),SUM(J260:N260))) / ((5 * SUM((J144^2)+(K144^2)+(L144^2)+(M144^2)+(N144^2))) - SUM(J144:N144)^2),""))</f>
        <v/>
      </c>
      <c r="AF260" t="str">
        <f>IFERROR(CORREL(J144:N144,J260:N260),"")</f>
        <v/>
      </c>
      <c r="AZ260">
        <f t="shared" si="69"/>
        <v>0</v>
      </c>
      <c r="BA260" t="str">
        <f>IF(AZ260=1,IF(Q260="","",IF(Q260=N144,"Yes","No")),"")</f>
        <v/>
      </c>
      <c r="BB260" t="str">
        <f t="shared" si="70"/>
        <v/>
      </c>
      <c r="BC260" t="str">
        <f>IF(AZ260=1,IF(S260="","",IF(S260=N144,"Yes","No")),"")</f>
        <v/>
      </c>
      <c r="BD260" t="str">
        <f t="shared" si="71"/>
        <v/>
      </c>
      <c r="BE260" t="str">
        <f t="shared" si="72"/>
        <v/>
      </c>
      <c r="BF260" t="str">
        <f t="shared" si="73"/>
        <v>No</v>
      </c>
      <c r="BG260" t="str">
        <f t="shared" si="74"/>
        <v>No</v>
      </c>
      <c r="BH260" t="str">
        <f t="shared" si="75"/>
        <v/>
      </c>
    </row>
    <row r="261" spans="9:60" x14ac:dyDescent="0.3">
      <c r="I261" t="str">
        <f t="shared" si="82"/>
        <v>N/A</v>
      </c>
      <c r="J261" t="str">
        <f t="shared" si="83"/>
        <v>N/A</v>
      </c>
      <c r="K261" t="str">
        <f t="shared" si="84"/>
        <v>N/A</v>
      </c>
      <c r="L261" t="str">
        <f t="shared" si="85"/>
        <v>N/A</v>
      </c>
      <c r="M261" t="str">
        <f t="shared" si="86"/>
        <v>N/A</v>
      </c>
      <c r="N261" t="str">
        <f t="shared" si="87"/>
        <v>N/A</v>
      </c>
      <c r="P261">
        <f t="shared" si="58"/>
        <v>0</v>
      </c>
      <c r="Q261" t="str">
        <f>IFERROR(J144+MATCH(P261,J261:N261,0)-1,"")</f>
        <v/>
      </c>
      <c r="R261" t="str">
        <f t="shared" si="59"/>
        <v/>
      </c>
      <c r="S261" t="str">
        <f>IFERROR(J144+MATCH(R261,J261:N261,0)-1,"")</f>
        <v/>
      </c>
      <c r="T261" t="str">
        <f t="shared" si="60"/>
        <v/>
      </c>
      <c r="U261" t="str">
        <f t="shared" si="61"/>
        <v/>
      </c>
      <c r="V261" t="str">
        <f t="shared" si="62"/>
        <v/>
      </c>
      <c r="W261" t="str">
        <f t="shared" si="63"/>
        <v/>
      </c>
      <c r="X261" t="str">
        <f t="shared" si="64"/>
        <v/>
      </c>
      <c r="Y261" t="str">
        <f t="shared" si="65"/>
        <v/>
      </c>
      <c r="Z261" t="str">
        <f t="shared" si="66"/>
        <v/>
      </c>
      <c r="AA261">
        <f t="shared" si="67"/>
        <v>0</v>
      </c>
      <c r="AB261" t="str">
        <f>IFERROR(V144+MATCH(AA261,V261:Z261,0)-1,"")</f>
        <v/>
      </c>
      <c r="AC261" t="str">
        <f t="shared" si="68"/>
        <v/>
      </c>
      <c r="AE261" t="str">
        <f>IF(ISNUMBER(MATCH("N/A",J261:N261,0)),"",IFERROR((5 * SUMPRODUCT(J144:N144,J261:N261) - PRODUCT(SUM(J144:N144),SUM(J261:N261))) / ((5 * SUM((J144^2)+(K144^2)+(L144^2)+(M144^2)+(N144^2))) - SUM(J144:N144)^2),""))</f>
        <v/>
      </c>
      <c r="AF261" t="str">
        <f>IFERROR(CORREL(J144:N144,J261:N261),"")</f>
        <v/>
      </c>
      <c r="AZ261">
        <f t="shared" si="69"/>
        <v>0</v>
      </c>
      <c r="BA261" t="str">
        <f>IF(AZ261=1,IF(Q261="","",IF(Q261=N144,"Yes","No")),"")</f>
        <v/>
      </c>
      <c r="BB261" t="str">
        <f t="shared" si="70"/>
        <v/>
      </c>
      <c r="BC261" t="str">
        <f>IF(AZ261=1,IF(S261="","",IF(S261=N144,"Yes","No")),"")</f>
        <v/>
      </c>
      <c r="BD261" t="str">
        <f t="shared" si="71"/>
        <v/>
      </c>
      <c r="BE261" t="str">
        <f t="shared" si="72"/>
        <v/>
      </c>
      <c r="BF261" t="str">
        <f t="shared" si="73"/>
        <v>No</v>
      </c>
      <c r="BG261" t="str">
        <f t="shared" si="74"/>
        <v>No</v>
      </c>
      <c r="BH261" t="str">
        <f t="shared" si="75"/>
        <v/>
      </c>
    </row>
    <row r="262" spans="9:60" x14ac:dyDescent="0.3">
      <c r="I262" t="str">
        <f t="shared" si="82"/>
        <v>N/A</v>
      </c>
      <c r="J262" t="str">
        <f t="shared" si="83"/>
        <v>N/A</v>
      </c>
      <c r="K262" t="str">
        <f t="shared" si="84"/>
        <v>N/A</v>
      </c>
      <c r="L262" t="str">
        <f t="shared" si="85"/>
        <v>N/A</v>
      </c>
      <c r="M262" t="str">
        <f t="shared" si="86"/>
        <v>N/A</v>
      </c>
      <c r="N262" t="str">
        <f t="shared" si="87"/>
        <v>N/A</v>
      </c>
      <c r="P262">
        <f t="shared" si="58"/>
        <v>0</v>
      </c>
      <c r="Q262" t="str">
        <f>IFERROR(J144+MATCH(P262,J262:N262,0)-1,"")</f>
        <v/>
      </c>
      <c r="R262" t="str">
        <f t="shared" si="59"/>
        <v/>
      </c>
      <c r="S262" t="str">
        <f>IFERROR(J144+MATCH(R262,J262:N262,0)-1,"")</f>
        <v/>
      </c>
      <c r="T262" t="str">
        <f t="shared" si="60"/>
        <v/>
      </c>
      <c r="U262" t="str">
        <f t="shared" si="61"/>
        <v/>
      </c>
      <c r="V262" t="str">
        <f t="shared" si="62"/>
        <v/>
      </c>
      <c r="W262" t="str">
        <f t="shared" si="63"/>
        <v/>
      </c>
      <c r="X262" t="str">
        <f t="shared" si="64"/>
        <v/>
      </c>
      <c r="Y262" t="str">
        <f t="shared" si="65"/>
        <v/>
      </c>
      <c r="Z262" t="str">
        <f t="shared" si="66"/>
        <v/>
      </c>
      <c r="AA262">
        <f t="shared" si="67"/>
        <v>0</v>
      </c>
      <c r="AB262" t="str">
        <f>IFERROR(V144+MATCH(AA262,V262:Z262,0)-1,"")</f>
        <v/>
      </c>
      <c r="AC262" t="str">
        <f t="shared" si="68"/>
        <v/>
      </c>
      <c r="AE262" t="str">
        <f>IF(ISNUMBER(MATCH("N/A",J262:N262,0)),"",IFERROR((5 * SUMPRODUCT(J144:N144,J262:N262) - PRODUCT(SUM(J144:N144),SUM(J262:N262))) / ((5 * SUM((J144^2)+(K144^2)+(L144^2)+(M144^2)+(N144^2))) - SUM(J144:N144)^2),""))</f>
        <v/>
      </c>
      <c r="AF262" t="str">
        <f>IFERROR(CORREL(J144:N144,J262:N262),"")</f>
        <v/>
      </c>
      <c r="AZ262">
        <f t="shared" si="69"/>
        <v>0</v>
      </c>
      <c r="BA262" t="str">
        <f>IF(AZ262=1,IF(Q262="","",IF(Q262=N144,"Yes","No")),"")</f>
        <v/>
      </c>
      <c r="BB262" t="str">
        <f t="shared" si="70"/>
        <v/>
      </c>
      <c r="BC262" t="str">
        <f>IF(AZ262=1,IF(S262="","",IF(S262=N144,"Yes","No")),"")</f>
        <v/>
      </c>
      <c r="BD262" t="str">
        <f t="shared" si="71"/>
        <v/>
      </c>
      <c r="BE262" t="str">
        <f t="shared" si="72"/>
        <v/>
      </c>
      <c r="BF262" t="str">
        <f t="shared" si="73"/>
        <v>No</v>
      </c>
      <c r="BG262" t="str">
        <f t="shared" si="74"/>
        <v>No</v>
      </c>
      <c r="BH262" t="str">
        <f t="shared" si="75"/>
        <v/>
      </c>
    </row>
    <row r="263" spans="9:60" x14ac:dyDescent="0.3">
      <c r="I263" t="str">
        <f t="shared" si="82"/>
        <v>N/A</v>
      </c>
      <c r="J263" t="str">
        <f t="shared" si="83"/>
        <v>N/A</v>
      </c>
      <c r="K263" t="str">
        <f t="shared" si="84"/>
        <v>N/A</v>
      </c>
      <c r="L263" t="str">
        <f t="shared" si="85"/>
        <v>N/A</v>
      </c>
      <c r="M263" t="str">
        <f t="shared" si="86"/>
        <v>N/A</v>
      </c>
      <c r="N263" t="str">
        <f t="shared" si="87"/>
        <v>N/A</v>
      </c>
      <c r="P263">
        <f t="shared" si="58"/>
        <v>0</v>
      </c>
      <c r="Q263" t="str">
        <f>IFERROR(J144+MATCH(P263,J263:N263,0)-1,"")</f>
        <v/>
      </c>
      <c r="R263" t="str">
        <f t="shared" si="59"/>
        <v/>
      </c>
      <c r="S263" t="str">
        <f>IFERROR(J144+MATCH(R263,J263:N263,0)-1,"")</f>
        <v/>
      </c>
      <c r="T263" t="str">
        <f t="shared" si="60"/>
        <v/>
      </c>
      <c r="U263" t="str">
        <f t="shared" si="61"/>
        <v/>
      </c>
      <c r="V263" t="str">
        <f t="shared" si="62"/>
        <v/>
      </c>
      <c r="W263" t="str">
        <f t="shared" si="63"/>
        <v/>
      </c>
      <c r="X263" t="str">
        <f t="shared" si="64"/>
        <v/>
      </c>
      <c r="Y263" t="str">
        <f t="shared" si="65"/>
        <v/>
      </c>
      <c r="Z263" t="str">
        <f t="shared" si="66"/>
        <v/>
      </c>
      <c r="AA263">
        <f t="shared" si="67"/>
        <v>0</v>
      </c>
      <c r="AB263" t="str">
        <f>IFERROR(V144+MATCH(AA263,V263:Z263,0)-1,"")</f>
        <v/>
      </c>
      <c r="AC263" t="str">
        <f t="shared" si="68"/>
        <v/>
      </c>
      <c r="AE263" t="str">
        <f>IF(ISNUMBER(MATCH("N/A",J263:N263,0)),"",IFERROR((5 * SUMPRODUCT(J144:N144,J263:N263) - PRODUCT(SUM(J144:N144),SUM(J263:N263))) / ((5 * SUM((J144^2)+(K144^2)+(L144^2)+(M144^2)+(N144^2))) - SUM(J144:N144)^2),""))</f>
        <v/>
      </c>
      <c r="AF263" t="str">
        <f>IFERROR(CORREL(J144:N144,J263:N263),"")</f>
        <v/>
      </c>
      <c r="AZ263">
        <f t="shared" si="69"/>
        <v>0</v>
      </c>
      <c r="BA263" t="str">
        <f>IF(AZ263=1,IF(Q263="","",IF(Q263=N144,"Yes","No")),"")</f>
        <v/>
      </c>
      <c r="BB263" t="str">
        <f t="shared" si="70"/>
        <v/>
      </c>
      <c r="BC263" t="str">
        <f>IF(AZ263=1,IF(S263="","",IF(S263=N144,"Yes","No")),"")</f>
        <v/>
      </c>
      <c r="BD263" t="str">
        <f t="shared" si="71"/>
        <v/>
      </c>
      <c r="BE263" t="str">
        <f t="shared" si="72"/>
        <v/>
      </c>
      <c r="BF263" t="str">
        <f t="shared" si="73"/>
        <v>No</v>
      </c>
      <c r="BG263" t="str">
        <f t="shared" si="74"/>
        <v>No</v>
      </c>
      <c r="BH263" t="str">
        <f t="shared" si="75"/>
        <v/>
      </c>
    </row>
    <row r="264" spans="9:60" x14ac:dyDescent="0.3">
      <c r="I264" t="str">
        <f t="shared" si="82"/>
        <v>N/A</v>
      </c>
      <c r="J264" t="str">
        <f t="shared" si="83"/>
        <v>N/A</v>
      </c>
      <c r="K264" t="str">
        <f t="shared" si="84"/>
        <v>N/A</v>
      </c>
      <c r="L264" t="str">
        <f t="shared" si="85"/>
        <v>N/A</v>
      </c>
      <c r="M264" t="str">
        <f t="shared" si="86"/>
        <v>N/A</v>
      </c>
      <c r="N264" t="str">
        <f t="shared" si="87"/>
        <v>N/A</v>
      </c>
      <c r="P264">
        <f t="shared" si="58"/>
        <v>0</v>
      </c>
      <c r="Q264" t="str">
        <f>IFERROR(J144+MATCH(P264,J264:N264,0)-1,"")</f>
        <v/>
      </c>
      <c r="R264" t="str">
        <f t="shared" si="59"/>
        <v/>
      </c>
      <c r="S264" t="str">
        <f>IFERROR(J144+MATCH(R264,J264:N264,0)-1,"")</f>
        <v/>
      </c>
      <c r="T264" t="str">
        <f t="shared" si="60"/>
        <v/>
      </c>
      <c r="U264" t="str">
        <f t="shared" si="61"/>
        <v/>
      </c>
      <c r="V264" t="str">
        <f t="shared" si="62"/>
        <v/>
      </c>
      <c r="W264" t="str">
        <f t="shared" si="63"/>
        <v/>
      </c>
      <c r="X264" t="str">
        <f t="shared" si="64"/>
        <v/>
      </c>
      <c r="Y264" t="str">
        <f t="shared" si="65"/>
        <v/>
      </c>
      <c r="Z264" t="str">
        <f t="shared" si="66"/>
        <v/>
      </c>
      <c r="AA264">
        <f t="shared" si="67"/>
        <v>0</v>
      </c>
      <c r="AB264" t="str">
        <f>IFERROR(V144+MATCH(AA264,V264:Z264,0)-1,"")</f>
        <v/>
      </c>
      <c r="AC264" t="str">
        <f t="shared" si="68"/>
        <v/>
      </c>
      <c r="AE264" t="str">
        <f>IF(ISNUMBER(MATCH("N/A",J264:N264,0)),"",IFERROR((5 * SUMPRODUCT(J144:N144,J264:N264) - PRODUCT(SUM(J144:N144),SUM(J264:N264))) / ((5 * SUM((J144^2)+(K144^2)+(L144^2)+(M144^2)+(N144^2))) - SUM(J144:N144)^2),""))</f>
        <v/>
      </c>
      <c r="AF264" t="str">
        <f>IFERROR(CORREL(J144:N144,J264:N264),"")</f>
        <v/>
      </c>
      <c r="AZ264">
        <f t="shared" si="69"/>
        <v>0</v>
      </c>
      <c r="BA264" t="str">
        <f>IF(AZ264=1,IF(Q264="","",IF(Q264=N144,"Yes","No")),"")</f>
        <v/>
      </c>
      <c r="BB264" t="str">
        <f t="shared" si="70"/>
        <v/>
      </c>
      <c r="BC264" t="str">
        <f>IF(AZ264=1,IF(S264="","",IF(S264=N144,"Yes","No")),"")</f>
        <v/>
      </c>
      <c r="BD264" t="str">
        <f t="shared" si="71"/>
        <v/>
      </c>
      <c r="BE264" t="str">
        <f t="shared" si="72"/>
        <v/>
      </c>
      <c r="BF264" t="str">
        <f t="shared" si="73"/>
        <v>No</v>
      </c>
      <c r="BG264" t="str">
        <f t="shared" si="74"/>
        <v>No</v>
      </c>
      <c r="BH264" t="str">
        <f t="shared" si="75"/>
        <v/>
      </c>
    </row>
    <row r="265" spans="9:60" x14ac:dyDescent="0.3">
      <c r="I265" t="str">
        <f t="shared" si="82"/>
        <v>N/A</v>
      </c>
      <c r="J265" t="str">
        <f t="shared" si="83"/>
        <v>N/A</v>
      </c>
      <c r="K265" t="str">
        <f t="shared" si="84"/>
        <v>N/A</v>
      </c>
      <c r="L265" t="str">
        <f t="shared" si="85"/>
        <v>N/A</v>
      </c>
      <c r="M265" t="str">
        <f t="shared" si="86"/>
        <v>N/A</v>
      </c>
      <c r="N265" t="str">
        <f t="shared" si="87"/>
        <v>N/A</v>
      </c>
      <c r="P265">
        <f t="shared" si="58"/>
        <v>0</v>
      </c>
      <c r="Q265" t="str">
        <f>IFERROR(J144+MATCH(P265,J265:N265,0)-1,"")</f>
        <v/>
      </c>
      <c r="R265" t="str">
        <f t="shared" si="59"/>
        <v/>
      </c>
      <c r="S265" t="str">
        <f>IFERROR(J144+MATCH(R265,J265:N265,0)-1,"")</f>
        <v/>
      </c>
      <c r="T265" t="str">
        <f t="shared" si="60"/>
        <v/>
      </c>
      <c r="U265" t="str">
        <f t="shared" si="61"/>
        <v/>
      </c>
      <c r="V265" t="str">
        <f t="shared" si="62"/>
        <v/>
      </c>
      <c r="W265" t="str">
        <f t="shared" si="63"/>
        <v/>
      </c>
      <c r="X265" t="str">
        <f t="shared" si="64"/>
        <v/>
      </c>
      <c r="Y265" t="str">
        <f t="shared" si="65"/>
        <v/>
      </c>
      <c r="Z265" t="str">
        <f t="shared" si="66"/>
        <v/>
      </c>
      <c r="AA265">
        <f t="shared" si="67"/>
        <v>0</v>
      </c>
      <c r="AB265" t="str">
        <f>IFERROR(V144+MATCH(AA265,V265:Z265,0)-1,"")</f>
        <v/>
      </c>
      <c r="AC265" t="str">
        <f t="shared" si="68"/>
        <v/>
      </c>
      <c r="AE265" t="str">
        <f>IF(ISNUMBER(MATCH("N/A",J265:N265,0)),"",IFERROR((5 * SUMPRODUCT(J144:N144,J265:N265) - PRODUCT(SUM(J144:N144),SUM(J265:N265))) / ((5 * SUM((J144^2)+(K144^2)+(L144^2)+(M144^2)+(N144^2))) - SUM(J144:N144)^2),""))</f>
        <v/>
      </c>
      <c r="AF265" t="str">
        <f>IFERROR(CORREL(J144:N144,J265:N265),"")</f>
        <v/>
      </c>
      <c r="AZ265">
        <f t="shared" si="69"/>
        <v>0</v>
      </c>
      <c r="BA265" t="str">
        <f>IF(AZ265=1,IF(Q265="","",IF(Q265=N144,"Yes","No")),"")</f>
        <v/>
      </c>
      <c r="BB265" t="str">
        <f t="shared" si="70"/>
        <v/>
      </c>
      <c r="BC265" t="str">
        <f>IF(AZ265=1,IF(S265="","",IF(S265=N144,"Yes","No")),"")</f>
        <v/>
      </c>
      <c r="BD265" t="str">
        <f t="shared" si="71"/>
        <v/>
      </c>
      <c r="BE265" t="str">
        <f t="shared" si="72"/>
        <v/>
      </c>
      <c r="BF265" t="str">
        <f t="shared" si="73"/>
        <v>No</v>
      </c>
      <c r="BG265" t="str">
        <f t="shared" si="74"/>
        <v>No</v>
      </c>
      <c r="BH265" t="str">
        <f t="shared" si="75"/>
        <v/>
      </c>
    </row>
    <row r="266" spans="9:60" x14ac:dyDescent="0.3">
      <c r="I266" t="str">
        <f t="shared" si="82"/>
        <v>N/A</v>
      </c>
      <c r="J266" t="str">
        <f t="shared" si="83"/>
        <v>N/A</v>
      </c>
      <c r="K266" t="str">
        <f t="shared" si="84"/>
        <v>N/A</v>
      </c>
      <c r="L266" t="str">
        <f t="shared" si="85"/>
        <v>N/A</v>
      </c>
      <c r="M266" t="str">
        <f t="shared" si="86"/>
        <v>N/A</v>
      </c>
      <c r="N266" t="str">
        <f t="shared" si="87"/>
        <v>N/A</v>
      </c>
      <c r="P266">
        <f t="shared" si="58"/>
        <v>0</v>
      </c>
      <c r="Q266" t="str">
        <f>IFERROR(J144+MATCH(P266,J266:N266,0)-1,"")</f>
        <v/>
      </c>
      <c r="R266" t="str">
        <f t="shared" si="59"/>
        <v/>
      </c>
      <c r="S266" t="str">
        <f>IFERROR(J144+MATCH(R266,J266:N266,0)-1,"")</f>
        <v/>
      </c>
      <c r="T266" t="str">
        <f t="shared" si="60"/>
        <v/>
      </c>
      <c r="U266" t="str">
        <f t="shared" si="61"/>
        <v/>
      </c>
      <c r="V266" t="str">
        <f t="shared" si="62"/>
        <v/>
      </c>
      <c r="W266" t="str">
        <f t="shared" si="63"/>
        <v/>
      </c>
      <c r="X266" t="str">
        <f t="shared" si="64"/>
        <v/>
      </c>
      <c r="Y266" t="str">
        <f t="shared" si="65"/>
        <v/>
      </c>
      <c r="Z266" t="str">
        <f t="shared" si="66"/>
        <v/>
      </c>
      <c r="AA266">
        <f t="shared" si="67"/>
        <v>0</v>
      </c>
      <c r="AB266" t="str">
        <f>IFERROR(V144+MATCH(AA266,V266:Z266,0)-1,"")</f>
        <v/>
      </c>
      <c r="AC266" t="str">
        <f t="shared" si="68"/>
        <v/>
      </c>
      <c r="AE266" t="str">
        <f>IF(ISNUMBER(MATCH("N/A",J266:N266,0)),"",IFERROR((5 * SUMPRODUCT(J144:N144,J266:N266) - PRODUCT(SUM(J144:N144),SUM(J266:N266))) / ((5 * SUM((J144^2)+(K144^2)+(L144^2)+(M144^2)+(N144^2))) - SUM(J144:N144)^2),""))</f>
        <v/>
      </c>
      <c r="AF266" t="str">
        <f>IFERROR(CORREL(J144:N144,J266:N266),"")</f>
        <v/>
      </c>
      <c r="AZ266">
        <f t="shared" si="69"/>
        <v>0</v>
      </c>
      <c r="BA266" t="str">
        <f>IF(AZ266=1,IF(Q266="","",IF(Q266=N144,"Yes","No")),"")</f>
        <v/>
      </c>
      <c r="BB266" t="str">
        <f t="shared" si="70"/>
        <v/>
      </c>
      <c r="BC266" t="str">
        <f>IF(AZ266=1,IF(S266="","",IF(S266=N144,"Yes","No")),"")</f>
        <v/>
      </c>
      <c r="BD266" t="str">
        <f t="shared" si="71"/>
        <v/>
      </c>
      <c r="BE266" t="str">
        <f t="shared" si="72"/>
        <v/>
      </c>
      <c r="BF266" t="str">
        <f t="shared" si="73"/>
        <v>No</v>
      </c>
      <c r="BG266" t="str">
        <f t="shared" si="74"/>
        <v>No</v>
      </c>
      <c r="BH266" t="str">
        <f t="shared" si="75"/>
        <v/>
      </c>
    </row>
    <row r="267" spans="9:60" x14ac:dyDescent="0.3">
      <c r="I267" t="str">
        <f t="shared" si="82"/>
        <v>N/A</v>
      </c>
      <c r="J267" t="str">
        <f t="shared" si="83"/>
        <v>N/A</v>
      </c>
      <c r="K267" t="str">
        <f t="shared" si="84"/>
        <v>N/A</v>
      </c>
      <c r="L267" t="str">
        <f t="shared" si="85"/>
        <v>N/A</v>
      </c>
      <c r="M267" t="str">
        <f t="shared" si="86"/>
        <v>N/A</v>
      </c>
      <c r="N267" t="str">
        <f t="shared" si="87"/>
        <v>N/A</v>
      </c>
      <c r="P267">
        <f t="shared" si="58"/>
        <v>0</v>
      </c>
      <c r="Q267" t="str">
        <f>IFERROR(J144+MATCH(P267,J267:N267,0)-1,"")</f>
        <v/>
      </c>
      <c r="R267" t="str">
        <f t="shared" si="59"/>
        <v/>
      </c>
      <c r="S267" t="str">
        <f>IFERROR(J144+MATCH(R267,J267:N267,0)-1,"")</f>
        <v/>
      </c>
      <c r="T267" t="str">
        <f t="shared" si="60"/>
        <v/>
      </c>
      <c r="U267" t="str">
        <f t="shared" si="61"/>
        <v/>
      </c>
      <c r="V267" t="str">
        <f t="shared" si="62"/>
        <v/>
      </c>
      <c r="W267" t="str">
        <f t="shared" si="63"/>
        <v/>
      </c>
      <c r="X267" t="str">
        <f t="shared" si="64"/>
        <v/>
      </c>
      <c r="Y267" t="str">
        <f t="shared" si="65"/>
        <v/>
      </c>
      <c r="Z267" t="str">
        <f t="shared" si="66"/>
        <v/>
      </c>
      <c r="AA267">
        <f t="shared" si="67"/>
        <v>0</v>
      </c>
      <c r="AB267" t="str">
        <f>IFERROR(V144+MATCH(AA267,V267:Z267,0)-1,"")</f>
        <v/>
      </c>
      <c r="AC267" t="str">
        <f t="shared" si="68"/>
        <v/>
      </c>
      <c r="AE267" t="str">
        <f>IF(ISNUMBER(MATCH("N/A",J267:N267,0)),"",IFERROR((5 * SUMPRODUCT(J144:N144,J267:N267) - PRODUCT(SUM(J144:N144),SUM(J267:N267))) / ((5 * SUM((J144^2)+(K144^2)+(L144^2)+(M144^2)+(N144^2))) - SUM(J144:N144)^2),""))</f>
        <v/>
      </c>
      <c r="AF267" t="str">
        <f>IFERROR(CORREL(J144:N144,J267:N267),"")</f>
        <v/>
      </c>
      <c r="AZ267">
        <f t="shared" si="69"/>
        <v>0</v>
      </c>
      <c r="BA267" t="str">
        <f>IF(AZ267=1,IF(Q267="","",IF(Q267=N144,"Yes","No")),"")</f>
        <v/>
      </c>
      <c r="BB267" t="str">
        <f t="shared" si="70"/>
        <v/>
      </c>
      <c r="BC267" t="str">
        <f>IF(AZ267=1,IF(S267="","",IF(S267=N144,"Yes","No")),"")</f>
        <v/>
      </c>
      <c r="BD267" t="str">
        <f t="shared" si="71"/>
        <v/>
      </c>
      <c r="BE267" t="str">
        <f t="shared" si="72"/>
        <v/>
      </c>
      <c r="BF267" t="str">
        <f t="shared" si="73"/>
        <v>No</v>
      </c>
      <c r="BG267" t="str">
        <f t="shared" si="74"/>
        <v>No</v>
      </c>
      <c r="BH267" t="str">
        <f t="shared" si="75"/>
        <v/>
      </c>
    </row>
    <row r="268" spans="9:60" x14ac:dyDescent="0.3">
      <c r="I268" t="str">
        <f t="shared" si="82"/>
        <v>N/A</v>
      </c>
      <c r="J268" t="str">
        <f t="shared" si="83"/>
        <v>N/A</v>
      </c>
      <c r="K268" t="str">
        <f t="shared" si="84"/>
        <v>N/A</v>
      </c>
      <c r="L268" t="str">
        <f t="shared" si="85"/>
        <v>N/A</v>
      </c>
      <c r="M268" t="str">
        <f t="shared" si="86"/>
        <v>N/A</v>
      </c>
      <c r="N268" t="str">
        <f t="shared" si="87"/>
        <v>N/A</v>
      </c>
      <c r="P268">
        <f t="shared" si="58"/>
        <v>0</v>
      </c>
      <c r="Q268" t="str">
        <f>IFERROR(J144+MATCH(P268,J268:N268,0)-1,"")</f>
        <v/>
      </c>
      <c r="R268" t="str">
        <f t="shared" si="59"/>
        <v/>
      </c>
      <c r="S268" t="str">
        <f>IFERROR(J144+MATCH(R268,J268:N268,0)-1,"")</f>
        <v/>
      </c>
      <c r="T268" t="str">
        <f t="shared" si="60"/>
        <v/>
      </c>
      <c r="U268" t="str">
        <f t="shared" si="61"/>
        <v/>
      </c>
      <c r="V268" t="str">
        <f t="shared" si="62"/>
        <v/>
      </c>
      <c r="W268" t="str">
        <f t="shared" si="63"/>
        <v/>
      </c>
      <c r="X268" t="str">
        <f t="shared" si="64"/>
        <v/>
      </c>
      <c r="Y268" t="str">
        <f t="shared" si="65"/>
        <v/>
      </c>
      <c r="Z268" t="str">
        <f t="shared" si="66"/>
        <v/>
      </c>
      <c r="AA268">
        <f t="shared" si="67"/>
        <v>0</v>
      </c>
      <c r="AB268" t="str">
        <f>IFERROR(V144+MATCH(AA268,V268:Z268,0)-1,"")</f>
        <v/>
      </c>
      <c r="AC268" t="str">
        <f t="shared" si="68"/>
        <v/>
      </c>
      <c r="AE268" t="str">
        <f>IF(ISNUMBER(MATCH("N/A",J268:N268,0)),"",IFERROR((5 * SUMPRODUCT(J144:N144,J268:N268) - PRODUCT(SUM(J144:N144),SUM(J268:N268))) / ((5 * SUM((J144^2)+(K144^2)+(L144^2)+(M144^2)+(N144^2))) - SUM(J144:N144)^2),""))</f>
        <v/>
      </c>
      <c r="AF268" t="str">
        <f>IFERROR(CORREL(J144:N144,J268:N268),"")</f>
        <v/>
      </c>
      <c r="AZ268">
        <f t="shared" si="69"/>
        <v>0</v>
      </c>
      <c r="BA268" t="str">
        <f>IF(AZ268=1,IF(Q268="","",IF(Q268=N144,"Yes","No")),"")</f>
        <v/>
      </c>
      <c r="BB268" t="str">
        <f t="shared" si="70"/>
        <v/>
      </c>
      <c r="BC268" t="str">
        <f>IF(AZ268=1,IF(S268="","",IF(S268=N144,"Yes","No")),"")</f>
        <v/>
      </c>
      <c r="BD268" t="str">
        <f t="shared" si="71"/>
        <v/>
      </c>
      <c r="BE268" t="str">
        <f t="shared" si="72"/>
        <v/>
      </c>
      <c r="BF268" t="str">
        <f t="shared" si="73"/>
        <v>No</v>
      </c>
      <c r="BG268" t="str">
        <f t="shared" si="74"/>
        <v>No</v>
      </c>
      <c r="BH268" t="str">
        <f t="shared" si="75"/>
        <v/>
      </c>
    </row>
    <row r="269" spans="9:60" x14ac:dyDescent="0.3">
      <c r="I269" t="str">
        <f t="shared" si="82"/>
        <v>N/A</v>
      </c>
      <c r="J269" t="str">
        <f t="shared" si="83"/>
        <v>N/A</v>
      </c>
      <c r="K269" t="str">
        <f t="shared" si="84"/>
        <v>N/A</v>
      </c>
      <c r="L269" t="str">
        <f t="shared" si="85"/>
        <v>N/A</v>
      </c>
      <c r="M269" t="str">
        <f t="shared" si="86"/>
        <v>N/A</v>
      </c>
      <c r="N269" t="str">
        <f t="shared" si="87"/>
        <v>N/A</v>
      </c>
      <c r="P269">
        <f t="shared" si="58"/>
        <v>0</v>
      </c>
      <c r="Q269" t="str">
        <f>IFERROR(J144+MATCH(P269,J269:N269,0)-1,"")</f>
        <v/>
      </c>
      <c r="R269" t="str">
        <f t="shared" si="59"/>
        <v/>
      </c>
      <c r="S269" t="str">
        <f>IFERROR(J144+MATCH(R269,J269:N269,0)-1,"")</f>
        <v/>
      </c>
      <c r="T269" t="str">
        <f t="shared" si="60"/>
        <v/>
      </c>
      <c r="U269" t="str">
        <f t="shared" si="61"/>
        <v/>
      </c>
      <c r="V269" t="str">
        <f t="shared" si="62"/>
        <v/>
      </c>
      <c r="W269" t="str">
        <f t="shared" si="63"/>
        <v/>
      </c>
      <c r="X269" t="str">
        <f t="shared" si="64"/>
        <v/>
      </c>
      <c r="Y269" t="str">
        <f t="shared" si="65"/>
        <v/>
      </c>
      <c r="Z269" t="str">
        <f t="shared" si="66"/>
        <v/>
      </c>
      <c r="AA269">
        <f t="shared" si="67"/>
        <v>0</v>
      </c>
      <c r="AB269" t="str">
        <f>IFERROR(V144+MATCH(AA269,V269:Z269,0)-1,"")</f>
        <v/>
      </c>
      <c r="AC269" t="str">
        <f t="shared" si="68"/>
        <v/>
      </c>
      <c r="AE269" t="str">
        <f>IF(ISNUMBER(MATCH("N/A",J269:N269,0)),"",IFERROR((5 * SUMPRODUCT(J144:N144,J269:N269) - PRODUCT(SUM(J144:N144),SUM(J269:N269))) / ((5 * SUM((J144^2)+(K144^2)+(L144^2)+(M144^2)+(N144^2))) - SUM(J144:N144)^2),""))</f>
        <v/>
      </c>
      <c r="AF269" t="str">
        <f>IFERROR(CORREL(J144:N144,J269:N269),"")</f>
        <v/>
      </c>
      <c r="AZ269">
        <f t="shared" si="69"/>
        <v>0</v>
      </c>
      <c r="BA269" t="str">
        <f>IF(AZ269=1,IF(Q269="","",IF(Q269=N144,"Yes","No")),"")</f>
        <v/>
      </c>
      <c r="BB269" t="str">
        <f t="shared" si="70"/>
        <v/>
      </c>
      <c r="BC269" t="str">
        <f>IF(AZ269=1,IF(S269="","",IF(S269=N144,"Yes","No")),"")</f>
        <v/>
      </c>
      <c r="BD269" t="str">
        <f t="shared" si="71"/>
        <v/>
      </c>
      <c r="BE269" t="str">
        <f t="shared" si="72"/>
        <v/>
      </c>
      <c r="BF269" t="str">
        <f t="shared" si="73"/>
        <v>No</v>
      </c>
      <c r="BG269" t="str">
        <f t="shared" si="74"/>
        <v>No</v>
      </c>
      <c r="BH269" t="str">
        <f t="shared" si="75"/>
        <v/>
      </c>
    </row>
    <row r="270" spans="9:60" x14ac:dyDescent="0.3">
      <c r="I270" t="str">
        <f t="shared" si="82"/>
        <v>N/A</v>
      </c>
      <c r="J270" t="str">
        <f t="shared" si="83"/>
        <v>N/A</v>
      </c>
      <c r="K270" t="str">
        <f t="shared" si="84"/>
        <v>N/A</v>
      </c>
      <c r="L270" t="str">
        <f t="shared" si="85"/>
        <v>N/A</v>
      </c>
      <c r="M270" t="str">
        <f t="shared" si="86"/>
        <v>N/A</v>
      </c>
      <c r="N270" t="str">
        <f t="shared" si="87"/>
        <v>N/A</v>
      </c>
      <c r="P270">
        <f t="shared" si="58"/>
        <v>0</v>
      </c>
      <c r="Q270" t="str">
        <f>IFERROR(J144+MATCH(P270,J270:N270,0)-1,"")</f>
        <v/>
      </c>
      <c r="R270" t="str">
        <f t="shared" si="59"/>
        <v/>
      </c>
      <c r="S270" t="str">
        <f>IFERROR(J144+MATCH(R270,J270:N270,0)-1,"")</f>
        <v/>
      </c>
      <c r="T270" t="str">
        <f t="shared" si="60"/>
        <v/>
      </c>
      <c r="U270" t="str">
        <f t="shared" si="61"/>
        <v/>
      </c>
      <c r="V270" t="str">
        <f t="shared" si="62"/>
        <v/>
      </c>
      <c r="W270" t="str">
        <f t="shared" si="63"/>
        <v/>
      </c>
      <c r="X270" t="str">
        <f t="shared" si="64"/>
        <v/>
      </c>
      <c r="Y270" t="str">
        <f t="shared" si="65"/>
        <v/>
      </c>
      <c r="Z270" t="str">
        <f t="shared" si="66"/>
        <v/>
      </c>
      <c r="AA270">
        <f t="shared" si="67"/>
        <v>0</v>
      </c>
      <c r="AB270" t="str">
        <f>IFERROR(V144+MATCH(AA270,V270:Z270,0)-1,"")</f>
        <v/>
      </c>
      <c r="AC270" t="str">
        <f t="shared" si="68"/>
        <v/>
      </c>
      <c r="AE270" t="str">
        <f>IF(ISNUMBER(MATCH("N/A",J270:N270,0)),"",IFERROR((5 * SUMPRODUCT(J144:N144,J270:N270) - PRODUCT(SUM(J144:N144),SUM(J270:N270))) / ((5 * SUM((J144^2)+(K144^2)+(L144^2)+(M144^2)+(N144^2))) - SUM(J144:N144)^2),""))</f>
        <v/>
      </c>
      <c r="AF270" t="str">
        <f>IFERROR(CORREL(J144:N144,J270:N270),"")</f>
        <v/>
      </c>
      <c r="AZ270">
        <f t="shared" si="69"/>
        <v>0</v>
      </c>
      <c r="BA270" t="str">
        <f>IF(AZ270=1,IF(Q270="","",IF(Q270=N144,"Yes","No")),"")</f>
        <v/>
      </c>
      <c r="BB270" t="str">
        <f t="shared" si="70"/>
        <v/>
      </c>
      <c r="BC270" t="str">
        <f>IF(AZ270=1,IF(S270="","",IF(S270=N144,"Yes","No")),"")</f>
        <v/>
      </c>
      <c r="BD270" t="str">
        <f t="shared" si="71"/>
        <v/>
      </c>
      <c r="BE270" t="str">
        <f t="shared" si="72"/>
        <v/>
      </c>
      <c r="BF270" t="str">
        <f t="shared" si="73"/>
        <v>No</v>
      </c>
      <c r="BG270" t="str">
        <f t="shared" si="74"/>
        <v>No</v>
      </c>
      <c r="BH270" t="str">
        <f t="shared" si="75"/>
        <v/>
      </c>
    </row>
    <row r="271" spans="9:60" x14ac:dyDescent="0.3">
      <c r="P271">
        <f t="shared" si="58"/>
        <v>0</v>
      </c>
      <c r="Q271" t="str">
        <f>IFERROR(J144+MATCH(P271,J271:N271,0)-1,"")</f>
        <v/>
      </c>
      <c r="R271" t="str">
        <f t="shared" si="59"/>
        <v/>
      </c>
      <c r="S271" t="str">
        <f>IFERROR(J144+MATCH(R271,J271:N271,0)-1,"")</f>
        <v/>
      </c>
      <c r="T271" t="str">
        <f t="shared" si="60"/>
        <v/>
      </c>
      <c r="U271" t="str">
        <f t="shared" si="61"/>
        <v/>
      </c>
      <c r="V271" t="str">
        <f t="shared" si="62"/>
        <v/>
      </c>
      <c r="W271" t="str">
        <f t="shared" si="63"/>
        <v/>
      </c>
      <c r="X271" t="str">
        <f t="shared" si="64"/>
        <v/>
      </c>
      <c r="Y271" t="str">
        <f t="shared" si="65"/>
        <v/>
      </c>
      <c r="Z271" t="str">
        <f t="shared" si="66"/>
        <v/>
      </c>
      <c r="AA271">
        <f t="shared" si="67"/>
        <v>0</v>
      </c>
      <c r="AB271" t="str">
        <f>IFERROR(V144+MATCH(AA271,V271:Z271,0)-1,"")</f>
        <v/>
      </c>
      <c r="AC271" t="str">
        <f t="shared" si="68"/>
        <v/>
      </c>
      <c r="AE271" t="str">
        <f>IF(ISNUMBER(MATCH("N/A",J271:N271,0)),"",IFERROR((5 * SUMPRODUCT(J144:N144,J271:N271) - PRODUCT(SUM(J144:N144),SUM(J271:N271))) / ((5 * SUM((J144^2)+(K144^2)+(L144^2)+(M144^2)+(N144^2))) - SUM(J144:N144)^2),""))</f>
        <v/>
      </c>
      <c r="AF271" t="str">
        <f>IFERROR(CORREL(J144:N144,J271:N271),"")</f>
        <v/>
      </c>
      <c r="AZ271">
        <f t="shared" si="69"/>
        <v>0</v>
      </c>
      <c r="BA271" t="str">
        <f>IF(AZ271=1,IF(Q271="","",IF(Q271=N144,"Yes","No")),"")</f>
        <v/>
      </c>
      <c r="BB271" t="str">
        <f t="shared" si="70"/>
        <v/>
      </c>
      <c r="BC271" t="str">
        <f>IF(AZ271=1,IF(S271="","",IF(S271=N144,"Yes","No")),"")</f>
        <v/>
      </c>
      <c r="BD271" t="str">
        <f t="shared" si="71"/>
        <v/>
      </c>
      <c r="BE271" t="str">
        <f t="shared" si="72"/>
        <v/>
      </c>
      <c r="BF271" t="str">
        <f t="shared" si="73"/>
        <v>No</v>
      </c>
      <c r="BG271" t="str">
        <f t="shared" si="74"/>
        <v>No</v>
      </c>
      <c r="BH271" t="str">
        <f t="shared" si="75"/>
        <v/>
      </c>
    </row>
    <row r="272" spans="9:60" x14ac:dyDescent="0.3">
      <c r="I272" t="str">
        <f t="shared" ref="I272:I310" si="88">IF(AND(K272&gt; J272, L272&gt; K272, M272&gt; L272, N272&gt; M272), "pos_trend", IF(AND(K272&lt; J272, L272&lt; K272, M272&lt; L272, N272&lt; M272), "neg_trend", "N/A"))</f>
        <v>N/A</v>
      </c>
      <c r="J272" t="str">
        <f t="shared" ref="J272:J310" si="89">IFERROR(IF(TRIM(C272)="-", "N/A", IF(RIGHT(C272,1)=")",IF(RIGHT(C272,2)="T)",-1000000000000*VALUE(MID(C272,2,LEN(C272)-3)),IF(RIGHT(C272,2)="M)",-1000000*VALUE(MID(C272,2,LEN(C272)-3)),IF(RIGHT(C272,2)="B)",-1000000000*VALUE(MID(C272,2,LEN(C272)-3)),IF(RIGHT(C272,2)="k)",-1000*VALUE(MID(C272,2,LEN(C272)-3)),VALUE(SUBSTITUTE(C272,",","")))))),IF(RIGHT(C272,1)="T",1000000000000*VALUE(LEFT(C272,LEN(C272)-1)),IF(RIGHT(C272,1)="M",1000000*VALUE(LEFT(C272,LEN(C272)-1)),IF(RIGHT(C272,1)="B",1000000000*VALUE(LEFT(C272,LEN(C272)-1)),IF(RIGHT(C272,1)="%",0.01*VALUE(LEFT(C272,LEN(C272)-1)),IF(RIGHT(C272,1)="k",1000*VALUE(LEFT(C272,LEN(C272)-1)),VALUE(SUBSTITUTE(C272,",",""))))))))),"N/A")</f>
        <v>N/A</v>
      </c>
      <c r="K272" t="str">
        <f t="shared" ref="K272:K310" si="90">IFERROR(IF(TRIM(D272)="-", "N/A", IF(RIGHT(D272,1)=")",IF(RIGHT(D272,2)="T)",-1000000000000*VALUE(MID(D272,2,LEN(D272)-3)),IF(RIGHT(D272,2)="M)",-1000000*VALUE(MID(D272,2,LEN(D272)-3)),IF(RIGHT(D272,2)="B)",-1000000000*VALUE(MID(D272,2,LEN(D272)-3)),IF(RIGHT(D272,2)="k)",-1000*VALUE(MID(D272,2,LEN(D272)-3)),VALUE(SUBSTITUTE(D272,",","")))))),IF(RIGHT(D272,1)="T",1000000000000*VALUE(LEFT(D272,LEN(D272)-1)),IF(RIGHT(D272,1)="M",1000000*VALUE(LEFT(D272,LEN(D272)-1)),IF(RIGHT(D272,1)="B",1000000000*VALUE(LEFT(D272,LEN(D272)-1)),IF(RIGHT(D272,1)="%",0.01*VALUE(LEFT(D272,LEN(D272)-1)),IF(RIGHT(D272,1)="k",1000*VALUE(LEFT(D272,LEN(D272)-1)),VALUE(SUBSTITUTE(D272,",",""))))))))),"N/A")</f>
        <v>N/A</v>
      </c>
      <c r="L272" t="str">
        <f t="shared" ref="L272:L310" si="91">IFERROR(IF(TRIM(E272)="-", "N/A", IF(RIGHT(E272,1)=")",IF(RIGHT(E272,2)="T)",-1000000000000*VALUE(MID(E272,2,LEN(E272)-3)),IF(RIGHT(E272,2)="M)",-1000000*VALUE(MID(E272,2,LEN(E272)-3)),IF(RIGHT(E272,2)="B)",-1000000000*VALUE(MID(E272,2,LEN(E272)-3)),IF(RIGHT(E272,2)="k)",-1000*VALUE(MID(E272,2,LEN(E272)-3)),VALUE(SUBSTITUTE(E272,",","")))))),IF(RIGHT(E272,1)="T",1000000000000*VALUE(LEFT(E272,LEN(E272)-1)),IF(RIGHT(E272,1)="M",1000000*VALUE(LEFT(E272,LEN(E272)-1)),IF(RIGHT(E272,1)="B",1000000000*VALUE(LEFT(E272,LEN(E272)-1)),IF(RIGHT(E272,1)="%",0.01*VALUE(LEFT(E272,LEN(E272)-1)),IF(RIGHT(E272,1)="k",1000*VALUE(LEFT(E272,LEN(E272)-1)),VALUE(SUBSTITUTE(E272,",",""))))))))),"N/A")</f>
        <v>N/A</v>
      </c>
      <c r="M272" t="str">
        <f t="shared" ref="M272:M310" si="92">IFERROR(IF(TRIM(F272)="-", "N/A", IF(RIGHT(F272,1)=")",IF(RIGHT(F272,2)="T)",-1000000000000*VALUE(MID(F272,2,LEN(F272)-3)),IF(RIGHT(F272,2)="M)",-1000000*VALUE(MID(F272,2,LEN(F272)-3)),IF(RIGHT(F272,2)="B)",-1000000000*VALUE(MID(F272,2,LEN(F272)-3)),IF(RIGHT(F272,2)="k)",-1000*VALUE(MID(F272,2,LEN(F272)-3)),VALUE(SUBSTITUTE(F272,",","")))))),IF(RIGHT(F272,1)="T",1000000000000*VALUE(LEFT(F272,LEN(F272)-1)),IF(RIGHT(F272,1)="M",1000000*VALUE(LEFT(F272,LEN(F272)-1)),IF(RIGHT(F272,1)="B",1000000000*VALUE(LEFT(F272,LEN(F272)-1)),IF(RIGHT(F272,1)="%",0.01*VALUE(LEFT(F272,LEN(F272)-1)),IF(RIGHT(F272,1)="k",1000*VALUE(LEFT(F272,LEN(F272)-1)),VALUE(SUBSTITUTE(F272,",",""))))))))),"N/A")</f>
        <v>N/A</v>
      </c>
      <c r="N272" t="str">
        <f t="shared" ref="N272:N310" si="93">IFERROR(IF(TRIM(G272)="-", "N/A", IF(RIGHT(G272,1)=")",IF(RIGHT(G272,2)="T)",-1000000000000*VALUE(MID(G272,2,LEN(G272)-3)),IF(RIGHT(G272,2)="M)",-1000000*VALUE(MID(G272,2,LEN(G272)-3)),IF(RIGHT(G272,2)="B)",-1000000000*VALUE(MID(G272,2,LEN(G272)-3)),IF(RIGHT(G272,2)="k)",-1000*VALUE(MID(G272,2,LEN(G272)-3)),VALUE(SUBSTITUTE(G272,",","")))))),IF(RIGHT(G272,1)="T",1000000000000*VALUE(LEFT(G272,LEN(G272)-1)),IF(RIGHT(G272,1)="M",1000000*VALUE(LEFT(G272,LEN(G272)-1)),IF(RIGHT(G272,1)="B",1000000000*VALUE(LEFT(G272,LEN(G272)-1)),IF(RIGHT(G272,1)="%",0.01*VALUE(LEFT(G272,LEN(G272)-1)),IF(RIGHT(G272,1)="k",1000*VALUE(LEFT(G272,LEN(G272)-1)),VALUE(SUBSTITUTE(G272,",",""))))))))),"N/A")</f>
        <v>N/A</v>
      </c>
      <c r="P272">
        <f t="shared" si="58"/>
        <v>0</v>
      </c>
      <c r="Q272" t="str">
        <f>IFERROR(J144+MATCH(P272,J272:N272,0)-1,"")</f>
        <v/>
      </c>
      <c r="R272" t="str">
        <f t="shared" si="59"/>
        <v/>
      </c>
      <c r="S272" t="str">
        <f>IFERROR(J144+MATCH(R272,J272:N272,0)-1,"")</f>
        <v/>
      </c>
      <c r="T272" t="str">
        <f t="shared" si="60"/>
        <v/>
      </c>
      <c r="U272" t="str">
        <f t="shared" si="61"/>
        <v/>
      </c>
      <c r="V272" t="str">
        <f t="shared" si="62"/>
        <v/>
      </c>
      <c r="W272" t="str">
        <f t="shared" si="63"/>
        <v/>
      </c>
      <c r="X272" t="str">
        <f t="shared" si="64"/>
        <v/>
      </c>
      <c r="Y272" t="str">
        <f t="shared" si="65"/>
        <v/>
      </c>
      <c r="Z272" t="str">
        <f t="shared" si="66"/>
        <v/>
      </c>
      <c r="AA272">
        <f t="shared" si="67"/>
        <v>0</v>
      </c>
      <c r="AB272" t="str">
        <f>IFERROR(V144+MATCH(AA272,V272:Z272,0)-1,"")</f>
        <v/>
      </c>
      <c r="AC272" t="str">
        <f t="shared" si="68"/>
        <v/>
      </c>
      <c r="AE272" t="str">
        <f>IF(ISNUMBER(MATCH("N/A",J272:N272,0)),"",IFERROR((5 * SUMPRODUCT(J144:N144,J272:N272) - PRODUCT(SUM(J144:N144),SUM(J272:N272))) / ((5 * SUM((J144^2)+(K144^2)+(L144^2)+(M144^2)+(N144^2))) - SUM(J144:N144)^2),""))</f>
        <v/>
      </c>
      <c r="AF272" t="str">
        <f>IFERROR(CORREL(J144:N144,J272:N272),"")</f>
        <v/>
      </c>
      <c r="AZ272">
        <f t="shared" si="69"/>
        <v>0</v>
      </c>
      <c r="BA272" t="str">
        <f>IF(AZ272=1,IF(Q272="","",IF(Q272=N144,"Yes","No")),"")</f>
        <v/>
      </c>
      <c r="BB272" t="str">
        <f t="shared" si="70"/>
        <v/>
      </c>
      <c r="BC272" t="str">
        <f>IF(AZ272=1,IF(S272="","",IF(S272=N144,"Yes","No")),"")</f>
        <v/>
      </c>
      <c r="BD272" t="str">
        <f t="shared" si="71"/>
        <v/>
      </c>
      <c r="BE272" t="str">
        <f t="shared" si="72"/>
        <v/>
      </c>
      <c r="BF272" t="str">
        <f t="shared" si="73"/>
        <v>No</v>
      </c>
      <c r="BG272" t="str">
        <f t="shared" si="74"/>
        <v>No</v>
      </c>
      <c r="BH272" t="str">
        <f t="shared" si="75"/>
        <v/>
      </c>
    </row>
    <row r="273" spans="9:60" x14ac:dyDescent="0.3">
      <c r="I273" t="str">
        <f t="shared" si="88"/>
        <v>N/A</v>
      </c>
      <c r="J273" t="str">
        <f t="shared" si="89"/>
        <v>N/A</v>
      </c>
      <c r="K273" t="str">
        <f t="shared" si="90"/>
        <v>N/A</v>
      </c>
      <c r="L273" t="str">
        <f t="shared" si="91"/>
        <v>N/A</v>
      </c>
      <c r="M273" t="str">
        <f t="shared" si="92"/>
        <v>N/A</v>
      </c>
      <c r="N273" t="str">
        <f t="shared" si="93"/>
        <v>N/A</v>
      </c>
      <c r="P273">
        <f t="shared" ref="P273:P336" si="94">MAX(J273:N273)</f>
        <v>0</v>
      </c>
      <c r="Q273" t="str">
        <f>IFERROR(J144+MATCH(P273,J273:N273,0)-1,"")</f>
        <v/>
      </c>
      <c r="R273" t="str">
        <f t="shared" ref="R273:R336" si="95">IF(Q273="","",MIN(J273:N273))</f>
        <v/>
      </c>
      <c r="S273" t="str">
        <f>IFERROR(J144+MATCH(R273,J273:N273,0)-1,"")</f>
        <v/>
      </c>
      <c r="T273" t="str">
        <f t="shared" ref="T273:T336" si="96">IFERROR(AVERAGE(J273:N273),"")</f>
        <v/>
      </c>
      <c r="U273" t="str">
        <f t="shared" ref="U273:U336" si="97">IFERROR(STDEV(J273:N273),"")</f>
        <v/>
      </c>
      <c r="V273" t="str">
        <f t="shared" ref="V273:V336" si="98">IFERROR(IF(C273="-","",IF(ISBLANK(B273),"",IF(OR(ISNUMBER(FIND("Growth",B273)),ISNUMBER(FIND("Margin",B273))),"",(J273-T273)/U273))),"")</f>
        <v/>
      </c>
      <c r="W273" t="str">
        <f t="shared" ref="W273:W336" si="99">IFERROR(IF(OR(D273="-",ISBLANK(D273)),"",(K273-T273)/U273),"")</f>
        <v/>
      </c>
      <c r="X273" t="str">
        <f t="shared" ref="X273:X336" si="100">IFERROR(IF(OR(E273="-",ISBLANK(E273)),"",(L273-T273)/U273),"")</f>
        <v/>
      </c>
      <c r="Y273" t="str">
        <f t="shared" ref="Y273:Y336" si="101">IFERROR(IF(OR(F273="-",ISBLANK(F273)),"",(M273-T273)/U273),"")</f>
        <v/>
      </c>
      <c r="Z273" t="str">
        <f t="shared" ref="Z273:Z336" si="102">IFERROR(IF(OR(G273="-",ISBLANK(G273)),"",(N273-T273)/U273),"")</f>
        <v/>
      </c>
      <c r="AA273">
        <f t="shared" ref="AA273:AA336" si="103">IF(MAX(MAX(V273:Z273),ABS(MIN(V273:Z273)))=ABS(MIN(V273:Z273)),MIN(V273:Z273),MAX(V273:Z273))</f>
        <v>0</v>
      </c>
      <c r="AB273" t="str">
        <f>IFERROR(V144+MATCH(AA273,V273:Z273,0)-1,"")</f>
        <v/>
      </c>
      <c r="AC273" t="str">
        <f t="shared" ref="AC273:AC336" si="104">IF(AB273&lt;&gt;"",IF(S273=AB273,"Low",IF(AB273=Q273,"High","")),"")</f>
        <v/>
      </c>
      <c r="AE273" t="str">
        <f>IF(ISNUMBER(MATCH("N/A",J273:N273,0)),"",IFERROR((5 * SUMPRODUCT(J144:N144,J273:N273) - PRODUCT(SUM(J144:N144),SUM(J273:N273))) / ((5 * SUM((J144^2)+(K144^2)+(L144^2)+(M144^2)+(N144^2))) - SUM(J144:N144)^2),""))</f>
        <v/>
      </c>
      <c r="AF273" t="str">
        <f>IFERROR(CORREL(J144:N144,J273:N273),"")</f>
        <v/>
      </c>
      <c r="AZ273">
        <f t="shared" ref="AZ273:AZ336" si="105">IF(Q273=S273,0,1)</f>
        <v>0</v>
      </c>
      <c r="BA273" t="str">
        <f>IF(AZ273=1,IF(Q273="","",IF(Q273=N144,"Yes","No")),"")</f>
        <v/>
      </c>
      <c r="BB273" t="str">
        <f t="shared" ref="BB273:BB336" si="106">IF(BA273="Yes",P273,"")</f>
        <v/>
      </c>
      <c r="BC273" t="str">
        <f>IF(AZ273=1,IF(S273="","",IF(S273=N144,"Yes","No")),"")</f>
        <v/>
      </c>
      <c r="BD273" t="str">
        <f t="shared" ref="BD273:BD336" si="107">IF(BC273="Yes",R273,"")</f>
        <v/>
      </c>
      <c r="BE273" t="str">
        <f t="shared" ref="BE273:BE336" si="108">IFERROR(IF(SIGN(AE273)=1,"Increasing",IF(SIGN(AE273)=-1,"Decreasing","")),"")</f>
        <v/>
      </c>
      <c r="BF273" t="str">
        <f t="shared" ref="BF273:BF336" si="109">IF(OR(AND(BE273="Increasing",BA273="Yes"),AND(BE273="Decreasing",BC273="Yes")),"Yes","No")</f>
        <v>No</v>
      </c>
      <c r="BG273" t="str">
        <f t="shared" ref="BG273:BG336" si="110">IF(I273="pos_trend","Yes","No")</f>
        <v>No</v>
      </c>
      <c r="BH273" t="str">
        <f t="shared" ref="BH273:BH336" si="111">IF(AF273&lt;&gt;"",IF(ABS(AF273)&gt;0.8,"Yes","No"),"")</f>
        <v/>
      </c>
    </row>
    <row r="274" spans="9:60" x14ac:dyDescent="0.3">
      <c r="I274" t="str">
        <f t="shared" si="88"/>
        <v>N/A</v>
      </c>
      <c r="J274" t="str">
        <f t="shared" si="89"/>
        <v>N/A</v>
      </c>
      <c r="K274" t="str">
        <f t="shared" si="90"/>
        <v>N/A</v>
      </c>
      <c r="L274" t="str">
        <f t="shared" si="91"/>
        <v>N/A</v>
      </c>
      <c r="M274" t="str">
        <f t="shared" si="92"/>
        <v>N/A</v>
      </c>
      <c r="N274" t="str">
        <f t="shared" si="93"/>
        <v>N/A</v>
      </c>
      <c r="P274">
        <f t="shared" si="94"/>
        <v>0</v>
      </c>
      <c r="Q274" t="str">
        <f>IFERROR(J144+MATCH(P274,J274:N274,0)-1,"")</f>
        <v/>
      </c>
      <c r="R274" t="str">
        <f t="shared" si="95"/>
        <v/>
      </c>
      <c r="S274" t="str">
        <f>IFERROR(J144+MATCH(R274,J274:N274,0)-1,"")</f>
        <v/>
      </c>
      <c r="T274" t="str">
        <f t="shared" si="96"/>
        <v/>
      </c>
      <c r="U274" t="str">
        <f t="shared" si="97"/>
        <v/>
      </c>
      <c r="V274" t="str">
        <f t="shared" si="98"/>
        <v/>
      </c>
      <c r="W274" t="str">
        <f t="shared" si="99"/>
        <v/>
      </c>
      <c r="X274" t="str">
        <f t="shared" si="100"/>
        <v/>
      </c>
      <c r="Y274" t="str">
        <f t="shared" si="101"/>
        <v/>
      </c>
      <c r="Z274" t="str">
        <f t="shared" si="102"/>
        <v/>
      </c>
      <c r="AA274">
        <f t="shared" si="103"/>
        <v>0</v>
      </c>
      <c r="AB274" t="str">
        <f>IFERROR(V144+MATCH(AA274,V274:Z274,0)-1,"")</f>
        <v/>
      </c>
      <c r="AC274" t="str">
        <f t="shared" si="104"/>
        <v/>
      </c>
      <c r="AE274" t="str">
        <f>IF(ISNUMBER(MATCH("N/A",J274:N274,0)),"",IFERROR((5 * SUMPRODUCT(J144:N144,J274:N274) - PRODUCT(SUM(J144:N144),SUM(J274:N274))) / ((5 * SUM((J144^2)+(K144^2)+(L144^2)+(M144^2)+(N144^2))) - SUM(J144:N144)^2),""))</f>
        <v/>
      </c>
      <c r="AF274" t="str">
        <f>IFERROR(CORREL(J144:N144,J274:N274),"")</f>
        <v/>
      </c>
      <c r="AZ274">
        <f t="shared" si="105"/>
        <v>0</v>
      </c>
      <c r="BA274" t="str">
        <f>IF(AZ274=1,IF(Q274="","",IF(Q274=N144,"Yes","No")),"")</f>
        <v/>
      </c>
      <c r="BB274" t="str">
        <f t="shared" si="106"/>
        <v/>
      </c>
      <c r="BC274" t="str">
        <f>IF(AZ274=1,IF(S274="","",IF(S274=N144,"Yes","No")),"")</f>
        <v/>
      </c>
      <c r="BD274" t="str">
        <f t="shared" si="107"/>
        <v/>
      </c>
      <c r="BE274" t="str">
        <f t="shared" si="108"/>
        <v/>
      </c>
      <c r="BF274" t="str">
        <f t="shared" si="109"/>
        <v>No</v>
      </c>
      <c r="BG274" t="str">
        <f t="shared" si="110"/>
        <v>No</v>
      </c>
      <c r="BH274" t="str">
        <f t="shared" si="111"/>
        <v/>
      </c>
    </row>
    <row r="275" spans="9:60" x14ac:dyDescent="0.3">
      <c r="I275" t="str">
        <f t="shared" si="88"/>
        <v>N/A</v>
      </c>
      <c r="J275" t="str">
        <f t="shared" si="89"/>
        <v>N/A</v>
      </c>
      <c r="K275" t="str">
        <f t="shared" si="90"/>
        <v>N/A</v>
      </c>
      <c r="L275" t="str">
        <f t="shared" si="91"/>
        <v>N/A</v>
      </c>
      <c r="M275" t="str">
        <f t="shared" si="92"/>
        <v>N/A</v>
      </c>
      <c r="N275" t="str">
        <f t="shared" si="93"/>
        <v>N/A</v>
      </c>
      <c r="P275">
        <f t="shared" si="94"/>
        <v>0</v>
      </c>
      <c r="Q275" t="str">
        <f>IFERROR(J144+MATCH(P275,J275:N275,0)-1,"")</f>
        <v/>
      </c>
      <c r="R275" t="str">
        <f t="shared" si="95"/>
        <v/>
      </c>
      <c r="S275" t="str">
        <f>IFERROR(J144+MATCH(R275,J275:N275,0)-1,"")</f>
        <v/>
      </c>
      <c r="T275" t="str">
        <f t="shared" si="96"/>
        <v/>
      </c>
      <c r="U275" t="str">
        <f t="shared" si="97"/>
        <v/>
      </c>
      <c r="V275" t="str">
        <f t="shared" si="98"/>
        <v/>
      </c>
      <c r="W275" t="str">
        <f t="shared" si="99"/>
        <v/>
      </c>
      <c r="X275" t="str">
        <f t="shared" si="100"/>
        <v/>
      </c>
      <c r="Y275" t="str">
        <f t="shared" si="101"/>
        <v/>
      </c>
      <c r="Z275" t="str">
        <f t="shared" si="102"/>
        <v/>
      </c>
      <c r="AA275">
        <f t="shared" si="103"/>
        <v>0</v>
      </c>
      <c r="AB275" t="str">
        <f>IFERROR(V144+MATCH(AA275,V275:Z275,0)-1,"")</f>
        <v/>
      </c>
      <c r="AC275" t="str">
        <f t="shared" si="104"/>
        <v/>
      </c>
      <c r="AE275" t="str">
        <f>IF(ISNUMBER(MATCH("N/A",J275:N275,0)),"",IFERROR((5 * SUMPRODUCT(J144:N144,J275:N275) - PRODUCT(SUM(J144:N144),SUM(J275:N275))) / ((5 * SUM((J144^2)+(K144^2)+(L144^2)+(M144^2)+(N144^2))) - SUM(J144:N144)^2),""))</f>
        <v/>
      </c>
      <c r="AF275" t="str">
        <f>IFERROR(CORREL(J144:N144,J275:N275),"")</f>
        <v/>
      </c>
      <c r="AZ275">
        <f t="shared" si="105"/>
        <v>0</v>
      </c>
      <c r="BA275" t="str">
        <f>IF(AZ275=1,IF(Q275="","",IF(Q275=N144,"Yes","No")),"")</f>
        <v/>
      </c>
      <c r="BB275" t="str">
        <f t="shared" si="106"/>
        <v/>
      </c>
      <c r="BC275" t="str">
        <f>IF(AZ275=1,IF(S275="","",IF(S275=N144,"Yes","No")),"")</f>
        <v/>
      </c>
      <c r="BD275" t="str">
        <f t="shared" si="107"/>
        <v/>
      </c>
      <c r="BE275" t="str">
        <f t="shared" si="108"/>
        <v/>
      </c>
      <c r="BF275" t="str">
        <f t="shared" si="109"/>
        <v>No</v>
      </c>
      <c r="BG275" t="str">
        <f t="shared" si="110"/>
        <v>No</v>
      </c>
      <c r="BH275" t="str">
        <f t="shared" si="111"/>
        <v/>
      </c>
    </row>
    <row r="276" spans="9:60" x14ac:dyDescent="0.3">
      <c r="I276" t="str">
        <f t="shared" si="88"/>
        <v>N/A</v>
      </c>
      <c r="J276" t="str">
        <f t="shared" si="89"/>
        <v>N/A</v>
      </c>
      <c r="K276" t="str">
        <f t="shared" si="90"/>
        <v>N/A</v>
      </c>
      <c r="L276" t="str">
        <f t="shared" si="91"/>
        <v>N/A</v>
      </c>
      <c r="M276" t="str">
        <f t="shared" si="92"/>
        <v>N/A</v>
      </c>
      <c r="N276" t="str">
        <f t="shared" si="93"/>
        <v>N/A</v>
      </c>
      <c r="P276">
        <f t="shared" si="94"/>
        <v>0</v>
      </c>
      <c r="Q276" t="str">
        <f>IFERROR(J144+MATCH(P276,J276:N276,0)-1,"")</f>
        <v/>
      </c>
      <c r="R276" t="str">
        <f t="shared" si="95"/>
        <v/>
      </c>
      <c r="S276" t="str">
        <f>IFERROR(J144+MATCH(R276,J276:N276,0)-1,"")</f>
        <v/>
      </c>
      <c r="T276" t="str">
        <f t="shared" si="96"/>
        <v/>
      </c>
      <c r="U276" t="str">
        <f t="shared" si="97"/>
        <v/>
      </c>
      <c r="V276" t="str">
        <f t="shared" si="98"/>
        <v/>
      </c>
      <c r="W276" t="str">
        <f t="shared" si="99"/>
        <v/>
      </c>
      <c r="X276" t="str">
        <f t="shared" si="100"/>
        <v/>
      </c>
      <c r="Y276" t="str">
        <f t="shared" si="101"/>
        <v/>
      </c>
      <c r="Z276" t="str">
        <f t="shared" si="102"/>
        <v/>
      </c>
      <c r="AA276">
        <f t="shared" si="103"/>
        <v>0</v>
      </c>
      <c r="AB276" t="str">
        <f>IFERROR(V144+MATCH(AA276,V276:Z276,0)-1,"")</f>
        <v/>
      </c>
      <c r="AC276" t="str">
        <f t="shared" si="104"/>
        <v/>
      </c>
      <c r="AE276" t="str">
        <f>IF(ISNUMBER(MATCH("N/A",J276:N276,0)),"",IFERROR((5 * SUMPRODUCT(J144:N144,J276:N276) - PRODUCT(SUM(J144:N144),SUM(J276:N276))) / ((5 * SUM((J144^2)+(K144^2)+(L144^2)+(M144^2)+(N144^2))) - SUM(J144:N144)^2),""))</f>
        <v/>
      </c>
      <c r="AF276" t="str">
        <f>IFERROR(CORREL(J144:N144,J276:N276),"")</f>
        <v/>
      </c>
      <c r="AZ276">
        <f t="shared" si="105"/>
        <v>0</v>
      </c>
      <c r="BA276" t="str">
        <f>IF(AZ276=1,IF(Q276="","",IF(Q276=N144,"Yes","No")),"")</f>
        <v/>
      </c>
      <c r="BB276" t="str">
        <f t="shared" si="106"/>
        <v/>
      </c>
      <c r="BC276" t="str">
        <f>IF(AZ276=1,IF(S276="","",IF(S276=N144,"Yes","No")),"")</f>
        <v/>
      </c>
      <c r="BD276" t="str">
        <f t="shared" si="107"/>
        <v/>
      </c>
      <c r="BE276" t="str">
        <f t="shared" si="108"/>
        <v/>
      </c>
      <c r="BF276" t="str">
        <f t="shared" si="109"/>
        <v>No</v>
      </c>
      <c r="BG276" t="str">
        <f t="shared" si="110"/>
        <v>No</v>
      </c>
      <c r="BH276" t="str">
        <f t="shared" si="111"/>
        <v/>
      </c>
    </row>
    <row r="277" spans="9:60" x14ac:dyDescent="0.3">
      <c r="I277" t="str">
        <f t="shared" si="88"/>
        <v>N/A</v>
      </c>
      <c r="J277" t="str">
        <f t="shared" si="89"/>
        <v>N/A</v>
      </c>
      <c r="K277" t="str">
        <f t="shared" si="90"/>
        <v>N/A</v>
      </c>
      <c r="L277" t="str">
        <f t="shared" si="91"/>
        <v>N/A</v>
      </c>
      <c r="M277" t="str">
        <f t="shared" si="92"/>
        <v>N/A</v>
      </c>
      <c r="N277" t="str">
        <f t="shared" si="93"/>
        <v>N/A</v>
      </c>
      <c r="P277">
        <f t="shared" si="94"/>
        <v>0</v>
      </c>
      <c r="Q277" t="str">
        <f>IFERROR(J144+MATCH(P277,J277:N277,0)-1,"")</f>
        <v/>
      </c>
      <c r="R277" t="str">
        <f t="shared" si="95"/>
        <v/>
      </c>
      <c r="S277" t="str">
        <f>IFERROR(J144+MATCH(R277,J277:N277,0)-1,"")</f>
        <v/>
      </c>
      <c r="T277" t="str">
        <f t="shared" si="96"/>
        <v/>
      </c>
      <c r="U277" t="str">
        <f t="shared" si="97"/>
        <v/>
      </c>
      <c r="V277" t="str">
        <f t="shared" si="98"/>
        <v/>
      </c>
      <c r="W277" t="str">
        <f t="shared" si="99"/>
        <v/>
      </c>
      <c r="X277" t="str">
        <f t="shared" si="100"/>
        <v/>
      </c>
      <c r="Y277" t="str">
        <f t="shared" si="101"/>
        <v/>
      </c>
      <c r="Z277" t="str">
        <f t="shared" si="102"/>
        <v/>
      </c>
      <c r="AA277">
        <f t="shared" si="103"/>
        <v>0</v>
      </c>
      <c r="AB277" t="str">
        <f>IFERROR(V144+MATCH(AA277,V277:Z277,0)-1,"")</f>
        <v/>
      </c>
      <c r="AC277" t="str">
        <f t="shared" si="104"/>
        <v/>
      </c>
      <c r="AE277" t="str">
        <f>IF(ISNUMBER(MATCH("N/A",J277:N277,0)),"",IFERROR((5 * SUMPRODUCT(J144:N144,J277:N277) - PRODUCT(SUM(J144:N144),SUM(J277:N277))) / ((5 * SUM((J144^2)+(K144^2)+(L144^2)+(M144^2)+(N144^2))) - SUM(J144:N144)^2),""))</f>
        <v/>
      </c>
      <c r="AF277" t="str">
        <f>IFERROR(CORREL(J144:N144,J277:N277),"")</f>
        <v/>
      </c>
      <c r="AZ277">
        <f t="shared" si="105"/>
        <v>0</v>
      </c>
      <c r="BA277" t="str">
        <f>IF(AZ277=1,IF(Q277="","",IF(Q277=N144,"Yes","No")),"")</f>
        <v/>
      </c>
      <c r="BB277" t="str">
        <f t="shared" si="106"/>
        <v/>
      </c>
      <c r="BC277" t="str">
        <f>IF(AZ277=1,IF(S277="","",IF(S277=N144,"Yes","No")),"")</f>
        <v/>
      </c>
      <c r="BD277" t="str">
        <f t="shared" si="107"/>
        <v/>
      </c>
      <c r="BE277" t="str">
        <f t="shared" si="108"/>
        <v/>
      </c>
      <c r="BF277" t="str">
        <f t="shared" si="109"/>
        <v>No</v>
      </c>
      <c r="BG277" t="str">
        <f t="shared" si="110"/>
        <v>No</v>
      </c>
      <c r="BH277" t="str">
        <f t="shared" si="111"/>
        <v/>
      </c>
    </row>
    <row r="278" spans="9:60" x14ac:dyDescent="0.3">
      <c r="I278" t="str">
        <f t="shared" si="88"/>
        <v>N/A</v>
      </c>
      <c r="J278" t="str">
        <f t="shared" si="89"/>
        <v>N/A</v>
      </c>
      <c r="K278" t="str">
        <f t="shared" si="90"/>
        <v>N/A</v>
      </c>
      <c r="L278" t="str">
        <f t="shared" si="91"/>
        <v>N/A</v>
      </c>
      <c r="M278" t="str">
        <f t="shared" si="92"/>
        <v>N/A</v>
      </c>
      <c r="N278" t="str">
        <f t="shared" si="93"/>
        <v>N/A</v>
      </c>
      <c r="P278">
        <f t="shared" si="94"/>
        <v>0</v>
      </c>
      <c r="Q278" t="str">
        <f>IFERROR(J144+MATCH(P278,J278:N278,0)-1,"")</f>
        <v/>
      </c>
      <c r="R278" t="str">
        <f t="shared" si="95"/>
        <v/>
      </c>
      <c r="S278" t="str">
        <f>IFERROR(J144+MATCH(R278,J278:N278,0)-1,"")</f>
        <v/>
      </c>
      <c r="T278" t="str">
        <f t="shared" si="96"/>
        <v/>
      </c>
      <c r="U278" t="str">
        <f t="shared" si="97"/>
        <v/>
      </c>
      <c r="V278" t="str">
        <f t="shared" si="98"/>
        <v/>
      </c>
      <c r="W278" t="str">
        <f t="shared" si="99"/>
        <v/>
      </c>
      <c r="X278" t="str">
        <f t="shared" si="100"/>
        <v/>
      </c>
      <c r="Y278" t="str">
        <f t="shared" si="101"/>
        <v/>
      </c>
      <c r="Z278" t="str">
        <f t="shared" si="102"/>
        <v/>
      </c>
      <c r="AA278">
        <f t="shared" si="103"/>
        <v>0</v>
      </c>
      <c r="AB278" t="str">
        <f>IFERROR(V144+MATCH(AA278,V278:Z278,0)-1,"")</f>
        <v/>
      </c>
      <c r="AC278" t="str">
        <f t="shared" si="104"/>
        <v/>
      </c>
      <c r="AE278" t="str">
        <f>IF(ISNUMBER(MATCH("N/A",J278:N278,0)),"",IFERROR((5 * SUMPRODUCT(J144:N144,J278:N278) - PRODUCT(SUM(J144:N144),SUM(J278:N278))) / ((5 * SUM((J144^2)+(K144^2)+(L144^2)+(M144^2)+(N144^2))) - SUM(J144:N144)^2),""))</f>
        <v/>
      </c>
      <c r="AF278" t="str">
        <f>IFERROR(CORREL(J144:N144,J278:N278),"")</f>
        <v/>
      </c>
      <c r="AZ278">
        <f t="shared" si="105"/>
        <v>0</v>
      </c>
      <c r="BA278" t="str">
        <f>IF(AZ278=1,IF(Q278="","",IF(Q278=N144,"Yes","No")),"")</f>
        <v/>
      </c>
      <c r="BB278" t="str">
        <f t="shared" si="106"/>
        <v/>
      </c>
      <c r="BC278" t="str">
        <f>IF(AZ278=1,IF(S278="","",IF(S278=N144,"Yes","No")),"")</f>
        <v/>
      </c>
      <c r="BD278" t="str">
        <f t="shared" si="107"/>
        <v/>
      </c>
      <c r="BE278" t="str">
        <f t="shared" si="108"/>
        <v/>
      </c>
      <c r="BF278" t="str">
        <f t="shared" si="109"/>
        <v>No</v>
      </c>
      <c r="BG278" t="str">
        <f t="shared" si="110"/>
        <v>No</v>
      </c>
      <c r="BH278" t="str">
        <f t="shared" si="111"/>
        <v/>
      </c>
    </row>
    <row r="279" spans="9:60" x14ac:dyDescent="0.3">
      <c r="I279" t="str">
        <f t="shared" si="88"/>
        <v>N/A</v>
      </c>
      <c r="J279" t="str">
        <f t="shared" si="89"/>
        <v>N/A</v>
      </c>
      <c r="K279" t="str">
        <f t="shared" si="90"/>
        <v>N/A</v>
      </c>
      <c r="L279" t="str">
        <f t="shared" si="91"/>
        <v>N/A</v>
      </c>
      <c r="M279" t="str">
        <f t="shared" si="92"/>
        <v>N/A</v>
      </c>
      <c r="N279" t="str">
        <f t="shared" si="93"/>
        <v>N/A</v>
      </c>
      <c r="P279">
        <f t="shared" si="94"/>
        <v>0</v>
      </c>
      <c r="Q279" t="str">
        <f>IFERROR(J144+MATCH(P279,J279:N279,0)-1,"")</f>
        <v/>
      </c>
      <c r="R279" t="str">
        <f t="shared" si="95"/>
        <v/>
      </c>
      <c r="S279" t="str">
        <f>IFERROR(J144+MATCH(R279,J279:N279,0)-1,"")</f>
        <v/>
      </c>
      <c r="T279" t="str">
        <f t="shared" si="96"/>
        <v/>
      </c>
      <c r="U279" t="str">
        <f t="shared" si="97"/>
        <v/>
      </c>
      <c r="V279" t="str">
        <f t="shared" si="98"/>
        <v/>
      </c>
      <c r="W279" t="str">
        <f t="shared" si="99"/>
        <v/>
      </c>
      <c r="X279" t="str">
        <f t="shared" si="100"/>
        <v/>
      </c>
      <c r="Y279" t="str">
        <f t="shared" si="101"/>
        <v/>
      </c>
      <c r="Z279" t="str">
        <f t="shared" si="102"/>
        <v/>
      </c>
      <c r="AA279">
        <f t="shared" si="103"/>
        <v>0</v>
      </c>
      <c r="AB279" t="str">
        <f>IFERROR(V144+MATCH(AA279,V279:Z279,0)-1,"")</f>
        <v/>
      </c>
      <c r="AC279" t="str">
        <f t="shared" si="104"/>
        <v/>
      </c>
      <c r="AE279" t="str">
        <f>IF(ISNUMBER(MATCH("N/A",J279:N279,0)),"",IFERROR((5 * SUMPRODUCT(J144:N144,J279:N279) - PRODUCT(SUM(J144:N144),SUM(J279:N279))) / ((5 * SUM((J144^2)+(K144^2)+(L144^2)+(M144^2)+(N144^2))) - SUM(J144:N144)^2),""))</f>
        <v/>
      </c>
      <c r="AF279" t="str">
        <f>IFERROR(CORREL(J144:N144,J279:N279),"")</f>
        <v/>
      </c>
      <c r="AZ279">
        <f t="shared" si="105"/>
        <v>0</v>
      </c>
      <c r="BA279" t="str">
        <f>IF(AZ279=1,IF(Q279="","",IF(Q279=N144,"Yes","No")),"")</f>
        <v/>
      </c>
      <c r="BB279" t="str">
        <f t="shared" si="106"/>
        <v/>
      </c>
      <c r="BC279" t="str">
        <f>IF(AZ279=1,IF(S279="","",IF(S279=N144,"Yes","No")),"")</f>
        <v/>
      </c>
      <c r="BD279" t="str">
        <f t="shared" si="107"/>
        <v/>
      </c>
      <c r="BE279" t="str">
        <f t="shared" si="108"/>
        <v/>
      </c>
      <c r="BF279" t="str">
        <f t="shared" si="109"/>
        <v>No</v>
      </c>
      <c r="BG279" t="str">
        <f t="shared" si="110"/>
        <v>No</v>
      </c>
      <c r="BH279" t="str">
        <f t="shared" si="111"/>
        <v/>
      </c>
    </row>
    <row r="280" spans="9:60" x14ac:dyDescent="0.3">
      <c r="I280" t="str">
        <f t="shared" si="88"/>
        <v>N/A</v>
      </c>
      <c r="J280" t="str">
        <f t="shared" si="89"/>
        <v>N/A</v>
      </c>
      <c r="K280" t="str">
        <f t="shared" si="90"/>
        <v>N/A</v>
      </c>
      <c r="L280" t="str">
        <f t="shared" si="91"/>
        <v>N/A</v>
      </c>
      <c r="M280" t="str">
        <f t="shared" si="92"/>
        <v>N/A</v>
      </c>
      <c r="N280" t="str">
        <f t="shared" si="93"/>
        <v>N/A</v>
      </c>
      <c r="P280">
        <f t="shared" si="94"/>
        <v>0</v>
      </c>
      <c r="Q280" t="str">
        <f>IFERROR(J144+MATCH(P280,J280:N280,0)-1,"")</f>
        <v/>
      </c>
      <c r="R280" t="str">
        <f t="shared" si="95"/>
        <v/>
      </c>
      <c r="S280" t="str">
        <f>IFERROR(J144+MATCH(R280,J280:N280,0)-1,"")</f>
        <v/>
      </c>
      <c r="T280" t="str">
        <f t="shared" si="96"/>
        <v/>
      </c>
      <c r="U280" t="str">
        <f t="shared" si="97"/>
        <v/>
      </c>
      <c r="V280" t="str">
        <f t="shared" si="98"/>
        <v/>
      </c>
      <c r="W280" t="str">
        <f t="shared" si="99"/>
        <v/>
      </c>
      <c r="X280" t="str">
        <f t="shared" si="100"/>
        <v/>
      </c>
      <c r="Y280" t="str">
        <f t="shared" si="101"/>
        <v/>
      </c>
      <c r="Z280" t="str">
        <f t="shared" si="102"/>
        <v/>
      </c>
      <c r="AA280">
        <f t="shared" si="103"/>
        <v>0</v>
      </c>
      <c r="AB280" t="str">
        <f>IFERROR(V144+MATCH(AA280,V280:Z280,0)-1,"")</f>
        <v/>
      </c>
      <c r="AC280" t="str">
        <f t="shared" si="104"/>
        <v/>
      </c>
      <c r="AE280" t="str">
        <f>IF(ISNUMBER(MATCH("N/A",J280:N280,0)),"",IFERROR((5 * SUMPRODUCT(J144:N144,J280:N280) - PRODUCT(SUM(J144:N144),SUM(J280:N280))) / ((5 * SUM((J144^2)+(K144^2)+(L144^2)+(M144^2)+(N144^2))) - SUM(J144:N144)^2),""))</f>
        <v/>
      </c>
      <c r="AF280" t="str">
        <f>IFERROR(CORREL(J144:N144,J280:N280),"")</f>
        <v/>
      </c>
      <c r="AZ280">
        <f t="shared" si="105"/>
        <v>0</v>
      </c>
      <c r="BA280" t="str">
        <f>IF(AZ280=1,IF(Q280="","",IF(Q280=N144,"Yes","No")),"")</f>
        <v/>
      </c>
      <c r="BB280" t="str">
        <f t="shared" si="106"/>
        <v/>
      </c>
      <c r="BC280" t="str">
        <f>IF(AZ280=1,IF(S280="","",IF(S280=N144,"Yes","No")),"")</f>
        <v/>
      </c>
      <c r="BD280" t="str">
        <f t="shared" si="107"/>
        <v/>
      </c>
      <c r="BE280" t="str">
        <f t="shared" si="108"/>
        <v/>
      </c>
      <c r="BF280" t="str">
        <f t="shared" si="109"/>
        <v>No</v>
      </c>
      <c r="BG280" t="str">
        <f t="shared" si="110"/>
        <v>No</v>
      </c>
      <c r="BH280" t="str">
        <f t="shared" si="111"/>
        <v/>
      </c>
    </row>
    <row r="281" spans="9:60" x14ac:dyDescent="0.3">
      <c r="I281" t="str">
        <f t="shared" si="88"/>
        <v>N/A</v>
      </c>
      <c r="J281" t="str">
        <f t="shared" si="89"/>
        <v>N/A</v>
      </c>
      <c r="K281" t="str">
        <f t="shared" si="90"/>
        <v>N/A</v>
      </c>
      <c r="L281" t="str">
        <f t="shared" si="91"/>
        <v>N/A</v>
      </c>
      <c r="M281" t="str">
        <f t="shared" si="92"/>
        <v>N/A</v>
      </c>
      <c r="N281" t="str">
        <f t="shared" si="93"/>
        <v>N/A</v>
      </c>
      <c r="P281">
        <f t="shared" si="94"/>
        <v>0</v>
      </c>
      <c r="Q281" t="str">
        <f>IFERROR(J144+MATCH(P281,J281:N281,0)-1,"")</f>
        <v/>
      </c>
      <c r="R281" t="str">
        <f t="shared" si="95"/>
        <v/>
      </c>
      <c r="S281" t="str">
        <f>IFERROR(J144+MATCH(R281,J281:N281,0)-1,"")</f>
        <v/>
      </c>
      <c r="T281" t="str">
        <f t="shared" si="96"/>
        <v/>
      </c>
      <c r="U281" t="str">
        <f t="shared" si="97"/>
        <v/>
      </c>
      <c r="V281" t="str">
        <f t="shared" si="98"/>
        <v/>
      </c>
      <c r="W281" t="str">
        <f t="shared" si="99"/>
        <v/>
      </c>
      <c r="X281" t="str">
        <f t="shared" si="100"/>
        <v/>
      </c>
      <c r="Y281" t="str">
        <f t="shared" si="101"/>
        <v/>
      </c>
      <c r="Z281" t="str">
        <f t="shared" si="102"/>
        <v/>
      </c>
      <c r="AA281">
        <f t="shared" si="103"/>
        <v>0</v>
      </c>
      <c r="AB281" t="str">
        <f>IFERROR(V144+MATCH(AA281,V281:Z281,0)-1,"")</f>
        <v/>
      </c>
      <c r="AC281" t="str">
        <f t="shared" si="104"/>
        <v/>
      </c>
      <c r="AE281" t="str">
        <f>IF(ISNUMBER(MATCH("N/A",J281:N281,0)),"",IFERROR((5 * SUMPRODUCT(J144:N144,J281:N281) - PRODUCT(SUM(J144:N144),SUM(J281:N281))) / ((5 * SUM((J144^2)+(K144^2)+(L144^2)+(M144^2)+(N144^2))) - SUM(J144:N144)^2),""))</f>
        <v/>
      </c>
      <c r="AF281" t="str">
        <f>IFERROR(CORREL(J144:N144,J281:N281),"")</f>
        <v/>
      </c>
      <c r="AZ281">
        <f t="shared" si="105"/>
        <v>0</v>
      </c>
      <c r="BA281" t="str">
        <f>IF(AZ281=1,IF(Q281="","",IF(Q281=N144,"Yes","No")),"")</f>
        <v/>
      </c>
      <c r="BB281" t="str">
        <f t="shared" si="106"/>
        <v/>
      </c>
      <c r="BC281" t="str">
        <f>IF(AZ281=1,IF(S281="","",IF(S281=N144,"Yes","No")),"")</f>
        <v/>
      </c>
      <c r="BD281" t="str">
        <f t="shared" si="107"/>
        <v/>
      </c>
      <c r="BE281" t="str">
        <f t="shared" si="108"/>
        <v/>
      </c>
      <c r="BF281" t="str">
        <f t="shared" si="109"/>
        <v>No</v>
      </c>
      <c r="BG281" t="str">
        <f t="shared" si="110"/>
        <v>No</v>
      </c>
      <c r="BH281" t="str">
        <f t="shared" si="111"/>
        <v/>
      </c>
    </row>
    <row r="282" spans="9:60" x14ac:dyDescent="0.3">
      <c r="I282" t="str">
        <f t="shared" si="88"/>
        <v>N/A</v>
      </c>
      <c r="J282" t="str">
        <f t="shared" si="89"/>
        <v>N/A</v>
      </c>
      <c r="K282" t="str">
        <f t="shared" si="90"/>
        <v>N/A</v>
      </c>
      <c r="L282" t="str">
        <f t="shared" si="91"/>
        <v>N/A</v>
      </c>
      <c r="M282" t="str">
        <f t="shared" si="92"/>
        <v>N/A</v>
      </c>
      <c r="N282" t="str">
        <f t="shared" si="93"/>
        <v>N/A</v>
      </c>
      <c r="P282">
        <f t="shared" si="94"/>
        <v>0</v>
      </c>
      <c r="Q282" t="str">
        <f>IFERROR(J144+MATCH(P282,J282:N282,0)-1,"")</f>
        <v/>
      </c>
      <c r="R282" t="str">
        <f t="shared" si="95"/>
        <v/>
      </c>
      <c r="S282" t="str">
        <f>IFERROR(J144+MATCH(R282,J282:N282,0)-1,"")</f>
        <v/>
      </c>
      <c r="T282" t="str">
        <f t="shared" si="96"/>
        <v/>
      </c>
      <c r="U282" t="str">
        <f t="shared" si="97"/>
        <v/>
      </c>
      <c r="V282" t="str">
        <f t="shared" si="98"/>
        <v/>
      </c>
      <c r="W282" t="str">
        <f t="shared" si="99"/>
        <v/>
      </c>
      <c r="X282" t="str">
        <f t="shared" si="100"/>
        <v/>
      </c>
      <c r="Y282" t="str">
        <f t="shared" si="101"/>
        <v/>
      </c>
      <c r="Z282" t="str">
        <f t="shared" si="102"/>
        <v/>
      </c>
      <c r="AA282">
        <f t="shared" si="103"/>
        <v>0</v>
      </c>
      <c r="AB282" t="str">
        <f>IFERROR(V144+MATCH(AA282,V282:Z282,0)-1,"")</f>
        <v/>
      </c>
      <c r="AC282" t="str">
        <f t="shared" si="104"/>
        <v/>
      </c>
      <c r="AE282" t="str">
        <f>IF(ISNUMBER(MATCH("N/A",J282:N282,0)),"",IFERROR((5 * SUMPRODUCT(J144:N144,J282:N282) - PRODUCT(SUM(J144:N144),SUM(J282:N282))) / ((5 * SUM((J144^2)+(K144^2)+(L144^2)+(M144^2)+(N144^2))) - SUM(J144:N144)^2),""))</f>
        <v/>
      </c>
      <c r="AF282" t="str">
        <f>IFERROR(CORREL(J144:N144,J282:N282),"")</f>
        <v/>
      </c>
      <c r="AZ282">
        <f t="shared" si="105"/>
        <v>0</v>
      </c>
      <c r="BA282" t="str">
        <f>IF(AZ282=1,IF(Q282="","",IF(Q282=N144,"Yes","No")),"")</f>
        <v/>
      </c>
      <c r="BB282" t="str">
        <f t="shared" si="106"/>
        <v/>
      </c>
      <c r="BC282" t="str">
        <f>IF(AZ282=1,IF(S282="","",IF(S282=N144,"Yes","No")),"")</f>
        <v/>
      </c>
      <c r="BD282" t="str">
        <f t="shared" si="107"/>
        <v/>
      </c>
      <c r="BE282" t="str">
        <f t="shared" si="108"/>
        <v/>
      </c>
      <c r="BF282" t="str">
        <f t="shared" si="109"/>
        <v>No</v>
      </c>
      <c r="BG282" t="str">
        <f t="shared" si="110"/>
        <v>No</v>
      </c>
      <c r="BH282" t="str">
        <f t="shared" si="111"/>
        <v/>
      </c>
    </row>
    <row r="283" spans="9:60" x14ac:dyDescent="0.3">
      <c r="I283" t="str">
        <f t="shared" si="88"/>
        <v>N/A</v>
      </c>
      <c r="J283" t="str">
        <f t="shared" si="89"/>
        <v>N/A</v>
      </c>
      <c r="K283" t="str">
        <f t="shared" si="90"/>
        <v>N/A</v>
      </c>
      <c r="L283" t="str">
        <f t="shared" si="91"/>
        <v>N/A</v>
      </c>
      <c r="M283" t="str">
        <f t="shared" si="92"/>
        <v>N/A</v>
      </c>
      <c r="N283" t="str">
        <f t="shared" si="93"/>
        <v>N/A</v>
      </c>
      <c r="P283">
        <f t="shared" si="94"/>
        <v>0</v>
      </c>
      <c r="Q283" t="str">
        <f>IFERROR(J144+MATCH(P283,J283:N283,0)-1,"")</f>
        <v/>
      </c>
      <c r="R283" t="str">
        <f t="shared" si="95"/>
        <v/>
      </c>
      <c r="S283" t="str">
        <f>IFERROR(J144+MATCH(R283,J283:N283,0)-1,"")</f>
        <v/>
      </c>
      <c r="T283" t="str">
        <f t="shared" si="96"/>
        <v/>
      </c>
      <c r="U283" t="str">
        <f t="shared" si="97"/>
        <v/>
      </c>
      <c r="V283" t="str">
        <f t="shared" si="98"/>
        <v/>
      </c>
      <c r="W283" t="str">
        <f t="shared" si="99"/>
        <v/>
      </c>
      <c r="X283" t="str">
        <f t="shared" si="100"/>
        <v/>
      </c>
      <c r="Y283" t="str">
        <f t="shared" si="101"/>
        <v/>
      </c>
      <c r="Z283" t="str">
        <f t="shared" si="102"/>
        <v/>
      </c>
      <c r="AA283">
        <f t="shared" si="103"/>
        <v>0</v>
      </c>
      <c r="AB283" t="str">
        <f>IFERROR(V144+MATCH(AA283,V283:Z283,0)-1,"")</f>
        <v/>
      </c>
      <c r="AC283" t="str">
        <f t="shared" si="104"/>
        <v/>
      </c>
      <c r="AE283" t="str">
        <f>IF(ISNUMBER(MATCH("N/A",J283:N283,0)),"",IFERROR((5 * SUMPRODUCT(J144:N144,J283:N283) - PRODUCT(SUM(J144:N144),SUM(J283:N283))) / ((5 * SUM((J144^2)+(K144^2)+(L144^2)+(M144^2)+(N144^2))) - SUM(J144:N144)^2),""))</f>
        <v/>
      </c>
      <c r="AF283" t="str">
        <f>IFERROR(CORREL(J144:N144,J283:N283),"")</f>
        <v/>
      </c>
      <c r="AZ283">
        <f t="shared" si="105"/>
        <v>0</v>
      </c>
      <c r="BA283" t="str">
        <f>IF(AZ283=1,IF(Q283="","",IF(Q283=N144,"Yes","No")),"")</f>
        <v/>
      </c>
      <c r="BB283" t="str">
        <f t="shared" si="106"/>
        <v/>
      </c>
      <c r="BC283" t="str">
        <f>IF(AZ283=1,IF(S283="","",IF(S283=N144,"Yes","No")),"")</f>
        <v/>
      </c>
      <c r="BD283" t="str">
        <f t="shared" si="107"/>
        <v/>
      </c>
      <c r="BE283" t="str">
        <f t="shared" si="108"/>
        <v/>
      </c>
      <c r="BF283" t="str">
        <f t="shared" si="109"/>
        <v>No</v>
      </c>
      <c r="BG283" t="str">
        <f t="shared" si="110"/>
        <v>No</v>
      </c>
      <c r="BH283" t="str">
        <f t="shared" si="111"/>
        <v/>
      </c>
    </row>
    <row r="284" spans="9:60" x14ac:dyDescent="0.3">
      <c r="I284" t="str">
        <f t="shared" si="88"/>
        <v>N/A</v>
      </c>
      <c r="J284" t="str">
        <f t="shared" si="89"/>
        <v>N/A</v>
      </c>
      <c r="K284" t="str">
        <f t="shared" si="90"/>
        <v>N/A</v>
      </c>
      <c r="L284" t="str">
        <f t="shared" si="91"/>
        <v>N/A</v>
      </c>
      <c r="M284" t="str">
        <f t="shared" si="92"/>
        <v>N/A</v>
      </c>
      <c r="N284" t="str">
        <f t="shared" si="93"/>
        <v>N/A</v>
      </c>
      <c r="P284">
        <f t="shared" si="94"/>
        <v>0</v>
      </c>
      <c r="Q284" t="str">
        <f>IFERROR(J144+MATCH(P284,J284:N284,0)-1,"")</f>
        <v/>
      </c>
      <c r="R284" t="str">
        <f t="shared" si="95"/>
        <v/>
      </c>
      <c r="S284" t="str">
        <f>IFERROR(J144+MATCH(R284,J284:N284,0)-1,"")</f>
        <v/>
      </c>
      <c r="T284" t="str">
        <f t="shared" si="96"/>
        <v/>
      </c>
      <c r="U284" t="str">
        <f t="shared" si="97"/>
        <v/>
      </c>
      <c r="V284" t="str">
        <f t="shared" si="98"/>
        <v/>
      </c>
      <c r="W284" t="str">
        <f t="shared" si="99"/>
        <v/>
      </c>
      <c r="X284" t="str">
        <f t="shared" si="100"/>
        <v/>
      </c>
      <c r="Y284" t="str">
        <f t="shared" si="101"/>
        <v/>
      </c>
      <c r="Z284" t="str">
        <f t="shared" si="102"/>
        <v/>
      </c>
      <c r="AA284">
        <f t="shared" si="103"/>
        <v>0</v>
      </c>
      <c r="AB284" t="str">
        <f>IFERROR(V144+MATCH(AA284,V284:Z284,0)-1,"")</f>
        <v/>
      </c>
      <c r="AC284" t="str">
        <f t="shared" si="104"/>
        <v/>
      </c>
      <c r="AE284" t="str">
        <f>IF(ISNUMBER(MATCH("N/A",J284:N284,0)),"",IFERROR((5 * SUMPRODUCT(J144:N144,J284:N284) - PRODUCT(SUM(J144:N144),SUM(J284:N284))) / ((5 * SUM((J144^2)+(K144^2)+(L144^2)+(M144^2)+(N144^2))) - SUM(J144:N144)^2),""))</f>
        <v/>
      </c>
      <c r="AF284" t="str">
        <f>IFERROR(CORREL(J144:N144,J284:N284),"")</f>
        <v/>
      </c>
      <c r="AZ284">
        <f t="shared" si="105"/>
        <v>0</v>
      </c>
      <c r="BA284" t="str">
        <f>IF(AZ284=1,IF(Q284="","",IF(Q284=N144,"Yes","No")),"")</f>
        <v/>
      </c>
      <c r="BB284" t="str">
        <f t="shared" si="106"/>
        <v/>
      </c>
      <c r="BC284" t="str">
        <f>IF(AZ284=1,IF(S284="","",IF(S284=N144,"Yes","No")),"")</f>
        <v/>
      </c>
      <c r="BD284" t="str">
        <f t="shared" si="107"/>
        <v/>
      </c>
      <c r="BE284" t="str">
        <f t="shared" si="108"/>
        <v/>
      </c>
      <c r="BF284" t="str">
        <f t="shared" si="109"/>
        <v>No</v>
      </c>
      <c r="BG284" t="str">
        <f t="shared" si="110"/>
        <v>No</v>
      </c>
      <c r="BH284" t="str">
        <f t="shared" si="111"/>
        <v/>
      </c>
    </row>
    <row r="285" spans="9:60" x14ac:dyDescent="0.3">
      <c r="I285" t="str">
        <f t="shared" si="88"/>
        <v>N/A</v>
      </c>
      <c r="J285" t="str">
        <f t="shared" si="89"/>
        <v>N/A</v>
      </c>
      <c r="K285" t="str">
        <f t="shared" si="90"/>
        <v>N/A</v>
      </c>
      <c r="L285" t="str">
        <f t="shared" si="91"/>
        <v>N/A</v>
      </c>
      <c r="M285" t="str">
        <f t="shared" si="92"/>
        <v>N/A</v>
      </c>
      <c r="N285" t="str">
        <f t="shared" si="93"/>
        <v>N/A</v>
      </c>
      <c r="P285">
        <f t="shared" si="94"/>
        <v>0</v>
      </c>
      <c r="Q285" t="str">
        <f>IFERROR(J144+MATCH(P285,J285:N285,0)-1,"")</f>
        <v/>
      </c>
      <c r="R285" t="str">
        <f t="shared" si="95"/>
        <v/>
      </c>
      <c r="S285" t="str">
        <f>IFERROR(J144+MATCH(R285,J285:N285,0)-1,"")</f>
        <v/>
      </c>
      <c r="T285" t="str">
        <f t="shared" si="96"/>
        <v/>
      </c>
      <c r="U285" t="str">
        <f t="shared" si="97"/>
        <v/>
      </c>
      <c r="V285" t="str">
        <f t="shared" si="98"/>
        <v/>
      </c>
      <c r="W285" t="str">
        <f t="shared" si="99"/>
        <v/>
      </c>
      <c r="X285" t="str">
        <f t="shared" si="100"/>
        <v/>
      </c>
      <c r="Y285" t="str">
        <f t="shared" si="101"/>
        <v/>
      </c>
      <c r="Z285" t="str">
        <f t="shared" si="102"/>
        <v/>
      </c>
      <c r="AA285">
        <f t="shared" si="103"/>
        <v>0</v>
      </c>
      <c r="AB285" t="str">
        <f>IFERROR(V144+MATCH(AA285,V285:Z285,0)-1,"")</f>
        <v/>
      </c>
      <c r="AC285" t="str">
        <f t="shared" si="104"/>
        <v/>
      </c>
      <c r="AE285" t="str">
        <f>IF(ISNUMBER(MATCH("N/A",J285:N285,0)),"",IFERROR((5 * SUMPRODUCT(J144:N144,J285:N285) - PRODUCT(SUM(J144:N144),SUM(J285:N285))) / ((5 * SUM((J144^2)+(K144^2)+(L144^2)+(M144^2)+(N144^2))) - SUM(J144:N144)^2),""))</f>
        <v/>
      </c>
      <c r="AF285" t="str">
        <f>IFERROR(CORREL(J144:N144,J285:N285),"")</f>
        <v/>
      </c>
      <c r="AZ285">
        <f t="shared" si="105"/>
        <v>0</v>
      </c>
      <c r="BA285" t="str">
        <f>IF(AZ285=1,IF(Q285="","",IF(Q285=N144,"Yes","No")),"")</f>
        <v/>
      </c>
      <c r="BB285" t="str">
        <f t="shared" si="106"/>
        <v/>
      </c>
      <c r="BC285" t="str">
        <f>IF(AZ285=1,IF(S285="","",IF(S285=N144,"Yes","No")),"")</f>
        <v/>
      </c>
      <c r="BD285" t="str">
        <f t="shared" si="107"/>
        <v/>
      </c>
      <c r="BE285" t="str">
        <f t="shared" si="108"/>
        <v/>
      </c>
      <c r="BF285" t="str">
        <f t="shared" si="109"/>
        <v>No</v>
      </c>
      <c r="BG285" t="str">
        <f t="shared" si="110"/>
        <v>No</v>
      </c>
      <c r="BH285" t="str">
        <f t="shared" si="111"/>
        <v/>
      </c>
    </row>
    <row r="286" spans="9:60" x14ac:dyDescent="0.3">
      <c r="I286" t="str">
        <f t="shared" si="88"/>
        <v>N/A</v>
      </c>
      <c r="J286" t="str">
        <f t="shared" si="89"/>
        <v>N/A</v>
      </c>
      <c r="K286" t="str">
        <f t="shared" si="90"/>
        <v>N/A</v>
      </c>
      <c r="L286" t="str">
        <f t="shared" si="91"/>
        <v>N/A</v>
      </c>
      <c r="M286" t="str">
        <f t="shared" si="92"/>
        <v>N/A</v>
      </c>
      <c r="N286" t="str">
        <f t="shared" si="93"/>
        <v>N/A</v>
      </c>
      <c r="P286">
        <f t="shared" si="94"/>
        <v>0</v>
      </c>
      <c r="Q286" t="str">
        <f>IFERROR(J144+MATCH(P286,J286:N286,0)-1,"")</f>
        <v/>
      </c>
      <c r="R286" t="str">
        <f t="shared" si="95"/>
        <v/>
      </c>
      <c r="S286" t="str">
        <f>IFERROR(J144+MATCH(R286,J286:N286,0)-1,"")</f>
        <v/>
      </c>
      <c r="T286" t="str">
        <f t="shared" si="96"/>
        <v/>
      </c>
      <c r="U286" t="str">
        <f t="shared" si="97"/>
        <v/>
      </c>
      <c r="V286" t="str">
        <f t="shared" si="98"/>
        <v/>
      </c>
      <c r="W286" t="str">
        <f t="shared" si="99"/>
        <v/>
      </c>
      <c r="X286" t="str">
        <f t="shared" si="100"/>
        <v/>
      </c>
      <c r="Y286" t="str">
        <f t="shared" si="101"/>
        <v/>
      </c>
      <c r="Z286" t="str">
        <f t="shared" si="102"/>
        <v/>
      </c>
      <c r="AA286">
        <f t="shared" si="103"/>
        <v>0</v>
      </c>
      <c r="AB286" t="str">
        <f>IFERROR(V144+MATCH(AA286,V286:Z286,0)-1,"")</f>
        <v/>
      </c>
      <c r="AC286" t="str">
        <f t="shared" si="104"/>
        <v/>
      </c>
      <c r="AE286" t="str">
        <f>IF(ISNUMBER(MATCH("N/A",J286:N286,0)),"",IFERROR((5 * SUMPRODUCT(J144:N144,J286:N286) - PRODUCT(SUM(J144:N144),SUM(J286:N286))) / ((5 * SUM((J144^2)+(K144^2)+(L144^2)+(M144^2)+(N144^2))) - SUM(J144:N144)^2),""))</f>
        <v/>
      </c>
      <c r="AF286" t="str">
        <f>IFERROR(CORREL(J144:N144,J286:N286),"")</f>
        <v/>
      </c>
      <c r="AZ286">
        <f t="shared" si="105"/>
        <v>0</v>
      </c>
      <c r="BA286" t="str">
        <f>IF(AZ286=1,IF(Q286="","",IF(Q286=N144,"Yes","No")),"")</f>
        <v/>
      </c>
      <c r="BB286" t="str">
        <f t="shared" si="106"/>
        <v/>
      </c>
      <c r="BC286" t="str">
        <f>IF(AZ286=1,IF(S286="","",IF(S286=N144,"Yes","No")),"")</f>
        <v/>
      </c>
      <c r="BD286" t="str">
        <f t="shared" si="107"/>
        <v/>
      </c>
      <c r="BE286" t="str">
        <f t="shared" si="108"/>
        <v/>
      </c>
      <c r="BF286" t="str">
        <f t="shared" si="109"/>
        <v>No</v>
      </c>
      <c r="BG286" t="str">
        <f t="shared" si="110"/>
        <v>No</v>
      </c>
      <c r="BH286" t="str">
        <f t="shared" si="111"/>
        <v/>
      </c>
    </row>
    <row r="287" spans="9:60" x14ac:dyDescent="0.3">
      <c r="I287" t="str">
        <f t="shared" si="88"/>
        <v>N/A</v>
      </c>
      <c r="J287" t="str">
        <f t="shared" si="89"/>
        <v>N/A</v>
      </c>
      <c r="K287" t="str">
        <f t="shared" si="90"/>
        <v>N/A</v>
      </c>
      <c r="L287" t="str">
        <f t="shared" si="91"/>
        <v>N/A</v>
      </c>
      <c r="M287" t="str">
        <f t="shared" si="92"/>
        <v>N/A</v>
      </c>
      <c r="N287" t="str">
        <f t="shared" si="93"/>
        <v>N/A</v>
      </c>
      <c r="P287">
        <f t="shared" si="94"/>
        <v>0</v>
      </c>
      <c r="Q287" t="str">
        <f>IFERROR(J144+MATCH(P287,J287:N287,0)-1,"")</f>
        <v/>
      </c>
      <c r="R287" t="str">
        <f t="shared" si="95"/>
        <v/>
      </c>
      <c r="S287" t="str">
        <f>IFERROR(J144+MATCH(R287,J287:N287,0)-1,"")</f>
        <v/>
      </c>
      <c r="T287" t="str">
        <f t="shared" si="96"/>
        <v/>
      </c>
      <c r="U287" t="str">
        <f t="shared" si="97"/>
        <v/>
      </c>
      <c r="V287" t="str">
        <f t="shared" si="98"/>
        <v/>
      </c>
      <c r="W287" t="str">
        <f t="shared" si="99"/>
        <v/>
      </c>
      <c r="X287" t="str">
        <f t="shared" si="100"/>
        <v/>
      </c>
      <c r="Y287" t="str">
        <f t="shared" si="101"/>
        <v/>
      </c>
      <c r="Z287" t="str">
        <f t="shared" si="102"/>
        <v/>
      </c>
      <c r="AA287">
        <f t="shared" si="103"/>
        <v>0</v>
      </c>
      <c r="AB287" t="str">
        <f>IFERROR(V144+MATCH(AA287,V287:Z287,0)-1,"")</f>
        <v/>
      </c>
      <c r="AC287" t="str">
        <f t="shared" si="104"/>
        <v/>
      </c>
      <c r="AE287" t="str">
        <f>IF(ISNUMBER(MATCH("N/A",J287:N287,0)),"",IFERROR((5 * SUMPRODUCT(J144:N144,J287:N287) - PRODUCT(SUM(J144:N144),SUM(J287:N287))) / ((5 * SUM((J144^2)+(K144^2)+(L144^2)+(M144^2)+(N144^2))) - SUM(J144:N144)^2),""))</f>
        <v/>
      </c>
      <c r="AF287" t="str">
        <f>IFERROR(CORREL(J144:N144,J287:N287),"")</f>
        <v/>
      </c>
      <c r="AZ287">
        <f t="shared" si="105"/>
        <v>0</v>
      </c>
      <c r="BA287" t="str">
        <f>IF(AZ287=1,IF(Q287="","",IF(Q287=N144,"Yes","No")),"")</f>
        <v/>
      </c>
      <c r="BB287" t="str">
        <f t="shared" si="106"/>
        <v/>
      </c>
      <c r="BC287" t="str">
        <f>IF(AZ287=1,IF(S287="","",IF(S287=N144,"Yes","No")),"")</f>
        <v/>
      </c>
      <c r="BD287" t="str">
        <f t="shared" si="107"/>
        <v/>
      </c>
      <c r="BE287" t="str">
        <f t="shared" si="108"/>
        <v/>
      </c>
      <c r="BF287" t="str">
        <f t="shared" si="109"/>
        <v>No</v>
      </c>
      <c r="BG287" t="str">
        <f t="shared" si="110"/>
        <v>No</v>
      </c>
      <c r="BH287" t="str">
        <f t="shared" si="111"/>
        <v/>
      </c>
    </row>
    <row r="288" spans="9:60" x14ac:dyDescent="0.3">
      <c r="I288" t="str">
        <f t="shared" si="88"/>
        <v>N/A</v>
      </c>
      <c r="J288" t="str">
        <f t="shared" si="89"/>
        <v>N/A</v>
      </c>
      <c r="K288" t="str">
        <f t="shared" si="90"/>
        <v>N/A</v>
      </c>
      <c r="L288" t="str">
        <f t="shared" si="91"/>
        <v>N/A</v>
      </c>
      <c r="M288" t="str">
        <f t="shared" si="92"/>
        <v>N/A</v>
      </c>
      <c r="N288" t="str">
        <f t="shared" si="93"/>
        <v>N/A</v>
      </c>
      <c r="P288">
        <f t="shared" si="94"/>
        <v>0</v>
      </c>
      <c r="Q288" t="str">
        <f>IFERROR(J144+MATCH(P288,J288:N288,0)-1,"")</f>
        <v/>
      </c>
      <c r="R288" t="str">
        <f t="shared" si="95"/>
        <v/>
      </c>
      <c r="S288" t="str">
        <f>IFERROR(J144+MATCH(R288,J288:N288,0)-1,"")</f>
        <v/>
      </c>
      <c r="T288" t="str">
        <f t="shared" si="96"/>
        <v/>
      </c>
      <c r="U288" t="str">
        <f t="shared" si="97"/>
        <v/>
      </c>
      <c r="V288" t="str">
        <f t="shared" si="98"/>
        <v/>
      </c>
      <c r="W288" t="str">
        <f t="shared" si="99"/>
        <v/>
      </c>
      <c r="X288" t="str">
        <f t="shared" si="100"/>
        <v/>
      </c>
      <c r="Y288" t="str">
        <f t="shared" si="101"/>
        <v/>
      </c>
      <c r="Z288" t="str">
        <f t="shared" si="102"/>
        <v/>
      </c>
      <c r="AA288">
        <f t="shared" si="103"/>
        <v>0</v>
      </c>
      <c r="AB288" t="str">
        <f>IFERROR(V144+MATCH(AA288,V288:Z288,0)-1,"")</f>
        <v/>
      </c>
      <c r="AC288" t="str">
        <f t="shared" si="104"/>
        <v/>
      </c>
      <c r="AE288" t="str">
        <f>IF(ISNUMBER(MATCH("N/A",J288:N288,0)),"",IFERROR((5 * SUMPRODUCT(J144:N144,J288:N288) - PRODUCT(SUM(J144:N144),SUM(J288:N288))) / ((5 * SUM((J144^2)+(K144^2)+(L144^2)+(M144^2)+(N144^2))) - SUM(J144:N144)^2),""))</f>
        <v/>
      </c>
      <c r="AF288" t="str">
        <f>IFERROR(CORREL(J144:N144,J288:N288),"")</f>
        <v/>
      </c>
      <c r="AZ288">
        <f t="shared" si="105"/>
        <v>0</v>
      </c>
      <c r="BA288" t="str">
        <f>IF(AZ288=1,IF(Q288="","",IF(Q288=N144,"Yes","No")),"")</f>
        <v/>
      </c>
      <c r="BB288" t="str">
        <f t="shared" si="106"/>
        <v/>
      </c>
      <c r="BC288" t="str">
        <f>IF(AZ288=1,IF(S288="","",IF(S288=N144,"Yes","No")),"")</f>
        <v/>
      </c>
      <c r="BD288" t="str">
        <f t="shared" si="107"/>
        <v/>
      </c>
      <c r="BE288" t="str">
        <f t="shared" si="108"/>
        <v/>
      </c>
      <c r="BF288" t="str">
        <f t="shared" si="109"/>
        <v>No</v>
      </c>
      <c r="BG288" t="str">
        <f t="shared" si="110"/>
        <v>No</v>
      </c>
      <c r="BH288" t="str">
        <f t="shared" si="111"/>
        <v/>
      </c>
    </row>
    <row r="289" spans="9:60" x14ac:dyDescent="0.3">
      <c r="I289" t="str">
        <f t="shared" si="88"/>
        <v>N/A</v>
      </c>
      <c r="J289" t="str">
        <f t="shared" si="89"/>
        <v>N/A</v>
      </c>
      <c r="K289" t="str">
        <f t="shared" si="90"/>
        <v>N/A</v>
      </c>
      <c r="L289" t="str">
        <f t="shared" si="91"/>
        <v>N/A</v>
      </c>
      <c r="M289" t="str">
        <f t="shared" si="92"/>
        <v>N/A</v>
      </c>
      <c r="N289" t="str">
        <f t="shared" si="93"/>
        <v>N/A</v>
      </c>
      <c r="P289">
        <f t="shared" si="94"/>
        <v>0</v>
      </c>
      <c r="Q289" t="str">
        <f>IFERROR(J144+MATCH(P289,J289:N289,0)-1,"")</f>
        <v/>
      </c>
      <c r="R289" t="str">
        <f t="shared" si="95"/>
        <v/>
      </c>
      <c r="S289" t="str">
        <f>IFERROR(J144+MATCH(R289,J289:N289,0)-1,"")</f>
        <v/>
      </c>
      <c r="T289" t="str">
        <f t="shared" si="96"/>
        <v/>
      </c>
      <c r="U289" t="str">
        <f t="shared" si="97"/>
        <v/>
      </c>
      <c r="V289" t="str">
        <f t="shared" si="98"/>
        <v/>
      </c>
      <c r="W289" t="str">
        <f t="shared" si="99"/>
        <v/>
      </c>
      <c r="X289" t="str">
        <f t="shared" si="100"/>
        <v/>
      </c>
      <c r="Y289" t="str">
        <f t="shared" si="101"/>
        <v/>
      </c>
      <c r="Z289" t="str">
        <f t="shared" si="102"/>
        <v/>
      </c>
      <c r="AA289">
        <f t="shared" si="103"/>
        <v>0</v>
      </c>
      <c r="AB289" t="str">
        <f>IFERROR(V144+MATCH(AA289,V289:Z289,0)-1,"")</f>
        <v/>
      </c>
      <c r="AC289" t="str">
        <f t="shared" si="104"/>
        <v/>
      </c>
      <c r="AE289" t="str">
        <f>IF(ISNUMBER(MATCH("N/A",J289:N289,0)),"",IFERROR((5 * SUMPRODUCT(J144:N144,J289:N289) - PRODUCT(SUM(J144:N144),SUM(J289:N289))) / ((5 * SUM((J144^2)+(K144^2)+(L144^2)+(M144^2)+(N144^2))) - SUM(J144:N144)^2),""))</f>
        <v/>
      </c>
      <c r="AF289" t="str">
        <f>IFERROR(CORREL(J144:N144,J289:N289),"")</f>
        <v/>
      </c>
      <c r="AZ289">
        <f t="shared" si="105"/>
        <v>0</v>
      </c>
      <c r="BA289" t="str">
        <f>IF(AZ289=1,IF(Q289="","",IF(Q289=N144,"Yes","No")),"")</f>
        <v/>
      </c>
      <c r="BB289" t="str">
        <f t="shared" si="106"/>
        <v/>
      </c>
      <c r="BC289" t="str">
        <f>IF(AZ289=1,IF(S289="","",IF(S289=N144,"Yes","No")),"")</f>
        <v/>
      </c>
      <c r="BD289" t="str">
        <f t="shared" si="107"/>
        <v/>
      </c>
      <c r="BE289" t="str">
        <f t="shared" si="108"/>
        <v/>
      </c>
      <c r="BF289" t="str">
        <f t="shared" si="109"/>
        <v>No</v>
      </c>
      <c r="BG289" t="str">
        <f t="shared" si="110"/>
        <v>No</v>
      </c>
      <c r="BH289" t="str">
        <f t="shared" si="111"/>
        <v/>
      </c>
    </row>
    <row r="290" spans="9:60" x14ac:dyDescent="0.3">
      <c r="I290" t="str">
        <f t="shared" si="88"/>
        <v>N/A</v>
      </c>
      <c r="J290" t="str">
        <f t="shared" si="89"/>
        <v>N/A</v>
      </c>
      <c r="K290" t="str">
        <f t="shared" si="90"/>
        <v>N/A</v>
      </c>
      <c r="L290" t="str">
        <f t="shared" si="91"/>
        <v>N/A</v>
      </c>
      <c r="M290" t="str">
        <f t="shared" si="92"/>
        <v>N/A</v>
      </c>
      <c r="N290" t="str">
        <f t="shared" si="93"/>
        <v>N/A</v>
      </c>
      <c r="P290">
        <f t="shared" si="94"/>
        <v>0</v>
      </c>
      <c r="Q290" t="str">
        <f>IFERROR(J144+MATCH(P290,J290:N290,0)-1,"")</f>
        <v/>
      </c>
      <c r="R290" t="str">
        <f t="shared" si="95"/>
        <v/>
      </c>
      <c r="S290" t="str">
        <f>IFERROR(J144+MATCH(R290,J290:N290,0)-1,"")</f>
        <v/>
      </c>
      <c r="T290" t="str">
        <f t="shared" si="96"/>
        <v/>
      </c>
      <c r="U290" t="str">
        <f t="shared" si="97"/>
        <v/>
      </c>
      <c r="V290" t="str">
        <f t="shared" si="98"/>
        <v/>
      </c>
      <c r="W290" t="str">
        <f t="shared" si="99"/>
        <v/>
      </c>
      <c r="X290" t="str">
        <f t="shared" si="100"/>
        <v/>
      </c>
      <c r="Y290" t="str">
        <f t="shared" si="101"/>
        <v/>
      </c>
      <c r="Z290" t="str">
        <f t="shared" si="102"/>
        <v/>
      </c>
      <c r="AA290">
        <f t="shared" si="103"/>
        <v>0</v>
      </c>
      <c r="AB290" t="str">
        <f>IFERROR(V144+MATCH(AA290,V290:Z290,0)-1,"")</f>
        <v/>
      </c>
      <c r="AC290" t="str">
        <f t="shared" si="104"/>
        <v/>
      </c>
      <c r="AE290" t="str">
        <f>IF(ISNUMBER(MATCH("N/A",J290:N290,0)),"",IFERROR((5 * SUMPRODUCT(J144:N144,J290:N290) - PRODUCT(SUM(J144:N144),SUM(J290:N290))) / ((5 * SUM((J144^2)+(K144^2)+(L144^2)+(M144^2)+(N144^2))) - SUM(J144:N144)^2),""))</f>
        <v/>
      </c>
      <c r="AF290" t="str">
        <f>IFERROR(CORREL(J144:N144,J290:N290),"")</f>
        <v/>
      </c>
      <c r="AZ290">
        <f t="shared" si="105"/>
        <v>0</v>
      </c>
      <c r="BA290" t="str">
        <f>IF(AZ290=1,IF(Q290="","",IF(Q290=N144,"Yes","No")),"")</f>
        <v/>
      </c>
      <c r="BB290" t="str">
        <f t="shared" si="106"/>
        <v/>
      </c>
      <c r="BC290" t="str">
        <f>IF(AZ290=1,IF(S290="","",IF(S290=N144,"Yes","No")),"")</f>
        <v/>
      </c>
      <c r="BD290" t="str">
        <f t="shared" si="107"/>
        <v/>
      </c>
      <c r="BE290" t="str">
        <f t="shared" si="108"/>
        <v/>
      </c>
      <c r="BF290" t="str">
        <f t="shared" si="109"/>
        <v>No</v>
      </c>
      <c r="BG290" t="str">
        <f t="shared" si="110"/>
        <v>No</v>
      </c>
      <c r="BH290" t="str">
        <f t="shared" si="111"/>
        <v/>
      </c>
    </row>
    <row r="291" spans="9:60" x14ac:dyDescent="0.3">
      <c r="I291" t="str">
        <f t="shared" si="88"/>
        <v>N/A</v>
      </c>
      <c r="J291" t="str">
        <f t="shared" si="89"/>
        <v>N/A</v>
      </c>
      <c r="K291" t="str">
        <f t="shared" si="90"/>
        <v>N/A</v>
      </c>
      <c r="L291" t="str">
        <f t="shared" si="91"/>
        <v>N/A</v>
      </c>
      <c r="M291" t="str">
        <f t="shared" si="92"/>
        <v>N/A</v>
      </c>
      <c r="N291" t="str">
        <f t="shared" si="93"/>
        <v>N/A</v>
      </c>
      <c r="P291">
        <f t="shared" si="94"/>
        <v>0</v>
      </c>
      <c r="Q291" t="str">
        <f>IFERROR(J144+MATCH(P291,J291:N291,0)-1,"")</f>
        <v/>
      </c>
      <c r="R291" t="str">
        <f t="shared" si="95"/>
        <v/>
      </c>
      <c r="S291" t="str">
        <f>IFERROR(J144+MATCH(R291,J291:N291,0)-1,"")</f>
        <v/>
      </c>
      <c r="T291" t="str">
        <f t="shared" si="96"/>
        <v/>
      </c>
      <c r="U291" t="str">
        <f t="shared" si="97"/>
        <v/>
      </c>
      <c r="V291" t="str">
        <f t="shared" si="98"/>
        <v/>
      </c>
      <c r="W291" t="str">
        <f t="shared" si="99"/>
        <v/>
      </c>
      <c r="X291" t="str">
        <f t="shared" si="100"/>
        <v/>
      </c>
      <c r="Y291" t="str">
        <f t="shared" si="101"/>
        <v/>
      </c>
      <c r="Z291" t="str">
        <f t="shared" si="102"/>
        <v/>
      </c>
      <c r="AA291">
        <f t="shared" si="103"/>
        <v>0</v>
      </c>
      <c r="AB291" t="str">
        <f>IFERROR(V144+MATCH(AA291,V291:Z291,0)-1,"")</f>
        <v/>
      </c>
      <c r="AC291" t="str">
        <f t="shared" si="104"/>
        <v/>
      </c>
      <c r="AE291" t="str">
        <f>IF(ISNUMBER(MATCH("N/A",J291:N291,0)),"",IFERROR((5 * SUMPRODUCT(J144:N144,J291:N291) - PRODUCT(SUM(J144:N144),SUM(J291:N291))) / ((5 * SUM((J144^2)+(K144^2)+(L144^2)+(M144^2)+(N144^2))) - SUM(J144:N144)^2),""))</f>
        <v/>
      </c>
      <c r="AF291" t="str">
        <f>IFERROR(CORREL(J144:N144,J291:N291),"")</f>
        <v/>
      </c>
      <c r="AZ291">
        <f t="shared" si="105"/>
        <v>0</v>
      </c>
      <c r="BA291" t="str">
        <f>IF(AZ291=1,IF(Q291="","",IF(Q291=N144,"Yes","No")),"")</f>
        <v/>
      </c>
      <c r="BB291" t="str">
        <f t="shared" si="106"/>
        <v/>
      </c>
      <c r="BC291" t="str">
        <f>IF(AZ291=1,IF(S291="","",IF(S291=N144,"Yes","No")),"")</f>
        <v/>
      </c>
      <c r="BD291" t="str">
        <f t="shared" si="107"/>
        <v/>
      </c>
      <c r="BE291" t="str">
        <f t="shared" si="108"/>
        <v/>
      </c>
      <c r="BF291" t="str">
        <f t="shared" si="109"/>
        <v>No</v>
      </c>
      <c r="BG291" t="str">
        <f t="shared" si="110"/>
        <v>No</v>
      </c>
      <c r="BH291" t="str">
        <f t="shared" si="111"/>
        <v/>
      </c>
    </row>
    <row r="292" spans="9:60" x14ac:dyDescent="0.3">
      <c r="I292" t="str">
        <f t="shared" si="88"/>
        <v>N/A</v>
      </c>
      <c r="J292" t="str">
        <f t="shared" si="89"/>
        <v>N/A</v>
      </c>
      <c r="K292" t="str">
        <f t="shared" si="90"/>
        <v>N/A</v>
      </c>
      <c r="L292" t="str">
        <f t="shared" si="91"/>
        <v>N/A</v>
      </c>
      <c r="M292" t="str">
        <f t="shared" si="92"/>
        <v>N/A</v>
      </c>
      <c r="N292" t="str">
        <f t="shared" si="93"/>
        <v>N/A</v>
      </c>
      <c r="P292">
        <f t="shared" si="94"/>
        <v>0</v>
      </c>
      <c r="Q292" t="str">
        <f>IFERROR(J144+MATCH(P292,J292:N292,0)-1,"")</f>
        <v/>
      </c>
      <c r="R292" t="str">
        <f t="shared" si="95"/>
        <v/>
      </c>
      <c r="S292" t="str">
        <f>IFERROR(J144+MATCH(R292,J292:N292,0)-1,"")</f>
        <v/>
      </c>
      <c r="T292" t="str">
        <f t="shared" si="96"/>
        <v/>
      </c>
      <c r="U292" t="str">
        <f t="shared" si="97"/>
        <v/>
      </c>
      <c r="V292" t="str">
        <f t="shared" si="98"/>
        <v/>
      </c>
      <c r="W292" t="str">
        <f t="shared" si="99"/>
        <v/>
      </c>
      <c r="X292" t="str">
        <f t="shared" si="100"/>
        <v/>
      </c>
      <c r="Y292" t="str">
        <f t="shared" si="101"/>
        <v/>
      </c>
      <c r="Z292" t="str">
        <f t="shared" si="102"/>
        <v/>
      </c>
      <c r="AA292">
        <f t="shared" si="103"/>
        <v>0</v>
      </c>
      <c r="AB292" t="str">
        <f>IFERROR(V144+MATCH(AA292,V292:Z292,0)-1,"")</f>
        <v/>
      </c>
      <c r="AC292" t="str">
        <f t="shared" si="104"/>
        <v/>
      </c>
      <c r="AE292" t="str">
        <f>IF(ISNUMBER(MATCH("N/A",J292:N292,0)),"",IFERROR((5 * SUMPRODUCT(J144:N144,J292:N292) - PRODUCT(SUM(J144:N144),SUM(J292:N292))) / ((5 * SUM((J144^2)+(K144^2)+(L144^2)+(M144^2)+(N144^2))) - SUM(J144:N144)^2),""))</f>
        <v/>
      </c>
      <c r="AF292" t="str">
        <f>IFERROR(CORREL(J144:N144,J292:N292),"")</f>
        <v/>
      </c>
      <c r="AZ292">
        <f t="shared" si="105"/>
        <v>0</v>
      </c>
      <c r="BA292" t="str">
        <f>IF(AZ292=1,IF(Q292="","",IF(Q292=N144,"Yes","No")),"")</f>
        <v/>
      </c>
      <c r="BB292" t="str">
        <f t="shared" si="106"/>
        <v/>
      </c>
      <c r="BC292" t="str">
        <f>IF(AZ292=1,IF(S292="","",IF(S292=N144,"Yes","No")),"")</f>
        <v/>
      </c>
      <c r="BD292" t="str">
        <f t="shared" si="107"/>
        <v/>
      </c>
      <c r="BE292" t="str">
        <f t="shared" si="108"/>
        <v/>
      </c>
      <c r="BF292" t="str">
        <f t="shared" si="109"/>
        <v>No</v>
      </c>
      <c r="BG292" t="str">
        <f t="shared" si="110"/>
        <v>No</v>
      </c>
      <c r="BH292" t="str">
        <f t="shared" si="111"/>
        <v/>
      </c>
    </row>
    <row r="293" spans="9:60" x14ac:dyDescent="0.3">
      <c r="I293" t="str">
        <f t="shared" si="88"/>
        <v>N/A</v>
      </c>
      <c r="J293" t="str">
        <f t="shared" si="89"/>
        <v>N/A</v>
      </c>
      <c r="K293" t="str">
        <f t="shared" si="90"/>
        <v>N/A</v>
      </c>
      <c r="L293" t="str">
        <f t="shared" si="91"/>
        <v>N/A</v>
      </c>
      <c r="M293" t="str">
        <f t="shared" si="92"/>
        <v>N/A</v>
      </c>
      <c r="N293" t="str">
        <f t="shared" si="93"/>
        <v>N/A</v>
      </c>
      <c r="P293">
        <f t="shared" si="94"/>
        <v>0</v>
      </c>
      <c r="Q293" t="str">
        <f>IFERROR(J144+MATCH(P293,J293:N293,0)-1,"")</f>
        <v/>
      </c>
      <c r="R293" t="str">
        <f t="shared" si="95"/>
        <v/>
      </c>
      <c r="S293" t="str">
        <f>IFERROR(J144+MATCH(R293,J293:N293,0)-1,"")</f>
        <v/>
      </c>
      <c r="T293" t="str">
        <f t="shared" si="96"/>
        <v/>
      </c>
      <c r="U293" t="str">
        <f t="shared" si="97"/>
        <v/>
      </c>
      <c r="V293" t="str">
        <f t="shared" si="98"/>
        <v/>
      </c>
      <c r="W293" t="str">
        <f t="shared" si="99"/>
        <v/>
      </c>
      <c r="X293" t="str">
        <f t="shared" si="100"/>
        <v/>
      </c>
      <c r="Y293" t="str">
        <f t="shared" si="101"/>
        <v/>
      </c>
      <c r="Z293" t="str">
        <f t="shared" si="102"/>
        <v/>
      </c>
      <c r="AA293">
        <f t="shared" si="103"/>
        <v>0</v>
      </c>
      <c r="AB293" t="str">
        <f>IFERROR(V144+MATCH(AA293,V293:Z293,0)-1,"")</f>
        <v/>
      </c>
      <c r="AC293" t="str">
        <f t="shared" si="104"/>
        <v/>
      </c>
      <c r="AE293" t="str">
        <f>IF(ISNUMBER(MATCH("N/A",J293:N293,0)),"",IFERROR((5 * SUMPRODUCT(J144:N144,J293:N293) - PRODUCT(SUM(J144:N144),SUM(J293:N293))) / ((5 * SUM((J144^2)+(K144^2)+(L144^2)+(M144^2)+(N144^2))) - SUM(J144:N144)^2),""))</f>
        <v/>
      </c>
      <c r="AF293" t="str">
        <f>IFERROR(CORREL(J144:N144,J293:N293),"")</f>
        <v/>
      </c>
      <c r="AZ293">
        <f t="shared" si="105"/>
        <v>0</v>
      </c>
      <c r="BA293" t="str">
        <f>IF(AZ293=1,IF(Q293="","",IF(Q293=N144,"Yes","No")),"")</f>
        <v/>
      </c>
      <c r="BB293" t="str">
        <f t="shared" si="106"/>
        <v/>
      </c>
      <c r="BC293" t="str">
        <f>IF(AZ293=1,IF(S293="","",IF(S293=N144,"Yes","No")),"")</f>
        <v/>
      </c>
      <c r="BD293" t="str">
        <f t="shared" si="107"/>
        <v/>
      </c>
      <c r="BE293" t="str">
        <f t="shared" si="108"/>
        <v/>
      </c>
      <c r="BF293" t="str">
        <f t="shared" si="109"/>
        <v>No</v>
      </c>
      <c r="BG293" t="str">
        <f t="shared" si="110"/>
        <v>No</v>
      </c>
      <c r="BH293" t="str">
        <f t="shared" si="111"/>
        <v/>
      </c>
    </row>
    <row r="294" spans="9:60" x14ac:dyDescent="0.3">
      <c r="I294" t="str">
        <f t="shared" si="88"/>
        <v>N/A</v>
      </c>
      <c r="J294" t="str">
        <f t="shared" si="89"/>
        <v>N/A</v>
      </c>
      <c r="K294" t="str">
        <f t="shared" si="90"/>
        <v>N/A</v>
      </c>
      <c r="L294" t="str">
        <f t="shared" si="91"/>
        <v>N/A</v>
      </c>
      <c r="M294" t="str">
        <f t="shared" si="92"/>
        <v>N/A</v>
      </c>
      <c r="N294" t="str">
        <f t="shared" si="93"/>
        <v>N/A</v>
      </c>
      <c r="P294">
        <f t="shared" si="94"/>
        <v>0</v>
      </c>
      <c r="Q294" t="str">
        <f>IFERROR(J144+MATCH(P294,J294:N294,0)-1,"")</f>
        <v/>
      </c>
      <c r="R294" t="str">
        <f t="shared" si="95"/>
        <v/>
      </c>
      <c r="S294" t="str">
        <f>IFERROR(J144+MATCH(R294,J294:N294,0)-1,"")</f>
        <v/>
      </c>
      <c r="T294" t="str">
        <f t="shared" si="96"/>
        <v/>
      </c>
      <c r="U294" t="str">
        <f t="shared" si="97"/>
        <v/>
      </c>
      <c r="V294" t="str">
        <f t="shared" si="98"/>
        <v/>
      </c>
      <c r="W294" t="str">
        <f t="shared" si="99"/>
        <v/>
      </c>
      <c r="X294" t="str">
        <f t="shared" si="100"/>
        <v/>
      </c>
      <c r="Y294" t="str">
        <f t="shared" si="101"/>
        <v/>
      </c>
      <c r="Z294" t="str">
        <f t="shared" si="102"/>
        <v/>
      </c>
      <c r="AA294">
        <f t="shared" si="103"/>
        <v>0</v>
      </c>
      <c r="AB294" t="str">
        <f>IFERROR(V144+MATCH(AA294,V294:Z294,0)-1,"")</f>
        <v/>
      </c>
      <c r="AC294" t="str">
        <f t="shared" si="104"/>
        <v/>
      </c>
      <c r="AE294" t="str">
        <f>IF(ISNUMBER(MATCH("N/A",J294:N294,0)),"",IFERROR((5 * SUMPRODUCT(J144:N144,J294:N294) - PRODUCT(SUM(J144:N144),SUM(J294:N294))) / ((5 * SUM((J144^2)+(K144^2)+(L144^2)+(M144^2)+(N144^2))) - SUM(J144:N144)^2),""))</f>
        <v/>
      </c>
      <c r="AF294" t="str">
        <f>IFERROR(CORREL(J144:N144,J294:N294),"")</f>
        <v/>
      </c>
      <c r="AZ294">
        <f t="shared" si="105"/>
        <v>0</v>
      </c>
      <c r="BA294" t="str">
        <f>IF(AZ294=1,IF(Q294="","",IF(Q294=N144,"Yes","No")),"")</f>
        <v/>
      </c>
      <c r="BB294" t="str">
        <f t="shared" si="106"/>
        <v/>
      </c>
      <c r="BC294" t="str">
        <f>IF(AZ294=1,IF(S294="","",IF(S294=N144,"Yes","No")),"")</f>
        <v/>
      </c>
      <c r="BD294" t="str">
        <f t="shared" si="107"/>
        <v/>
      </c>
      <c r="BE294" t="str">
        <f t="shared" si="108"/>
        <v/>
      </c>
      <c r="BF294" t="str">
        <f t="shared" si="109"/>
        <v>No</v>
      </c>
      <c r="BG294" t="str">
        <f t="shared" si="110"/>
        <v>No</v>
      </c>
      <c r="BH294" t="str">
        <f t="shared" si="111"/>
        <v/>
      </c>
    </row>
    <row r="295" spans="9:60" x14ac:dyDescent="0.3">
      <c r="I295" t="str">
        <f t="shared" si="88"/>
        <v>N/A</v>
      </c>
      <c r="J295" t="str">
        <f t="shared" si="89"/>
        <v>N/A</v>
      </c>
      <c r="K295" t="str">
        <f t="shared" si="90"/>
        <v>N/A</v>
      </c>
      <c r="L295" t="str">
        <f t="shared" si="91"/>
        <v>N/A</v>
      </c>
      <c r="M295" t="str">
        <f t="shared" si="92"/>
        <v>N/A</v>
      </c>
      <c r="N295" t="str">
        <f t="shared" si="93"/>
        <v>N/A</v>
      </c>
      <c r="P295">
        <f t="shared" si="94"/>
        <v>0</v>
      </c>
      <c r="Q295" t="str">
        <f>IFERROR(J144+MATCH(P295,J295:N295,0)-1,"")</f>
        <v/>
      </c>
      <c r="R295" t="str">
        <f t="shared" si="95"/>
        <v/>
      </c>
      <c r="S295" t="str">
        <f>IFERROR(J144+MATCH(R295,J295:N295,0)-1,"")</f>
        <v/>
      </c>
      <c r="T295" t="str">
        <f t="shared" si="96"/>
        <v/>
      </c>
      <c r="U295" t="str">
        <f t="shared" si="97"/>
        <v/>
      </c>
      <c r="V295" t="str">
        <f t="shared" si="98"/>
        <v/>
      </c>
      <c r="W295" t="str">
        <f t="shared" si="99"/>
        <v/>
      </c>
      <c r="X295" t="str">
        <f t="shared" si="100"/>
        <v/>
      </c>
      <c r="Y295" t="str">
        <f t="shared" si="101"/>
        <v/>
      </c>
      <c r="Z295" t="str">
        <f t="shared" si="102"/>
        <v/>
      </c>
      <c r="AA295">
        <f t="shared" si="103"/>
        <v>0</v>
      </c>
      <c r="AB295" t="str">
        <f>IFERROR(V144+MATCH(AA295,V295:Z295,0)-1,"")</f>
        <v/>
      </c>
      <c r="AC295" t="str">
        <f t="shared" si="104"/>
        <v/>
      </c>
      <c r="AE295" t="str">
        <f>IF(ISNUMBER(MATCH("N/A",J295:N295,0)),"",IFERROR((5 * SUMPRODUCT(J144:N144,J295:N295) - PRODUCT(SUM(J144:N144),SUM(J295:N295))) / ((5 * SUM((J144^2)+(K144^2)+(L144^2)+(M144^2)+(N144^2))) - SUM(J144:N144)^2),""))</f>
        <v/>
      </c>
      <c r="AF295" t="str">
        <f>IFERROR(CORREL(J144:N144,J295:N295),"")</f>
        <v/>
      </c>
      <c r="AZ295">
        <f t="shared" si="105"/>
        <v>0</v>
      </c>
      <c r="BA295" t="str">
        <f>IF(AZ295=1,IF(Q295="","",IF(Q295=N144,"Yes","No")),"")</f>
        <v/>
      </c>
      <c r="BB295" t="str">
        <f t="shared" si="106"/>
        <v/>
      </c>
      <c r="BC295" t="str">
        <f>IF(AZ295=1,IF(S295="","",IF(S295=N144,"Yes","No")),"")</f>
        <v/>
      </c>
      <c r="BD295" t="str">
        <f t="shared" si="107"/>
        <v/>
      </c>
      <c r="BE295" t="str">
        <f t="shared" si="108"/>
        <v/>
      </c>
      <c r="BF295" t="str">
        <f t="shared" si="109"/>
        <v>No</v>
      </c>
      <c r="BG295" t="str">
        <f t="shared" si="110"/>
        <v>No</v>
      </c>
      <c r="BH295" t="str">
        <f t="shared" si="111"/>
        <v/>
      </c>
    </row>
    <row r="296" spans="9:60" x14ac:dyDescent="0.3">
      <c r="I296" t="str">
        <f t="shared" si="88"/>
        <v>N/A</v>
      </c>
      <c r="J296" t="str">
        <f t="shared" si="89"/>
        <v>N/A</v>
      </c>
      <c r="K296" t="str">
        <f t="shared" si="90"/>
        <v>N/A</v>
      </c>
      <c r="L296" t="str">
        <f t="shared" si="91"/>
        <v>N/A</v>
      </c>
      <c r="M296" t="str">
        <f t="shared" si="92"/>
        <v>N/A</v>
      </c>
      <c r="N296" t="str">
        <f t="shared" si="93"/>
        <v>N/A</v>
      </c>
      <c r="P296">
        <f t="shared" si="94"/>
        <v>0</v>
      </c>
      <c r="Q296" t="str">
        <f>IFERROR(J144+MATCH(P296,J296:N296,0)-1,"")</f>
        <v/>
      </c>
      <c r="R296" t="str">
        <f t="shared" si="95"/>
        <v/>
      </c>
      <c r="S296" t="str">
        <f>IFERROR(J144+MATCH(R296,J296:N296,0)-1,"")</f>
        <v/>
      </c>
      <c r="T296" t="str">
        <f t="shared" si="96"/>
        <v/>
      </c>
      <c r="U296" t="str">
        <f t="shared" si="97"/>
        <v/>
      </c>
      <c r="V296" t="str">
        <f t="shared" si="98"/>
        <v/>
      </c>
      <c r="W296" t="str">
        <f t="shared" si="99"/>
        <v/>
      </c>
      <c r="X296" t="str">
        <f t="shared" si="100"/>
        <v/>
      </c>
      <c r="Y296" t="str">
        <f t="shared" si="101"/>
        <v/>
      </c>
      <c r="Z296" t="str">
        <f t="shared" si="102"/>
        <v/>
      </c>
      <c r="AA296">
        <f t="shared" si="103"/>
        <v>0</v>
      </c>
      <c r="AB296" t="str">
        <f>IFERROR(V144+MATCH(AA296,V296:Z296,0)-1,"")</f>
        <v/>
      </c>
      <c r="AC296" t="str">
        <f t="shared" si="104"/>
        <v/>
      </c>
      <c r="AE296" t="str">
        <f>IF(ISNUMBER(MATCH("N/A",J296:N296,0)),"",IFERROR((5 * SUMPRODUCT(J144:N144,J296:N296) - PRODUCT(SUM(J144:N144),SUM(J296:N296))) / ((5 * SUM((J144^2)+(K144^2)+(L144^2)+(M144^2)+(N144^2))) - SUM(J144:N144)^2),""))</f>
        <v/>
      </c>
      <c r="AF296" t="str">
        <f>IFERROR(CORREL(J144:N144,J296:N296),"")</f>
        <v/>
      </c>
      <c r="AZ296">
        <f t="shared" si="105"/>
        <v>0</v>
      </c>
      <c r="BA296" t="str">
        <f>IF(AZ296=1,IF(Q296="","",IF(Q296=N144,"Yes","No")),"")</f>
        <v/>
      </c>
      <c r="BB296" t="str">
        <f t="shared" si="106"/>
        <v/>
      </c>
      <c r="BC296" t="str">
        <f>IF(AZ296=1,IF(S296="","",IF(S296=N144,"Yes","No")),"")</f>
        <v/>
      </c>
      <c r="BD296" t="str">
        <f t="shared" si="107"/>
        <v/>
      </c>
      <c r="BE296" t="str">
        <f t="shared" si="108"/>
        <v/>
      </c>
      <c r="BF296" t="str">
        <f t="shared" si="109"/>
        <v>No</v>
      </c>
      <c r="BG296" t="str">
        <f t="shared" si="110"/>
        <v>No</v>
      </c>
      <c r="BH296" t="str">
        <f t="shared" si="111"/>
        <v/>
      </c>
    </row>
    <row r="297" spans="9:60" x14ac:dyDescent="0.3">
      <c r="I297" t="str">
        <f t="shared" si="88"/>
        <v>N/A</v>
      </c>
      <c r="J297" t="str">
        <f t="shared" si="89"/>
        <v>N/A</v>
      </c>
      <c r="K297" t="str">
        <f t="shared" si="90"/>
        <v>N/A</v>
      </c>
      <c r="L297" t="str">
        <f t="shared" si="91"/>
        <v>N/A</v>
      </c>
      <c r="M297" t="str">
        <f t="shared" si="92"/>
        <v>N/A</v>
      </c>
      <c r="N297" t="str">
        <f t="shared" si="93"/>
        <v>N/A</v>
      </c>
      <c r="P297">
        <f t="shared" si="94"/>
        <v>0</v>
      </c>
      <c r="Q297" t="str">
        <f>IFERROR(J144+MATCH(P297,J297:N297,0)-1,"")</f>
        <v/>
      </c>
      <c r="R297" t="str">
        <f t="shared" si="95"/>
        <v/>
      </c>
      <c r="S297" t="str">
        <f>IFERROR(J144+MATCH(R297,J297:N297,0)-1,"")</f>
        <v/>
      </c>
      <c r="T297" t="str">
        <f t="shared" si="96"/>
        <v/>
      </c>
      <c r="U297" t="str">
        <f t="shared" si="97"/>
        <v/>
      </c>
      <c r="V297" t="str">
        <f t="shared" si="98"/>
        <v/>
      </c>
      <c r="W297" t="str">
        <f t="shared" si="99"/>
        <v/>
      </c>
      <c r="X297" t="str">
        <f t="shared" si="100"/>
        <v/>
      </c>
      <c r="Y297" t="str">
        <f t="shared" si="101"/>
        <v/>
      </c>
      <c r="Z297" t="str">
        <f t="shared" si="102"/>
        <v/>
      </c>
      <c r="AA297">
        <f t="shared" si="103"/>
        <v>0</v>
      </c>
      <c r="AB297" t="str">
        <f>IFERROR(V144+MATCH(AA297,V297:Z297,0)-1,"")</f>
        <v/>
      </c>
      <c r="AC297" t="str">
        <f t="shared" si="104"/>
        <v/>
      </c>
      <c r="AE297" t="str">
        <f>IF(ISNUMBER(MATCH("N/A",J297:N297,0)),"",IFERROR((5 * SUMPRODUCT(J144:N144,J297:N297) - PRODUCT(SUM(J144:N144),SUM(J297:N297))) / ((5 * SUM((J144^2)+(K144^2)+(L144^2)+(M144^2)+(N144^2))) - SUM(J144:N144)^2),""))</f>
        <v/>
      </c>
      <c r="AF297" t="str">
        <f>IFERROR(CORREL(J144:N144,J297:N297),"")</f>
        <v/>
      </c>
      <c r="AZ297">
        <f t="shared" si="105"/>
        <v>0</v>
      </c>
      <c r="BA297" t="str">
        <f>IF(AZ297=1,IF(Q297="","",IF(Q297=N144,"Yes","No")),"")</f>
        <v/>
      </c>
      <c r="BB297" t="str">
        <f t="shared" si="106"/>
        <v/>
      </c>
      <c r="BC297" t="str">
        <f>IF(AZ297=1,IF(S297="","",IF(S297=N144,"Yes","No")),"")</f>
        <v/>
      </c>
      <c r="BD297" t="str">
        <f t="shared" si="107"/>
        <v/>
      </c>
      <c r="BE297" t="str">
        <f t="shared" si="108"/>
        <v/>
      </c>
      <c r="BF297" t="str">
        <f t="shared" si="109"/>
        <v>No</v>
      </c>
      <c r="BG297" t="str">
        <f t="shared" si="110"/>
        <v>No</v>
      </c>
      <c r="BH297" t="str">
        <f t="shared" si="111"/>
        <v/>
      </c>
    </row>
    <row r="298" spans="9:60" x14ac:dyDescent="0.3">
      <c r="I298" t="str">
        <f t="shared" si="88"/>
        <v>N/A</v>
      </c>
      <c r="J298" t="str">
        <f t="shared" si="89"/>
        <v>N/A</v>
      </c>
      <c r="K298" t="str">
        <f t="shared" si="90"/>
        <v>N/A</v>
      </c>
      <c r="L298" t="str">
        <f t="shared" si="91"/>
        <v>N/A</v>
      </c>
      <c r="M298" t="str">
        <f t="shared" si="92"/>
        <v>N/A</v>
      </c>
      <c r="N298" t="str">
        <f t="shared" si="93"/>
        <v>N/A</v>
      </c>
      <c r="P298">
        <f t="shared" si="94"/>
        <v>0</v>
      </c>
      <c r="Q298" t="str">
        <f>IFERROR(J144+MATCH(P298,J298:N298,0)-1,"")</f>
        <v/>
      </c>
      <c r="R298" t="str">
        <f t="shared" si="95"/>
        <v/>
      </c>
      <c r="S298" t="str">
        <f>IFERROR(J144+MATCH(R298,J298:N298,0)-1,"")</f>
        <v/>
      </c>
      <c r="T298" t="str">
        <f t="shared" si="96"/>
        <v/>
      </c>
      <c r="U298" t="str">
        <f t="shared" si="97"/>
        <v/>
      </c>
      <c r="V298" t="str">
        <f t="shared" si="98"/>
        <v/>
      </c>
      <c r="W298" t="str">
        <f t="shared" si="99"/>
        <v/>
      </c>
      <c r="X298" t="str">
        <f t="shared" si="100"/>
        <v/>
      </c>
      <c r="Y298" t="str">
        <f t="shared" si="101"/>
        <v/>
      </c>
      <c r="Z298" t="str">
        <f t="shared" si="102"/>
        <v/>
      </c>
      <c r="AA298">
        <f t="shared" si="103"/>
        <v>0</v>
      </c>
      <c r="AB298" t="str">
        <f>IFERROR(V144+MATCH(AA298,V298:Z298,0)-1,"")</f>
        <v/>
      </c>
      <c r="AC298" t="str">
        <f t="shared" si="104"/>
        <v/>
      </c>
      <c r="AE298" t="str">
        <f>IF(ISNUMBER(MATCH("N/A",J298:N298,0)),"",IFERROR((5 * SUMPRODUCT(J144:N144,J298:N298) - PRODUCT(SUM(J144:N144),SUM(J298:N298))) / ((5 * SUM((J144^2)+(K144^2)+(L144^2)+(M144^2)+(N144^2))) - SUM(J144:N144)^2),""))</f>
        <v/>
      </c>
      <c r="AF298" t="str">
        <f>IFERROR(CORREL(J144:N144,J298:N298),"")</f>
        <v/>
      </c>
      <c r="AZ298">
        <f t="shared" si="105"/>
        <v>0</v>
      </c>
      <c r="BA298" t="str">
        <f>IF(AZ298=1,IF(Q298="","",IF(Q298=N144,"Yes","No")),"")</f>
        <v/>
      </c>
      <c r="BB298" t="str">
        <f t="shared" si="106"/>
        <v/>
      </c>
      <c r="BC298" t="str">
        <f>IF(AZ298=1,IF(S298="","",IF(S298=N144,"Yes","No")),"")</f>
        <v/>
      </c>
      <c r="BD298" t="str">
        <f t="shared" si="107"/>
        <v/>
      </c>
      <c r="BE298" t="str">
        <f t="shared" si="108"/>
        <v/>
      </c>
      <c r="BF298" t="str">
        <f t="shared" si="109"/>
        <v>No</v>
      </c>
      <c r="BG298" t="str">
        <f t="shared" si="110"/>
        <v>No</v>
      </c>
      <c r="BH298" t="str">
        <f t="shared" si="111"/>
        <v/>
      </c>
    </row>
    <row r="299" spans="9:60" x14ac:dyDescent="0.3">
      <c r="I299" t="str">
        <f t="shared" si="88"/>
        <v>N/A</v>
      </c>
      <c r="J299" t="str">
        <f t="shared" si="89"/>
        <v>N/A</v>
      </c>
      <c r="K299" t="str">
        <f t="shared" si="90"/>
        <v>N/A</v>
      </c>
      <c r="L299" t="str">
        <f t="shared" si="91"/>
        <v>N/A</v>
      </c>
      <c r="M299" t="str">
        <f t="shared" si="92"/>
        <v>N/A</v>
      </c>
      <c r="N299" t="str">
        <f t="shared" si="93"/>
        <v>N/A</v>
      </c>
      <c r="P299">
        <f t="shared" si="94"/>
        <v>0</v>
      </c>
      <c r="Q299" t="str">
        <f>IFERROR(J144+MATCH(P299,J299:N299,0)-1,"")</f>
        <v/>
      </c>
      <c r="R299" t="str">
        <f t="shared" si="95"/>
        <v/>
      </c>
      <c r="S299" t="str">
        <f>IFERROR(J144+MATCH(R299,J299:N299,0)-1,"")</f>
        <v/>
      </c>
      <c r="T299" t="str">
        <f t="shared" si="96"/>
        <v/>
      </c>
      <c r="U299" t="str">
        <f t="shared" si="97"/>
        <v/>
      </c>
      <c r="V299" t="str">
        <f t="shared" si="98"/>
        <v/>
      </c>
      <c r="W299" t="str">
        <f t="shared" si="99"/>
        <v/>
      </c>
      <c r="X299" t="str">
        <f t="shared" si="100"/>
        <v/>
      </c>
      <c r="Y299" t="str">
        <f t="shared" si="101"/>
        <v/>
      </c>
      <c r="Z299" t="str">
        <f t="shared" si="102"/>
        <v/>
      </c>
      <c r="AA299">
        <f t="shared" si="103"/>
        <v>0</v>
      </c>
      <c r="AB299" t="str">
        <f>IFERROR(V144+MATCH(AA299,V299:Z299,0)-1,"")</f>
        <v/>
      </c>
      <c r="AC299" t="str">
        <f t="shared" si="104"/>
        <v/>
      </c>
      <c r="AE299" t="str">
        <f>IF(ISNUMBER(MATCH("N/A",J299:N299,0)),"",IFERROR((5 * SUMPRODUCT(J144:N144,J299:N299) - PRODUCT(SUM(J144:N144),SUM(J299:N299))) / ((5 * SUM((J144^2)+(K144^2)+(L144^2)+(M144^2)+(N144^2))) - SUM(J144:N144)^2),""))</f>
        <v/>
      </c>
      <c r="AF299" t="str">
        <f>IFERROR(CORREL(J144:N144,J299:N299),"")</f>
        <v/>
      </c>
      <c r="AZ299">
        <f t="shared" si="105"/>
        <v>0</v>
      </c>
      <c r="BA299" t="str">
        <f>IF(AZ299=1,IF(Q299="","",IF(Q299=N144,"Yes","No")),"")</f>
        <v/>
      </c>
      <c r="BB299" t="str">
        <f t="shared" si="106"/>
        <v/>
      </c>
      <c r="BC299" t="str">
        <f>IF(AZ299=1,IF(S299="","",IF(S299=N144,"Yes","No")),"")</f>
        <v/>
      </c>
      <c r="BD299" t="str">
        <f t="shared" si="107"/>
        <v/>
      </c>
      <c r="BE299" t="str">
        <f t="shared" si="108"/>
        <v/>
      </c>
      <c r="BF299" t="str">
        <f t="shared" si="109"/>
        <v>No</v>
      </c>
      <c r="BG299" t="str">
        <f t="shared" si="110"/>
        <v>No</v>
      </c>
      <c r="BH299" t="str">
        <f t="shared" si="111"/>
        <v/>
      </c>
    </row>
    <row r="300" spans="9:60" x14ac:dyDescent="0.3">
      <c r="I300" t="str">
        <f t="shared" si="88"/>
        <v>N/A</v>
      </c>
      <c r="J300" t="str">
        <f t="shared" si="89"/>
        <v>N/A</v>
      </c>
      <c r="K300" t="str">
        <f t="shared" si="90"/>
        <v>N/A</v>
      </c>
      <c r="L300" t="str">
        <f t="shared" si="91"/>
        <v>N/A</v>
      </c>
      <c r="M300" t="str">
        <f t="shared" si="92"/>
        <v>N/A</v>
      </c>
      <c r="N300" t="str">
        <f t="shared" si="93"/>
        <v>N/A</v>
      </c>
      <c r="P300">
        <f t="shared" si="94"/>
        <v>0</v>
      </c>
      <c r="Q300" t="str">
        <f>IFERROR(J144+MATCH(P300,J300:N300,0)-1,"")</f>
        <v/>
      </c>
      <c r="R300" t="str">
        <f t="shared" si="95"/>
        <v/>
      </c>
      <c r="S300" t="str">
        <f>IFERROR(J144+MATCH(R300,J300:N300,0)-1,"")</f>
        <v/>
      </c>
      <c r="T300" t="str">
        <f t="shared" si="96"/>
        <v/>
      </c>
      <c r="U300" t="str">
        <f t="shared" si="97"/>
        <v/>
      </c>
      <c r="V300" t="str">
        <f t="shared" si="98"/>
        <v/>
      </c>
      <c r="W300" t="str">
        <f t="shared" si="99"/>
        <v/>
      </c>
      <c r="X300" t="str">
        <f t="shared" si="100"/>
        <v/>
      </c>
      <c r="Y300" t="str">
        <f t="shared" si="101"/>
        <v/>
      </c>
      <c r="Z300" t="str">
        <f t="shared" si="102"/>
        <v/>
      </c>
      <c r="AA300">
        <f t="shared" si="103"/>
        <v>0</v>
      </c>
      <c r="AB300" t="str">
        <f>IFERROR(V144+MATCH(AA300,V300:Z300,0)-1,"")</f>
        <v/>
      </c>
      <c r="AC300" t="str">
        <f t="shared" si="104"/>
        <v/>
      </c>
      <c r="AE300" t="str">
        <f>IF(ISNUMBER(MATCH("N/A",J300:N300,0)),"",IFERROR((5 * SUMPRODUCT(J144:N144,J300:N300) - PRODUCT(SUM(J144:N144),SUM(J300:N300))) / ((5 * SUM((J144^2)+(K144^2)+(L144^2)+(M144^2)+(N144^2))) - SUM(J144:N144)^2),""))</f>
        <v/>
      </c>
      <c r="AF300" t="str">
        <f>IFERROR(CORREL(J144:N144,J300:N300),"")</f>
        <v/>
      </c>
      <c r="AZ300">
        <f t="shared" si="105"/>
        <v>0</v>
      </c>
      <c r="BA300" t="str">
        <f>IF(AZ300=1,IF(Q300="","",IF(Q300=N144,"Yes","No")),"")</f>
        <v/>
      </c>
      <c r="BB300" t="str">
        <f t="shared" si="106"/>
        <v/>
      </c>
      <c r="BC300" t="str">
        <f>IF(AZ300=1,IF(S300="","",IF(S300=N144,"Yes","No")),"")</f>
        <v/>
      </c>
      <c r="BD300" t="str">
        <f t="shared" si="107"/>
        <v/>
      </c>
      <c r="BE300" t="str">
        <f t="shared" si="108"/>
        <v/>
      </c>
      <c r="BF300" t="str">
        <f t="shared" si="109"/>
        <v>No</v>
      </c>
      <c r="BG300" t="str">
        <f t="shared" si="110"/>
        <v>No</v>
      </c>
      <c r="BH300" t="str">
        <f t="shared" si="111"/>
        <v/>
      </c>
    </row>
    <row r="301" spans="9:60" x14ac:dyDescent="0.3">
      <c r="I301" t="str">
        <f t="shared" si="88"/>
        <v>N/A</v>
      </c>
      <c r="J301" t="str">
        <f t="shared" si="89"/>
        <v>N/A</v>
      </c>
      <c r="K301" t="str">
        <f t="shared" si="90"/>
        <v>N/A</v>
      </c>
      <c r="L301" t="str">
        <f t="shared" si="91"/>
        <v>N/A</v>
      </c>
      <c r="M301" t="str">
        <f t="shared" si="92"/>
        <v>N/A</v>
      </c>
      <c r="N301" t="str">
        <f t="shared" si="93"/>
        <v>N/A</v>
      </c>
      <c r="P301">
        <f t="shared" si="94"/>
        <v>0</v>
      </c>
      <c r="Q301" t="str">
        <f>IFERROR(J144+MATCH(P301,J301:N301,0)-1,"")</f>
        <v/>
      </c>
      <c r="R301" t="str">
        <f t="shared" si="95"/>
        <v/>
      </c>
      <c r="S301" t="str">
        <f>IFERROR(J144+MATCH(R301,J301:N301,0)-1,"")</f>
        <v/>
      </c>
      <c r="T301" t="str">
        <f t="shared" si="96"/>
        <v/>
      </c>
      <c r="U301" t="str">
        <f t="shared" si="97"/>
        <v/>
      </c>
      <c r="V301" t="str">
        <f t="shared" si="98"/>
        <v/>
      </c>
      <c r="W301" t="str">
        <f t="shared" si="99"/>
        <v/>
      </c>
      <c r="X301" t="str">
        <f t="shared" si="100"/>
        <v/>
      </c>
      <c r="Y301" t="str">
        <f t="shared" si="101"/>
        <v/>
      </c>
      <c r="Z301" t="str">
        <f t="shared" si="102"/>
        <v/>
      </c>
      <c r="AA301">
        <f t="shared" si="103"/>
        <v>0</v>
      </c>
      <c r="AB301" t="str">
        <f>IFERROR(V144+MATCH(AA301,V301:Z301,0)-1,"")</f>
        <v/>
      </c>
      <c r="AC301" t="str">
        <f t="shared" si="104"/>
        <v/>
      </c>
      <c r="AE301" t="str">
        <f>IF(ISNUMBER(MATCH("N/A",J301:N301,0)),"",IFERROR((5 * SUMPRODUCT(J144:N144,J301:N301) - PRODUCT(SUM(J144:N144),SUM(J301:N301))) / ((5 * SUM((J144^2)+(K144^2)+(L144^2)+(M144^2)+(N144^2))) - SUM(J144:N144)^2),""))</f>
        <v/>
      </c>
      <c r="AF301" t="str">
        <f>IFERROR(CORREL(J144:N144,J301:N301),"")</f>
        <v/>
      </c>
      <c r="AZ301">
        <f t="shared" si="105"/>
        <v>0</v>
      </c>
      <c r="BA301" t="str">
        <f>IF(AZ301=1,IF(Q301="","",IF(Q301=N144,"Yes","No")),"")</f>
        <v/>
      </c>
      <c r="BB301" t="str">
        <f t="shared" si="106"/>
        <v/>
      </c>
      <c r="BC301" t="str">
        <f>IF(AZ301=1,IF(S301="","",IF(S301=N144,"Yes","No")),"")</f>
        <v/>
      </c>
      <c r="BD301" t="str">
        <f t="shared" si="107"/>
        <v/>
      </c>
      <c r="BE301" t="str">
        <f t="shared" si="108"/>
        <v/>
      </c>
      <c r="BF301" t="str">
        <f t="shared" si="109"/>
        <v>No</v>
      </c>
      <c r="BG301" t="str">
        <f t="shared" si="110"/>
        <v>No</v>
      </c>
      <c r="BH301" t="str">
        <f t="shared" si="111"/>
        <v/>
      </c>
    </row>
    <row r="302" spans="9:60" x14ac:dyDescent="0.3">
      <c r="I302" t="str">
        <f t="shared" si="88"/>
        <v>N/A</v>
      </c>
      <c r="J302" t="str">
        <f t="shared" si="89"/>
        <v>N/A</v>
      </c>
      <c r="K302" t="str">
        <f t="shared" si="90"/>
        <v>N/A</v>
      </c>
      <c r="L302" t="str">
        <f t="shared" si="91"/>
        <v>N/A</v>
      </c>
      <c r="M302" t="str">
        <f t="shared" si="92"/>
        <v>N/A</v>
      </c>
      <c r="N302" t="str">
        <f t="shared" si="93"/>
        <v>N/A</v>
      </c>
      <c r="P302">
        <f t="shared" si="94"/>
        <v>0</v>
      </c>
      <c r="Q302" t="str">
        <f>IFERROR(J144+MATCH(P302,J302:N302,0)-1,"")</f>
        <v/>
      </c>
      <c r="R302" t="str">
        <f t="shared" si="95"/>
        <v/>
      </c>
      <c r="S302" t="str">
        <f>IFERROR(J144+MATCH(R302,J302:N302,0)-1,"")</f>
        <v/>
      </c>
      <c r="T302" t="str">
        <f t="shared" si="96"/>
        <v/>
      </c>
      <c r="U302" t="str">
        <f t="shared" si="97"/>
        <v/>
      </c>
      <c r="V302" t="str">
        <f t="shared" si="98"/>
        <v/>
      </c>
      <c r="W302" t="str">
        <f t="shared" si="99"/>
        <v/>
      </c>
      <c r="X302" t="str">
        <f t="shared" si="100"/>
        <v/>
      </c>
      <c r="Y302" t="str">
        <f t="shared" si="101"/>
        <v/>
      </c>
      <c r="Z302" t="str">
        <f t="shared" si="102"/>
        <v/>
      </c>
      <c r="AA302">
        <f t="shared" si="103"/>
        <v>0</v>
      </c>
      <c r="AB302" t="str">
        <f>IFERROR(V144+MATCH(AA302,V302:Z302,0)-1,"")</f>
        <v/>
      </c>
      <c r="AC302" t="str">
        <f t="shared" si="104"/>
        <v/>
      </c>
      <c r="AE302" t="str">
        <f>IF(ISNUMBER(MATCH("N/A",J302:N302,0)),"",IFERROR((5 * SUMPRODUCT(J144:N144,J302:N302) - PRODUCT(SUM(J144:N144),SUM(J302:N302))) / ((5 * SUM((J144^2)+(K144^2)+(L144^2)+(M144^2)+(N144^2))) - SUM(J144:N144)^2),""))</f>
        <v/>
      </c>
      <c r="AF302" t="str">
        <f>IFERROR(CORREL(J144:N144,J302:N302),"")</f>
        <v/>
      </c>
      <c r="AZ302">
        <f t="shared" si="105"/>
        <v>0</v>
      </c>
      <c r="BA302" t="str">
        <f>IF(AZ302=1,IF(Q302="","",IF(Q302=N144,"Yes","No")),"")</f>
        <v/>
      </c>
      <c r="BB302" t="str">
        <f t="shared" si="106"/>
        <v/>
      </c>
      <c r="BC302" t="str">
        <f>IF(AZ302=1,IF(S302="","",IF(S302=N144,"Yes","No")),"")</f>
        <v/>
      </c>
      <c r="BD302" t="str">
        <f t="shared" si="107"/>
        <v/>
      </c>
      <c r="BE302" t="str">
        <f t="shared" si="108"/>
        <v/>
      </c>
      <c r="BF302" t="str">
        <f t="shared" si="109"/>
        <v>No</v>
      </c>
      <c r="BG302" t="str">
        <f t="shared" si="110"/>
        <v>No</v>
      </c>
      <c r="BH302" t="str">
        <f t="shared" si="111"/>
        <v/>
      </c>
    </row>
    <row r="303" spans="9:60" x14ac:dyDescent="0.3">
      <c r="I303" t="str">
        <f t="shared" si="88"/>
        <v>N/A</v>
      </c>
      <c r="J303" t="str">
        <f t="shared" si="89"/>
        <v>N/A</v>
      </c>
      <c r="K303" t="str">
        <f t="shared" si="90"/>
        <v>N/A</v>
      </c>
      <c r="L303" t="str">
        <f t="shared" si="91"/>
        <v>N/A</v>
      </c>
      <c r="M303" t="str">
        <f t="shared" si="92"/>
        <v>N/A</v>
      </c>
      <c r="N303" t="str">
        <f t="shared" si="93"/>
        <v>N/A</v>
      </c>
      <c r="P303">
        <f t="shared" si="94"/>
        <v>0</v>
      </c>
      <c r="Q303" t="str">
        <f>IFERROR(J144+MATCH(P303,J303:N303,0)-1,"")</f>
        <v/>
      </c>
      <c r="R303" t="str">
        <f t="shared" si="95"/>
        <v/>
      </c>
      <c r="S303" t="str">
        <f>IFERROR(J144+MATCH(R303,J303:N303,0)-1,"")</f>
        <v/>
      </c>
      <c r="T303" t="str">
        <f t="shared" si="96"/>
        <v/>
      </c>
      <c r="U303" t="str">
        <f t="shared" si="97"/>
        <v/>
      </c>
      <c r="V303" t="str">
        <f t="shared" si="98"/>
        <v/>
      </c>
      <c r="W303" t="str">
        <f t="shared" si="99"/>
        <v/>
      </c>
      <c r="X303" t="str">
        <f t="shared" si="100"/>
        <v/>
      </c>
      <c r="Y303" t="str">
        <f t="shared" si="101"/>
        <v/>
      </c>
      <c r="Z303" t="str">
        <f t="shared" si="102"/>
        <v/>
      </c>
      <c r="AA303">
        <f t="shared" si="103"/>
        <v>0</v>
      </c>
      <c r="AB303" t="str">
        <f>IFERROR(V144+MATCH(AA303,V303:Z303,0)-1,"")</f>
        <v/>
      </c>
      <c r="AC303" t="str">
        <f t="shared" si="104"/>
        <v/>
      </c>
      <c r="AE303" t="str">
        <f>IF(ISNUMBER(MATCH("N/A",J303:N303,0)),"",IFERROR((5 * SUMPRODUCT(J144:N144,J303:N303) - PRODUCT(SUM(J144:N144),SUM(J303:N303))) / ((5 * SUM((J144^2)+(K144^2)+(L144^2)+(M144^2)+(N144^2))) - SUM(J144:N144)^2),""))</f>
        <v/>
      </c>
      <c r="AF303" t="str">
        <f>IFERROR(CORREL(J144:N144,J303:N303),"")</f>
        <v/>
      </c>
      <c r="AZ303">
        <f t="shared" si="105"/>
        <v>0</v>
      </c>
      <c r="BA303" t="str">
        <f>IF(AZ303=1,IF(Q303="","",IF(Q303=N144,"Yes","No")),"")</f>
        <v/>
      </c>
      <c r="BB303" t="str">
        <f t="shared" si="106"/>
        <v/>
      </c>
      <c r="BC303" t="str">
        <f>IF(AZ303=1,IF(S303="","",IF(S303=N144,"Yes","No")),"")</f>
        <v/>
      </c>
      <c r="BD303" t="str">
        <f t="shared" si="107"/>
        <v/>
      </c>
      <c r="BE303" t="str">
        <f t="shared" si="108"/>
        <v/>
      </c>
      <c r="BF303" t="str">
        <f t="shared" si="109"/>
        <v>No</v>
      </c>
      <c r="BG303" t="str">
        <f t="shared" si="110"/>
        <v>No</v>
      </c>
      <c r="BH303" t="str">
        <f t="shared" si="111"/>
        <v/>
      </c>
    </row>
    <row r="304" spans="9:60" x14ac:dyDescent="0.3">
      <c r="I304" t="str">
        <f t="shared" si="88"/>
        <v>N/A</v>
      </c>
      <c r="J304" t="str">
        <f t="shared" si="89"/>
        <v>N/A</v>
      </c>
      <c r="K304" t="str">
        <f t="shared" si="90"/>
        <v>N/A</v>
      </c>
      <c r="L304" t="str">
        <f t="shared" si="91"/>
        <v>N/A</v>
      </c>
      <c r="M304" t="str">
        <f t="shared" si="92"/>
        <v>N/A</v>
      </c>
      <c r="N304" t="str">
        <f t="shared" si="93"/>
        <v>N/A</v>
      </c>
      <c r="P304">
        <f t="shared" si="94"/>
        <v>0</v>
      </c>
      <c r="Q304" t="str">
        <f>IFERROR(J144+MATCH(P304,J304:N304,0)-1,"")</f>
        <v/>
      </c>
      <c r="R304" t="str">
        <f t="shared" si="95"/>
        <v/>
      </c>
      <c r="S304" t="str">
        <f>IFERROR(J144+MATCH(R304,J304:N304,0)-1,"")</f>
        <v/>
      </c>
      <c r="T304" t="str">
        <f t="shared" si="96"/>
        <v/>
      </c>
      <c r="U304" t="str">
        <f t="shared" si="97"/>
        <v/>
      </c>
      <c r="V304" t="str">
        <f t="shared" si="98"/>
        <v/>
      </c>
      <c r="W304" t="str">
        <f t="shared" si="99"/>
        <v/>
      </c>
      <c r="X304" t="str">
        <f t="shared" si="100"/>
        <v/>
      </c>
      <c r="Y304" t="str">
        <f t="shared" si="101"/>
        <v/>
      </c>
      <c r="Z304" t="str">
        <f t="shared" si="102"/>
        <v/>
      </c>
      <c r="AA304">
        <f t="shared" si="103"/>
        <v>0</v>
      </c>
      <c r="AB304" t="str">
        <f>IFERROR(V144+MATCH(AA304,V304:Z304,0)-1,"")</f>
        <v/>
      </c>
      <c r="AC304" t="str">
        <f t="shared" si="104"/>
        <v/>
      </c>
      <c r="AE304" t="str">
        <f>IF(ISNUMBER(MATCH("N/A",J304:N304,0)),"",IFERROR((5 * SUMPRODUCT(J144:N144,J304:N304) - PRODUCT(SUM(J144:N144),SUM(J304:N304))) / ((5 * SUM((J144^2)+(K144^2)+(L144^2)+(M144^2)+(N144^2))) - SUM(J144:N144)^2),""))</f>
        <v/>
      </c>
      <c r="AF304" t="str">
        <f>IFERROR(CORREL(J144:N144,J304:N304),"")</f>
        <v/>
      </c>
      <c r="AZ304">
        <f t="shared" si="105"/>
        <v>0</v>
      </c>
      <c r="BA304" t="str">
        <f>IF(AZ304=1,IF(Q304="","",IF(Q304=N144,"Yes","No")),"")</f>
        <v/>
      </c>
      <c r="BB304" t="str">
        <f t="shared" si="106"/>
        <v/>
      </c>
      <c r="BC304" t="str">
        <f>IF(AZ304=1,IF(S304="","",IF(S304=N144,"Yes","No")),"")</f>
        <v/>
      </c>
      <c r="BD304" t="str">
        <f t="shared" si="107"/>
        <v/>
      </c>
      <c r="BE304" t="str">
        <f t="shared" si="108"/>
        <v/>
      </c>
      <c r="BF304" t="str">
        <f t="shared" si="109"/>
        <v>No</v>
      </c>
      <c r="BG304" t="str">
        <f t="shared" si="110"/>
        <v>No</v>
      </c>
      <c r="BH304" t="str">
        <f t="shared" si="111"/>
        <v/>
      </c>
    </row>
    <row r="305" spans="9:60" x14ac:dyDescent="0.3">
      <c r="I305" t="str">
        <f t="shared" si="88"/>
        <v>N/A</v>
      </c>
      <c r="J305" t="str">
        <f t="shared" si="89"/>
        <v>N/A</v>
      </c>
      <c r="K305" t="str">
        <f t="shared" si="90"/>
        <v>N/A</v>
      </c>
      <c r="L305" t="str">
        <f t="shared" si="91"/>
        <v>N/A</v>
      </c>
      <c r="M305" t="str">
        <f t="shared" si="92"/>
        <v>N/A</v>
      </c>
      <c r="N305" t="str">
        <f t="shared" si="93"/>
        <v>N/A</v>
      </c>
      <c r="P305">
        <f t="shared" si="94"/>
        <v>0</v>
      </c>
      <c r="Q305" t="str">
        <f>IFERROR(J144+MATCH(P305,J305:N305,0)-1,"")</f>
        <v/>
      </c>
      <c r="R305" t="str">
        <f t="shared" si="95"/>
        <v/>
      </c>
      <c r="S305" t="str">
        <f>IFERROR(J144+MATCH(R305,J305:N305,0)-1,"")</f>
        <v/>
      </c>
      <c r="T305" t="str">
        <f t="shared" si="96"/>
        <v/>
      </c>
      <c r="U305" t="str">
        <f t="shared" si="97"/>
        <v/>
      </c>
      <c r="V305" t="str">
        <f t="shared" si="98"/>
        <v/>
      </c>
      <c r="W305" t="str">
        <f t="shared" si="99"/>
        <v/>
      </c>
      <c r="X305" t="str">
        <f t="shared" si="100"/>
        <v/>
      </c>
      <c r="Y305" t="str">
        <f t="shared" si="101"/>
        <v/>
      </c>
      <c r="Z305" t="str">
        <f t="shared" si="102"/>
        <v/>
      </c>
      <c r="AA305">
        <f t="shared" si="103"/>
        <v>0</v>
      </c>
      <c r="AB305" t="str">
        <f>IFERROR(V144+MATCH(AA305,V305:Z305,0)-1,"")</f>
        <v/>
      </c>
      <c r="AC305" t="str">
        <f t="shared" si="104"/>
        <v/>
      </c>
      <c r="AE305" t="str">
        <f>IF(ISNUMBER(MATCH("N/A",J305:N305,0)),"",IFERROR((5 * SUMPRODUCT(J144:N144,J305:N305) - PRODUCT(SUM(J144:N144),SUM(J305:N305))) / ((5 * SUM((J144^2)+(K144^2)+(L144^2)+(M144^2)+(N144^2))) - SUM(J144:N144)^2),""))</f>
        <v/>
      </c>
      <c r="AF305" t="str">
        <f>IFERROR(CORREL(J144:N144,J305:N305),"")</f>
        <v/>
      </c>
      <c r="AZ305">
        <f t="shared" si="105"/>
        <v>0</v>
      </c>
      <c r="BA305" t="str">
        <f>IF(AZ305=1,IF(Q305="","",IF(Q305=N144,"Yes","No")),"")</f>
        <v/>
      </c>
      <c r="BB305" t="str">
        <f t="shared" si="106"/>
        <v/>
      </c>
      <c r="BC305" t="str">
        <f>IF(AZ305=1,IF(S305="","",IF(S305=N144,"Yes","No")),"")</f>
        <v/>
      </c>
      <c r="BD305" t="str">
        <f t="shared" si="107"/>
        <v/>
      </c>
      <c r="BE305" t="str">
        <f t="shared" si="108"/>
        <v/>
      </c>
      <c r="BF305" t="str">
        <f t="shared" si="109"/>
        <v>No</v>
      </c>
      <c r="BG305" t="str">
        <f t="shared" si="110"/>
        <v>No</v>
      </c>
      <c r="BH305" t="str">
        <f t="shared" si="111"/>
        <v/>
      </c>
    </row>
    <row r="306" spans="9:60" x14ac:dyDescent="0.3">
      <c r="I306" t="str">
        <f t="shared" si="88"/>
        <v>N/A</v>
      </c>
      <c r="J306" t="str">
        <f t="shared" si="89"/>
        <v>N/A</v>
      </c>
      <c r="K306" t="str">
        <f t="shared" si="90"/>
        <v>N/A</v>
      </c>
      <c r="L306" t="str">
        <f t="shared" si="91"/>
        <v>N/A</v>
      </c>
      <c r="M306" t="str">
        <f t="shared" si="92"/>
        <v>N/A</v>
      </c>
      <c r="N306" t="str">
        <f t="shared" si="93"/>
        <v>N/A</v>
      </c>
      <c r="P306">
        <f t="shared" si="94"/>
        <v>0</v>
      </c>
      <c r="Q306" t="str">
        <f>IFERROR(J144+MATCH(P306,J306:N306,0)-1,"")</f>
        <v/>
      </c>
      <c r="R306" t="str">
        <f t="shared" si="95"/>
        <v/>
      </c>
      <c r="S306" t="str">
        <f>IFERROR(J144+MATCH(R306,J306:N306,0)-1,"")</f>
        <v/>
      </c>
      <c r="T306" t="str">
        <f t="shared" si="96"/>
        <v/>
      </c>
      <c r="U306" t="str">
        <f t="shared" si="97"/>
        <v/>
      </c>
      <c r="V306" t="str">
        <f t="shared" si="98"/>
        <v/>
      </c>
      <c r="W306" t="str">
        <f t="shared" si="99"/>
        <v/>
      </c>
      <c r="X306" t="str">
        <f t="shared" si="100"/>
        <v/>
      </c>
      <c r="Y306" t="str">
        <f t="shared" si="101"/>
        <v/>
      </c>
      <c r="Z306" t="str">
        <f t="shared" si="102"/>
        <v/>
      </c>
      <c r="AA306">
        <f t="shared" si="103"/>
        <v>0</v>
      </c>
      <c r="AB306" t="str">
        <f>IFERROR(V144+MATCH(AA306,V306:Z306,0)-1,"")</f>
        <v/>
      </c>
      <c r="AC306" t="str">
        <f t="shared" si="104"/>
        <v/>
      </c>
      <c r="AE306" t="str">
        <f>IF(ISNUMBER(MATCH("N/A",J306:N306,0)),"",IFERROR((5 * SUMPRODUCT(J144:N144,J306:N306) - PRODUCT(SUM(J144:N144),SUM(J306:N306))) / ((5 * SUM((J144^2)+(K144^2)+(L144^2)+(M144^2)+(N144^2))) - SUM(J144:N144)^2),""))</f>
        <v/>
      </c>
      <c r="AF306" t="str">
        <f>IFERROR(CORREL(J144:N144,J306:N306),"")</f>
        <v/>
      </c>
      <c r="AZ306">
        <f t="shared" si="105"/>
        <v>0</v>
      </c>
      <c r="BA306" t="str">
        <f>IF(AZ306=1,IF(Q306="","",IF(Q306=N144,"Yes","No")),"")</f>
        <v/>
      </c>
      <c r="BB306" t="str">
        <f t="shared" si="106"/>
        <v/>
      </c>
      <c r="BC306" t="str">
        <f>IF(AZ306=1,IF(S306="","",IF(S306=N144,"Yes","No")),"")</f>
        <v/>
      </c>
      <c r="BD306" t="str">
        <f t="shared" si="107"/>
        <v/>
      </c>
      <c r="BE306" t="str">
        <f t="shared" si="108"/>
        <v/>
      </c>
      <c r="BF306" t="str">
        <f t="shared" si="109"/>
        <v>No</v>
      </c>
      <c r="BG306" t="str">
        <f t="shared" si="110"/>
        <v>No</v>
      </c>
      <c r="BH306" t="str">
        <f t="shared" si="111"/>
        <v/>
      </c>
    </row>
    <row r="307" spans="9:60" x14ac:dyDescent="0.3">
      <c r="I307" t="str">
        <f t="shared" si="88"/>
        <v>N/A</v>
      </c>
      <c r="J307" t="str">
        <f t="shared" si="89"/>
        <v>N/A</v>
      </c>
      <c r="K307" t="str">
        <f t="shared" si="90"/>
        <v>N/A</v>
      </c>
      <c r="L307" t="str">
        <f t="shared" si="91"/>
        <v>N/A</v>
      </c>
      <c r="M307" t="str">
        <f t="shared" si="92"/>
        <v>N/A</v>
      </c>
      <c r="N307" t="str">
        <f t="shared" si="93"/>
        <v>N/A</v>
      </c>
      <c r="P307">
        <f t="shared" si="94"/>
        <v>0</v>
      </c>
      <c r="Q307" t="str">
        <f>IFERROR(J144+MATCH(P307,J307:N307,0)-1,"")</f>
        <v/>
      </c>
      <c r="R307" t="str">
        <f t="shared" si="95"/>
        <v/>
      </c>
      <c r="S307" t="str">
        <f>IFERROR(J144+MATCH(R307,J307:N307,0)-1,"")</f>
        <v/>
      </c>
      <c r="T307" t="str">
        <f t="shared" si="96"/>
        <v/>
      </c>
      <c r="U307" t="str">
        <f t="shared" si="97"/>
        <v/>
      </c>
      <c r="V307" t="str">
        <f t="shared" si="98"/>
        <v/>
      </c>
      <c r="W307" t="str">
        <f t="shared" si="99"/>
        <v/>
      </c>
      <c r="X307" t="str">
        <f t="shared" si="100"/>
        <v/>
      </c>
      <c r="Y307" t="str">
        <f t="shared" si="101"/>
        <v/>
      </c>
      <c r="Z307" t="str">
        <f t="shared" si="102"/>
        <v/>
      </c>
      <c r="AA307">
        <f t="shared" si="103"/>
        <v>0</v>
      </c>
      <c r="AB307" t="str">
        <f>IFERROR(V144+MATCH(AA307,V307:Z307,0)-1,"")</f>
        <v/>
      </c>
      <c r="AC307" t="str">
        <f t="shared" si="104"/>
        <v/>
      </c>
      <c r="AE307" t="str">
        <f>IF(ISNUMBER(MATCH("N/A",J307:N307,0)),"",IFERROR((5 * SUMPRODUCT(J144:N144,J307:N307) - PRODUCT(SUM(J144:N144),SUM(J307:N307))) / ((5 * SUM((J144^2)+(K144^2)+(L144^2)+(M144^2)+(N144^2))) - SUM(J144:N144)^2),""))</f>
        <v/>
      </c>
      <c r="AF307" t="str">
        <f>IFERROR(CORREL(J144:N144,J307:N307),"")</f>
        <v/>
      </c>
      <c r="AZ307">
        <f t="shared" si="105"/>
        <v>0</v>
      </c>
      <c r="BA307" t="str">
        <f>IF(AZ307=1,IF(Q307="","",IF(Q307=N144,"Yes","No")),"")</f>
        <v/>
      </c>
      <c r="BB307" t="str">
        <f t="shared" si="106"/>
        <v/>
      </c>
      <c r="BC307" t="str">
        <f>IF(AZ307=1,IF(S307="","",IF(S307=N144,"Yes","No")),"")</f>
        <v/>
      </c>
      <c r="BD307" t="str">
        <f t="shared" si="107"/>
        <v/>
      </c>
      <c r="BE307" t="str">
        <f t="shared" si="108"/>
        <v/>
      </c>
      <c r="BF307" t="str">
        <f t="shared" si="109"/>
        <v>No</v>
      </c>
      <c r="BG307" t="str">
        <f t="shared" si="110"/>
        <v>No</v>
      </c>
      <c r="BH307" t="str">
        <f t="shared" si="111"/>
        <v/>
      </c>
    </row>
    <row r="308" spans="9:60" x14ac:dyDescent="0.3">
      <c r="I308" t="str">
        <f t="shared" si="88"/>
        <v>N/A</v>
      </c>
      <c r="J308" t="str">
        <f t="shared" si="89"/>
        <v>N/A</v>
      </c>
      <c r="K308" t="str">
        <f t="shared" si="90"/>
        <v>N/A</v>
      </c>
      <c r="L308" t="str">
        <f t="shared" si="91"/>
        <v>N/A</v>
      </c>
      <c r="M308" t="str">
        <f t="shared" si="92"/>
        <v>N/A</v>
      </c>
      <c r="N308" t="str">
        <f t="shared" si="93"/>
        <v>N/A</v>
      </c>
      <c r="P308">
        <f t="shared" si="94"/>
        <v>0</v>
      </c>
      <c r="Q308" t="str">
        <f>IFERROR(J144+MATCH(P308,J308:N308,0)-1,"")</f>
        <v/>
      </c>
      <c r="R308" t="str">
        <f t="shared" si="95"/>
        <v/>
      </c>
      <c r="S308" t="str">
        <f>IFERROR(J144+MATCH(R308,J308:N308,0)-1,"")</f>
        <v/>
      </c>
      <c r="T308" t="str">
        <f t="shared" si="96"/>
        <v/>
      </c>
      <c r="U308" t="str">
        <f t="shared" si="97"/>
        <v/>
      </c>
      <c r="V308" t="str">
        <f t="shared" si="98"/>
        <v/>
      </c>
      <c r="W308" t="str">
        <f t="shared" si="99"/>
        <v/>
      </c>
      <c r="X308" t="str">
        <f t="shared" si="100"/>
        <v/>
      </c>
      <c r="Y308" t="str">
        <f t="shared" si="101"/>
        <v/>
      </c>
      <c r="Z308" t="str">
        <f t="shared" si="102"/>
        <v/>
      </c>
      <c r="AA308">
        <f t="shared" si="103"/>
        <v>0</v>
      </c>
      <c r="AB308" t="str">
        <f>IFERROR(V144+MATCH(AA308,V308:Z308,0)-1,"")</f>
        <v/>
      </c>
      <c r="AC308" t="str">
        <f t="shared" si="104"/>
        <v/>
      </c>
      <c r="AE308" t="str">
        <f>IF(ISNUMBER(MATCH("N/A",J308:N308,0)),"",IFERROR((5 * SUMPRODUCT(J144:N144,J308:N308) - PRODUCT(SUM(J144:N144),SUM(J308:N308))) / ((5 * SUM((J144^2)+(K144^2)+(L144^2)+(M144^2)+(N144^2))) - SUM(J144:N144)^2),""))</f>
        <v/>
      </c>
      <c r="AF308" t="str">
        <f>IFERROR(CORREL(J144:N144,J308:N308),"")</f>
        <v/>
      </c>
      <c r="AZ308">
        <f t="shared" si="105"/>
        <v>0</v>
      </c>
      <c r="BA308" t="str">
        <f>IF(AZ308=1,IF(Q308="","",IF(Q308=N144,"Yes","No")),"")</f>
        <v/>
      </c>
      <c r="BB308" t="str">
        <f t="shared" si="106"/>
        <v/>
      </c>
      <c r="BC308" t="str">
        <f>IF(AZ308=1,IF(S308="","",IF(S308=N144,"Yes","No")),"")</f>
        <v/>
      </c>
      <c r="BD308" t="str">
        <f t="shared" si="107"/>
        <v/>
      </c>
      <c r="BE308" t="str">
        <f t="shared" si="108"/>
        <v/>
      </c>
      <c r="BF308" t="str">
        <f t="shared" si="109"/>
        <v>No</v>
      </c>
      <c r="BG308" t="str">
        <f t="shared" si="110"/>
        <v>No</v>
      </c>
      <c r="BH308" t="str">
        <f t="shared" si="111"/>
        <v/>
      </c>
    </row>
    <row r="309" spans="9:60" x14ac:dyDescent="0.3">
      <c r="I309" t="str">
        <f t="shared" si="88"/>
        <v>N/A</v>
      </c>
      <c r="J309" t="str">
        <f t="shared" si="89"/>
        <v>N/A</v>
      </c>
      <c r="K309" t="str">
        <f t="shared" si="90"/>
        <v>N/A</v>
      </c>
      <c r="L309" t="str">
        <f t="shared" si="91"/>
        <v>N/A</v>
      </c>
      <c r="M309" t="str">
        <f t="shared" si="92"/>
        <v>N/A</v>
      </c>
      <c r="N309" t="str">
        <f t="shared" si="93"/>
        <v>N/A</v>
      </c>
      <c r="P309">
        <f t="shared" si="94"/>
        <v>0</v>
      </c>
      <c r="Q309" t="str">
        <f>IFERROR(J144+MATCH(P309,J309:N309,0)-1,"")</f>
        <v/>
      </c>
      <c r="R309" t="str">
        <f t="shared" si="95"/>
        <v/>
      </c>
      <c r="S309" t="str">
        <f>IFERROR(J144+MATCH(R309,J309:N309,0)-1,"")</f>
        <v/>
      </c>
      <c r="T309" t="str">
        <f t="shared" si="96"/>
        <v/>
      </c>
      <c r="U309" t="str">
        <f t="shared" si="97"/>
        <v/>
      </c>
      <c r="V309" t="str">
        <f t="shared" si="98"/>
        <v/>
      </c>
      <c r="W309" t="str">
        <f t="shared" si="99"/>
        <v/>
      </c>
      <c r="X309" t="str">
        <f t="shared" si="100"/>
        <v/>
      </c>
      <c r="Y309" t="str">
        <f t="shared" si="101"/>
        <v/>
      </c>
      <c r="Z309" t="str">
        <f t="shared" si="102"/>
        <v/>
      </c>
      <c r="AA309">
        <f t="shared" si="103"/>
        <v>0</v>
      </c>
      <c r="AB309" t="str">
        <f>IFERROR(V144+MATCH(AA309,V309:Z309,0)-1,"")</f>
        <v/>
      </c>
      <c r="AC309" t="str">
        <f t="shared" si="104"/>
        <v/>
      </c>
      <c r="AE309" t="str">
        <f>IF(ISNUMBER(MATCH("N/A",J309:N309,0)),"",IFERROR((5 * SUMPRODUCT(J144:N144,J309:N309) - PRODUCT(SUM(J144:N144),SUM(J309:N309))) / ((5 * SUM((J144^2)+(K144^2)+(L144^2)+(M144^2)+(N144^2))) - SUM(J144:N144)^2),""))</f>
        <v/>
      </c>
      <c r="AF309" t="str">
        <f>IFERROR(CORREL(J144:N144,J309:N309),"")</f>
        <v/>
      </c>
      <c r="AZ309">
        <f t="shared" si="105"/>
        <v>0</v>
      </c>
      <c r="BA309" t="str">
        <f>IF(AZ309=1,IF(Q309="","",IF(Q309=N144,"Yes","No")),"")</f>
        <v/>
      </c>
      <c r="BB309" t="str">
        <f t="shared" si="106"/>
        <v/>
      </c>
      <c r="BC309" t="str">
        <f>IF(AZ309=1,IF(S309="","",IF(S309=N144,"Yes","No")),"")</f>
        <v/>
      </c>
      <c r="BD309" t="str">
        <f t="shared" si="107"/>
        <v/>
      </c>
      <c r="BE309" t="str">
        <f t="shared" si="108"/>
        <v/>
      </c>
      <c r="BF309" t="str">
        <f t="shared" si="109"/>
        <v>No</v>
      </c>
      <c r="BG309" t="str">
        <f t="shared" si="110"/>
        <v>No</v>
      </c>
      <c r="BH309" t="str">
        <f t="shared" si="111"/>
        <v/>
      </c>
    </row>
    <row r="310" spans="9:60" x14ac:dyDescent="0.3">
      <c r="I310" t="str">
        <f t="shared" si="88"/>
        <v>N/A</v>
      </c>
      <c r="J310" t="str">
        <f t="shared" si="89"/>
        <v>N/A</v>
      </c>
      <c r="K310" t="str">
        <f t="shared" si="90"/>
        <v>N/A</v>
      </c>
      <c r="L310" t="str">
        <f t="shared" si="91"/>
        <v>N/A</v>
      </c>
      <c r="M310" t="str">
        <f t="shared" si="92"/>
        <v>N/A</v>
      </c>
      <c r="N310" t="str">
        <f t="shared" si="93"/>
        <v>N/A</v>
      </c>
      <c r="P310">
        <f t="shared" si="94"/>
        <v>0</v>
      </c>
      <c r="Q310" t="str">
        <f>IFERROR(J144+MATCH(P310,J310:N310,0)-1,"")</f>
        <v/>
      </c>
      <c r="R310" t="str">
        <f t="shared" si="95"/>
        <v/>
      </c>
      <c r="S310" t="str">
        <f>IFERROR(J144+MATCH(R310,J310:N310,0)-1,"")</f>
        <v/>
      </c>
      <c r="T310" t="str">
        <f t="shared" si="96"/>
        <v/>
      </c>
      <c r="U310" t="str">
        <f t="shared" si="97"/>
        <v/>
      </c>
      <c r="V310" t="str">
        <f t="shared" si="98"/>
        <v/>
      </c>
      <c r="W310" t="str">
        <f t="shared" si="99"/>
        <v/>
      </c>
      <c r="X310" t="str">
        <f t="shared" si="100"/>
        <v/>
      </c>
      <c r="Y310" t="str">
        <f t="shared" si="101"/>
        <v/>
      </c>
      <c r="Z310" t="str">
        <f t="shared" si="102"/>
        <v/>
      </c>
      <c r="AA310">
        <f t="shared" si="103"/>
        <v>0</v>
      </c>
      <c r="AB310" t="str">
        <f>IFERROR(V144+MATCH(AA310,V310:Z310,0)-1,"")</f>
        <v/>
      </c>
      <c r="AC310" t="str">
        <f t="shared" si="104"/>
        <v/>
      </c>
      <c r="AE310" t="str">
        <f>IF(ISNUMBER(MATCH("N/A",J310:N310,0)),"",IFERROR((5 * SUMPRODUCT(J144:N144,J310:N310) - PRODUCT(SUM(J144:N144),SUM(J310:N310))) / ((5 * SUM((J144^2)+(K144^2)+(L144^2)+(M144^2)+(N144^2))) - SUM(J144:N144)^2),""))</f>
        <v/>
      </c>
      <c r="AF310" t="str">
        <f>IFERROR(CORREL(J144:N144,J310:N310),"")</f>
        <v/>
      </c>
      <c r="AZ310">
        <f t="shared" si="105"/>
        <v>0</v>
      </c>
      <c r="BA310" t="str">
        <f>IF(AZ310=1,IF(Q310="","",IF(Q310=N144,"Yes","No")),"")</f>
        <v/>
      </c>
      <c r="BB310" t="str">
        <f t="shared" si="106"/>
        <v/>
      </c>
      <c r="BC310" t="str">
        <f>IF(AZ310=1,IF(S310="","",IF(S310=N144,"Yes","No")),"")</f>
        <v/>
      </c>
      <c r="BD310" t="str">
        <f t="shared" si="107"/>
        <v/>
      </c>
      <c r="BE310" t="str">
        <f t="shared" si="108"/>
        <v/>
      </c>
      <c r="BF310" t="str">
        <f t="shared" si="109"/>
        <v>No</v>
      </c>
      <c r="BG310" t="str">
        <f t="shared" si="110"/>
        <v>No</v>
      </c>
      <c r="BH310" t="str">
        <f t="shared" si="111"/>
        <v/>
      </c>
    </row>
    <row r="311" spans="9:60" x14ac:dyDescent="0.3">
      <c r="P311">
        <f t="shared" si="94"/>
        <v>0</v>
      </c>
      <c r="Q311" t="str">
        <f>IFERROR(J144+MATCH(P311,J311:N311,0)-1,"")</f>
        <v/>
      </c>
      <c r="R311" t="str">
        <f t="shared" si="95"/>
        <v/>
      </c>
      <c r="S311" t="str">
        <f>IFERROR(J144+MATCH(R311,J311:N311,0)-1,"")</f>
        <v/>
      </c>
      <c r="T311" t="str">
        <f t="shared" si="96"/>
        <v/>
      </c>
      <c r="U311" t="str">
        <f t="shared" si="97"/>
        <v/>
      </c>
      <c r="V311" t="str">
        <f t="shared" si="98"/>
        <v/>
      </c>
      <c r="W311" t="str">
        <f t="shared" si="99"/>
        <v/>
      </c>
      <c r="X311" t="str">
        <f t="shared" si="100"/>
        <v/>
      </c>
      <c r="Y311" t="str">
        <f t="shared" si="101"/>
        <v/>
      </c>
      <c r="Z311" t="str">
        <f t="shared" si="102"/>
        <v/>
      </c>
      <c r="AA311">
        <f t="shared" si="103"/>
        <v>0</v>
      </c>
      <c r="AB311" t="str">
        <f>IFERROR(V144+MATCH(AA311,V311:Z311,0)-1,"")</f>
        <v/>
      </c>
      <c r="AC311" t="str">
        <f t="shared" si="104"/>
        <v/>
      </c>
      <c r="AE311" t="str">
        <f>IF(ISNUMBER(MATCH("N/A",J311:N311,0)),"",IFERROR((5 * SUMPRODUCT(J144:N144,J311:N311) - PRODUCT(SUM(J144:N144),SUM(J311:N311))) / ((5 * SUM((J144^2)+(K144^2)+(L144^2)+(M144^2)+(N144^2))) - SUM(J144:N144)^2),""))</f>
        <v/>
      </c>
      <c r="AF311" t="str">
        <f>IFERROR(CORREL(J144:N144,J311:N311),"")</f>
        <v/>
      </c>
      <c r="AZ311">
        <f t="shared" si="105"/>
        <v>0</v>
      </c>
      <c r="BA311" t="str">
        <f>IF(AZ311=1,IF(Q311="","",IF(Q311=N144,"Yes","No")),"")</f>
        <v/>
      </c>
      <c r="BB311" t="str">
        <f t="shared" si="106"/>
        <v/>
      </c>
      <c r="BC311" t="str">
        <f>IF(AZ311=1,IF(S311="","",IF(S311=N144,"Yes","No")),"")</f>
        <v/>
      </c>
      <c r="BD311" t="str">
        <f t="shared" si="107"/>
        <v/>
      </c>
      <c r="BE311" t="str">
        <f t="shared" si="108"/>
        <v/>
      </c>
      <c r="BF311" t="str">
        <f t="shared" si="109"/>
        <v>No</v>
      </c>
      <c r="BG311" t="str">
        <f t="shared" si="110"/>
        <v>No</v>
      </c>
      <c r="BH311" t="str">
        <f t="shared" si="111"/>
        <v/>
      </c>
    </row>
    <row r="312" spans="9:60" x14ac:dyDescent="0.3">
      <c r="I312" t="str">
        <f t="shared" ref="I312:I327" si="112">IF(AND(K312&gt; J312, L312&gt; K312, M312&gt; L312, N312&gt; M312), "pos_trend", IF(AND(K312&lt; J312, L312&lt; K312, M312&lt; L312, N312&lt; M312), "neg_trend", "N/A"))</f>
        <v>N/A</v>
      </c>
      <c r="J312" t="str">
        <f t="shared" ref="J312:J327" si="113">IFERROR(IF(TRIM(C312)="-", "N/A", IF(RIGHT(C312,1)=")",IF(RIGHT(C312,2)="T)",-1000000000000*VALUE(MID(C312,2,LEN(C312)-3)),IF(RIGHT(C312,2)="M)",-1000000*VALUE(MID(C312,2,LEN(C312)-3)),IF(RIGHT(C312,2)="B)",-1000000000*VALUE(MID(C312,2,LEN(C312)-3)),IF(RIGHT(C312,2)="k)",-1000*VALUE(MID(C312,2,LEN(C312)-3)),VALUE(SUBSTITUTE(C312,",","")))))),IF(RIGHT(C312,1)="T",1000000000000*VALUE(LEFT(C312,LEN(C312)-1)),IF(RIGHT(C312,1)="M",1000000*VALUE(LEFT(C312,LEN(C312)-1)),IF(RIGHT(C312,1)="B",1000000000*VALUE(LEFT(C312,LEN(C312)-1)),IF(RIGHT(C312,1)="%",0.01*VALUE(LEFT(C312,LEN(C312)-1)),IF(RIGHT(C312,1)="k",1000*VALUE(LEFT(C312,LEN(C312)-1)),VALUE(SUBSTITUTE(C312,",",""))))))))),"N/A")</f>
        <v>N/A</v>
      </c>
      <c r="K312" t="str">
        <f t="shared" ref="K312:K327" si="114">IFERROR(IF(TRIM(D312)="-", "N/A", IF(RIGHT(D312,1)=")",IF(RIGHT(D312,2)="T)",-1000000000000*VALUE(MID(D312,2,LEN(D312)-3)),IF(RIGHT(D312,2)="M)",-1000000*VALUE(MID(D312,2,LEN(D312)-3)),IF(RIGHT(D312,2)="B)",-1000000000*VALUE(MID(D312,2,LEN(D312)-3)),IF(RIGHT(D312,2)="k)",-1000*VALUE(MID(D312,2,LEN(D312)-3)),VALUE(SUBSTITUTE(D312,",","")))))),IF(RIGHT(D312,1)="T",1000000000000*VALUE(LEFT(D312,LEN(D312)-1)),IF(RIGHT(D312,1)="M",1000000*VALUE(LEFT(D312,LEN(D312)-1)),IF(RIGHT(D312,1)="B",1000000000*VALUE(LEFT(D312,LEN(D312)-1)),IF(RIGHT(D312,1)="%",0.01*VALUE(LEFT(D312,LEN(D312)-1)),IF(RIGHT(D312,1)="k",1000*VALUE(LEFT(D312,LEN(D312)-1)),VALUE(SUBSTITUTE(D312,",",""))))))))),"N/A")</f>
        <v>N/A</v>
      </c>
      <c r="L312" t="str">
        <f t="shared" ref="L312:L327" si="115">IFERROR(IF(TRIM(E312)="-", "N/A", IF(RIGHT(E312,1)=")",IF(RIGHT(E312,2)="T)",-1000000000000*VALUE(MID(E312,2,LEN(E312)-3)),IF(RIGHT(E312,2)="M)",-1000000*VALUE(MID(E312,2,LEN(E312)-3)),IF(RIGHT(E312,2)="B)",-1000000000*VALUE(MID(E312,2,LEN(E312)-3)),IF(RIGHT(E312,2)="k)",-1000*VALUE(MID(E312,2,LEN(E312)-3)),VALUE(SUBSTITUTE(E312,",","")))))),IF(RIGHT(E312,1)="T",1000000000000*VALUE(LEFT(E312,LEN(E312)-1)),IF(RIGHT(E312,1)="M",1000000*VALUE(LEFT(E312,LEN(E312)-1)),IF(RIGHT(E312,1)="B",1000000000*VALUE(LEFT(E312,LEN(E312)-1)),IF(RIGHT(E312,1)="%",0.01*VALUE(LEFT(E312,LEN(E312)-1)),IF(RIGHT(E312,1)="k",1000*VALUE(LEFT(E312,LEN(E312)-1)),VALUE(SUBSTITUTE(E312,",",""))))))))),"N/A")</f>
        <v>N/A</v>
      </c>
      <c r="M312" t="str">
        <f t="shared" ref="M312:M327" si="116">IFERROR(IF(TRIM(F312)="-", "N/A", IF(RIGHT(F312,1)=")",IF(RIGHT(F312,2)="T)",-1000000000000*VALUE(MID(F312,2,LEN(F312)-3)),IF(RIGHT(F312,2)="M)",-1000000*VALUE(MID(F312,2,LEN(F312)-3)),IF(RIGHT(F312,2)="B)",-1000000000*VALUE(MID(F312,2,LEN(F312)-3)),IF(RIGHT(F312,2)="k)",-1000*VALUE(MID(F312,2,LEN(F312)-3)),VALUE(SUBSTITUTE(F312,",","")))))),IF(RIGHT(F312,1)="T",1000000000000*VALUE(LEFT(F312,LEN(F312)-1)),IF(RIGHT(F312,1)="M",1000000*VALUE(LEFT(F312,LEN(F312)-1)),IF(RIGHT(F312,1)="B",1000000000*VALUE(LEFT(F312,LEN(F312)-1)),IF(RIGHT(F312,1)="%",0.01*VALUE(LEFT(F312,LEN(F312)-1)),IF(RIGHT(F312,1)="k",1000*VALUE(LEFT(F312,LEN(F312)-1)),VALUE(SUBSTITUTE(F312,",",""))))))))),"N/A")</f>
        <v>N/A</v>
      </c>
      <c r="N312" t="str">
        <f t="shared" ref="N312:N327" si="117">IFERROR(IF(TRIM(G312)="-", "N/A", IF(RIGHT(G312,1)=")",IF(RIGHT(G312,2)="T)",-1000000000000*VALUE(MID(G312,2,LEN(G312)-3)),IF(RIGHT(G312,2)="M)",-1000000*VALUE(MID(G312,2,LEN(G312)-3)),IF(RIGHT(G312,2)="B)",-1000000000*VALUE(MID(G312,2,LEN(G312)-3)),IF(RIGHT(G312,2)="k)",-1000*VALUE(MID(G312,2,LEN(G312)-3)),VALUE(SUBSTITUTE(G312,",","")))))),IF(RIGHT(G312,1)="T",1000000000000*VALUE(LEFT(G312,LEN(G312)-1)),IF(RIGHT(G312,1)="M",1000000*VALUE(LEFT(G312,LEN(G312)-1)),IF(RIGHT(G312,1)="B",1000000000*VALUE(LEFT(G312,LEN(G312)-1)),IF(RIGHT(G312,1)="%",0.01*VALUE(LEFT(G312,LEN(G312)-1)),IF(RIGHT(G312,1)="k",1000*VALUE(LEFT(G312,LEN(G312)-1)),VALUE(SUBSTITUTE(G312,",",""))))))))),"N/A")</f>
        <v>N/A</v>
      </c>
      <c r="P312">
        <f t="shared" si="94"/>
        <v>0</v>
      </c>
      <c r="Q312" t="str">
        <f>IFERROR(J144+MATCH(P312,J312:N312,0)-1,"")</f>
        <v/>
      </c>
      <c r="R312" t="str">
        <f t="shared" si="95"/>
        <v/>
      </c>
      <c r="S312" t="str">
        <f>IFERROR(J144+MATCH(R312,J312:N312,0)-1,"")</f>
        <v/>
      </c>
      <c r="T312" t="str">
        <f t="shared" si="96"/>
        <v/>
      </c>
      <c r="U312" t="str">
        <f t="shared" si="97"/>
        <v/>
      </c>
      <c r="V312" t="str">
        <f t="shared" si="98"/>
        <v/>
      </c>
      <c r="W312" t="str">
        <f t="shared" si="99"/>
        <v/>
      </c>
      <c r="X312" t="str">
        <f t="shared" si="100"/>
        <v/>
      </c>
      <c r="Y312" t="str">
        <f t="shared" si="101"/>
        <v/>
      </c>
      <c r="Z312" t="str">
        <f t="shared" si="102"/>
        <v/>
      </c>
      <c r="AA312">
        <f t="shared" si="103"/>
        <v>0</v>
      </c>
      <c r="AB312" t="str">
        <f>IFERROR(V144+MATCH(AA312,V312:Z312,0)-1,"")</f>
        <v/>
      </c>
      <c r="AC312" t="str">
        <f t="shared" si="104"/>
        <v/>
      </c>
      <c r="AE312" t="str">
        <f>IF(ISNUMBER(MATCH("N/A",J312:N312,0)),"",IFERROR((5 * SUMPRODUCT(J144:N144,J312:N312) - PRODUCT(SUM(J144:N144),SUM(J312:N312))) / ((5 * SUM((J144^2)+(K144^2)+(L144^2)+(M144^2)+(N144^2))) - SUM(J144:N144)^2),""))</f>
        <v/>
      </c>
      <c r="AF312" t="str">
        <f>IFERROR(CORREL(J144:N144,J312:N312),"")</f>
        <v/>
      </c>
      <c r="AZ312">
        <f t="shared" si="105"/>
        <v>0</v>
      </c>
      <c r="BA312" t="str">
        <f>IF(AZ312=1,IF(Q312="","",IF(Q312=N144,"Yes","No")),"")</f>
        <v/>
      </c>
      <c r="BB312" t="str">
        <f t="shared" si="106"/>
        <v/>
      </c>
      <c r="BC312" t="str">
        <f>IF(AZ312=1,IF(S312="","",IF(S312=N144,"Yes","No")),"")</f>
        <v/>
      </c>
      <c r="BD312" t="str">
        <f t="shared" si="107"/>
        <v/>
      </c>
      <c r="BE312" t="str">
        <f t="shared" si="108"/>
        <v/>
      </c>
      <c r="BF312" t="str">
        <f t="shared" si="109"/>
        <v>No</v>
      </c>
      <c r="BG312" t="str">
        <f t="shared" si="110"/>
        <v>No</v>
      </c>
      <c r="BH312" t="str">
        <f t="shared" si="111"/>
        <v/>
      </c>
    </row>
    <row r="313" spans="9:60" x14ac:dyDescent="0.3">
      <c r="I313" t="str">
        <f t="shared" si="112"/>
        <v>N/A</v>
      </c>
      <c r="J313" t="str">
        <f t="shared" si="113"/>
        <v>N/A</v>
      </c>
      <c r="K313" t="str">
        <f t="shared" si="114"/>
        <v>N/A</v>
      </c>
      <c r="L313" t="str">
        <f t="shared" si="115"/>
        <v>N/A</v>
      </c>
      <c r="M313" t="str">
        <f t="shared" si="116"/>
        <v>N/A</v>
      </c>
      <c r="N313" t="str">
        <f t="shared" si="117"/>
        <v>N/A</v>
      </c>
      <c r="P313">
        <f t="shared" si="94"/>
        <v>0</v>
      </c>
      <c r="Q313" t="str">
        <f>IFERROR(J144+MATCH(P313,J313:N313,0)-1,"")</f>
        <v/>
      </c>
      <c r="R313" t="str">
        <f t="shared" si="95"/>
        <v/>
      </c>
      <c r="S313" t="str">
        <f>IFERROR(J144+MATCH(R313,J313:N313,0)-1,"")</f>
        <v/>
      </c>
      <c r="T313" t="str">
        <f t="shared" si="96"/>
        <v/>
      </c>
      <c r="U313" t="str">
        <f t="shared" si="97"/>
        <v/>
      </c>
      <c r="V313" t="str">
        <f t="shared" si="98"/>
        <v/>
      </c>
      <c r="W313" t="str">
        <f t="shared" si="99"/>
        <v/>
      </c>
      <c r="X313" t="str">
        <f t="shared" si="100"/>
        <v/>
      </c>
      <c r="Y313" t="str">
        <f t="shared" si="101"/>
        <v/>
      </c>
      <c r="Z313" t="str">
        <f t="shared" si="102"/>
        <v/>
      </c>
      <c r="AA313">
        <f t="shared" si="103"/>
        <v>0</v>
      </c>
      <c r="AB313" t="str">
        <f>IFERROR(V144+MATCH(AA313,V313:Z313,0)-1,"")</f>
        <v/>
      </c>
      <c r="AC313" t="str">
        <f t="shared" si="104"/>
        <v/>
      </c>
      <c r="AE313" t="str">
        <f>IF(ISNUMBER(MATCH("N/A",J313:N313,0)),"",IFERROR((5 * SUMPRODUCT(J144:N144,J313:N313) - PRODUCT(SUM(J144:N144),SUM(J313:N313))) / ((5 * SUM((J144^2)+(K144^2)+(L144^2)+(M144^2)+(N144^2))) - SUM(J144:N144)^2),""))</f>
        <v/>
      </c>
      <c r="AF313" t="str">
        <f>IFERROR(CORREL(J144:N144,J313:N313),"")</f>
        <v/>
      </c>
      <c r="AZ313">
        <f t="shared" si="105"/>
        <v>0</v>
      </c>
      <c r="BA313" t="str">
        <f>IF(AZ313=1,IF(Q313="","",IF(Q313=N144,"Yes","No")),"")</f>
        <v/>
      </c>
      <c r="BB313" t="str">
        <f t="shared" si="106"/>
        <v/>
      </c>
      <c r="BC313" t="str">
        <f>IF(AZ313=1,IF(S313="","",IF(S313=N144,"Yes","No")),"")</f>
        <v/>
      </c>
      <c r="BD313" t="str">
        <f t="shared" si="107"/>
        <v/>
      </c>
      <c r="BE313" t="str">
        <f t="shared" si="108"/>
        <v/>
      </c>
      <c r="BF313" t="str">
        <f t="shared" si="109"/>
        <v>No</v>
      </c>
      <c r="BG313" t="str">
        <f t="shared" si="110"/>
        <v>No</v>
      </c>
      <c r="BH313" t="str">
        <f t="shared" si="111"/>
        <v/>
      </c>
    </row>
    <row r="314" spans="9:60" x14ac:dyDescent="0.3">
      <c r="I314" t="str">
        <f t="shared" si="112"/>
        <v>N/A</v>
      </c>
      <c r="J314" t="str">
        <f t="shared" si="113"/>
        <v>N/A</v>
      </c>
      <c r="K314" t="str">
        <f t="shared" si="114"/>
        <v>N/A</v>
      </c>
      <c r="L314" t="str">
        <f t="shared" si="115"/>
        <v>N/A</v>
      </c>
      <c r="M314" t="str">
        <f t="shared" si="116"/>
        <v>N/A</v>
      </c>
      <c r="N314" t="str">
        <f t="shared" si="117"/>
        <v>N/A</v>
      </c>
      <c r="P314">
        <f t="shared" si="94"/>
        <v>0</v>
      </c>
      <c r="Q314" t="str">
        <f>IFERROR(J144+MATCH(P314,J314:N314,0)-1,"")</f>
        <v/>
      </c>
      <c r="R314" t="str">
        <f t="shared" si="95"/>
        <v/>
      </c>
      <c r="S314" t="str">
        <f>IFERROR(J144+MATCH(R314,J314:N314,0)-1,"")</f>
        <v/>
      </c>
      <c r="T314" t="str">
        <f t="shared" si="96"/>
        <v/>
      </c>
      <c r="U314" t="str">
        <f t="shared" si="97"/>
        <v/>
      </c>
      <c r="V314" t="str">
        <f t="shared" si="98"/>
        <v/>
      </c>
      <c r="W314" t="str">
        <f t="shared" si="99"/>
        <v/>
      </c>
      <c r="X314" t="str">
        <f t="shared" si="100"/>
        <v/>
      </c>
      <c r="Y314" t="str">
        <f t="shared" si="101"/>
        <v/>
      </c>
      <c r="Z314" t="str">
        <f t="shared" si="102"/>
        <v/>
      </c>
      <c r="AA314">
        <f t="shared" si="103"/>
        <v>0</v>
      </c>
      <c r="AB314" t="str">
        <f>IFERROR(V144+MATCH(AA314,V314:Z314,0)-1,"")</f>
        <v/>
      </c>
      <c r="AC314" t="str">
        <f t="shared" si="104"/>
        <v/>
      </c>
      <c r="AE314" t="str">
        <f>IF(ISNUMBER(MATCH("N/A",J314:N314,0)),"",IFERROR((5 * SUMPRODUCT(J144:N144,J314:N314) - PRODUCT(SUM(J144:N144),SUM(J314:N314))) / ((5 * SUM((J144^2)+(K144^2)+(L144^2)+(M144^2)+(N144^2))) - SUM(J144:N144)^2),""))</f>
        <v/>
      </c>
      <c r="AF314" t="str">
        <f>IFERROR(CORREL(J144:N144,J314:N314),"")</f>
        <v/>
      </c>
      <c r="AZ314">
        <f t="shared" si="105"/>
        <v>0</v>
      </c>
      <c r="BA314" t="str">
        <f>IF(AZ314=1,IF(Q314="","",IF(Q314=N144,"Yes","No")),"")</f>
        <v/>
      </c>
      <c r="BB314" t="str">
        <f t="shared" si="106"/>
        <v/>
      </c>
      <c r="BC314" t="str">
        <f>IF(AZ314=1,IF(S314="","",IF(S314=N144,"Yes","No")),"")</f>
        <v/>
      </c>
      <c r="BD314" t="str">
        <f t="shared" si="107"/>
        <v/>
      </c>
      <c r="BE314" t="str">
        <f t="shared" si="108"/>
        <v/>
      </c>
      <c r="BF314" t="str">
        <f t="shared" si="109"/>
        <v>No</v>
      </c>
      <c r="BG314" t="str">
        <f t="shared" si="110"/>
        <v>No</v>
      </c>
      <c r="BH314" t="str">
        <f t="shared" si="111"/>
        <v/>
      </c>
    </row>
    <row r="315" spans="9:60" x14ac:dyDescent="0.3">
      <c r="I315" t="str">
        <f t="shared" si="112"/>
        <v>N/A</v>
      </c>
      <c r="J315" t="str">
        <f t="shared" si="113"/>
        <v>N/A</v>
      </c>
      <c r="K315" t="str">
        <f t="shared" si="114"/>
        <v>N/A</v>
      </c>
      <c r="L315" t="str">
        <f t="shared" si="115"/>
        <v>N/A</v>
      </c>
      <c r="M315" t="str">
        <f t="shared" si="116"/>
        <v>N/A</v>
      </c>
      <c r="N315" t="str">
        <f t="shared" si="117"/>
        <v>N/A</v>
      </c>
      <c r="P315">
        <f t="shared" si="94"/>
        <v>0</v>
      </c>
      <c r="Q315" t="str">
        <f>IFERROR(J144+MATCH(P315,J315:N315,0)-1,"")</f>
        <v/>
      </c>
      <c r="R315" t="str">
        <f t="shared" si="95"/>
        <v/>
      </c>
      <c r="S315" t="str">
        <f>IFERROR(J144+MATCH(R315,J315:N315,0)-1,"")</f>
        <v/>
      </c>
      <c r="T315" t="str">
        <f t="shared" si="96"/>
        <v/>
      </c>
      <c r="U315" t="str">
        <f t="shared" si="97"/>
        <v/>
      </c>
      <c r="V315" t="str">
        <f t="shared" si="98"/>
        <v/>
      </c>
      <c r="W315" t="str">
        <f t="shared" si="99"/>
        <v/>
      </c>
      <c r="X315" t="str">
        <f t="shared" si="100"/>
        <v/>
      </c>
      <c r="Y315" t="str">
        <f t="shared" si="101"/>
        <v/>
      </c>
      <c r="Z315" t="str">
        <f t="shared" si="102"/>
        <v/>
      </c>
      <c r="AA315">
        <f t="shared" si="103"/>
        <v>0</v>
      </c>
      <c r="AB315" t="str">
        <f>IFERROR(V144+MATCH(AA315,V315:Z315,0)-1,"")</f>
        <v/>
      </c>
      <c r="AC315" t="str">
        <f t="shared" si="104"/>
        <v/>
      </c>
      <c r="AE315" t="str">
        <f>IF(ISNUMBER(MATCH("N/A",J315:N315,0)),"",IFERROR((5 * SUMPRODUCT(J144:N144,J315:N315) - PRODUCT(SUM(J144:N144),SUM(J315:N315))) / ((5 * SUM((J144^2)+(K144^2)+(L144^2)+(M144^2)+(N144^2))) - SUM(J144:N144)^2),""))</f>
        <v/>
      </c>
      <c r="AF315" t="str">
        <f>IFERROR(CORREL(J144:N144,J315:N315),"")</f>
        <v/>
      </c>
      <c r="AZ315">
        <f t="shared" si="105"/>
        <v>0</v>
      </c>
      <c r="BA315" t="str">
        <f>IF(AZ315=1,IF(Q315="","",IF(Q315=N144,"Yes","No")),"")</f>
        <v/>
      </c>
      <c r="BB315" t="str">
        <f t="shared" si="106"/>
        <v/>
      </c>
      <c r="BC315" t="str">
        <f>IF(AZ315=1,IF(S315="","",IF(S315=N144,"Yes","No")),"")</f>
        <v/>
      </c>
      <c r="BD315" t="str">
        <f t="shared" si="107"/>
        <v/>
      </c>
      <c r="BE315" t="str">
        <f t="shared" si="108"/>
        <v/>
      </c>
      <c r="BF315" t="str">
        <f t="shared" si="109"/>
        <v>No</v>
      </c>
      <c r="BG315" t="str">
        <f t="shared" si="110"/>
        <v>No</v>
      </c>
      <c r="BH315" t="str">
        <f t="shared" si="111"/>
        <v/>
      </c>
    </row>
    <row r="316" spans="9:60" x14ac:dyDescent="0.3">
      <c r="I316" t="str">
        <f t="shared" si="112"/>
        <v>N/A</v>
      </c>
      <c r="J316" t="str">
        <f t="shared" si="113"/>
        <v>N/A</v>
      </c>
      <c r="K316" t="str">
        <f t="shared" si="114"/>
        <v>N/A</v>
      </c>
      <c r="L316" t="str">
        <f t="shared" si="115"/>
        <v>N/A</v>
      </c>
      <c r="M316" t="str">
        <f t="shared" si="116"/>
        <v>N/A</v>
      </c>
      <c r="N316" t="str">
        <f t="shared" si="117"/>
        <v>N/A</v>
      </c>
      <c r="P316">
        <f t="shared" si="94"/>
        <v>0</v>
      </c>
      <c r="Q316" t="str">
        <f>IFERROR(J144+MATCH(P316,J316:N316,0)-1,"")</f>
        <v/>
      </c>
      <c r="R316" t="str">
        <f t="shared" si="95"/>
        <v/>
      </c>
      <c r="S316" t="str">
        <f>IFERROR(J144+MATCH(R316,J316:N316,0)-1,"")</f>
        <v/>
      </c>
      <c r="T316" t="str">
        <f t="shared" si="96"/>
        <v/>
      </c>
      <c r="U316" t="str">
        <f t="shared" si="97"/>
        <v/>
      </c>
      <c r="V316" t="str">
        <f t="shared" si="98"/>
        <v/>
      </c>
      <c r="W316" t="str">
        <f t="shared" si="99"/>
        <v/>
      </c>
      <c r="X316" t="str">
        <f t="shared" si="100"/>
        <v/>
      </c>
      <c r="Y316" t="str">
        <f t="shared" si="101"/>
        <v/>
      </c>
      <c r="Z316" t="str">
        <f t="shared" si="102"/>
        <v/>
      </c>
      <c r="AA316">
        <f t="shared" si="103"/>
        <v>0</v>
      </c>
      <c r="AB316" t="str">
        <f>IFERROR(V144+MATCH(AA316,V316:Z316,0)-1,"")</f>
        <v/>
      </c>
      <c r="AC316" t="str">
        <f t="shared" si="104"/>
        <v/>
      </c>
      <c r="AE316" t="str">
        <f>IF(ISNUMBER(MATCH("N/A",J316:N316,0)),"",IFERROR((5 * SUMPRODUCT(J144:N144,J316:N316) - PRODUCT(SUM(J144:N144),SUM(J316:N316))) / ((5 * SUM((J144^2)+(K144^2)+(L144^2)+(M144^2)+(N144^2))) - SUM(J144:N144)^2),""))</f>
        <v/>
      </c>
      <c r="AF316" t="str">
        <f>IFERROR(CORREL(J144:N144,J316:N316),"")</f>
        <v/>
      </c>
      <c r="AZ316">
        <f t="shared" si="105"/>
        <v>0</v>
      </c>
      <c r="BA316" t="str">
        <f>IF(AZ316=1,IF(Q316="","",IF(Q316=N144,"Yes","No")),"")</f>
        <v/>
      </c>
      <c r="BB316" t="str">
        <f t="shared" si="106"/>
        <v/>
      </c>
      <c r="BC316" t="str">
        <f>IF(AZ316=1,IF(S316="","",IF(S316=N144,"Yes","No")),"")</f>
        <v/>
      </c>
      <c r="BD316" t="str">
        <f t="shared" si="107"/>
        <v/>
      </c>
      <c r="BE316" t="str">
        <f t="shared" si="108"/>
        <v/>
      </c>
      <c r="BF316" t="str">
        <f t="shared" si="109"/>
        <v>No</v>
      </c>
      <c r="BG316" t="str">
        <f t="shared" si="110"/>
        <v>No</v>
      </c>
      <c r="BH316" t="str">
        <f t="shared" si="111"/>
        <v/>
      </c>
    </row>
    <row r="317" spans="9:60" x14ac:dyDescent="0.3">
      <c r="I317" t="str">
        <f t="shared" si="112"/>
        <v>N/A</v>
      </c>
      <c r="J317" t="str">
        <f t="shared" si="113"/>
        <v>N/A</v>
      </c>
      <c r="K317" t="str">
        <f t="shared" si="114"/>
        <v>N/A</v>
      </c>
      <c r="L317" t="str">
        <f t="shared" si="115"/>
        <v>N/A</v>
      </c>
      <c r="M317" t="str">
        <f t="shared" si="116"/>
        <v>N/A</v>
      </c>
      <c r="N317" t="str">
        <f t="shared" si="117"/>
        <v>N/A</v>
      </c>
      <c r="P317">
        <f t="shared" si="94"/>
        <v>0</v>
      </c>
      <c r="Q317" t="str">
        <f>IFERROR(J144+MATCH(P317,J317:N317,0)-1,"")</f>
        <v/>
      </c>
      <c r="R317" t="str">
        <f t="shared" si="95"/>
        <v/>
      </c>
      <c r="S317" t="str">
        <f>IFERROR(J144+MATCH(R317,J317:N317,0)-1,"")</f>
        <v/>
      </c>
      <c r="T317" t="str">
        <f t="shared" si="96"/>
        <v/>
      </c>
      <c r="U317" t="str">
        <f t="shared" si="97"/>
        <v/>
      </c>
      <c r="V317" t="str">
        <f t="shared" si="98"/>
        <v/>
      </c>
      <c r="W317" t="str">
        <f t="shared" si="99"/>
        <v/>
      </c>
      <c r="X317" t="str">
        <f t="shared" si="100"/>
        <v/>
      </c>
      <c r="Y317" t="str">
        <f t="shared" si="101"/>
        <v/>
      </c>
      <c r="Z317" t="str">
        <f t="shared" si="102"/>
        <v/>
      </c>
      <c r="AA317">
        <f t="shared" si="103"/>
        <v>0</v>
      </c>
      <c r="AB317" t="str">
        <f>IFERROR(V144+MATCH(AA317,V317:Z317,0)-1,"")</f>
        <v/>
      </c>
      <c r="AC317" t="str">
        <f t="shared" si="104"/>
        <v/>
      </c>
      <c r="AE317" t="str">
        <f>IF(ISNUMBER(MATCH("N/A",J317:N317,0)),"",IFERROR((5 * SUMPRODUCT(J144:N144,J317:N317) - PRODUCT(SUM(J144:N144),SUM(J317:N317))) / ((5 * SUM((J144^2)+(K144^2)+(L144^2)+(M144^2)+(N144^2))) - SUM(J144:N144)^2),""))</f>
        <v/>
      </c>
      <c r="AF317" t="str">
        <f>IFERROR(CORREL(J144:N144,J317:N317),"")</f>
        <v/>
      </c>
      <c r="AZ317">
        <f t="shared" si="105"/>
        <v>0</v>
      </c>
      <c r="BA317" t="str">
        <f>IF(AZ317=1,IF(Q317="","",IF(Q317=N144,"Yes","No")),"")</f>
        <v/>
      </c>
      <c r="BB317" t="str">
        <f t="shared" si="106"/>
        <v/>
      </c>
      <c r="BC317" t="str">
        <f>IF(AZ317=1,IF(S317="","",IF(S317=N144,"Yes","No")),"")</f>
        <v/>
      </c>
      <c r="BD317" t="str">
        <f t="shared" si="107"/>
        <v/>
      </c>
      <c r="BE317" t="str">
        <f t="shared" si="108"/>
        <v/>
      </c>
      <c r="BF317" t="str">
        <f t="shared" si="109"/>
        <v>No</v>
      </c>
      <c r="BG317" t="str">
        <f t="shared" si="110"/>
        <v>No</v>
      </c>
      <c r="BH317" t="str">
        <f t="shared" si="111"/>
        <v/>
      </c>
    </row>
    <row r="318" spans="9:60" x14ac:dyDescent="0.3">
      <c r="I318" t="str">
        <f t="shared" si="112"/>
        <v>N/A</v>
      </c>
      <c r="J318" t="str">
        <f t="shared" si="113"/>
        <v>N/A</v>
      </c>
      <c r="K318" t="str">
        <f t="shared" si="114"/>
        <v>N/A</v>
      </c>
      <c r="L318" t="str">
        <f t="shared" si="115"/>
        <v>N/A</v>
      </c>
      <c r="M318" t="str">
        <f t="shared" si="116"/>
        <v>N/A</v>
      </c>
      <c r="N318" t="str">
        <f t="shared" si="117"/>
        <v>N/A</v>
      </c>
      <c r="P318">
        <f t="shared" si="94"/>
        <v>0</v>
      </c>
      <c r="Q318" t="str">
        <f>IFERROR(J144+MATCH(P318,J318:N318,0)-1,"")</f>
        <v/>
      </c>
      <c r="R318" t="str">
        <f t="shared" si="95"/>
        <v/>
      </c>
      <c r="S318" t="str">
        <f>IFERROR(J144+MATCH(R318,J318:N318,0)-1,"")</f>
        <v/>
      </c>
      <c r="T318" t="str">
        <f t="shared" si="96"/>
        <v/>
      </c>
      <c r="U318" t="str">
        <f t="shared" si="97"/>
        <v/>
      </c>
      <c r="V318" t="str">
        <f t="shared" si="98"/>
        <v/>
      </c>
      <c r="W318" t="str">
        <f t="shared" si="99"/>
        <v/>
      </c>
      <c r="X318" t="str">
        <f t="shared" si="100"/>
        <v/>
      </c>
      <c r="Y318" t="str">
        <f t="shared" si="101"/>
        <v/>
      </c>
      <c r="Z318" t="str">
        <f t="shared" si="102"/>
        <v/>
      </c>
      <c r="AA318">
        <f t="shared" si="103"/>
        <v>0</v>
      </c>
      <c r="AB318" t="str">
        <f>IFERROR(V144+MATCH(AA318,V318:Z318,0)-1,"")</f>
        <v/>
      </c>
      <c r="AC318" t="str">
        <f t="shared" si="104"/>
        <v/>
      </c>
      <c r="AE318" t="str">
        <f>IF(ISNUMBER(MATCH("N/A",J318:N318,0)),"",IFERROR((5 * SUMPRODUCT(J144:N144,J318:N318) - PRODUCT(SUM(J144:N144),SUM(J318:N318))) / ((5 * SUM((J144^2)+(K144^2)+(L144^2)+(M144^2)+(N144^2))) - SUM(J144:N144)^2),""))</f>
        <v/>
      </c>
      <c r="AF318" t="str">
        <f>IFERROR(CORREL(J144:N144,J318:N318),"")</f>
        <v/>
      </c>
      <c r="AZ318">
        <f t="shared" si="105"/>
        <v>0</v>
      </c>
      <c r="BA318" t="str">
        <f>IF(AZ318=1,IF(Q318="","",IF(Q318=N144,"Yes","No")),"")</f>
        <v/>
      </c>
      <c r="BB318" t="str">
        <f t="shared" si="106"/>
        <v/>
      </c>
      <c r="BC318" t="str">
        <f>IF(AZ318=1,IF(S318="","",IF(S318=N144,"Yes","No")),"")</f>
        <v/>
      </c>
      <c r="BD318" t="str">
        <f t="shared" si="107"/>
        <v/>
      </c>
      <c r="BE318" t="str">
        <f t="shared" si="108"/>
        <v/>
      </c>
      <c r="BF318" t="str">
        <f t="shared" si="109"/>
        <v>No</v>
      </c>
      <c r="BG318" t="str">
        <f t="shared" si="110"/>
        <v>No</v>
      </c>
      <c r="BH318" t="str">
        <f t="shared" si="111"/>
        <v/>
      </c>
    </row>
    <row r="319" spans="9:60" x14ac:dyDescent="0.3">
      <c r="I319" t="str">
        <f t="shared" si="112"/>
        <v>N/A</v>
      </c>
      <c r="J319" t="str">
        <f t="shared" si="113"/>
        <v>N/A</v>
      </c>
      <c r="K319" t="str">
        <f t="shared" si="114"/>
        <v>N/A</v>
      </c>
      <c r="L319" t="str">
        <f t="shared" si="115"/>
        <v>N/A</v>
      </c>
      <c r="M319" t="str">
        <f t="shared" si="116"/>
        <v>N/A</v>
      </c>
      <c r="N319" t="str">
        <f t="shared" si="117"/>
        <v>N/A</v>
      </c>
      <c r="P319">
        <f t="shared" si="94"/>
        <v>0</v>
      </c>
      <c r="Q319" t="str">
        <f>IFERROR(J144+MATCH(P319,J319:N319,0)-1,"")</f>
        <v/>
      </c>
      <c r="R319" t="str">
        <f t="shared" si="95"/>
        <v/>
      </c>
      <c r="S319" t="str">
        <f>IFERROR(J144+MATCH(R319,J319:N319,0)-1,"")</f>
        <v/>
      </c>
      <c r="T319" t="str">
        <f t="shared" si="96"/>
        <v/>
      </c>
      <c r="U319" t="str">
        <f t="shared" si="97"/>
        <v/>
      </c>
      <c r="V319" t="str">
        <f t="shared" si="98"/>
        <v/>
      </c>
      <c r="W319" t="str">
        <f t="shared" si="99"/>
        <v/>
      </c>
      <c r="X319" t="str">
        <f t="shared" si="100"/>
        <v/>
      </c>
      <c r="Y319" t="str">
        <f t="shared" si="101"/>
        <v/>
      </c>
      <c r="Z319" t="str">
        <f t="shared" si="102"/>
        <v/>
      </c>
      <c r="AA319">
        <f t="shared" si="103"/>
        <v>0</v>
      </c>
      <c r="AB319" t="str">
        <f>IFERROR(V144+MATCH(AA319,V319:Z319,0)-1,"")</f>
        <v/>
      </c>
      <c r="AC319" t="str">
        <f t="shared" si="104"/>
        <v/>
      </c>
      <c r="AE319" t="str">
        <f>IF(ISNUMBER(MATCH("N/A",J319:N319,0)),"",IFERROR((5 * SUMPRODUCT(J144:N144,J319:N319) - PRODUCT(SUM(J144:N144),SUM(J319:N319))) / ((5 * SUM((J144^2)+(K144^2)+(L144^2)+(M144^2)+(N144^2))) - SUM(J144:N144)^2),""))</f>
        <v/>
      </c>
      <c r="AF319" t="str">
        <f>IFERROR(CORREL(J144:N144,J319:N319),"")</f>
        <v/>
      </c>
      <c r="AZ319">
        <f t="shared" si="105"/>
        <v>0</v>
      </c>
      <c r="BA319" t="str">
        <f>IF(AZ319=1,IF(Q319="","",IF(Q319=N144,"Yes","No")),"")</f>
        <v/>
      </c>
      <c r="BB319" t="str">
        <f t="shared" si="106"/>
        <v/>
      </c>
      <c r="BC319" t="str">
        <f>IF(AZ319=1,IF(S319="","",IF(S319=N144,"Yes","No")),"")</f>
        <v/>
      </c>
      <c r="BD319" t="str">
        <f t="shared" si="107"/>
        <v/>
      </c>
      <c r="BE319" t="str">
        <f t="shared" si="108"/>
        <v/>
      </c>
      <c r="BF319" t="str">
        <f t="shared" si="109"/>
        <v>No</v>
      </c>
      <c r="BG319" t="str">
        <f t="shared" si="110"/>
        <v>No</v>
      </c>
      <c r="BH319" t="str">
        <f t="shared" si="111"/>
        <v/>
      </c>
    </row>
    <row r="320" spans="9:60" x14ac:dyDescent="0.3">
      <c r="I320" t="str">
        <f t="shared" si="112"/>
        <v>N/A</v>
      </c>
      <c r="J320" t="str">
        <f t="shared" si="113"/>
        <v>N/A</v>
      </c>
      <c r="K320" t="str">
        <f t="shared" si="114"/>
        <v>N/A</v>
      </c>
      <c r="L320" t="str">
        <f t="shared" si="115"/>
        <v>N/A</v>
      </c>
      <c r="M320" t="str">
        <f t="shared" si="116"/>
        <v>N/A</v>
      </c>
      <c r="N320" t="str">
        <f t="shared" si="117"/>
        <v>N/A</v>
      </c>
      <c r="P320">
        <f t="shared" si="94"/>
        <v>0</v>
      </c>
      <c r="Q320" t="str">
        <f>IFERROR(J144+MATCH(P320,J320:N320,0)-1,"")</f>
        <v/>
      </c>
      <c r="R320" t="str">
        <f t="shared" si="95"/>
        <v/>
      </c>
      <c r="S320" t="str">
        <f>IFERROR(J144+MATCH(R320,J320:N320,0)-1,"")</f>
        <v/>
      </c>
      <c r="T320" t="str">
        <f t="shared" si="96"/>
        <v/>
      </c>
      <c r="U320" t="str">
        <f t="shared" si="97"/>
        <v/>
      </c>
      <c r="V320" t="str">
        <f t="shared" si="98"/>
        <v/>
      </c>
      <c r="W320" t="str">
        <f t="shared" si="99"/>
        <v/>
      </c>
      <c r="X320" t="str">
        <f t="shared" si="100"/>
        <v/>
      </c>
      <c r="Y320" t="str">
        <f t="shared" si="101"/>
        <v/>
      </c>
      <c r="Z320" t="str">
        <f t="shared" si="102"/>
        <v/>
      </c>
      <c r="AA320">
        <f t="shared" si="103"/>
        <v>0</v>
      </c>
      <c r="AB320" t="str">
        <f>IFERROR(V144+MATCH(AA320,V320:Z320,0)-1,"")</f>
        <v/>
      </c>
      <c r="AC320" t="str">
        <f t="shared" si="104"/>
        <v/>
      </c>
      <c r="AE320" t="str">
        <f>IF(ISNUMBER(MATCH("N/A",J320:N320,0)),"",IFERROR((5 * SUMPRODUCT(J144:N144,J320:N320) - PRODUCT(SUM(J144:N144),SUM(J320:N320))) / ((5 * SUM((J144^2)+(K144^2)+(L144^2)+(M144^2)+(N144^2))) - SUM(J144:N144)^2),""))</f>
        <v/>
      </c>
      <c r="AF320" t="str">
        <f>IFERROR(CORREL(J144:N144,J320:N320),"")</f>
        <v/>
      </c>
      <c r="AZ320">
        <f t="shared" si="105"/>
        <v>0</v>
      </c>
      <c r="BA320" t="str">
        <f>IF(AZ320=1,IF(Q320="","",IF(Q320=N144,"Yes","No")),"")</f>
        <v/>
      </c>
      <c r="BB320" t="str">
        <f t="shared" si="106"/>
        <v/>
      </c>
      <c r="BC320" t="str">
        <f>IF(AZ320=1,IF(S320="","",IF(S320=N144,"Yes","No")),"")</f>
        <v/>
      </c>
      <c r="BD320" t="str">
        <f t="shared" si="107"/>
        <v/>
      </c>
      <c r="BE320" t="str">
        <f t="shared" si="108"/>
        <v/>
      </c>
      <c r="BF320" t="str">
        <f t="shared" si="109"/>
        <v>No</v>
      </c>
      <c r="BG320" t="str">
        <f t="shared" si="110"/>
        <v>No</v>
      </c>
      <c r="BH320" t="str">
        <f t="shared" si="111"/>
        <v/>
      </c>
    </row>
    <row r="321" spans="9:60" x14ac:dyDescent="0.3">
      <c r="I321" t="str">
        <f t="shared" si="112"/>
        <v>N/A</v>
      </c>
      <c r="J321" t="str">
        <f t="shared" si="113"/>
        <v>N/A</v>
      </c>
      <c r="K321" t="str">
        <f t="shared" si="114"/>
        <v>N/A</v>
      </c>
      <c r="L321" t="str">
        <f t="shared" si="115"/>
        <v>N/A</v>
      </c>
      <c r="M321" t="str">
        <f t="shared" si="116"/>
        <v>N/A</v>
      </c>
      <c r="N321" t="str">
        <f t="shared" si="117"/>
        <v>N/A</v>
      </c>
      <c r="P321">
        <f t="shared" si="94"/>
        <v>0</v>
      </c>
      <c r="Q321" t="str">
        <f>IFERROR(J144+MATCH(P321,J321:N321,0)-1,"")</f>
        <v/>
      </c>
      <c r="R321" t="str">
        <f t="shared" si="95"/>
        <v/>
      </c>
      <c r="S321" t="str">
        <f>IFERROR(J144+MATCH(R321,J321:N321,0)-1,"")</f>
        <v/>
      </c>
      <c r="T321" t="str">
        <f t="shared" si="96"/>
        <v/>
      </c>
      <c r="U321" t="str">
        <f t="shared" si="97"/>
        <v/>
      </c>
      <c r="V321" t="str">
        <f t="shared" si="98"/>
        <v/>
      </c>
      <c r="W321" t="str">
        <f t="shared" si="99"/>
        <v/>
      </c>
      <c r="X321" t="str">
        <f t="shared" si="100"/>
        <v/>
      </c>
      <c r="Y321" t="str">
        <f t="shared" si="101"/>
        <v/>
      </c>
      <c r="Z321" t="str">
        <f t="shared" si="102"/>
        <v/>
      </c>
      <c r="AA321">
        <f t="shared" si="103"/>
        <v>0</v>
      </c>
      <c r="AB321" t="str">
        <f>IFERROR(V144+MATCH(AA321,V321:Z321,0)-1,"")</f>
        <v/>
      </c>
      <c r="AC321" t="str">
        <f t="shared" si="104"/>
        <v/>
      </c>
      <c r="AE321" t="str">
        <f>IF(ISNUMBER(MATCH("N/A",J321:N321,0)),"",IFERROR((5 * SUMPRODUCT(J144:N144,J321:N321) - PRODUCT(SUM(J144:N144),SUM(J321:N321))) / ((5 * SUM((J144^2)+(K144^2)+(L144^2)+(M144^2)+(N144^2))) - SUM(J144:N144)^2),""))</f>
        <v/>
      </c>
      <c r="AF321" t="str">
        <f>IFERROR(CORREL(J144:N144,J321:N321),"")</f>
        <v/>
      </c>
      <c r="AZ321">
        <f t="shared" si="105"/>
        <v>0</v>
      </c>
      <c r="BA321" t="str">
        <f>IF(AZ321=1,IF(Q321="","",IF(Q321=N144,"Yes","No")),"")</f>
        <v/>
      </c>
      <c r="BB321" t="str">
        <f t="shared" si="106"/>
        <v/>
      </c>
      <c r="BC321" t="str">
        <f>IF(AZ321=1,IF(S321="","",IF(S321=N144,"Yes","No")),"")</f>
        <v/>
      </c>
      <c r="BD321" t="str">
        <f t="shared" si="107"/>
        <v/>
      </c>
      <c r="BE321" t="str">
        <f t="shared" si="108"/>
        <v/>
      </c>
      <c r="BF321" t="str">
        <f t="shared" si="109"/>
        <v>No</v>
      </c>
      <c r="BG321" t="str">
        <f t="shared" si="110"/>
        <v>No</v>
      </c>
      <c r="BH321" t="str">
        <f t="shared" si="111"/>
        <v/>
      </c>
    </row>
    <row r="322" spans="9:60" x14ac:dyDescent="0.3">
      <c r="I322" t="str">
        <f t="shared" si="112"/>
        <v>N/A</v>
      </c>
      <c r="J322" t="str">
        <f t="shared" si="113"/>
        <v>N/A</v>
      </c>
      <c r="K322" t="str">
        <f t="shared" si="114"/>
        <v>N/A</v>
      </c>
      <c r="L322" t="str">
        <f t="shared" si="115"/>
        <v>N/A</v>
      </c>
      <c r="M322" t="str">
        <f t="shared" si="116"/>
        <v>N/A</v>
      </c>
      <c r="N322" t="str">
        <f t="shared" si="117"/>
        <v>N/A</v>
      </c>
      <c r="P322">
        <f t="shared" si="94"/>
        <v>0</v>
      </c>
      <c r="Q322" t="str">
        <f>IFERROR(J144+MATCH(P322,J322:N322,0)-1,"")</f>
        <v/>
      </c>
      <c r="R322" t="str">
        <f t="shared" si="95"/>
        <v/>
      </c>
      <c r="S322" t="str">
        <f>IFERROR(J144+MATCH(R322,J322:N322,0)-1,"")</f>
        <v/>
      </c>
      <c r="T322" t="str">
        <f t="shared" si="96"/>
        <v/>
      </c>
      <c r="U322" t="str">
        <f t="shared" si="97"/>
        <v/>
      </c>
      <c r="V322" t="str">
        <f t="shared" si="98"/>
        <v/>
      </c>
      <c r="W322" t="str">
        <f t="shared" si="99"/>
        <v/>
      </c>
      <c r="X322" t="str">
        <f t="shared" si="100"/>
        <v/>
      </c>
      <c r="Y322" t="str">
        <f t="shared" si="101"/>
        <v/>
      </c>
      <c r="Z322" t="str">
        <f t="shared" si="102"/>
        <v/>
      </c>
      <c r="AA322">
        <f t="shared" si="103"/>
        <v>0</v>
      </c>
      <c r="AB322" t="str">
        <f>IFERROR(V144+MATCH(AA322,V322:Z322,0)-1,"")</f>
        <v/>
      </c>
      <c r="AC322" t="str">
        <f t="shared" si="104"/>
        <v/>
      </c>
      <c r="AE322" t="str">
        <f>IF(ISNUMBER(MATCH("N/A",J322:N322,0)),"",IFERROR((5 * SUMPRODUCT(J144:N144,J322:N322) - PRODUCT(SUM(J144:N144),SUM(J322:N322))) / ((5 * SUM((J144^2)+(K144^2)+(L144^2)+(M144^2)+(N144^2))) - SUM(J144:N144)^2),""))</f>
        <v/>
      </c>
      <c r="AF322" t="str">
        <f>IFERROR(CORREL(J144:N144,J322:N322),"")</f>
        <v/>
      </c>
      <c r="AZ322">
        <f t="shared" si="105"/>
        <v>0</v>
      </c>
      <c r="BA322" t="str">
        <f>IF(AZ322=1,IF(Q322="","",IF(Q322=N144,"Yes","No")),"")</f>
        <v/>
      </c>
      <c r="BB322" t="str">
        <f t="shared" si="106"/>
        <v/>
      </c>
      <c r="BC322" t="str">
        <f>IF(AZ322=1,IF(S322="","",IF(S322=N144,"Yes","No")),"")</f>
        <v/>
      </c>
      <c r="BD322" t="str">
        <f t="shared" si="107"/>
        <v/>
      </c>
      <c r="BE322" t="str">
        <f t="shared" si="108"/>
        <v/>
      </c>
      <c r="BF322" t="str">
        <f t="shared" si="109"/>
        <v>No</v>
      </c>
      <c r="BG322" t="str">
        <f t="shared" si="110"/>
        <v>No</v>
      </c>
      <c r="BH322" t="str">
        <f t="shared" si="111"/>
        <v/>
      </c>
    </row>
    <row r="323" spans="9:60" x14ac:dyDescent="0.3">
      <c r="I323" t="str">
        <f t="shared" si="112"/>
        <v>N/A</v>
      </c>
      <c r="J323" t="str">
        <f t="shared" si="113"/>
        <v>N/A</v>
      </c>
      <c r="K323" t="str">
        <f t="shared" si="114"/>
        <v>N/A</v>
      </c>
      <c r="L323" t="str">
        <f t="shared" si="115"/>
        <v>N/A</v>
      </c>
      <c r="M323" t="str">
        <f t="shared" si="116"/>
        <v>N/A</v>
      </c>
      <c r="N323" t="str">
        <f t="shared" si="117"/>
        <v>N/A</v>
      </c>
      <c r="P323">
        <f t="shared" si="94"/>
        <v>0</v>
      </c>
      <c r="Q323" t="str">
        <f>IFERROR(J144+MATCH(P323,J323:N323,0)-1,"")</f>
        <v/>
      </c>
      <c r="R323" t="str">
        <f t="shared" si="95"/>
        <v/>
      </c>
      <c r="S323" t="str">
        <f>IFERROR(J144+MATCH(R323,J323:N323,0)-1,"")</f>
        <v/>
      </c>
      <c r="T323" t="str">
        <f t="shared" si="96"/>
        <v/>
      </c>
      <c r="U323" t="str">
        <f t="shared" si="97"/>
        <v/>
      </c>
      <c r="V323" t="str">
        <f t="shared" si="98"/>
        <v/>
      </c>
      <c r="W323" t="str">
        <f t="shared" si="99"/>
        <v/>
      </c>
      <c r="X323" t="str">
        <f t="shared" si="100"/>
        <v/>
      </c>
      <c r="Y323" t="str">
        <f t="shared" si="101"/>
        <v/>
      </c>
      <c r="Z323" t="str">
        <f t="shared" si="102"/>
        <v/>
      </c>
      <c r="AA323">
        <f t="shared" si="103"/>
        <v>0</v>
      </c>
      <c r="AB323" t="str">
        <f>IFERROR(V144+MATCH(AA323,V323:Z323,0)-1,"")</f>
        <v/>
      </c>
      <c r="AC323" t="str">
        <f t="shared" si="104"/>
        <v/>
      </c>
      <c r="AE323" t="str">
        <f>IF(ISNUMBER(MATCH("N/A",J323:N323,0)),"",IFERROR((5 * SUMPRODUCT(J144:N144,J323:N323) - PRODUCT(SUM(J144:N144),SUM(J323:N323))) / ((5 * SUM((J144^2)+(K144^2)+(L144^2)+(M144^2)+(N144^2))) - SUM(J144:N144)^2),""))</f>
        <v/>
      </c>
      <c r="AF323" t="str">
        <f>IFERROR(CORREL(J144:N144,J323:N323),"")</f>
        <v/>
      </c>
      <c r="AZ323">
        <f t="shared" si="105"/>
        <v>0</v>
      </c>
      <c r="BA323" t="str">
        <f>IF(AZ323=1,IF(Q323="","",IF(Q323=N144,"Yes","No")),"")</f>
        <v/>
      </c>
      <c r="BB323" t="str">
        <f t="shared" si="106"/>
        <v/>
      </c>
      <c r="BC323" t="str">
        <f>IF(AZ323=1,IF(S323="","",IF(S323=N144,"Yes","No")),"")</f>
        <v/>
      </c>
      <c r="BD323" t="str">
        <f t="shared" si="107"/>
        <v/>
      </c>
      <c r="BE323" t="str">
        <f t="shared" si="108"/>
        <v/>
      </c>
      <c r="BF323" t="str">
        <f t="shared" si="109"/>
        <v>No</v>
      </c>
      <c r="BG323" t="str">
        <f t="shared" si="110"/>
        <v>No</v>
      </c>
      <c r="BH323" t="str">
        <f t="shared" si="111"/>
        <v/>
      </c>
    </row>
    <row r="324" spans="9:60" x14ac:dyDescent="0.3">
      <c r="I324" t="str">
        <f t="shared" si="112"/>
        <v>N/A</v>
      </c>
      <c r="J324" t="str">
        <f t="shared" si="113"/>
        <v>N/A</v>
      </c>
      <c r="K324" t="str">
        <f t="shared" si="114"/>
        <v>N/A</v>
      </c>
      <c r="L324" t="str">
        <f t="shared" si="115"/>
        <v>N/A</v>
      </c>
      <c r="M324" t="str">
        <f t="shared" si="116"/>
        <v>N/A</v>
      </c>
      <c r="N324" t="str">
        <f t="shared" si="117"/>
        <v>N/A</v>
      </c>
      <c r="P324">
        <f t="shared" si="94"/>
        <v>0</v>
      </c>
      <c r="Q324" t="str">
        <f>IFERROR(J144+MATCH(P324,J324:N324,0)-1,"")</f>
        <v/>
      </c>
      <c r="R324" t="str">
        <f t="shared" si="95"/>
        <v/>
      </c>
      <c r="S324" t="str">
        <f>IFERROR(J144+MATCH(R324,J324:N324,0)-1,"")</f>
        <v/>
      </c>
      <c r="T324" t="str">
        <f t="shared" si="96"/>
        <v/>
      </c>
      <c r="U324" t="str">
        <f t="shared" si="97"/>
        <v/>
      </c>
      <c r="V324" t="str">
        <f t="shared" si="98"/>
        <v/>
      </c>
      <c r="W324" t="str">
        <f t="shared" si="99"/>
        <v/>
      </c>
      <c r="X324" t="str">
        <f t="shared" si="100"/>
        <v/>
      </c>
      <c r="Y324" t="str">
        <f t="shared" si="101"/>
        <v/>
      </c>
      <c r="Z324" t="str">
        <f t="shared" si="102"/>
        <v/>
      </c>
      <c r="AA324">
        <f t="shared" si="103"/>
        <v>0</v>
      </c>
      <c r="AB324" t="str">
        <f>IFERROR(V144+MATCH(AA324,V324:Z324,0)-1,"")</f>
        <v/>
      </c>
      <c r="AC324" t="str">
        <f t="shared" si="104"/>
        <v/>
      </c>
      <c r="AE324" t="str">
        <f>IF(ISNUMBER(MATCH("N/A",J324:N324,0)),"",IFERROR((5 * SUMPRODUCT(J144:N144,J324:N324) - PRODUCT(SUM(J144:N144),SUM(J324:N324))) / ((5 * SUM((J144^2)+(K144^2)+(L144^2)+(M144^2)+(N144^2))) - SUM(J144:N144)^2),""))</f>
        <v/>
      </c>
      <c r="AF324" t="str">
        <f>IFERROR(CORREL(J144:N144,J324:N324),"")</f>
        <v/>
      </c>
      <c r="AZ324">
        <f t="shared" si="105"/>
        <v>0</v>
      </c>
      <c r="BA324" t="str">
        <f>IF(AZ324=1,IF(Q324="","",IF(Q324=N144,"Yes","No")),"")</f>
        <v/>
      </c>
      <c r="BB324" t="str">
        <f t="shared" si="106"/>
        <v/>
      </c>
      <c r="BC324" t="str">
        <f>IF(AZ324=1,IF(S324="","",IF(S324=N144,"Yes","No")),"")</f>
        <v/>
      </c>
      <c r="BD324" t="str">
        <f t="shared" si="107"/>
        <v/>
      </c>
      <c r="BE324" t="str">
        <f t="shared" si="108"/>
        <v/>
      </c>
      <c r="BF324" t="str">
        <f t="shared" si="109"/>
        <v>No</v>
      </c>
      <c r="BG324" t="str">
        <f t="shared" si="110"/>
        <v>No</v>
      </c>
      <c r="BH324" t="str">
        <f t="shared" si="111"/>
        <v/>
      </c>
    </row>
    <row r="325" spans="9:60" x14ac:dyDescent="0.3">
      <c r="I325" t="str">
        <f t="shared" si="112"/>
        <v>N/A</v>
      </c>
      <c r="J325" t="str">
        <f t="shared" si="113"/>
        <v>N/A</v>
      </c>
      <c r="K325" t="str">
        <f t="shared" si="114"/>
        <v>N/A</v>
      </c>
      <c r="L325" t="str">
        <f t="shared" si="115"/>
        <v>N/A</v>
      </c>
      <c r="M325" t="str">
        <f t="shared" si="116"/>
        <v>N/A</v>
      </c>
      <c r="N325" t="str">
        <f t="shared" si="117"/>
        <v>N/A</v>
      </c>
      <c r="P325">
        <f t="shared" si="94"/>
        <v>0</v>
      </c>
      <c r="Q325" t="str">
        <f>IFERROR(J144+MATCH(P325,J325:N325,0)-1,"")</f>
        <v/>
      </c>
      <c r="R325" t="str">
        <f t="shared" si="95"/>
        <v/>
      </c>
      <c r="S325" t="str">
        <f>IFERROR(J144+MATCH(R325,J325:N325,0)-1,"")</f>
        <v/>
      </c>
      <c r="T325" t="str">
        <f t="shared" si="96"/>
        <v/>
      </c>
      <c r="U325" t="str">
        <f t="shared" si="97"/>
        <v/>
      </c>
      <c r="V325" t="str">
        <f t="shared" si="98"/>
        <v/>
      </c>
      <c r="W325" t="str">
        <f t="shared" si="99"/>
        <v/>
      </c>
      <c r="X325" t="str">
        <f t="shared" si="100"/>
        <v/>
      </c>
      <c r="Y325" t="str">
        <f t="shared" si="101"/>
        <v/>
      </c>
      <c r="Z325" t="str">
        <f t="shared" si="102"/>
        <v/>
      </c>
      <c r="AA325">
        <f t="shared" si="103"/>
        <v>0</v>
      </c>
      <c r="AB325" t="str">
        <f>IFERROR(V144+MATCH(AA325,V325:Z325,0)-1,"")</f>
        <v/>
      </c>
      <c r="AC325" t="str">
        <f t="shared" si="104"/>
        <v/>
      </c>
      <c r="AE325" t="str">
        <f>IF(ISNUMBER(MATCH("N/A",J325:N325,0)),"",IFERROR((5 * SUMPRODUCT(J144:N144,J325:N325) - PRODUCT(SUM(J144:N144),SUM(J325:N325))) / ((5 * SUM((J144^2)+(K144^2)+(L144^2)+(M144^2)+(N144^2))) - SUM(J144:N144)^2),""))</f>
        <v/>
      </c>
      <c r="AF325" t="str">
        <f>IFERROR(CORREL(J144:N144,J325:N325),"")</f>
        <v/>
      </c>
      <c r="AZ325">
        <f t="shared" si="105"/>
        <v>0</v>
      </c>
      <c r="BA325" t="str">
        <f>IF(AZ325=1,IF(Q325="","",IF(Q325=N144,"Yes","No")),"")</f>
        <v/>
      </c>
      <c r="BB325" t="str">
        <f t="shared" si="106"/>
        <v/>
      </c>
      <c r="BC325" t="str">
        <f>IF(AZ325=1,IF(S325="","",IF(S325=N144,"Yes","No")),"")</f>
        <v/>
      </c>
      <c r="BD325" t="str">
        <f t="shared" si="107"/>
        <v/>
      </c>
      <c r="BE325" t="str">
        <f t="shared" si="108"/>
        <v/>
      </c>
      <c r="BF325" t="str">
        <f t="shared" si="109"/>
        <v>No</v>
      </c>
      <c r="BG325" t="str">
        <f t="shared" si="110"/>
        <v>No</v>
      </c>
      <c r="BH325" t="str">
        <f t="shared" si="111"/>
        <v/>
      </c>
    </row>
    <row r="326" spans="9:60" x14ac:dyDescent="0.3">
      <c r="I326" t="str">
        <f t="shared" si="112"/>
        <v>N/A</v>
      </c>
      <c r="J326" t="str">
        <f t="shared" si="113"/>
        <v>N/A</v>
      </c>
      <c r="K326" t="str">
        <f t="shared" si="114"/>
        <v>N/A</v>
      </c>
      <c r="L326" t="str">
        <f t="shared" si="115"/>
        <v>N/A</v>
      </c>
      <c r="M326" t="str">
        <f t="shared" si="116"/>
        <v>N/A</v>
      </c>
      <c r="N326" t="str">
        <f t="shared" si="117"/>
        <v>N/A</v>
      </c>
      <c r="P326">
        <f t="shared" si="94"/>
        <v>0</v>
      </c>
      <c r="Q326" t="str">
        <f>IFERROR(J144+MATCH(P326,J326:N326,0)-1,"")</f>
        <v/>
      </c>
      <c r="R326" t="str">
        <f t="shared" si="95"/>
        <v/>
      </c>
      <c r="S326" t="str">
        <f>IFERROR(J144+MATCH(R326,J326:N326,0)-1,"")</f>
        <v/>
      </c>
      <c r="T326" t="str">
        <f t="shared" si="96"/>
        <v/>
      </c>
      <c r="U326" t="str">
        <f t="shared" si="97"/>
        <v/>
      </c>
      <c r="V326" t="str">
        <f t="shared" si="98"/>
        <v/>
      </c>
      <c r="W326" t="str">
        <f t="shared" si="99"/>
        <v/>
      </c>
      <c r="X326" t="str">
        <f t="shared" si="100"/>
        <v/>
      </c>
      <c r="Y326" t="str">
        <f t="shared" si="101"/>
        <v/>
      </c>
      <c r="Z326" t="str">
        <f t="shared" si="102"/>
        <v/>
      </c>
      <c r="AA326">
        <f t="shared" si="103"/>
        <v>0</v>
      </c>
      <c r="AB326" t="str">
        <f>IFERROR(V144+MATCH(AA326,V326:Z326,0)-1,"")</f>
        <v/>
      </c>
      <c r="AC326" t="str">
        <f t="shared" si="104"/>
        <v/>
      </c>
      <c r="AE326" t="str">
        <f>IF(ISNUMBER(MATCH("N/A",J326:N326,0)),"",IFERROR((5 * SUMPRODUCT(J144:N144,J326:N326) - PRODUCT(SUM(J144:N144),SUM(J326:N326))) / ((5 * SUM((J144^2)+(K144^2)+(L144^2)+(M144^2)+(N144^2))) - SUM(J144:N144)^2),""))</f>
        <v/>
      </c>
      <c r="AF326" t="str">
        <f>IFERROR(CORREL(J144:N144,J326:N326),"")</f>
        <v/>
      </c>
      <c r="AZ326">
        <f t="shared" si="105"/>
        <v>0</v>
      </c>
      <c r="BA326" t="str">
        <f>IF(AZ326=1,IF(Q326="","",IF(Q326=N144,"Yes","No")),"")</f>
        <v/>
      </c>
      <c r="BB326" t="str">
        <f t="shared" si="106"/>
        <v/>
      </c>
      <c r="BC326" t="str">
        <f>IF(AZ326=1,IF(S326="","",IF(S326=N144,"Yes","No")),"")</f>
        <v/>
      </c>
      <c r="BD326" t="str">
        <f t="shared" si="107"/>
        <v/>
      </c>
      <c r="BE326" t="str">
        <f t="shared" si="108"/>
        <v/>
      </c>
      <c r="BF326" t="str">
        <f t="shared" si="109"/>
        <v>No</v>
      </c>
      <c r="BG326" t="str">
        <f t="shared" si="110"/>
        <v>No</v>
      </c>
      <c r="BH326" t="str">
        <f t="shared" si="111"/>
        <v/>
      </c>
    </row>
    <row r="327" spans="9:60" x14ac:dyDescent="0.3">
      <c r="I327" t="str">
        <f t="shared" si="112"/>
        <v>N/A</v>
      </c>
      <c r="J327" t="str">
        <f t="shared" si="113"/>
        <v>N/A</v>
      </c>
      <c r="K327" t="str">
        <f t="shared" si="114"/>
        <v>N/A</v>
      </c>
      <c r="L327" t="str">
        <f t="shared" si="115"/>
        <v>N/A</v>
      </c>
      <c r="M327" t="str">
        <f t="shared" si="116"/>
        <v>N/A</v>
      </c>
      <c r="N327" t="str">
        <f t="shared" si="117"/>
        <v>N/A</v>
      </c>
      <c r="P327">
        <f t="shared" si="94"/>
        <v>0</v>
      </c>
      <c r="Q327" t="str">
        <f>IFERROR(J144+MATCH(P327,J327:N327,0)-1,"")</f>
        <v/>
      </c>
      <c r="R327" t="str">
        <f t="shared" si="95"/>
        <v/>
      </c>
      <c r="S327" t="str">
        <f>IFERROR(J144+MATCH(R327,J327:N327,0)-1,"")</f>
        <v/>
      </c>
      <c r="T327" t="str">
        <f t="shared" si="96"/>
        <v/>
      </c>
      <c r="U327" t="str">
        <f t="shared" si="97"/>
        <v/>
      </c>
      <c r="V327" t="str">
        <f t="shared" si="98"/>
        <v/>
      </c>
      <c r="W327" t="str">
        <f t="shared" si="99"/>
        <v/>
      </c>
      <c r="X327" t="str">
        <f t="shared" si="100"/>
        <v/>
      </c>
      <c r="Y327" t="str">
        <f t="shared" si="101"/>
        <v/>
      </c>
      <c r="Z327" t="str">
        <f t="shared" si="102"/>
        <v/>
      </c>
      <c r="AA327">
        <f t="shared" si="103"/>
        <v>0</v>
      </c>
      <c r="AB327" t="str">
        <f>IFERROR(V144+MATCH(AA327,V327:Z327,0)-1,"")</f>
        <v/>
      </c>
      <c r="AC327" t="str">
        <f t="shared" si="104"/>
        <v/>
      </c>
      <c r="AE327" t="str">
        <f>IF(ISNUMBER(MATCH("N/A",J327:N327,0)),"",IFERROR((5 * SUMPRODUCT(J144:N144,J327:N327) - PRODUCT(SUM(J144:N144),SUM(J327:N327))) / ((5 * SUM((J144^2)+(K144^2)+(L144^2)+(M144^2)+(N144^2))) - SUM(J144:N144)^2),""))</f>
        <v/>
      </c>
      <c r="AF327" t="str">
        <f>IFERROR(CORREL(J144:N144,J327:N327),"")</f>
        <v/>
      </c>
      <c r="AZ327">
        <f t="shared" si="105"/>
        <v>0</v>
      </c>
      <c r="BA327" t="str">
        <f>IF(AZ327=1,IF(Q327="","",IF(Q327=N144,"Yes","No")),"")</f>
        <v/>
      </c>
      <c r="BB327" t="str">
        <f t="shared" si="106"/>
        <v/>
      </c>
      <c r="BC327" t="str">
        <f>IF(AZ327=1,IF(S327="","",IF(S327=N144,"Yes","No")),"")</f>
        <v/>
      </c>
      <c r="BD327" t="str">
        <f t="shared" si="107"/>
        <v/>
      </c>
      <c r="BE327" t="str">
        <f t="shared" si="108"/>
        <v/>
      </c>
      <c r="BF327" t="str">
        <f t="shared" si="109"/>
        <v>No</v>
      </c>
      <c r="BG327" t="str">
        <f t="shared" si="110"/>
        <v>No</v>
      </c>
      <c r="BH327" t="str">
        <f t="shared" si="111"/>
        <v/>
      </c>
    </row>
    <row r="328" spans="9:60" x14ac:dyDescent="0.3">
      <c r="P328">
        <f t="shared" si="94"/>
        <v>0</v>
      </c>
      <c r="Q328" t="str">
        <f>IFERROR(J144+MATCH(P328,J328:N328,0)-1,"")</f>
        <v/>
      </c>
      <c r="R328" t="str">
        <f t="shared" si="95"/>
        <v/>
      </c>
      <c r="S328" t="str">
        <f>IFERROR(J144+MATCH(R328,J328:N328,0)-1,"")</f>
        <v/>
      </c>
      <c r="T328" t="str">
        <f t="shared" si="96"/>
        <v/>
      </c>
      <c r="U328" t="str">
        <f t="shared" si="97"/>
        <v/>
      </c>
      <c r="V328" t="str">
        <f t="shared" si="98"/>
        <v/>
      </c>
      <c r="W328" t="str">
        <f t="shared" si="99"/>
        <v/>
      </c>
      <c r="X328" t="str">
        <f t="shared" si="100"/>
        <v/>
      </c>
      <c r="Y328" t="str">
        <f t="shared" si="101"/>
        <v/>
      </c>
      <c r="Z328" t="str">
        <f t="shared" si="102"/>
        <v/>
      </c>
      <c r="AA328">
        <f t="shared" si="103"/>
        <v>0</v>
      </c>
      <c r="AB328" t="str">
        <f>IFERROR(V144+MATCH(AA328,V328:Z328,0)-1,"")</f>
        <v/>
      </c>
      <c r="AC328" t="str">
        <f t="shared" si="104"/>
        <v/>
      </c>
      <c r="AE328" t="str">
        <f>IF(ISNUMBER(MATCH("N/A",J328:N328,0)),"",IFERROR((5 * SUMPRODUCT(J144:N144,J328:N328) - PRODUCT(SUM(J144:N144),SUM(J328:N328))) / ((5 * SUM((J144^2)+(K144^2)+(L144^2)+(M144^2)+(N144^2))) - SUM(J144:N144)^2),""))</f>
        <v/>
      </c>
      <c r="AF328" t="str">
        <f>IFERROR(CORREL(J144:N144,J328:N328),"")</f>
        <v/>
      </c>
      <c r="AZ328">
        <f t="shared" si="105"/>
        <v>0</v>
      </c>
      <c r="BA328" t="str">
        <f>IF(AZ328=1,IF(Q328="","",IF(Q328=N144,"Yes","No")),"")</f>
        <v/>
      </c>
      <c r="BB328" t="str">
        <f t="shared" si="106"/>
        <v/>
      </c>
      <c r="BC328" t="str">
        <f>IF(AZ328=1,IF(S328="","",IF(S328=N144,"Yes","No")),"")</f>
        <v/>
      </c>
      <c r="BD328" t="str">
        <f t="shared" si="107"/>
        <v/>
      </c>
      <c r="BE328" t="str">
        <f t="shared" si="108"/>
        <v/>
      </c>
      <c r="BF328" t="str">
        <f t="shared" si="109"/>
        <v>No</v>
      </c>
      <c r="BG328" t="str">
        <f t="shared" si="110"/>
        <v>No</v>
      </c>
      <c r="BH328" t="str">
        <f t="shared" si="111"/>
        <v/>
      </c>
    </row>
    <row r="329" spans="9:60" x14ac:dyDescent="0.3">
      <c r="I329" t="str">
        <f t="shared" ref="I329:I360" si="118">IF(AND(K329&gt; J329, L329&gt; K329, M329&gt; L329, N329&gt; M329), "pos_trend", IF(AND(K329&lt; J329, L329&lt; K329, M329&lt; L329, N329&lt; M329), "neg_trend", "N/A"))</f>
        <v>N/A</v>
      </c>
      <c r="J329" t="str">
        <f t="shared" ref="J329:J360" si="119">IFERROR(IF(TRIM(C329)="-", "N/A", IF(RIGHT(C329,1)=")",IF(RIGHT(C329,2)="T)",-1000000000000*VALUE(MID(C329,2,LEN(C329)-3)),IF(RIGHT(C329,2)="M)",-1000000*VALUE(MID(C329,2,LEN(C329)-3)),IF(RIGHT(C329,2)="B)",-1000000000*VALUE(MID(C329,2,LEN(C329)-3)),IF(RIGHT(C329,2)="k)",-1000*VALUE(MID(C329,2,LEN(C329)-3)),VALUE(SUBSTITUTE(C329,",","")))))),IF(RIGHT(C329,1)="T",1000000000000*VALUE(LEFT(C329,LEN(C329)-1)),IF(RIGHT(C329,1)="M",1000000*VALUE(LEFT(C329,LEN(C329)-1)),IF(RIGHT(C329,1)="B",1000000000*VALUE(LEFT(C329,LEN(C329)-1)),IF(RIGHT(C329,1)="%",0.01*VALUE(LEFT(C329,LEN(C329)-1)),IF(RIGHT(C329,1)="k",1000*VALUE(LEFT(C329,LEN(C329)-1)),VALUE(SUBSTITUTE(C329,",",""))))))))),"N/A")</f>
        <v>N/A</v>
      </c>
      <c r="K329" t="str">
        <f t="shared" ref="K329:K360" si="120">IFERROR(IF(TRIM(D329)="-", "N/A", IF(RIGHT(D329,1)=")",IF(RIGHT(D329,2)="T)",-1000000000000*VALUE(MID(D329,2,LEN(D329)-3)),IF(RIGHT(D329,2)="M)",-1000000*VALUE(MID(D329,2,LEN(D329)-3)),IF(RIGHT(D329,2)="B)",-1000000000*VALUE(MID(D329,2,LEN(D329)-3)),IF(RIGHT(D329,2)="k)",-1000*VALUE(MID(D329,2,LEN(D329)-3)),VALUE(SUBSTITUTE(D329,",","")))))),IF(RIGHT(D329,1)="T",1000000000000*VALUE(LEFT(D329,LEN(D329)-1)),IF(RIGHT(D329,1)="M",1000000*VALUE(LEFT(D329,LEN(D329)-1)),IF(RIGHT(D329,1)="B",1000000000*VALUE(LEFT(D329,LEN(D329)-1)),IF(RIGHT(D329,1)="%",0.01*VALUE(LEFT(D329,LEN(D329)-1)),IF(RIGHT(D329,1)="k",1000*VALUE(LEFT(D329,LEN(D329)-1)),VALUE(SUBSTITUTE(D329,",",""))))))))),"N/A")</f>
        <v>N/A</v>
      </c>
      <c r="L329" t="str">
        <f t="shared" ref="L329:L360" si="121">IFERROR(IF(TRIM(E329)="-", "N/A", IF(RIGHT(E329,1)=")",IF(RIGHT(E329,2)="T)",-1000000000000*VALUE(MID(E329,2,LEN(E329)-3)),IF(RIGHT(E329,2)="M)",-1000000*VALUE(MID(E329,2,LEN(E329)-3)),IF(RIGHT(E329,2)="B)",-1000000000*VALUE(MID(E329,2,LEN(E329)-3)),IF(RIGHT(E329,2)="k)",-1000*VALUE(MID(E329,2,LEN(E329)-3)),VALUE(SUBSTITUTE(E329,",","")))))),IF(RIGHT(E329,1)="T",1000000000000*VALUE(LEFT(E329,LEN(E329)-1)),IF(RIGHT(E329,1)="M",1000000*VALUE(LEFT(E329,LEN(E329)-1)),IF(RIGHT(E329,1)="B",1000000000*VALUE(LEFT(E329,LEN(E329)-1)),IF(RIGHT(E329,1)="%",0.01*VALUE(LEFT(E329,LEN(E329)-1)),IF(RIGHT(E329,1)="k",1000*VALUE(LEFT(E329,LEN(E329)-1)),VALUE(SUBSTITUTE(E329,",",""))))))))),"N/A")</f>
        <v>N/A</v>
      </c>
      <c r="M329" t="str">
        <f t="shared" ref="M329:M360" si="122">IFERROR(IF(TRIM(F329)="-", "N/A", IF(RIGHT(F329,1)=")",IF(RIGHT(F329,2)="T)",-1000000000000*VALUE(MID(F329,2,LEN(F329)-3)),IF(RIGHT(F329,2)="M)",-1000000*VALUE(MID(F329,2,LEN(F329)-3)),IF(RIGHT(F329,2)="B)",-1000000000*VALUE(MID(F329,2,LEN(F329)-3)),IF(RIGHT(F329,2)="k)",-1000*VALUE(MID(F329,2,LEN(F329)-3)),VALUE(SUBSTITUTE(F329,",","")))))),IF(RIGHT(F329,1)="T",1000000000000*VALUE(LEFT(F329,LEN(F329)-1)),IF(RIGHT(F329,1)="M",1000000*VALUE(LEFT(F329,LEN(F329)-1)),IF(RIGHT(F329,1)="B",1000000000*VALUE(LEFT(F329,LEN(F329)-1)),IF(RIGHT(F329,1)="%",0.01*VALUE(LEFT(F329,LEN(F329)-1)),IF(RIGHT(F329,1)="k",1000*VALUE(LEFT(F329,LEN(F329)-1)),VALUE(SUBSTITUTE(F329,",",""))))))))),"N/A")</f>
        <v>N/A</v>
      </c>
      <c r="N329" t="str">
        <f t="shared" ref="N329:N360" si="123">IFERROR(IF(TRIM(G329)="-", "N/A", IF(RIGHT(G329,1)=")",IF(RIGHT(G329,2)="T)",-1000000000000*VALUE(MID(G329,2,LEN(G329)-3)),IF(RIGHT(G329,2)="M)",-1000000*VALUE(MID(G329,2,LEN(G329)-3)),IF(RIGHT(G329,2)="B)",-1000000000*VALUE(MID(G329,2,LEN(G329)-3)),IF(RIGHT(G329,2)="k)",-1000*VALUE(MID(G329,2,LEN(G329)-3)),VALUE(SUBSTITUTE(G329,",","")))))),IF(RIGHT(G329,1)="T",1000000000000*VALUE(LEFT(G329,LEN(G329)-1)),IF(RIGHT(G329,1)="M",1000000*VALUE(LEFT(G329,LEN(G329)-1)),IF(RIGHT(G329,1)="B",1000000000*VALUE(LEFT(G329,LEN(G329)-1)),IF(RIGHT(G329,1)="%",0.01*VALUE(LEFT(G329,LEN(G329)-1)),IF(RIGHT(G329,1)="k",1000*VALUE(LEFT(G329,LEN(G329)-1)),VALUE(SUBSTITUTE(G329,",",""))))))))),"N/A")</f>
        <v>N/A</v>
      </c>
      <c r="P329">
        <f t="shared" si="94"/>
        <v>0</v>
      </c>
      <c r="Q329" t="str">
        <f>IFERROR(J144+MATCH(P329,J329:N329,0)-1,"")</f>
        <v/>
      </c>
      <c r="R329" t="str">
        <f t="shared" si="95"/>
        <v/>
      </c>
      <c r="S329" t="str">
        <f>IFERROR(J144+MATCH(R329,J329:N329,0)-1,"")</f>
        <v/>
      </c>
      <c r="T329" t="str">
        <f t="shared" si="96"/>
        <v/>
      </c>
      <c r="U329" t="str">
        <f t="shared" si="97"/>
        <v/>
      </c>
      <c r="V329" t="str">
        <f t="shared" si="98"/>
        <v/>
      </c>
      <c r="W329" t="str">
        <f t="shared" si="99"/>
        <v/>
      </c>
      <c r="X329" t="str">
        <f t="shared" si="100"/>
        <v/>
      </c>
      <c r="Y329" t="str">
        <f t="shared" si="101"/>
        <v/>
      </c>
      <c r="Z329" t="str">
        <f t="shared" si="102"/>
        <v/>
      </c>
      <c r="AA329">
        <f t="shared" si="103"/>
        <v>0</v>
      </c>
      <c r="AB329" t="str">
        <f>IFERROR(V144+MATCH(AA329,V329:Z329,0)-1,"")</f>
        <v/>
      </c>
      <c r="AC329" t="str">
        <f t="shared" si="104"/>
        <v/>
      </c>
      <c r="AE329" t="str">
        <f>IF(ISNUMBER(MATCH("N/A",J329:N329,0)),"",IFERROR((5 * SUMPRODUCT(J144:N144,J329:N329) - PRODUCT(SUM(J144:N144),SUM(J329:N329))) / ((5 * SUM((J144^2)+(K144^2)+(L144^2)+(M144^2)+(N144^2))) - SUM(J144:N144)^2),""))</f>
        <v/>
      </c>
      <c r="AF329" t="str">
        <f>IFERROR(CORREL(J144:N144,J329:N329),"")</f>
        <v/>
      </c>
      <c r="AZ329">
        <f t="shared" si="105"/>
        <v>0</v>
      </c>
      <c r="BA329" t="str">
        <f>IF(AZ329=1,IF(Q329="","",IF(Q329=N144,"Yes","No")),"")</f>
        <v/>
      </c>
      <c r="BB329" t="str">
        <f t="shared" si="106"/>
        <v/>
      </c>
      <c r="BC329" t="str">
        <f>IF(AZ329=1,IF(S329="","",IF(S329=N144,"Yes","No")),"")</f>
        <v/>
      </c>
      <c r="BD329" t="str">
        <f t="shared" si="107"/>
        <v/>
      </c>
      <c r="BE329" t="str">
        <f t="shared" si="108"/>
        <v/>
      </c>
      <c r="BF329" t="str">
        <f t="shared" si="109"/>
        <v>No</v>
      </c>
      <c r="BG329" t="str">
        <f t="shared" si="110"/>
        <v>No</v>
      </c>
      <c r="BH329" t="str">
        <f t="shared" si="111"/>
        <v/>
      </c>
    </row>
    <row r="330" spans="9:60" x14ac:dyDescent="0.3">
      <c r="I330" t="str">
        <f t="shared" si="118"/>
        <v>N/A</v>
      </c>
      <c r="J330" t="str">
        <f t="shared" si="119"/>
        <v>N/A</v>
      </c>
      <c r="K330" t="str">
        <f t="shared" si="120"/>
        <v>N/A</v>
      </c>
      <c r="L330" t="str">
        <f t="shared" si="121"/>
        <v>N/A</v>
      </c>
      <c r="M330" t="str">
        <f t="shared" si="122"/>
        <v>N/A</v>
      </c>
      <c r="N330" t="str">
        <f t="shared" si="123"/>
        <v>N/A</v>
      </c>
      <c r="P330">
        <f t="shared" si="94"/>
        <v>0</v>
      </c>
      <c r="Q330" t="str">
        <f>IFERROR(J144+MATCH(P330,J330:N330,0)-1,"")</f>
        <v/>
      </c>
      <c r="R330" t="str">
        <f t="shared" si="95"/>
        <v/>
      </c>
      <c r="S330" t="str">
        <f>IFERROR(J144+MATCH(R330,J330:N330,0)-1,"")</f>
        <v/>
      </c>
      <c r="T330" t="str">
        <f t="shared" si="96"/>
        <v/>
      </c>
      <c r="U330" t="str">
        <f t="shared" si="97"/>
        <v/>
      </c>
      <c r="V330" t="str">
        <f t="shared" si="98"/>
        <v/>
      </c>
      <c r="W330" t="str">
        <f t="shared" si="99"/>
        <v/>
      </c>
      <c r="X330" t="str">
        <f t="shared" si="100"/>
        <v/>
      </c>
      <c r="Y330" t="str">
        <f t="shared" si="101"/>
        <v/>
      </c>
      <c r="Z330" t="str">
        <f t="shared" si="102"/>
        <v/>
      </c>
      <c r="AA330">
        <f t="shared" si="103"/>
        <v>0</v>
      </c>
      <c r="AB330" t="str">
        <f>IFERROR(V144+MATCH(AA330,V330:Z330,0)-1,"")</f>
        <v/>
      </c>
      <c r="AC330" t="str">
        <f t="shared" si="104"/>
        <v/>
      </c>
      <c r="AE330" t="str">
        <f>IF(ISNUMBER(MATCH("N/A",J330:N330,0)),"",IFERROR((5 * SUMPRODUCT(J144:N144,J330:N330) - PRODUCT(SUM(J144:N144),SUM(J330:N330))) / ((5 * SUM((J144^2)+(K144^2)+(L144^2)+(M144^2)+(N144^2))) - SUM(J144:N144)^2),""))</f>
        <v/>
      </c>
      <c r="AF330" t="str">
        <f>IFERROR(CORREL(J144:N144,J330:N330),"")</f>
        <v/>
      </c>
      <c r="AZ330">
        <f t="shared" si="105"/>
        <v>0</v>
      </c>
      <c r="BA330" t="str">
        <f>IF(AZ330=1,IF(Q330="","",IF(Q330=N144,"Yes","No")),"")</f>
        <v/>
      </c>
      <c r="BB330" t="str">
        <f t="shared" si="106"/>
        <v/>
      </c>
      <c r="BC330" t="str">
        <f>IF(AZ330=1,IF(S330="","",IF(S330=N144,"Yes","No")),"")</f>
        <v/>
      </c>
      <c r="BD330" t="str">
        <f t="shared" si="107"/>
        <v/>
      </c>
      <c r="BE330" t="str">
        <f t="shared" si="108"/>
        <v/>
      </c>
      <c r="BF330" t="str">
        <f t="shared" si="109"/>
        <v>No</v>
      </c>
      <c r="BG330" t="str">
        <f t="shared" si="110"/>
        <v>No</v>
      </c>
      <c r="BH330" t="str">
        <f t="shared" si="111"/>
        <v/>
      </c>
    </row>
    <row r="331" spans="9:60" x14ac:dyDescent="0.3">
      <c r="I331" t="str">
        <f t="shared" si="118"/>
        <v>N/A</v>
      </c>
      <c r="J331" t="str">
        <f t="shared" si="119"/>
        <v>N/A</v>
      </c>
      <c r="K331" t="str">
        <f t="shared" si="120"/>
        <v>N/A</v>
      </c>
      <c r="L331" t="str">
        <f t="shared" si="121"/>
        <v>N/A</v>
      </c>
      <c r="M331" t="str">
        <f t="shared" si="122"/>
        <v>N/A</v>
      </c>
      <c r="N331" t="str">
        <f t="shared" si="123"/>
        <v>N/A</v>
      </c>
      <c r="P331">
        <f t="shared" si="94"/>
        <v>0</v>
      </c>
      <c r="Q331" t="str">
        <f>IFERROR(J144+MATCH(P331,J331:N331,0)-1,"")</f>
        <v/>
      </c>
      <c r="R331" t="str">
        <f t="shared" si="95"/>
        <v/>
      </c>
      <c r="S331" t="str">
        <f>IFERROR(J144+MATCH(R331,J331:N331,0)-1,"")</f>
        <v/>
      </c>
      <c r="T331" t="str">
        <f t="shared" si="96"/>
        <v/>
      </c>
      <c r="U331" t="str">
        <f t="shared" si="97"/>
        <v/>
      </c>
      <c r="V331" t="str">
        <f t="shared" si="98"/>
        <v/>
      </c>
      <c r="W331" t="str">
        <f t="shared" si="99"/>
        <v/>
      </c>
      <c r="X331" t="str">
        <f t="shared" si="100"/>
        <v/>
      </c>
      <c r="Y331" t="str">
        <f t="shared" si="101"/>
        <v/>
      </c>
      <c r="Z331" t="str">
        <f t="shared" si="102"/>
        <v/>
      </c>
      <c r="AA331">
        <f t="shared" si="103"/>
        <v>0</v>
      </c>
      <c r="AB331" t="str">
        <f>IFERROR(V144+MATCH(AA331,V331:Z331,0)-1,"")</f>
        <v/>
      </c>
      <c r="AC331" t="str">
        <f t="shared" si="104"/>
        <v/>
      </c>
      <c r="AE331" t="str">
        <f>IF(ISNUMBER(MATCH("N/A",J331:N331,0)),"",IFERROR((5 * SUMPRODUCT(J144:N144,J331:N331) - PRODUCT(SUM(J144:N144),SUM(J331:N331))) / ((5 * SUM((J144^2)+(K144^2)+(L144^2)+(M144^2)+(N144^2))) - SUM(J144:N144)^2),""))</f>
        <v/>
      </c>
      <c r="AF331" t="str">
        <f>IFERROR(CORREL(J144:N144,J331:N331),"")</f>
        <v/>
      </c>
      <c r="AZ331">
        <f t="shared" si="105"/>
        <v>0</v>
      </c>
      <c r="BA331" t="str">
        <f>IF(AZ331=1,IF(Q331="","",IF(Q331=N144,"Yes","No")),"")</f>
        <v/>
      </c>
      <c r="BB331" t="str">
        <f t="shared" si="106"/>
        <v/>
      </c>
      <c r="BC331" t="str">
        <f>IF(AZ331=1,IF(S331="","",IF(S331=N144,"Yes","No")),"")</f>
        <v/>
      </c>
      <c r="BD331" t="str">
        <f t="shared" si="107"/>
        <v/>
      </c>
      <c r="BE331" t="str">
        <f t="shared" si="108"/>
        <v/>
      </c>
      <c r="BF331" t="str">
        <f t="shared" si="109"/>
        <v>No</v>
      </c>
      <c r="BG331" t="str">
        <f t="shared" si="110"/>
        <v>No</v>
      </c>
      <c r="BH331" t="str">
        <f t="shared" si="111"/>
        <v/>
      </c>
    </row>
    <row r="332" spans="9:60" x14ac:dyDescent="0.3">
      <c r="I332" t="str">
        <f t="shared" si="118"/>
        <v>N/A</v>
      </c>
      <c r="J332" t="str">
        <f t="shared" si="119"/>
        <v>N/A</v>
      </c>
      <c r="K332" t="str">
        <f t="shared" si="120"/>
        <v>N/A</v>
      </c>
      <c r="L332" t="str">
        <f t="shared" si="121"/>
        <v>N/A</v>
      </c>
      <c r="M332" t="str">
        <f t="shared" si="122"/>
        <v>N/A</v>
      </c>
      <c r="N332" t="str">
        <f t="shared" si="123"/>
        <v>N/A</v>
      </c>
      <c r="P332">
        <f t="shared" si="94"/>
        <v>0</v>
      </c>
      <c r="Q332" t="str">
        <f>IFERROR(J144+MATCH(P332,J332:N332,0)-1,"")</f>
        <v/>
      </c>
      <c r="R332" t="str">
        <f t="shared" si="95"/>
        <v/>
      </c>
      <c r="S332" t="str">
        <f>IFERROR(J144+MATCH(R332,J332:N332,0)-1,"")</f>
        <v/>
      </c>
      <c r="T332" t="str">
        <f t="shared" si="96"/>
        <v/>
      </c>
      <c r="U332" t="str">
        <f t="shared" si="97"/>
        <v/>
      </c>
      <c r="V332" t="str">
        <f t="shared" si="98"/>
        <v/>
      </c>
      <c r="W332" t="str">
        <f t="shared" si="99"/>
        <v/>
      </c>
      <c r="X332" t="str">
        <f t="shared" si="100"/>
        <v/>
      </c>
      <c r="Y332" t="str">
        <f t="shared" si="101"/>
        <v/>
      </c>
      <c r="Z332" t="str">
        <f t="shared" si="102"/>
        <v/>
      </c>
      <c r="AA332">
        <f t="shared" si="103"/>
        <v>0</v>
      </c>
      <c r="AB332" t="str">
        <f>IFERROR(V144+MATCH(AA332,V332:Z332,0)-1,"")</f>
        <v/>
      </c>
      <c r="AC332" t="str">
        <f t="shared" si="104"/>
        <v/>
      </c>
      <c r="AE332" t="str">
        <f>IF(ISNUMBER(MATCH("N/A",J332:N332,0)),"",IFERROR((5 * SUMPRODUCT(J144:N144,J332:N332) - PRODUCT(SUM(J144:N144),SUM(J332:N332))) / ((5 * SUM((J144^2)+(K144^2)+(L144^2)+(M144^2)+(N144^2))) - SUM(J144:N144)^2),""))</f>
        <v/>
      </c>
      <c r="AF332" t="str">
        <f>IFERROR(CORREL(J144:N144,J332:N332),"")</f>
        <v/>
      </c>
      <c r="AZ332">
        <f t="shared" si="105"/>
        <v>0</v>
      </c>
      <c r="BA332" t="str">
        <f>IF(AZ332=1,IF(Q332="","",IF(Q332=N144,"Yes","No")),"")</f>
        <v/>
      </c>
      <c r="BB332" t="str">
        <f t="shared" si="106"/>
        <v/>
      </c>
      <c r="BC332" t="str">
        <f>IF(AZ332=1,IF(S332="","",IF(S332=N144,"Yes","No")),"")</f>
        <v/>
      </c>
      <c r="BD332" t="str">
        <f t="shared" si="107"/>
        <v/>
      </c>
      <c r="BE332" t="str">
        <f t="shared" si="108"/>
        <v/>
      </c>
      <c r="BF332" t="str">
        <f t="shared" si="109"/>
        <v>No</v>
      </c>
      <c r="BG332" t="str">
        <f t="shared" si="110"/>
        <v>No</v>
      </c>
      <c r="BH332" t="str">
        <f t="shared" si="111"/>
        <v/>
      </c>
    </row>
    <row r="333" spans="9:60" x14ac:dyDescent="0.3">
      <c r="I333" t="str">
        <f t="shared" si="118"/>
        <v>N/A</v>
      </c>
      <c r="J333" t="str">
        <f t="shared" si="119"/>
        <v>N/A</v>
      </c>
      <c r="K333" t="str">
        <f t="shared" si="120"/>
        <v>N/A</v>
      </c>
      <c r="L333" t="str">
        <f t="shared" si="121"/>
        <v>N/A</v>
      </c>
      <c r="M333" t="str">
        <f t="shared" si="122"/>
        <v>N/A</v>
      </c>
      <c r="N333" t="str">
        <f t="shared" si="123"/>
        <v>N/A</v>
      </c>
      <c r="P333">
        <f t="shared" si="94"/>
        <v>0</v>
      </c>
      <c r="Q333" t="str">
        <f>IFERROR(J144+MATCH(P333,J333:N333,0)-1,"")</f>
        <v/>
      </c>
      <c r="R333" t="str">
        <f t="shared" si="95"/>
        <v/>
      </c>
      <c r="S333" t="str">
        <f>IFERROR(J144+MATCH(R333,J333:N333,0)-1,"")</f>
        <v/>
      </c>
      <c r="T333" t="str">
        <f t="shared" si="96"/>
        <v/>
      </c>
      <c r="U333" t="str">
        <f t="shared" si="97"/>
        <v/>
      </c>
      <c r="V333" t="str">
        <f t="shared" si="98"/>
        <v/>
      </c>
      <c r="W333" t="str">
        <f t="shared" si="99"/>
        <v/>
      </c>
      <c r="X333" t="str">
        <f t="shared" si="100"/>
        <v/>
      </c>
      <c r="Y333" t="str">
        <f t="shared" si="101"/>
        <v/>
      </c>
      <c r="Z333" t="str">
        <f t="shared" si="102"/>
        <v/>
      </c>
      <c r="AA333">
        <f t="shared" si="103"/>
        <v>0</v>
      </c>
      <c r="AB333" t="str">
        <f>IFERROR(V144+MATCH(AA333,V333:Z333,0)-1,"")</f>
        <v/>
      </c>
      <c r="AC333" t="str">
        <f t="shared" si="104"/>
        <v/>
      </c>
      <c r="AE333" t="str">
        <f>IF(ISNUMBER(MATCH("N/A",J333:N333,0)),"",IFERROR((5 * SUMPRODUCT(J144:N144,J333:N333) - PRODUCT(SUM(J144:N144),SUM(J333:N333))) / ((5 * SUM((J144^2)+(K144^2)+(L144^2)+(M144^2)+(N144^2))) - SUM(J144:N144)^2),""))</f>
        <v/>
      </c>
      <c r="AF333" t="str">
        <f>IFERROR(CORREL(J144:N144,J333:N333),"")</f>
        <v/>
      </c>
      <c r="AZ333">
        <f t="shared" si="105"/>
        <v>0</v>
      </c>
      <c r="BA333" t="str">
        <f>IF(AZ333=1,IF(Q333="","",IF(Q333=N144,"Yes","No")),"")</f>
        <v/>
      </c>
      <c r="BB333" t="str">
        <f t="shared" si="106"/>
        <v/>
      </c>
      <c r="BC333" t="str">
        <f>IF(AZ333=1,IF(S333="","",IF(S333=N144,"Yes","No")),"")</f>
        <v/>
      </c>
      <c r="BD333" t="str">
        <f t="shared" si="107"/>
        <v/>
      </c>
      <c r="BE333" t="str">
        <f t="shared" si="108"/>
        <v/>
      </c>
      <c r="BF333" t="str">
        <f t="shared" si="109"/>
        <v>No</v>
      </c>
      <c r="BG333" t="str">
        <f t="shared" si="110"/>
        <v>No</v>
      </c>
      <c r="BH333" t="str">
        <f t="shared" si="111"/>
        <v/>
      </c>
    </row>
    <row r="334" spans="9:60" x14ac:dyDescent="0.3">
      <c r="I334" t="str">
        <f t="shared" si="118"/>
        <v>N/A</v>
      </c>
      <c r="J334" t="str">
        <f t="shared" si="119"/>
        <v>N/A</v>
      </c>
      <c r="K334" t="str">
        <f t="shared" si="120"/>
        <v>N/A</v>
      </c>
      <c r="L334" t="str">
        <f t="shared" si="121"/>
        <v>N/A</v>
      </c>
      <c r="M334" t="str">
        <f t="shared" si="122"/>
        <v>N/A</v>
      </c>
      <c r="N334" t="str">
        <f t="shared" si="123"/>
        <v>N/A</v>
      </c>
      <c r="P334">
        <f t="shared" si="94"/>
        <v>0</v>
      </c>
      <c r="Q334" t="str">
        <f>IFERROR(J144+MATCH(P334,J334:N334,0)-1,"")</f>
        <v/>
      </c>
      <c r="R334" t="str">
        <f t="shared" si="95"/>
        <v/>
      </c>
      <c r="S334" t="str">
        <f>IFERROR(J144+MATCH(R334,J334:N334,0)-1,"")</f>
        <v/>
      </c>
      <c r="T334" t="str">
        <f t="shared" si="96"/>
        <v/>
      </c>
      <c r="U334" t="str">
        <f t="shared" si="97"/>
        <v/>
      </c>
      <c r="V334" t="str">
        <f t="shared" si="98"/>
        <v/>
      </c>
      <c r="W334" t="str">
        <f t="shared" si="99"/>
        <v/>
      </c>
      <c r="X334" t="str">
        <f t="shared" si="100"/>
        <v/>
      </c>
      <c r="Y334" t="str">
        <f t="shared" si="101"/>
        <v/>
      </c>
      <c r="Z334" t="str">
        <f t="shared" si="102"/>
        <v/>
      </c>
      <c r="AA334">
        <f t="shared" si="103"/>
        <v>0</v>
      </c>
      <c r="AB334" t="str">
        <f>IFERROR(V144+MATCH(AA334,V334:Z334,0)-1,"")</f>
        <v/>
      </c>
      <c r="AC334" t="str">
        <f t="shared" si="104"/>
        <v/>
      </c>
      <c r="AE334" t="str">
        <f>IF(ISNUMBER(MATCH("N/A",J334:N334,0)),"",IFERROR((5 * SUMPRODUCT(J144:N144,J334:N334) - PRODUCT(SUM(J144:N144),SUM(J334:N334))) / ((5 * SUM((J144^2)+(K144^2)+(L144^2)+(M144^2)+(N144^2))) - SUM(J144:N144)^2),""))</f>
        <v/>
      </c>
      <c r="AF334" t="str">
        <f>IFERROR(CORREL(J144:N144,J334:N334),"")</f>
        <v/>
      </c>
      <c r="AZ334">
        <f t="shared" si="105"/>
        <v>0</v>
      </c>
      <c r="BA334" t="str">
        <f>IF(AZ334=1,IF(Q334="","",IF(Q334=N144,"Yes","No")),"")</f>
        <v/>
      </c>
      <c r="BB334" t="str">
        <f t="shared" si="106"/>
        <v/>
      </c>
      <c r="BC334" t="str">
        <f>IF(AZ334=1,IF(S334="","",IF(S334=N144,"Yes","No")),"")</f>
        <v/>
      </c>
      <c r="BD334" t="str">
        <f t="shared" si="107"/>
        <v/>
      </c>
      <c r="BE334" t="str">
        <f t="shared" si="108"/>
        <v/>
      </c>
      <c r="BF334" t="str">
        <f t="shared" si="109"/>
        <v>No</v>
      </c>
      <c r="BG334" t="str">
        <f t="shared" si="110"/>
        <v>No</v>
      </c>
      <c r="BH334" t="str">
        <f t="shared" si="111"/>
        <v/>
      </c>
    </row>
    <row r="335" spans="9:60" x14ac:dyDescent="0.3">
      <c r="I335" t="str">
        <f t="shared" si="118"/>
        <v>N/A</v>
      </c>
      <c r="J335" t="str">
        <f t="shared" si="119"/>
        <v>N/A</v>
      </c>
      <c r="K335" t="str">
        <f t="shared" si="120"/>
        <v>N/A</v>
      </c>
      <c r="L335" t="str">
        <f t="shared" si="121"/>
        <v>N/A</v>
      </c>
      <c r="M335" t="str">
        <f t="shared" si="122"/>
        <v>N/A</v>
      </c>
      <c r="N335" t="str">
        <f t="shared" si="123"/>
        <v>N/A</v>
      </c>
      <c r="P335">
        <f t="shared" si="94"/>
        <v>0</v>
      </c>
      <c r="Q335" t="str">
        <f>IFERROR(J144+MATCH(P335,J335:N335,0)-1,"")</f>
        <v/>
      </c>
      <c r="R335" t="str">
        <f t="shared" si="95"/>
        <v/>
      </c>
      <c r="S335" t="str">
        <f>IFERROR(J144+MATCH(R335,J335:N335,0)-1,"")</f>
        <v/>
      </c>
      <c r="T335" t="str">
        <f t="shared" si="96"/>
        <v/>
      </c>
      <c r="U335" t="str">
        <f t="shared" si="97"/>
        <v/>
      </c>
      <c r="V335" t="str">
        <f t="shared" si="98"/>
        <v/>
      </c>
      <c r="W335" t="str">
        <f t="shared" si="99"/>
        <v/>
      </c>
      <c r="X335" t="str">
        <f t="shared" si="100"/>
        <v/>
      </c>
      <c r="Y335" t="str">
        <f t="shared" si="101"/>
        <v/>
      </c>
      <c r="Z335" t="str">
        <f t="shared" si="102"/>
        <v/>
      </c>
      <c r="AA335">
        <f t="shared" si="103"/>
        <v>0</v>
      </c>
      <c r="AB335" t="str">
        <f>IFERROR(V144+MATCH(AA335,V335:Z335,0)-1,"")</f>
        <v/>
      </c>
      <c r="AC335" t="str">
        <f t="shared" si="104"/>
        <v/>
      </c>
      <c r="AE335" t="str">
        <f>IF(ISNUMBER(MATCH("N/A",J335:N335,0)),"",IFERROR((5 * SUMPRODUCT(J144:N144,J335:N335) - PRODUCT(SUM(J144:N144),SUM(J335:N335))) / ((5 * SUM((J144^2)+(K144^2)+(L144^2)+(M144^2)+(N144^2))) - SUM(J144:N144)^2),""))</f>
        <v/>
      </c>
      <c r="AF335" t="str">
        <f>IFERROR(CORREL(J144:N144,J335:N335),"")</f>
        <v/>
      </c>
      <c r="AZ335">
        <f t="shared" si="105"/>
        <v>0</v>
      </c>
      <c r="BA335" t="str">
        <f>IF(AZ335=1,IF(Q335="","",IF(Q335=N144,"Yes","No")),"")</f>
        <v/>
      </c>
      <c r="BB335" t="str">
        <f t="shared" si="106"/>
        <v/>
      </c>
      <c r="BC335" t="str">
        <f>IF(AZ335=1,IF(S335="","",IF(S335=N144,"Yes","No")),"")</f>
        <v/>
      </c>
      <c r="BD335" t="str">
        <f t="shared" si="107"/>
        <v/>
      </c>
      <c r="BE335" t="str">
        <f t="shared" si="108"/>
        <v/>
      </c>
      <c r="BF335" t="str">
        <f t="shared" si="109"/>
        <v>No</v>
      </c>
      <c r="BG335" t="str">
        <f t="shared" si="110"/>
        <v>No</v>
      </c>
      <c r="BH335" t="str">
        <f t="shared" si="111"/>
        <v/>
      </c>
    </row>
    <row r="336" spans="9:60" x14ac:dyDescent="0.3">
      <c r="I336" t="str">
        <f t="shared" si="118"/>
        <v>N/A</v>
      </c>
      <c r="J336" t="str">
        <f t="shared" si="119"/>
        <v>N/A</v>
      </c>
      <c r="K336" t="str">
        <f t="shared" si="120"/>
        <v>N/A</v>
      </c>
      <c r="L336" t="str">
        <f t="shared" si="121"/>
        <v>N/A</v>
      </c>
      <c r="M336" t="str">
        <f t="shared" si="122"/>
        <v>N/A</v>
      </c>
      <c r="N336" t="str">
        <f t="shared" si="123"/>
        <v>N/A</v>
      </c>
      <c r="P336">
        <f t="shared" si="94"/>
        <v>0</v>
      </c>
      <c r="Q336" t="str">
        <f>IFERROR(J144+MATCH(P336,J336:N336,0)-1,"")</f>
        <v/>
      </c>
      <c r="R336" t="str">
        <f t="shared" si="95"/>
        <v/>
      </c>
      <c r="S336" t="str">
        <f>IFERROR(J144+MATCH(R336,J336:N336,0)-1,"")</f>
        <v/>
      </c>
      <c r="T336" t="str">
        <f t="shared" si="96"/>
        <v/>
      </c>
      <c r="U336" t="str">
        <f t="shared" si="97"/>
        <v/>
      </c>
      <c r="V336" t="str">
        <f t="shared" si="98"/>
        <v/>
      </c>
      <c r="W336" t="str">
        <f t="shared" si="99"/>
        <v/>
      </c>
      <c r="X336" t="str">
        <f t="shared" si="100"/>
        <v/>
      </c>
      <c r="Y336" t="str">
        <f t="shared" si="101"/>
        <v/>
      </c>
      <c r="Z336" t="str">
        <f t="shared" si="102"/>
        <v/>
      </c>
      <c r="AA336">
        <f t="shared" si="103"/>
        <v>0</v>
      </c>
      <c r="AB336" t="str">
        <f>IFERROR(V144+MATCH(AA336,V336:Z336,0)-1,"")</f>
        <v/>
      </c>
      <c r="AC336" t="str">
        <f t="shared" si="104"/>
        <v/>
      </c>
      <c r="AE336" t="str">
        <f>IF(ISNUMBER(MATCH("N/A",J336:N336,0)),"",IFERROR((5 * SUMPRODUCT(J144:N144,J336:N336) - PRODUCT(SUM(J144:N144),SUM(J336:N336))) / ((5 * SUM((J144^2)+(K144^2)+(L144^2)+(M144^2)+(N144^2))) - SUM(J144:N144)^2),""))</f>
        <v/>
      </c>
      <c r="AF336" t="str">
        <f>IFERROR(CORREL(J144:N144,J336:N336),"")</f>
        <v/>
      </c>
      <c r="AZ336">
        <f t="shared" si="105"/>
        <v>0</v>
      </c>
      <c r="BA336" t="str">
        <f>IF(AZ336=1,IF(Q336="","",IF(Q336=N144,"Yes","No")),"")</f>
        <v/>
      </c>
      <c r="BB336" t="str">
        <f t="shared" si="106"/>
        <v/>
      </c>
      <c r="BC336" t="str">
        <f>IF(AZ336=1,IF(S336="","",IF(S336=N144,"Yes","No")),"")</f>
        <v/>
      </c>
      <c r="BD336" t="str">
        <f t="shared" si="107"/>
        <v/>
      </c>
      <c r="BE336" t="str">
        <f t="shared" si="108"/>
        <v/>
      </c>
      <c r="BF336" t="str">
        <f t="shared" si="109"/>
        <v>No</v>
      </c>
      <c r="BG336" t="str">
        <f t="shared" si="110"/>
        <v>No</v>
      </c>
      <c r="BH336" t="str">
        <f t="shared" si="111"/>
        <v/>
      </c>
    </row>
    <row r="337" spans="9:60" x14ac:dyDescent="0.3">
      <c r="I337" t="str">
        <f t="shared" si="118"/>
        <v>N/A</v>
      </c>
      <c r="J337" t="str">
        <f t="shared" si="119"/>
        <v>N/A</v>
      </c>
      <c r="K337" t="str">
        <f t="shared" si="120"/>
        <v>N/A</v>
      </c>
      <c r="L337" t="str">
        <f t="shared" si="121"/>
        <v>N/A</v>
      </c>
      <c r="M337" t="str">
        <f t="shared" si="122"/>
        <v>N/A</v>
      </c>
      <c r="N337" t="str">
        <f t="shared" si="123"/>
        <v>N/A</v>
      </c>
      <c r="P337">
        <f t="shared" ref="P337:P353" si="124">MAX(J337:N337)</f>
        <v>0</v>
      </c>
      <c r="Q337" t="str">
        <f>IFERROR(J144+MATCH(P337,J337:N337,0)-1,"")</f>
        <v/>
      </c>
      <c r="R337" t="str">
        <f t="shared" ref="R337:R400" si="125">IF(Q337="","",MIN(J337:N337))</f>
        <v/>
      </c>
      <c r="S337" t="str">
        <f>IFERROR(J144+MATCH(R337,J337:N337,0)-1,"")</f>
        <v/>
      </c>
      <c r="T337" t="str">
        <f t="shared" ref="T337:T353" si="126">IFERROR(AVERAGE(J337:N337),"")</f>
        <v/>
      </c>
      <c r="U337" t="str">
        <f t="shared" ref="U337:U353" si="127">IFERROR(STDEV(J337:N337),"")</f>
        <v/>
      </c>
      <c r="V337" t="str">
        <f t="shared" ref="V337:V400" si="128">IFERROR(IF(C337="-","",IF(ISBLANK(B337),"",IF(OR(ISNUMBER(FIND("Growth",B337)),ISNUMBER(FIND("Margin",B337))),"",(J337-T337)/U337))),"")</f>
        <v/>
      </c>
      <c r="W337" t="str">
        <f t="shared" ref="W337:W353" si="129">IFERROR(IF(OR(D337="-",ISBLANK(D337)),"",(K337-T337)/U337),"")</f>
        <v/>
      </c>
      <c r="X337" t="str">
        <f t="shared" ref="X337:X353" si="130">IFERROR(IF(OR(E337="-",ISBLANK(E337)),"",(L337-T337)/U337),"")</f>
        <v/>
      </c>
      <c r="Y337" t="str">
        <f t="shared" ref="Y337:Y353" si="131">IFERROR(IF(OR(F337="-",ISBLANK(F337)),"",(M337-T337)/U337),"")</f>
        <v/>
      </c>
      <c r="Z337" t="str">
        <f t="shared" ref="Z337:Z353" si="132">IFERROR(IF(OR(G337="-",ISBLANK(G337)),"",(N337-T337)/U337),"")</f>
        <v/>
      </c>
      <c r="AA337">
        <f t="shared" ref="AA337:AA400" si="133">IF(MAX(MAX(V337:Z337),ABS(MIN(V337:Z337)))=ABS(MIN(V337:Z337)),MIN(V337:Z337),MAX(V337:Z337))</f>
        <v>0</v>
      </c>
      <c r="AB337" t="str">
        <f>IFERROR(V144+MATCH(AA337,V337:Z337,0)-1,"")</f>
        <v/>
      </c>
      <c r="AC337" t="str">
        <f t="shared" ref="AC337:AC400" si="134">IF(AB337&lt;&gt;"",IF(S337=AB337,"Low",IF(AB337=Q337,"High","")),"")</f>
        <v/>
      </c>
      <c r="AE337" t="str">
        <f>IF(ISNUMBER(MATCH("N/A",J337:N337,0)),"",IFERROR((5 * SUMPRODUCT(J144:N144,J337:N337) - PRODUCT(SUM(J144:N144),SUM(J337:N337))) / ((5 * SUM((J144^2)+(K144^2)+(L144^2)+(M144^2)+(N144^2))) - SUM(J144:N144)^2),""))</f>
        <v/>
      </c>
      <c r="AF337" t="str">
        <f>IFERROR(CORREL(J144:N144,J337:N337),"")</f>
        <v/>
      </c>
      <c r="AZ337">
        <f t="shared" ref="AZ337:AZ352" si="135">IF(Q337=S337,0,1)</f>
        <v>0</v>
      </c>
      <c r="BA337" t="str">
        <f>IF(AZ337=1,IF(Q337="","",IF(Q337=N144,"Yes","No")),"")</f>
        <v/>
      </c>
      <c r="BB337" t="str">
        <f t="shared" ref="BB337:BB400" si="136">IF(BA337="Yes",P337,"")</f>
        <v/>
      </c>
      <c r="BC337" t="str">
        <f>IF(AZ337=1,IF(S337="","",IF(S337=N144,"Yes","No")),"")</f>
        <v/>
      </c>
      <c r="BD337" t="str">
        <f t="shared" ref="BD337:BD400" si="137">IF(BC337="Yes",R337,"")</f>
        <v/>
      </c>
      <c r="BE337" t="str">
        <f t="shared" ref="BE337:BE352" si="138">IFERROR(IF(SIGN(AE337)=1,"Increasing",IF(SIGN(AE337)=-1,"Decreasing","")),"")</f>
        <v/>
      </c>
      <c r="BF337" t="str">
        <f t="shared" ref="BF337:BF400" si="139">IF(OR(AND(BE337="Increasing",BA337="Yes"),AND(BE337="Decreasing",BC337="Yes")),"Yes","No")</f>
        <v>No</v>
      </c>
      <c r="BG337" t="str">
        <f t="shared" ref="BG337:BG352" si="140">IF(I337="pos_trend","Yes","No")</f>
        <v>No</v>
      </c>
      <c r="BH337" t="str">
        <f t="shared" ref="BH337:BH352" si="141">IF(AF337&lt;&gt;"",IF(ABS(AF337)&gt;0.8,"Yes","No"),"")</f>
        <v/>
      </c>
    </row>
    <row r="338" spans="9:60" x14ac:dyDescent="0.3">
      <c r="I338" t="str">
        <f t="shared" si="118"/>
        <v>N/A</v>
      </c>
      <c r="J338" t="str">
        <f t="shared" si="119"/>
        <v>N/A</v>
      </c>
      <c r="K338" t="str">
        <f t="shared" si="120"/>
        <v>N/A</v>
      </c>
      <c r="L338" t="str">
        <f t="shared" si="121"/>
        <v>N/A</v>
      </c>
      <c r="M338" t="str">
        <f t="shared" si="122"/>
        <v>N/A</v>
      </c>
      <c r="N338" t="str">
        <f t="shared" si="123"/>
        <v>N/A</v>
      </c>
      <c r="P338">
        <f t="shared" si="124"/>
        <v>0</v>
      </c>
      <c r="Q338" t="str">
        <f>IFERROR(J144+MATCH(P338,J338:N338,0)-1,"")</f>
        <v/>
      </c>
      <c r="R338" t="str">
        <f t="shared" si="125"/>
        <v/>
      </c>
      <c r="S338" t="str">
        <f>IFERROR(J144+MATCH(R338,J338:N338,0)-1,"")</f>
        <v/>
      </c>
      <c r="T338" t="str">
        <f t="shared" si="126"/>
        <v/>
      </c>
      <c r="U338" t="str">
        <f t="shared" si="127"/>
        <v/>
      </c>
      <c r="V338" t="str">
        <f t="shared" si="128"/>
        <v/>
      </c>
      <c r="W338" t="str">
        <f t="shared" si="129"/>
        <v/>
      </c>
      <c r="X338" t="str">
        <f t="shared" si="130"/>
        <v/>
      </c>
      <c r="Y338" t="str">
        <f t="shared" si="131"/>
        <v/>
      </c>
      <c r="Z338" t="str">
        <f t="shared" si="132"/>
        <v/>
      </c>
      <c r="AA338">
        <f t="shared" si="133"/>
        <v>0</v>
      </c>
      <c r="AB338" t="str">
        <f>IFERROR(V144+MATCH(AA338,V338:Z338,0)-1,"")</f>
        <v/>
      </c>
      <c r="AC338" t="str">
        <f t="shared" si="134"/>
        <v/>
      </c>
      <c r="AE338" t="str">
        <f>IF(ISNUMBER(MATCH("N/A",J338:N338,0)),"",IFERROR((5 * SUMPRODUCT(J144:N144,J338:N338) - PRODUCT(SUM(J144:N144),SUM(J338:N338))) / ((5 * SUM((J144^2)+(K144^2)+(L144^2)+(M144^2)+(N144^2))) - SUM(J144:N144)^2),""))</f>
        <v/>
      </c>
      <c r="AF338" t="str">
        <f>IFERROR(CORREL(J144:N144,J338:N338),"")</f>
        <v/>
      </c>
      <c r="AZ338">
        <f t="shared" si="135"/>
        <v>0</v>
      </c>
      <c r="BA338" t="str">
        <f>IF(AZ338=1,IF(Q338="","",IF(Q338=N144,"Yes","No")),"")</f>
        <v/>
      </c>
      <c r="BB338" t="str">
        <f t="shared" si="136"/>
        <v/>
      </c>
      <c r="BC338" t="str">
        <f>IF(AZ338=1,IF(S338="","",IF(S338=N144,"Yes","No")),"")</f>
        <v/>
      </c>
      <c r="BD338" t="str">
        <f t="shared" si="137"/>
        <v/>
      </c>
      <c r="BE338" t="str">
        <f t="shared" si="138"/>
        <v/>
      </c>
      <c r="BF338" t="str">
        <f t="shared" si="139"/>
        <v>No</v>
      </c>
      <c r="BG338" t="str">
        <f t="shared" si="140"/>
        <v>No</v>
      </c>
      <c r="BH338" t="str">
        <f t="shared" si="141"/>
        <v/>
      </c>
    </row>
    <row r="339" spans="9:60" x14ac:dyDescent="0.3">
      <c r="I339" t="str">
        <f t="shared" si="118"/>
        <v>N/A</v>
      </c>
      <c r="J339" t="str">
        <f t="shared" si="119"/>
        <v>N/A</v>
      </c>
      <c r="K339" t="str">
        <f t="shared" si="120"/>
        <v>N/A</v>
      </c>
      <c r="L339" t="str">
        <f t="shared" si="121"/>
        <v>N/A</v>
      </c>
      <c r="M339" t="str">
        <f t="shared" si="122"/>
        <v>N/A</v>
      </c>
      <c r="N339" t="str">
        <f t="shared" si="123"/>
        <v>N/A</v>
      </c>
      <c r="P339">
        <f t="shared" si="124"/>
        <v>0</v>
      </c>
      <c r="Q339" t="str">
        <f>IFERROR(J144+MATCH(P339,J339:N339,0)-1,"")</f>
        <v/>
      </c>
      <c r="R339" t="str">
        <f t="shared" si="125"/>
        <v/>
      </c>
      <c r="S339" t="str">
        <f>IFERROR(J144+MATCH(R339,J339:N339,0)-1,"")</f>
        <v/>
      </c>
      <c r="T339" t="str">
        <f t="shared" si="126"/>
        <v/>
      </c>
      <c r="U339" t="str">
        <f t="shared" si="127"/>
        <v/>
      </c>
      <c r="V339" t="str">
        <f t="shared" si="128"/>
        <v/>
      </c>
      <c r="W339" t="str">
        <f t="shared" si="129"/>
        <v/>
      </c>
      <c r="X339" t="str">
        <f t="shared" si="130"/>
        <v/>
      </c>
      <c r="Y339" t="str">
        <f t="shared" si="131"/>
        <v/>
      </c>
      <c r="Z339" t="str">
        <f t="shared" si="132"/>
        <v/>
      </c>
      <c r="AA339">
        <f t="shared" si="133"/>
        <v>0</v>
      </c>
      <c r="AB339" t="str">
        <f>IFERROR(V144+MATCH(AA339,V339:Z339,0)-1,"")</f>
        <v/>
      </c>
      <c r="AC339" t="str">
        <f t="shared" si="134"/>
        <v/>
      </c>
      <c r="AE339" t="str">
        <f>IF(ISNUMBER(MATCH("N/A",J339:N339,0)),"",IFERROR((5 * SUMPRODUCT(J144:N144,J339:N339) - PRODUCT(SUM(J144:N144),SUM(J339:N339))) / ((5 * SUM((J144^2)+(K144^2)+(L144^2)+(M144^2)+(N144^2))) - SUM(J144:N144)^2),""))</f>
        <v/>
      </c>
      <c r="AF339" t="str">
        <f>IFERROR(CORREL(J144:N144,J339:N339),"")</f>
        <v/>
      </c>
      <c r="AZ339">
        <f t="shared" si="135"/>
        <v>0</v>
      </c>
      <c r="BA339" t="str">
        <f>IF(AZ339=1,IF(Q339="","",IF(Q339=N144,"Yes","No")),"")</f>
        <v/>
      </c>
      <c r="BB339" t="str">
        <f t="shared" si="136"/>
        <v/>
      </c>
      <c r="BC339" t="str">
        <f>IF(AZ339=1,IF(S339="","",IF(S339=N144,"Yes","No")),"")</f>
        <v/>
      </c>
      <c r="BD339" t="str">
        <f t="shared" si="137"/>
        <v/>
      </c>
      <c r="BE339" t="str">
        <f t="shared" si="138"/>
        <v/>
      </c>
      <c r="BF339" t="str">
        <f t="shared" si="139"/>
        <v>No</v>
      </c>
      <c r="BG339" t="str">
        <f t="shared" si="140"/>
        <v>No</v>
      </c>
      <c r="BH339" t="str">
        <f t="shared" si="141"/>
        <v/>
      </c>
    </row>
    <row r="340" spans="9:60" x14ac:dyDescent="0.3">
      <c r="I340" t="str">
        <f t="shared" si="118"/>
        <v>N/A</v>
      </c>
      <c r="J340" t="str">
        <f t="shared" si="119"/>
        <v>N/A</v>
      </c>
      <c r="K340" t="str">
        <f t="shared" si="120"/>
        <v>N/A</v>
      </c>
      <c r="L340" t="str">
        <f t="shared" si="121"/>
        <v>N/A</v>
      </c>
      <c r="M340" t="str">
        <f t="shared" si="122"/>
        <v>N/A</v>
      </c>
      <c r="N340" t="str">
        <f t="shared" si="123"/>
        <v>N/A</v>
      </c>
      <c r="P340">
        <f t="shared" si="124"/>
        <v>0</v>
      </c>
      <c r="Q340" t="str">
        <f>IFERROR(J144+MATCH(P340,J340:N340,0)-1,"")</f>
        <v/>
      </c>
      <c r="R340" t="str">
        <f t="shared" si="125"/>
        <v/>
      </c>
      <c r="S340" t="str">
        <f>IFERROR(J144+MATCH(R340,J340:N340,0)-1,"")</f>
        <v/>
      </c>
      <c r="T340" t="str">
        <f t="shared" si="126"/>
        <v/>
      </c>
      <c r="U340" t="str">
        <f t="shared" si="127"/>
        <v/>
      </c>
      <c r="V340" t="str">
        <f t="shared" si="128"/>
        <v/>
      </c>
      <c r="W340" t="str">
        <f t="shared" si="129"/>
        <v/>
      </c>
      <c r="X340" t="str">
        <f t="shared" si="130"/>
        <v/>
      </c>
      <c r="Y340" t="str">
        <f t="shared" si="131"/>
        <v/>
      </c>
      <c r="Z340" t="str">
        <f t="shared" si="132"/>
        <v/>
      </c>
      <c r="AA340">
        <f t="shared" si="133"/>
        <v>0</v>
      </c>
      <c r="AB340" t="str">
        <f>IFERROR(V144+MATCH(AA340,V340:Z340,0)-1,"")</f>
        <v/>
      </c>
      <c r="AC340" t="str">
        <f t="shared" si="134"/>
        <v/>
      </c>
      <c r="AE340" t="str">
        <f>IF(ISNUMBER(MATCH("N/A",J340:N340,0)),"",IFERROR((5 * SUMPRODUCT(J144:N144,J340:N340) - PRODUCT(SUM(J144:N144),SUM(J340:N340))) / ((5 * SUM((J144^2)+(K144^2)+(L144^2)+(M144^2)+(N144^2))) - SUM(J144:N144)^2),""))</f>
        <v/>
      </c>
      <c r="AF340" t="str">
        <f>IFERROR(CORREL(J144:N144,J340:N340),"")</f>
        <v/>
      </c>
      <c r="AZ340">
        <f t="shared" si="135"/>
        <v>0</v>
      </c>
      <c r="BA340" t="str">
        <f>IF(AZ340=1,IF(Q340="","",IF(Q340=N144,"Yes","No")),"")</f>
        <v/>
      </c>
      <c r="BB340" t="str">
        <f t="shared" si="136"/>
        <v/>
      </c>
      <c r="BC340" t="str">
        <f>IF(AZ340=1,IF(S340="","",IF(S340=N144,"Yes","No")),"")</f>
        <v/>
      </c>
      <c r="BD340" t="str">
        <f t="shared" si="137"/>
        <v/>
      </c>
      <c r="BE340" t="str">
        <f t="shared" si="138"/>
        <v/>
      </c>
      <c r="BF340" t="str">
        <f t="shared" si="139"/>
        <v>No</v>
      </c>
      <c r="BG340" t="str">
        <f t="shared" si="140"/>
        <v>No</v>
      </c>
      <c r="BH340" t="str">
        <f t="shared" si="141"/>
        <v/>
      </c>
    </row>
    <row r="341" spans="9:60" x14ac:dyDescent="0.3">
      <c r="I341" t="str">
        <f t="shared" si="118"/>
        <v>N/A</v>
      </c>
      <c r="J341" t="str">
        <f t="shared" si="119"/>
        <v>N/A</v>
      </c>
      <c r="K341" t="str">
        <f t="shared" si="120"/>
        <v>N/A</v>
      </c>
      <c r="L341" t="str">
        <f t="shared" si="121"/>
        <v>N/A</v>
      </c>
      <c r="M341" t="str">
        <f t="shared" si="122"/>
        <v>N/A</v>
      </c>
      <c r="N341" t="str">
        <f t="shared" si="123"/>
        <v>N/A</v>
      </c>
      <c r="P341">
        <f t="shared" si="124"/>
        <v>0</v>
      </c>
      <c r="Q341" t="str">
        <f>IFERROR(J144+MATCH(P341,J341:N341,0)-1,"")</f>
        <v/>
      </c>
      <c r="R341" t="str">
        <f t="shared" si="125"/>
        <v/>
      </c>
      <c r="S341" t="str">
        <f>IFERROR(J144+MATCH(R341,J341:N341,0)-1,"")</f>
        <v/>
      </c>
      <c r="T341" t="str">
        <f t="shared" si="126"/>
        <v/>
      </c>
      <c r="U341" t="str">
        <f t="shared" si="127"/>
        <v/>
      </c>
      <c r="V341" t="str">
        <f t="shared" si="128"/>
        <v/>
      </c>
      <c r="W341" t="str">
        <f t="shared" si="129"/>
        <v/>
      </c>
      <c r="X341" t="str">
        <f t="shared" si="130"/>
        <v/>
      </c>
      <c r="Y341" t="str">
        <f t="shared" si="131"/>
        <v/>
      </c>
      <c r="Z341" t="str">
        <f t="shared" si="132"/>
        <v/>
      </c>
      <c r="AA341">
        <f t="shared" si="133"/>
        <v>0</v>
      </c>
      <c r="AB341" t="str">
        <f>IFERROR(V144+MATCH(AA341,V341:Z341,0)-1,"")</f>
        <v/>
      </c>
      <c r="AC341" t="str">
        <f t="shared" si="134"/>
        <v/>
      </c>
      <c r="AE341" t="str">
        <f>IF(ISNUMBER(MATCH("N/A",J341:N341,0)),"",IFERROR((5 * SUMPRODUCT(J144:N144,J341:N341) - PRODUCT(SUM(J144:N144),SUM(J341:N341))) / ((5 * SUM((J144^2)+(K144^2)+(L144^2)+(M144^2)+(N144^2))) - SUM(J144:N144)^2),""))</f>
        <v/>
      </c>
      <c r="AF341" t="str">
        <f>IFERROR(CORREL(J144:N144,J341:N341),"")</f>
        <v/>
      </c>
      <c r="AZ341">
        <f t="shared" si="135"/>
        <v>0</v>
      </c>
      <c r="BA341" t="str">
        <f>IF(AZ341=1,IF(Q341="","",IF(Q341=N144,"Yes","No")),"")</f>
        <v/>
      </c>
      <c r="BB341" t="str">
        <f t="shared" si="136"/>
        <v/>
      </c>
      <c r="BC341" t="str">
        <f>IF(AZ341=1,IF(S341="","",IF(S341=N144,"Yes","No")),"")</f>
        <v/>
      </c>
      <c r="BD341" t="str">
        <f t="shared" si="137"/>
        <v/>
      </c>
      <c r="BE341" t="str">
        <f t="shared" si="138"/>
        <v/>
      </c>
      <c r="BF341" t="str">
        <f t="shared" si="139"/>
        <v>No</v>
      </c>
      <c r="BG341" t="str">
        <f t="shared" si="140"/>
        <v>No</v>
      </c>
      <c r="BH341" t="str">
        <f t="shared" si="141"/>
        <v/>
      </c>
    </row>
    <row r="342" spans="9:60" x14ac:dyDescent="0.3">
      <c r="I342" t="str">
        <f t="shared" si="118"/>
        <v>N/A</v>
      </c>
      <c r="J342" t="str">
        <f t="shared" si="119"/>
        <v>N/A</v>
      </c>
      <c r="K342" t="str">
        <f t="shared" si="120"/>
        <v>N/A</v>
      </c>
      <c r="L342" t="str">
        <f t="shared" si="121"/>
        <v>N/A</v>
      </c>
      <c r="M342" t="str">
        <f t="shared" si="122"/>
        <v>N/A</v>
      </c>
      <c r="N342" t="str">
        <f t="shared" si="123"/>
        <v>N/A</v>
      </c>
      <c r="P342">
        <f t="shared" si="124"/>
        <v>0</v>
      </c>
      <c r="Q342" t="str">
        <f>IFERROR(J144+MATCH(P342,J342:N342,0)-1,"")</f>
        <v/>
      </c>
      <c r="R342" t="str">
        <f t="shared" si="125"/>
        <v/>
      </c>
      <c r="S342" t="str">
        <f>IFERROR(J144+MATCH(R342,J342:N342,0)-1,"")</f>
        <v/>
      </c>
      <c r="T342" t="str">
        <f t="shared" si="126"/>
        <v/>
      </c>
      <c r="U342" t="str">
        <f t="shared" si="127"/>
        <v/>
      </c>
      <c r="V342" t="str">
        <f t="shared" si="128"/>
        <v/>
      </c>
      <c r="W342" t="str">
        <f t="shared" si="129"/>
        <v/>
      </c>
      <c r="X342" t="str">
        <f t="shared" si="130"/>
        <v/>
      </c>
      <c r="Y342" t="str">
        <f t="shared" si="131"/>
        <v/>
      </c>
      <c r="Z342" t="str">
        <f t="shared" si="132"/>
        <v/>
      </c>
      <c r="AA342">
        <f t="shared" si="133"/>
        <v>0</v>
      </c>
      <c r="AB342" t="str">
        <f>IFERROR(V144+MATCH(AA342,V342:Z342,0)-1,"")</f>
        <v/>
      </c>
      <c r="AC342" t="str">
        <f t="shared" si="134"/>
        <v/>
      </c>
      <c r="AE342" t="str">
        <f>IF(ISNUMBER(MATCH("N/A",J342:N342,0)),"",IFERROR((5 * SUMPRODUCT(J144:N144,J342:N342) - PRODUCT(SUM(J144:N144),SUM(J342:N342))) / ((5 * SUM((J144^2)+(K144^2)+(L144^2)+(M144^2)+(N144^2))) - SUM(J144:N144)^2),""))</f>
        <v/>
      </c>
      <c r="AF342" t="str">
        <f>IFERROR(CORREL(J144:N144,J342:N342),"")</f>
        <v/>
      </c>
      <c r="AZ342">
        <f t="shared" si="135"/>
        <v>0</v>
      </c>
      <c r="BA342" t="str">
        <f>IF(AZ342=1,IF(Q342="","",IF(Q342=N144,"Yes","No")),"")</f>
        <v/>
      </c>
      <c r="BB342" t="str">
        <f t="shared" si="136"/>
        <v/>
      </c>
      <c r="BC342" t="str">
        <f>IF(AZ342=1,IF(S342="","",IF(S342=N144,"Yes","No")),"")</f>
        <v/>
      </c>
      <c r="BD342" t="str">
        <f t="shared" si="137"/>
        <v/>
      </c>
      <c r="BE342" t="str">
        <f t="shared" si="138"/>
        <v/>
      </c>
      <c r="BF342" t="str">
        <f t="shared" si="139"/>
        <v>No</v>
      </c>
      <c r="BG342" t="str">
        <f t="shared" si="140"/>
        <v>No</v>
      </c>
      <c r="BH342" t="str">
        <f t="shared" si="141"/>
        <v/>
      </c>
    </row>
    <row r="343" spans="9:60" x14ac:dyDescent="0.3">
      <c r="I343" t="str">
        <f t="shared" si="118"/>
        <v>N/A</v>
      </c>
      <c r="J343" t="str">
        <f t="shared" si="119"/>
        <v>N/A</v>
      </c>
      <c r="K343" t="str">
        <f t="shared" si="120"/>
        <v>N/A</v>
      </c>
      <c r="L343" t="str">
        <f t="shared" si="121"/>
        <v>N/A</v>
      </c>
      <c r="M343" t="str">
        <f t="shared" si="122"/>
        <v>N/A</v>
      </c>
      <c r="N343" t="str">
        <f t="shared" si="123"/>
        <v>N/A</v>
      </c>
      <c r="P343">
        <f t="shared" si="124"/>
        <v>0</v>
      </c>
      <c r="Q343" t="str">
        <f>IFERROR(J144+MATCH(P343,J343:N343,0)-1,"")</f>
        <v/>
      </c>
      <c r="R343" t="str">
        <f t="shared" si="125"/>
        <v/>
      </c>
      <c r="S343" t="str">
        <f>IFERROR(J144+MATCH(R343,J343:N343,0)-1,"")</f>
        <v/>
      </c>
      <c r="T343" t="str">
        <f t="shared" si="126"/>
        <v/>
      </c>
      <c r="U343" t="str">
        <f t="shared" si="127"/>
        <v/>
      </c>
      <c r="V343" t="str">
        <f t="shared" si="128"/>
        <v/>
      </c>
      <c r="W343" t="str">
        <f t="shared" si="129"/>
        <v/>
      </c>
      <c r="X343" t="str">
        <f t="shared" si="130"/>
        <v/>
      </c>
      <c r="Y343" t="str">
        <f t="shared" si="131"/>
        <v/>
      </c>
      <c r="Z343" t="str">
        <f t="shared" si="132"/>
        <v/>
      </c>
      <c r="AA343">
        <f t="shared" si="133"/>
        <v>0</v>
      </c>
      <c r="AB343" t="str">
        <f>IFERROR(V144+MATCH(AA343,V343:Z343,0)-1,"")</f>
        <v/>
      </c>
      <c r="AC343" t="str">
        <f t="shared" si="134"/>
        <v/>
      </c>
      <c r="AE343" t="str">
        <f>IF(ISNUMBER(MATCH("N/A",J343:N343,0)),"",IFERROR((5 * SUMPRODUCT(J144:N144,J343:N343) - PRODUCT(SUM(J144:N144),SUM(J343:N343))) / ((5 * SUM((J144^2)+(K144^2)+(L144^2)+(M144^2)+(N144^2))) - SUM(J144:N144)^2),""))</f>
        <v/>
      </c>
      <c r="AF343" t="str">
        <f>IFERROR(CORREL(J144:N144,J343:N343),"")</f>
        <v/>
      </c>
      <c r="AZ343">
        <f t="shared" si="135"/>
        <v>0</v>
      </c>
      <c r="BA343" t="str">
        <f>IF(AZ343=1,IF(Q343="","",IF(Q343=N144,"Yes","No")),"")</f>
        <v/>
      </c>
      <c r="BB343" t="str">
        <f t="shared" si="136"/>
        <v/>
      </c>
      <c r="BC343" t="str">
        <f>IF(AZ343=1,IF(S343="","",IF(S343=N144,"Yes","No")),"")</f>
        <v/>
      </c>
      <c r="BD343" t="str">
        <f t="shared" si="137"/>
        <v/>
      </c>
      <c r="BE343" t="str">
        <f t="shared" si="138"/>
        <v/>
      </c>
      <c r="BF343" t="str">
        <f t="shared" si="139"/>
        <v>No</v>
      </c>
      <c r="BG343" t="str">
        <f t="shared" si="140"/>
        <v>No</v>
      </c>
      <c r="BH343" t="str">
        <f t="shared" si="141"/>
        <v/>
      </c>
    </row>
    <row r="344" spans="9:60" x14ac:dyDescent="0.3">
      <c r="I344" t="str">
        <f t="shared" si="118"/>
        <v>N/A</v>
      </c>
      <c r="J344" t="str">
        <f t="shared" si="119"/>
        <v>N/A</v>
      </c>
      <c r="K344" t="str">
        <f t="shared" si="120"/>
        <v>N/A</v>
      </c>
      <c r="L344" t="str">
        <f t="shared" si="121"/>
        <v>N/A</v>
      </c>
      <c r="M344" t="str">
        <f t="shared" si="122"/>
        <v>N/A</v>
      </c>
      <c r="N344" t="str">
        <f t="shared" si="123"/>
        <v>N/A</v>
      </c>
      <c r="P344">
        <f t="shared" si="124"/>
        <v>0</v>
      </c>
      <c r="Q344" t="str">
        <f>IFERROR(J144+MATCH(P344,J344:N344,0)-1,"")</f>
        <v/>
      </c>
      <c r="R344" t="str">
        <f t="shared" si="125"/>
        <v/>
      </c>
      <c r="S344" t="str">
        <f>IFERROR(J144+MATCH(R344,J344:N344,0)-1,"")</f>
        <v/>
      </c>
      <c r="T344" t="str">
        <f t="shared" si="126"/>
        <v/>
      </c>
      <c r="U344" t="str">
        <f t="shared" si="127"/>
        <v/>
      </c>
      <c r="V344" t="str">
        <f t="shared" si="128"/>
        <v/>
      </c>
      <c r="W344" t="str">
        <f t="shared" si="129"/>
        <v/>
      </c>
      <c r="X344" t="str">
        <f t="shared" si="130"/>
        <v/>
      </c>
      <c r="Y344" t="str">
        <f t="shared" si="131"/>
        <v/>
      </c>
      <c r="Z344" t="str">
        <f t="shared" si="132"/>
        <v/>
      </c>
      <c r="AA344">
        <f t="shared" si="133"/>
        <v>0</v>
      </c>
      <c r="AB344" t="str">
        <f>IFERROR(V144+MATCH(AA344,V344:Z344,0)-1,"")</f>
        <v/>
      </c>
      <c r="AC344" t="str">
        <f t="shared" si="134"/>
        <v/>
      </c>
      <c r="AE344" t="str">
        <f>IF(ISNUMBER(MATCH("N/A",J344:N344,0)),"",IFERROR((5 * SUMPRODUCT(J144:N144,J344:N344) - PRODUCT(SUM(J144:N144),SUM(J344:N344))) / ((5 * SUM((J144^2)+(K144^2)+(L144^2)+(M144^2)+(N144^2))) - SUM(J144:N144)^2),""))</f>
        <v/>
      </c>
      <c r="AF344" t="str">
        <f>IFERROR(CORREL(J144:N144,J344:N344),"")</f>
        <v/>
      </c>
      <c r="AZ344">
        <f t="shared" si="135"/>
        <v>0</v>
      </c>
      <c r="BA344" t="str">
        <f>IF(AZ344=1,IF(Q344="","",IF(Q344=N144,"Yes","No")),"")</f>
        <v/>
      </c>
      <c r="BB344" t="str">
        <f t="shared" si="136"/>
        <v/>
      </c>
      <c r="BC344" t="str">
        <f>IF(AZ344=1,IF(S344="","",IF(S344=N144,"Yes","No")),"")</f>
        <v/>
      </c>
      <c r="BD344" t="str">
        <f t="shared" si="137"/>
        <v/>
      </c>
      <c r="BE344" t="str">
        <f t="shared" si="138"/>
        <v/>
      </c>
      <c r="BF344" t="str">
        <f t="shared" si="139"/>
        <v>No</v>
      </c>
      <c r="BG344" t="str">
        <f t="shared" si="140"/>
        <v>No</v>
      </c>
      <c r="BH344" t="str">
        <f t="shared" si="141"/>
        <v/>
      </c>
    </row>
    <row r="345" spans="9:60" x14ac:dyDescent="0.3">
      <c r="I345" t="str">
        <f t="shared" si="118"/>
        <v>N/A</v>
      </c>
      <c r="J345" t="str">
        <f t="shared" si="119"/>
        <v>N/A</v>
      </c>
      <c r="K345" t="str">
        <f t="shared" si="120"/>
        <v>N/A</v>
      </c>
      <c r="L345" t="str">
        <f t="shared" si="121"/>
        <v>N/A</v>
      </c>
      <c r="M345" t="str">
        <f t="shared" si="122"/>
        <v>N/A</v>
      </c>
      <c r="N345" t="str">
        <f t="shared" si="123"/>
        <v>N/A</v>
      </c>
      <c r="P345">
        <f t="shared" si="124"/>
        <v>0</v>
      </c>
      <c r="Q345" t="str">
        <f>IFERROR(J144+MATCH(P345,J345:N345,0)-1,"")</f>
        <v/>
      </c>
      <c r="R345" t="str">
        <f t="shared" si="125"/>
        <v/>
      </c>
      <c r="S345" t="str">
        <f>IFERROR(J144+MATCH(R345,J345:N345,0)-1,"")</f>
        <v/>
      </c>
      <c r="T345" t="str">
        <f t="shared" si="126"/>
        <v/>
      </c>
      <c r="U345" t="str">
        <f t="shared" si="127"/>
        <v/>
      </c>
      <c r="V345" t="str">
        <f t="shared" si="128"/>
        <v/>
      </c>
      <c r="W345" t="str">
        <f t="shared" si="129"/>
        <v/>
      </c>
      <c r="X345" t="str">
        <f t="shared" si="130"/>
        <v/>
      </c>
      <c r="Y345" t="str">
        <f t="shared" si="131"/>
        <v/>
      </c>
      <c r="Z345" t="str">
        <f t="shared" si="132"/>
        <v/>
      </c>
      <c r="AA345">
        <f t="shared" si="133"/>
        <v>0</v>
      </c>
      <c r="AB345" t="str">
        <f>IFERROR(V144+MATCH(AA345,V345:Z345,0)-1,"")</f>
        <v/>
      </c>
      <c r="AC345" t="str">
        <f t="shared" si="134"/>
        <v/>
      </c>
      <c r="AE345" t="str">
        <f>IF(ISNUMBER(MATCH("N/A",J345:N345,0)),"",IFERROR((5 * SUMPRODUCT(J144:N144,J345:N345) - PRODUCT(SUM(J144:N144),SUM(J345:N345))) / ((5 * SUM((J144^2)+(K144^2)+(L144^2)+(M144^2)+(N144^2))) - SUM(J144:N144)^2),""))</f>
        <v/>
      </c>
      <c r="AF345" t="str">
        <f>IFERROR(CORREL(J144:N144,J345:N345),"")</f>
        <v/>
      </c>
      <c r="AZ345">
        <f t="shared" si="135"/>
        <v>0</v>
      </c>
      <c r="BA345" t="str">
        <f>IF(AZ345=1,IF(Q345="","",IF(Q345=N144,"Yes","No")),"")</f>
        <v/>
      </c>
      <c r="BB345" t="str">
        <f t="shared" si="136"/>
        <v/>
      </c>
      <c r="BC345" t="str">
        <f>IF(AZ345=1,IF(S345="","",IF(S345=N144,"Yes","No")),"")</f>
        <v/>
      </c>
      <c r="BD345" t="str">
        <f t="shared" si="137"/>
        <v/>
      </c>
      <c r="BE345" t="str">
        <f t="shared" si="138"/>
        <v/>
      </c>
      <c r="BF345" t="str">
        <f t="shared" si="139"/>
        <v>No</v>
      </c>
      <c r="BG345" t="str">
        <f t="shared" si="140"/>
        <v>No</v>
      </c>
      <c r="BH345" t="str">
        <f t="shared" si="141"/>
        <v/>
      </c>
    </row>
    <row r="346" spans="9:60" x14ac:dyDescent="0.3">
      <c r="I346" t="str">
        <f t="shared" si="118"/>
        <v>N/A</v>
      </c>
      <c r="J346" t="str">
        <f t="shared" si="119"/>
        <v>N/A</v>
      </c>
      <c r="K346" t="str">
        <f t="shared" si="120"/>
        <v>N/A</v>
      </c>
      <c r="L346" t="str">
        <f t="shared" si="121"/>
        <v>N/A</v>
      </c>
      <c r="M346" t="str">
        <f t="shared" si="122"/>
        <v>N/A</v>
      </c>
      <c r="N346" t="str">
        <f t="shared" si="123"/>
        <v>N/A</v>
      </c>
      <c r="P346">
        <f t="shared" si="124"/>
        <v>0</v>
      </c>
      <c r="Q346" t="str">
        <f>IFERROR(J144+MATCH(P346,J346:N346,0)-1,"")</f>
        <v/>
      </c>
      <c r="R346" t="str">
        <f t="shared" si="125"/>
        <v/>
      </c>
      <c r="S346" t="str">
        <f>IFERROR(J144+MATCH(R346,J346:N346,0)-1,"")</f>
        <v/>
      </c>
      <c r="T346" t="str">
        <f t="shared" si="126"/>
        <v/>
      </c>
      <c r="U346" t="str">
        <f t="shared" si="127"/>
        <v/>
      </c>
      <c r="V346" t="str">
        <f t="shared" si="128"/>
        <v/>
      </c>
      <c r="W346" t="str">
        <f t="shared" si="129"/>
        <v/>
      </c>
      <c r="X346" t="str">
        <f t="shared" si="130"/>
        <v/>
      </c>
      <c r="Y346" t="str">
        <f t="shared" si="131"/>
        <v/>
      </c>
      <c r="Z346" t="str">
        <f t="shared" si="132"/>
        <v/>
      </c>
      <c r="AA346">
        <f t="shared" si="133"/>
        <v>0</v>
      </c>
      <c r="AB346" t="str">
        <f>IFERROR(V144+MATCH(AA346,V346:Z346,0)-1,"")</f>
        <v/>
      </c>
      <c r="AC346" t="str">
        <f t="shared" si="134"/>
        <v/>
      </c>
      <c r="AE346" t="str">
        <f>IF(ISNUMBER(MATCH("N/A",J346:N346,0)),"",IFERROR((5 * SUMPRODUCT(J144:N144,J346:N346) - PRODUCT(SUM(J144:N144),SUM(J346:N346))) / ((5 * SUM((J144^2)+(K144^2)+(L144^2)+(M144^2)+(N144^2))) - SUM(J144:N144)^2),""))</f>
        <v/>
      </c>
      <c r="AF346" t="str">
        <f>IFERROR(CORREL(J144:N144,J346:N346),"")</f>
        <v/>
      </c>
      <c r="AZ346">
        <f t="shared" si="135"/>
        <v>0</v>
      </c>
      <c r="BA346" t="str">
        <f>IF(AZ346=1,IF(Q346="","",IF(Q346=N144,"Yes","No")),"")</f>
        <v/>
      </c>
      <c r="BB346" t="str">
        <f t="shared" si="136"/>
        <v/>
      </c>
      <c r="BC346" t="str">
        <f>IF(AZ346=1,IF(S346="","",IF(S346=N144,"Yes","No")),"")</f>
        <v/>
      </c>
      <c r="BD346" t="str">
        <f t="shared" si="137"/>
        <v/>
      </c>
      <c r="BE346" t="str">
        <f t="shared" si="138"/>
        <v/>
      </c>
      <c r="BF346" t="str">
        <f t="shared" si="139"/>
        <v>No</v>
      </c>
      <c r="BG346" t="str">
        <f t="shared" si="140"/>
        <v>No</v>
      </c>
      <c r="BH346" t="str">
        <f t="shared" si="141"/>
        <v/>
      </c>
    </row>
    <row r="347" spans="9:60" x14ac:dyDescent="0.3">
      <c r="I347" t="str">
        <f t="shared" si="118"/>
        <v>N/A</v>
      </c>
      <c r="J347" t="str">
        <f t="shared" si="119"/>
        <v>N/A</v>
      </c>
      <c r="K347" t="str">
        <f t="shared" si="120"/>
        <v>N/A</v>
      </c>
      <c r="L347" t="str">
        <f t="shared" si="121"/>
        <v>N/A</v>
      </c>
      <c r="M347" t="str">
        <f t="shared" si="122"/>
        <v>N/A</v>
      </c>
      <c r="N347" t="str">
        <f t="shared" si="123"/>
        <v>N/A</v>
      </c>
      <c r="P347">
        <f t="shared" si="124"/>
        <v>0</v>
      </c>
      <c r="Q347" t="str">
        <f>IFERROR(J144+MATCH(P347,J347:N347,0)-1,"")</f>
        <v/>
      </c>
      <c r="R347" t="str">
        <f t="shared" si="125"/>
        <v/>
      </c>
      <c r="S347" t="str">
        <f>IFERROR(J144+MATCH(R347,J347:N347,0)-1,"")</f>
        <v/>
      </c>
      <c r="T347" t="str">
        <f t="shared" si="126"/>
        <v/>
      </c>
      <c r="U347" t="str">
        <f t="shared" si="127"/>
        <v/>
      </c>
      <c r="V347" t="str">
        <f t="shared" si="128"/>
        <v/>
      </c>
      <c r="W347" t="str">
        <f t="shared" si="129"/>
        <v/>
      </c>
      <c r="X347" t="str">
        <f t="shared" si="130"/>
        <v/>
      </c>
      <c r="Y347" t="str">
        <f t="shared" si="131"/>
        <v/>
      </c>
      <c r="Z347" t="str">
        <f t="shared" si="132"/>
        <v/>
      </c>
      <c r="AA347">
        <f t="shared" si="133"/>
        <v>0</v>
      </c>
      <c r="AB347" t="str">
        <f>IFERROR(V144+MATCH(AA347,V347:Z347,0)-1,"")</f>
        <v/>
      </c>
      <c r="AC347" t="str">
        <f t="shared" si="134"/>
        <v/>
      </c>
      <c r="AE347" t="str">
        <f>IF(ISNUMBER(MATCH("N/A",J347:N347,0)),"",IFERROR((5 * SUMPRODUCT(J144:N144,J347:N347) - PRODUCT(SUM(J144:N144),SUM(J347:N347))) / ((5 * SUM((J144^2)+(K144^2)+(L144^2)+(M144^2)+(N144^2))) - SUM(J144:N144)^2),""))</f>
        <v/>
      </c>
      <c r="AF347" t="str">
        <f>IFERROR(CORREL(J144:N144,J347:N347),"")</f>
        <v/>
      </c>
      <c r="AZ347">
        <f t="shared" si="135"/>
        <v>0</v>
      </c>
      <c r="BA347" t="str">
        <f>IF(AZ347=1,IF(Q347="","",IF(Q347=N144,"Yes","No")),"")</f>
        <v/>
      </c>
      <c r="BB347" t="str">
        <f t="shared" si="136"/>
        <v/>
      </c>
      <c r="BC347" t="str">
        <f>IF(AZ347=1,IF(S347="","",IF(S347=N144,"Yes","No")),"")</f>
        <v/>
      </c>
      <c r="BD347" t="str">
        <f t="shared" si="137"/>
        <v/>
      </c>
      <c r="BE347" t="str">
        <f t="shared" si="138"/>
        <v/>
      </c>
      <c r="BF347" t="str">
        <f t="shared" si="139"/>
        <v>No</v>
      </c>
      <c r="BG347" t="str">
        <f t="shared" si="140"/>
        <v>No</v>
      </c>
      <c r="BH347" t="str">
        <f t="shared" si="141"/>
        <v/>
      </c>
    </row>
    <row r="348" spans="9:60" x14ac:dyDescent="0.3">
      <c r="I348" t="str">
        <f t="shared" si="118"/>
        <v>N/A</v>
      </c>
      <c r="J348" t="str">
        <f t="shared" si="119"/>
        <v>N/A</v>
      </c>
      <c r="K348" t="str">
        <f t="shared" si="120"/>
        <v>N/A</v>
      </c>
      <c r="L348" t="str">
        <f t="shared" si="121"/>
        <v>N/A</v>
      </c>
      <c r="M348" t="str">
        <f t="shared" si="122"/>
        <v>N/A</v>
      </c>
      <c r="N348" t="str">
        <f t="shared" si="123"/>
        <v>N/A</v>
      </c>
      <c r="P348">
        <f t="shared" si="124"/>
        <v>0</v>
      </c>
      <c r="Q348" t="str">
        <f>IFERROR(J144+MATCH(P348,J348:N348,0)-1,"")</f>
        <v/>
      </c>
      <c r="R348" t="str">
        <f t="shared" si="125"/>
        <v/>
      </c>
      <c r="S348" t="str">
        <f>IFERROR(J144+MATCH(R348,J348:N348,0)-1,"")</f>
        <v/>
      </c>
      <c r="T348" t="str">
        <f t="shared" si="126"/>
        <v/>
      </c>
      <c r="U348" t="str">
        <f t="shared" si="127"/>
        <v/>
      </c>
      <c r="V348" t="str">
        <f t="shared" si="128"/>
        <v/>
      </c>
      <c r="W348" t="str">
        <f t="shared" si="129"/>
        <v/>
      </c>
      <c r="X348" t="str">
        <f t="shared" si="130"/>
        <v/>
      </c>
      <c r="Y348" t="str">
        <f t="shared" si="131"/>
        <v/>
      </c>
      <c r="Z348" t="str">
        <f t="shared" si="132"/>
        <v/>
      </c>
      <c r="AA348">
        <f t="shared" si="133"/>
        <v>0</v>
      </c>
      <c r="AB348" t="str">
        <f>IFERROR(V144+MATCH(AA348,V348:Z348,0)-1,"")</f>
        <v/>
      </c>
      <c r="AC348" t="str">
        <f t="shared" si="134"/>
        <v/>
      </c>
      <c r="AE348" t="str">
        <f>IF(ISNUMBER(MATCH("N/A",J348:N348,0)),"",IFERROR((5 * SUMPRODUCT(J144:N144,J348:N348) - PRODUCT(SUM(J144:N144),SUM(J348:N348))) / ((5 * SUM((J144^2)+(K144^2)+(L144^2)+(M144^2)+(N144^2))) - SUM(J144:N144)^2),""))</f>
        <v/>
      </c>
      <c r="AF348" t="str">
        <f>IFERROR(CORREL(J144:N144,J348:N348),"")</f>
        <v/>
      </c>
      <c r="AZ348">
        <f t="shared" si="135"/>
        <v>0</v>
      </c>
      <c r="BA348" t="str">
        <f>IF(AZ348=1,IF(Q348="","",IF(Q348=N144,"Yes","No")),"")</f>
        <v/>
      </c>
      <c r="BB348" t="str">
        <f t="shared" si="136"/>
        <v/>
      </c>
      <c r="BC348" t="str">
        <f>IF(AZ348=1,IF(S348="","",IF(S348=N144,"Yes","No")),"")</f>
        <v/>
      </c>
      <c r="BD348" t="str">
        <f t="shared" si="137"/>
        <v/>
      </c>
      <c r="BE348" t="str">
        <f t="shared" si="138"/>
        <v/>
      </c>
      <c r="BF348" t="str">
        <f t="shared" si="139"/>
        <v>No</v>
      </c>
      <c r="BG348" t="str">
        <f t="shared" si="140"/>
        <v>No</v>
      </c>
      <c r="BH348" t="str">
        <f t="shared" si="141"/>
        <v/>
      </c>
    </row>
    <row r="349" spans="9:60" x14ac:dyDescent="0.3">
      <c r="I349" t="str">
        <f t="shared" si="118"/>
        <v>N/A</v>
      </c>
      <c r="J349" t="str">
        <f t="shared" si="119"/>
        <v>N/A</v>
      </c>
      <c r="K349" t="str">
        <f t="shared" si="120"/>
        <v>N/A</v>
      </c>
      <c r="L349" t="str">
        <f t="shared" si="121"/>
        <v>N/A</v>
      </c>
      <c r="M349" t="str">
        <f t="shared" si="122"/>
        <v>N/A</v>
      </c>
      <c r="N349" t="str">
        <f t="shared" si="123"/>
        <v>N/A</v>
      </c>
      <c r="P349">
        <f t="shared" si="124"/>
        <v>0</v>
      </c>
      <c r="Q349" t="str">
        <f>IFERROR(J144+MATCH(P349,J349:N349,0)-1,"")</f>
        <v/>
      </c>
      <c r="R349" t="str">
        <f t="shared" si="125"/>
        <v/>
      </c>
      <c r="S349" t="str">
        <f>IFERROR(J144+MATCH(R349,J349:N349,0)-1,"")</f>
        <v/>
      </c>
      <c r="T349" t="str">
        <f t="shared" si="126"/>
        <v/>
      </c>
      <c r="U349" t="str">
        <f t="shared" si="127"/>
        <v/>
      </c>
      <c r="V349" t="str">
        <f t="shared" si="128"/>
        <v/>
      </c>
      <c r="W349" t="str">
        <f t="shared" si="129"/>
        <v/>
      </c>
      <c r="X349" t="str">
        <f t="shared" si="130"/>
        <v/>
      </c>
      <c r="Y349" t="str">
        <f t="shared" si="131"/>
        <v/>
      </c>
      <c r="Z349" t="str">
        <f t="shared" si="132"/>
        <v/>
      </c>
      <c r="AA349">
        <f t="shared" si="133"/>
        <v>0</v>
      </c>
      <c r="AB349" t="str">
        <f>IFERROR(V144+MATCH(AA349,V349:Z349,0)-1,"")</f>
        <v/>
      </c>
      <c r="AC349" t="str">
        <f t="shared" si="134"/>
        <v/>
      </c>
      <c r="AE349" t="str">
        <f>IF(ISNUMBER(MATCH("N/A",J349:N349,0)),"",IFERROR((5 * SUMPRODUCT(J144:N144,J349:N349) - PRODUCT(SUM(J144:N144),SUM(J349:N349))) / ((5 * SUM((J144^2)+(K144^2)+(L144^2)+(M144^2)+(N144^2))) - SUM(J144:N144)^2),""))</f>
        <v/>
      </c>
      <c r="AF349" t="str">
        <f>IFERROR(CORREL(J144:N144,J349:N349),"")</f>
        <v/>
      </c>
      <c r="AZ349">
        <f t="shared" si="135"/>
        <v>0</v>
      </c>
      <c r="BA349" t="str">
        <f>IF(AZ349=1,IF(Q349="","",IF(Q349=N144,"Yes","No")),"")</f>
        <v/>
      </c>
      <c r="BB349" t="str">
        <f t="shared" si="136"/>
        <v/>
      </c>
      <c r="BC349" t="str">
        <f>IF(AZ349=1,IF(S349="","",IF(S349=N144,"Yes","No")),"")</f>
        <v/>
      </c>
      <c r="BD349" t="str">
        <f t="shared" si="137"/>
        <v/>
      </c>
      <c r="BE349" t="str">
        <f t="shared" si="138"/>
        <v/>
      </c>
      <c r="BF349" t="str">
        <f t="shared" si="139"/>
        <v>No</v>
      </c>
      <c r="BG349" t="str">
        <f t="shared" si="140"/>
        <v>No</v>
      </c>
      <c r="BH349" t="str">
        <f t="shared" si="141"/>
        <v/>
      </c>
    </row>
    <row r="350" spans="9:60" x14ac:dyDescent="0.3">
      <c r="I350" t="str">
        <f t="shared" si="118"/>
        <v>N/A</v>
      </c>
      <c r="J350" t="str">
        <f t="shared" si="119"/>
        <v>N/A</v>
      </c>
      <c r="K350" t="str">
        <f t="shared" si="120"/>
        <v>N/A</v>
      </c>
      <c r="L350" t="str">
        <f t="shared" si="121"/>
        <v>N/A</v>
      </c>
      <c r="M350" t="str">
        <f t="shared" si="122"/>
        <v>N/A</v>
      </c>
      <c r="N350" t="str">
        <f t="shared" si="123"/>
        <v>N/A</v>
      </c>
      <c r="P350">
        <f t="shared" si="124"/>
        <v>0</v>
      </c>
      <c r="Q350" t="str">
        <f>IFERROR(J144+MATCH(P350,J350:N350,0)-1,"")</f>
        <v/>
      </c>
      <c r="R350" t="str">
        <f t="shared" si="125"/>
        <v/>
      </c>
      <c r="S350" t="str">
        <f>IFERROR(J144+MATCH(R350,J350:N350,0)-1,"")</f>
        <v/>
      </c>
      <c r="T350" t="str">
        <f t="shared" si="126"/>
        <v/>
      </c>
      <c r="U350" t="str">
        <f t="shared" si="127"/>
        <v/>
      </c>
      <c r="V350" t="str">
        <f t="shared" si="128"/>
        <v/>
      </c>
      <c r="W350" t="str">
        <f t="shared" si="129"/>
        <v/>
      </c>
      <c r="X350" t="str">
        <f t="shared" si="130"/>
        <v/>
      </c>
      <c r="Y350" t="str">
        <f t="shared" si="131"/>
        <v/>
      </c>
      <c r="Z350" t="str">
        <f t="shared" si="132"/>
        <v/>
      </c>
      <c r="AA350">
        <f t="shared" si="133"/>
        <v>0</v>
      </c>
      <c r="AB350" t="str">
        <f>IFERROR(V144+MATCH(AA350,V350:Z350,0)-1,"")</f>
        <v/>
      </c>
      <c r="AC350" t="str">
        <f t="shared" si="134"/>
        <v/>
      </c>
      <c r="AE350" t="str">
        <f>IF(ISNUMBER(MATCH("N/A",J350:N350,0)),"",IFERROR((5 * SUMPRODUCT(J144:N144,J350:N350) - PRODUCT(SUM(J144:N144),SUM(J350:N350))) / ((5 * SUM((J144^2)+(K144^2)+(L144^2)+(M144^2)+(N144^2))) - SUM(J144:N144)^2),""))</f>
        <v/>
      </c>
      <c r="AF350" t="str">
        <f>IFERROR(CORREL(J144:N144,J350:N350),"")</f>
        <v/>
      </c>
      <c r="AZ350">
        <f t="shared" si="135"/>
        <v>0</v>
      </c>
      <c r="BA350" t="str">
        <f>IF(AZ350=1,IF(Q350="","",IF(Q350=N144,"Yes","No")),"")</f>
        <v/>
      </c>
      <c r="BB350" t="str">
        <f t="shared" si="136"/>
        <v/>
      </c>
      <c r="BC350" t="str">
        <f>IF(AZ350=1,IF(S350="","",IF(S350=N144,"Yes","No")),"")</f>
        <v/>
      </c>
      <c r="BD350" t="str">
        <f t="shared" si="137"/>
        <v/>
      </c>
      <c r="BE350" t="str">
        <f t="shared" si="138"/>
        <v/>
      </c>
      <c r="BF350" t="str">
        <f t="shared" si="139"/>
        <v>No</v>
      </c>
      <c r="BG350" t="str">
        <f t="shared" si="140"/>
        <v>No</v>
      </c>
      <c r="BH350" t="str">
        <f t="shared" si="141"/>
        <v/>
      </c>
    </row>
    <row r="351" spans="9:60" x14ac:dyDescent="0.3">
      <c r="I351" t="str">
        <f t="shared" si="118"/>
        <v>N/A</v>
      </c>
      <c r="J351" t="str">
        <f t="shared" si="119"/>
        <v>N/A</v>
      </c>
      <c r="K351" t="str">
        <f t="shared" si="120"/>
        <v>N/A</v>
      </c>
      <c r="L351" t="str">
        <f t="shared" si="121"/>
        <v>N/A</v>
      </c>
      <c r="M351" t="str">
        <f t="shared" si="122"/>
        <v>N/A</v>
      </c>
      <c r="N351" t="str">
        <f t="shared" si="123"/>
        <v>N/A</v>
      </c>
      <c r="P351">
        <f t="shared" si="124"/>
        <v>0</v>
      </c>
      <c r="Q351" t="str">
        <f>IFERROR(J144+MATCH(P351,J351:N351,0)-1,"")</f>
        <v/>
      </c>
      <c r="R351" t="str">
        <f t="shared" si="125"/>
        <v/>
      </c>
      <c r="S351" t="str">
        <f>IFERROR(J144+MATCH(R351,J351:N351,0)-1,"")</f>
        <v/>
      </c>
      <c r="T351" t="str">
        <f t="shared" si="126"/>
        <v/>
      </c>
      <c r="U351" t="str">
        <f t="shared" si="127"/>
        <v/>
      </c>
      <c r="V351" t="str">
        <f t="shared" si="128"/>
        <v/>
      </c>
      <c r="W351" t="str">
        <f t="shared" si="129"/>
        <v/>
      </c>
      <c r="X351" t="str">
        <f t="shared" si="130"/>
        <v/>
      </c>
      <c r="Y351" t="str">
        <f t="shared" si="131"/>
        <v/>
      </c>
      <c r="Z351" t="str">
        <f t="shared" si="132"/>
        <v/>
      </c>
      <c r="AA351">
        <f t="shared" si="133"/>
        <v>0</v>
      </c>
      <c r="AB351" t="str">
        <f>IFERROR(V144+MATCH(AA351,V351:Z351,0)-1,"")</f>
        <v/>
      </c>
      <c r="AC351" t="str">
        <f t="shared" si="134"/>
        <v/>
      </c>
      <c r="AE351" t="str">
        <f>IF(ISNUMBER(MATCH("N/A",J351:N351,0)),"",IFERROR((5 * SUMPRODUCT(J144:N144,J351:N351) - PRODUCT(SUM(J144:N144),SUM(J351:N351))) / ((5 * SUM((J144^2)+(K144^2)+(L144^2)+(M144^2)+(N144^2))) - SUM(J144:N144)^2),""))</f>
        <v/>
      </c>
      <c r="AF351" t="str">
        <f>IFERROR(CORREL(J144:N144,J351:N351),"")</f>
        <v/>
      </c>
      <c r="AZ351">
        <f t="shared" si="135"/>
        <v>0</v>
      </c>
      <c r="BA351" t="str">
        <f>IF(AZ351=1,IF(Q351="","",IF(Q351=N144,"Yes","No")),"")</f>
        <v/>
      </c>
      <c r="BB351" t="str">
        <f t="shared" si="136"/>
        <v/>
      </c>
      <c r="BC351" t="str">
        <f>IF(AZ351=1,IF(S351="","",IF(S351=N144,"Yes","No")),"")</f>
        <v/>
      </c>
      <c r="BD351" t="str">
        <f t="shared" si="137"/>
        <v/>
      </c>
      <c r="BE351" t="str">
        <f t="shared" si="138"/>
        <v/>
      </c>
      <c r="BF351" t="str">
        <f t="shared" si="139"/>
        <v>No</v>
      </c>
      <c r="BG351" t="str">
        <f t="shared" si="140"/>
        <v>No</v>
      </c>
      <c r="BH351" t="str">
        <f t="shared" si="141"/>
        <v/>
      </c>
    </row>
    <row r="352" spans="9:60" x14ac:dyDescent="0.3">
      <c r="I352" t="str">
        <f t="shared" si="118"/>
        <v>N/A</v>
      </c>
      <c r="J352" t="str">
        <f t="shared" si="119"/>
        <v>N/A</v>
      </c>
      <c r="K352" t="str">
        <f t="shared" si="120"/>
        <v>N/A</v>
      </c>
      <c r="L352" t="str">
        <f t="shared" si="121"/>
        <v>N/A</v>
      </c>
      <c r="M352" t="str">
        <f t="shared" si="122"/>
        <v>N/A</v>
      </c>
      <c r="N352" t="str">
        <f t="shared" si="123"/>
        <v>N/A</v>
      </c>
      <c r="P352">
        <f t="shared" si="124"/>
        <v>0</v>
      </c>
      <c r="Q352" t="str">
        <f>IFERROR(J144+MATCH(P352,J352:N352,0)-1,"")</f>
        <v/>
      </c>
      <c r="R352" t="str">
        <f t="shared" si="125"/>
        <v/>
      </c>
      <c r="S352" t="str">
        <f>IFERROR(J144+MATCH(R352,J352:N352,0)-1,"")</f>
        <v/>
      </c>
      <c r="T352" t="str">
        <f t="shared" si="126"/>
        <v/>
      </c>
      <c r="U352" t="str">
        <f t="shared" si="127"/>
        <v/>
      </c>
      <c r="V352" t="str">
        <f t="shared" si="128"/>
        <v/>
      </c>
      <c r="W352" t="str">
        <f t="shared" si="129"/>
        <v/>
      </c>
      <c r="X352" t="str">
        <f t="shared" si="130"/>
        <v/>
      </c>
      <c r="Y352" t="str">
        <f t="shared" si="131"/>
        <v/>
      </c>
      <c r="Z352" t="str">
        <f t="shared" si="132"/>
        <v/>
      </c>
      <c r="AA352">
        <f t="shared" si="133"/>
        <v>0</v>
      </c>
      <c r="AB352" t="str">
        <f>IFERROR(V144+MATCH(AA352,V352:Z352,0)-1,"")</f>
        <v/>
      </c>
      <c r="AC352" t="str">
        <f t="shared" si="134"/>
        <v/>
      </c>
      <c r="AE352" t="str">
        <f>IF(ISNUMBER(MATCH("N/A",J352:N352,0)),"",IFERROR((5 * SUMPRODUCT(J144:N144,J352:N352) - PRODUCT(SUM(J144:N144),SUM(J352:N352))) / ((5 * SUM((J144^2)+(K144^2)+(L144^2)+(M144^2)+(N144^2))) - SUM(J144:N144)^2),""))</f>
        <v/>
      </c>
      <c r="AF352" t="str">
        <f>IFERROR(CORREL(J144:N144,J352:N352),"")</f>
        <v/>
      </c>
      <c r="AZ352">
        <f t="shared" si="135"/>
        <v>0</v>
      </c>
      <c r="BA352" t="str">
        <f>IF(AZ352=1,IF(Q352="","",IF(Q352=N144,"Yes","No")),"")</f>
        <v/>
      </c>
      <c r="BB352" t="str">
        <f t="shared" si="136"/>
        <v/>
      </c>
      <c r="BC352" t="str">
        <f>IF(AZ352=1,IF(S352="","",IF(S352=N144,"Yes","No")),"")</f>
        <v/>
      </c>
      <c r="BD352" t="str">
        <f t="shared" si="137"/>
        <v/>
      </c>
      <c r="BE352" t="str">
        <f t="shared" si="138"/>
        <v/>
      </c>
      <c r="BF352" t="str">
        <f t="shared" si="139"/>
        <v>No</v>
      </c>
      <c r="BG352" t="str">
        <f t="shared" si="140"/>
        <v>No</v>
      </c>
      <c r="BH352" t="str">
        <f t="shared" si="141"/>
        <v/>
      </c>
    </row>
    <row r="353" spans="9:29" x14ac:dyDescent="0.3">
      <c r="I353" t="str">
        <f t="shared" si="118"/>
        <v>N/A</v>
      </c>
      <c r="J353" t="str">
        <f t="shared" si="119"/>
        <v>N/A</v>
      </c>
      <c r="K353" t="str">
        <f t="shared" si="120"/>
        <v>N/A</v>
      </c>
      <c r="L353" t="str">
        <f t="shared" si="121"/>
        <v>N/A</v>
      </c>
      <c r="M353" t="str">
        <f t="shared" si="122"/>
        <v>N/A</v>
      </c>
      <c r="N353" t="str">
        <f t="shared" si="123"/>
        <v>N/A</v>
      </c>
      <c r="P353">
        <f t="shared" si="124"/>
        <v>0</v>
      </c>
      <c r="Q353" t="str">
        <f>IFERROR(J144+MATCH(P353,J353:N353,0)-1,"")</f>
        <v/>
      </c>
      <c r="R353" t="str">
        <f t="shared" si="125"/>
        <v/>
      </c>
      <c r="T353" t="str">
        <f t="shared" si="126"/>
        <v/>
      </c>
      <c r="U353" t="str">
        <f t="shared" si="127"/>
        <v/>
      </c>
      <c r="V353" t="str">
        <f t="shared" si="128"/>
        <v/>
      </c>
      <c r="W353" t="str">
        <f t="shared" si="129"/>
        <v/>
      </c>
      <c r="X353" t="str">
        <f t="shared" si="130"/>
        <v/>
      </c>
      <c r="Y353" t="str">
        <f t="shared" si="131"/>
        <v/>
      </c>
      <c r="Z353" t="str">
        <f t="shared" si="132"/>
        <v/>
      </c>
      <c r="AA353">
        <f t="shared" si="133"/>
        <v>0</v>
      </c>
      <c r="AB353" t="str">
        <f>IFERROR(V144+MATCH(AA353,V353:Z353,0)-1,"")</f>
        <v/>
      </c>
      <c r="AC353" t="str">
        <f>IF(S353=AB353,"Low",IF(AB353=Q353,"High",""))</f>
        <v>Low</v>
      </c>
    </row>
    <row r="354" spans="9:29" x14ac:dyDescent="0.3">
      <c r="I354" t="str">
        <f t="shared" si="118"/>
        <v>N/A</v>
      </c>
      <c r="J354" t="str">
        <f t="shared" si="119"/>
        <v>N/A</v>
      </c>
      <c r="K354" t="str">
        <f t="shared" si="120"/>
        <v>N/A</v>
      </c>
      <c r="L354" t="str">
        <f t="shared" si="121"/>
        <v>N/A</v>
      </c>
      <c r="M354" t="str">
        <f t="shared" si="122"/>
        <v>N/A</v>
      </c>
      <c r="N354" t="str">
        <f t="shared" si="123"/>
        <v>N/A</v>
      </c>
      <c r="V354">
        <f>MAX(V145:V353)</f>
        <v>0</v>
      </c>
      <c r="W354">
        <f>MAX(W145:W353)</f>
        <v>0</v>
      </c>
      <c r="X354">
        <f>MAX(X145:X353)</f>
        <v>0</v>
      </c>
      <c r="Y354">
        <f>MAX(Y145:Y353)</f>
        <v>0</v>
      </c>
      <c r="Z354">
        <f>MAX(Z145:Z353)</f>
        <v>0</v>
      </c>
    </row>
    <row r="355" spans="9:29" x14ac:dyDescent="0.3">
      <c r="I355" t="str">
        <f t="shared" si="118"/>
        <v>N/A</v>
      </c>
      <c r="J355" t="str">
        <f t="shared" si="119"/>
        <v>N/A</v>
      </c>
      <c r="K355" t="str">
        <f t="shared" si="120"/>
        <v>N/A</v>
      </c>
      <c r="L355" t="str">
        <f t="shared" si="121"/>
        <v>N/A</v>
      </c>
      <c r="M355" t="str">
        <f t="shared" si="122"/>
        <v>N/A</v>
      </c>
      <c r="N355" t="str">
        <f t="shared" si="123"/>
        <v>N/A</v>
      </c>
      <c r="V355">
        <f>MIN(V145:V353)</f>
        <v>0</v>
      </c>
      <c r="W355">
        <f>MIN(W145:W353)</f>
        <v>0</v>
      </c>
      <c r="X355">
        <f>MIN(X145:X353)</f>
        <v>0</v>
      </c>
      <c r="Y355">
        <f>MIN(Y145:Y353)</f>
        <v>0</v>
      </c>
      <c r="Z355">
        <f>MIN(Z145:Z353)</f>
        <v>0</v>
      </c>
    </row>
    <row r="356" spans="9:29" x14ac:dyDescent="0.3">
      <c r="I356" t="str">
        <f t="shared" si="118"/>
        <v>N/A</v>
      </c>
      <c r="J356" t="str">
        <f t="shared" si="119"/>
        <v>N/A</v>
      </c>
      <c r="K356" t="str">
        <f t="shared" si="120"/>
        <v>N/A</v>
      </c>
      <c r="L356" t="str">
        <f t="shared" si="121"/>
        <v>N/A</v>
      </c>
      <c r="M356" t="str">
        <f t="shared" si="122"/>
        <v>N/A</v>
      </c>
      <c r="N356" t="str">
        <f t="shared" si="123"/>
        <v>N/A</v>
      </c>
      <c r="V356">
        <f>COUNTIF(V145:V353,"&gt;1.5")</f>
        <v>0</v>
      </c>
      <c r="W356">
        <f>COUNTIF(W145:W353,"&gt;1.5")</f>
        <v>0</v>
      </c>
      <c r="X356">
        <f>COUNTIF(X145:X353,"&gt;1.5")</f>
        <v>0</v>
      </c>
      <c r="Y356">
        <f>COUNTIF(Y145:Y353,"&gt;1.5")</f>
        <v>0</v>
      </c>
      <c r="Z356">
        <f>COUNTIF(Z145:Z353,"&gt;1.5")</f>
        <v>0</v>
      </c>
    </row>
    <row r="357" spans="9:29" x14ac:dyDescent="0.3">
      <c r="I357" t="str">
        <f t="shared" si="118"/>
        <v>N/A</v>
      </c>
      <c r="J357" t="str">
        <f t="shared" si="119"/>
        <v>N/A</v>
      </c>
      <c r="K357" t="str">
        <f t="shared" si="120"/>
        <v>N/A</v>
      </c>
      <c r="L357" t="str">
        <f t="shared" si="121"/>
        <v>N/A</v>
      </c>
      <c r="M357" t="str">
        <f t="shared" si="122"/>
        <v>N/A</v>
      </c>
      <c r="N357" t="str">
        <f t="shared" si="123"/>
        <v>N/A</v>
      </c>
      <c r="V357">
        <f>COUNTIF(V145:V353,"&lt;-1.5")</f>
        <v>0</v>
      </c>
      <c r="W357">
        <f>COUNTIF(W145:W353,"&lt;-1.5")</f>
        <v>0</v>
      </c>
      <c r="X357">
        <f>COUNTIF(X145:X353,"&lt;-1.5")</f>
        <v>0</v>
      </c>
      <c r="Y357">
        <f>COUNTIF(Y145:Y353,"&lt;-1.5")</f>
        <v>0</v>
      </c>
      <c r="Z357">
        <f>COUNTIF(Z145:Z353,"&lt;-1.5")</f>
        <v>0</v>
      </c>
    </row>
    <row r="358" spans="9:29" x14ac:dyDescent="0.3">
      <c r="I358" t="str">
        <f t="shared" si="118"/>
        <v>N/A</v>
      </c>
      <c r="J358" t="str">
        <f t="shared" si="119"/>
        <v>N/A</v>
      </c>
      <c r="K358" t="str">
        <f t="shared" si="120"/>
        <v>N/A</v>
      </c>
      <c r="L358" t="str">
        <f t="shared" si="121"/>
        <v>N/A</v>
      </c>
      <c r="M358" t="str">
        <f t="shared" si="122"/>
        <v>N/A</v>
      </c>
      <c r="N358" t="str">
        <f t="shared" si="123"/>
        <v>N/A</v>
      </c>
      <c r="V358">
        <f>SUM(V356:V357)</f>
        <v>0</v>
      </c>
      <c r="W358">
        <f>SUM(W356:W357)</f>
        <v>0</v>
      </c>
      <c r="X358">
        <f>SUM(X356:X357)</f>
        <v>0</v>
      </c>
      <c r="Y358">
        <f>SUM(Y356:Y357)</f>
        <v>0</v>
      </c>
      <c r="Z358">
        <f>SUM(Z356:Z357)</f>
        <v>0</v>
      </c>
    </row>
    <row r="359" spans="9:29" x14ac:dyDescent="0.3">
      <c r="I359" t="str">
        <f t="shared" si="118"/>
        <v>N/A</v>
      </c>
      <c r="J359" t="str">
        <f t="shared" si="119"/>
        <v>N/A</v>
      </c>
      <c r="K359" t="str">
        <f t="shared" si="120"/>
        <v>N/A</v>
      </c>
      <c r="L359" t="str">
        <f t="shared" si="121"/>
        <v>N/A</v>
      </c>
      <c r="M359" t="str">
        <f t="shared" si="122"/>
        <v>N/A</v>
      </c>
      <c r="N359" t="str">
        <f t="shared" si="123"/>
        <v>N/A</v>
      </c>
    </row>
    <row r="360" spans="9:29" x14ac:dyDescent="0.3">
      <c r="I360" t="str">
        <f t="shared" si="118"/>
        <v>N/A</v>
      </c>
      <c r="J360" t="str">
        <f t="shared" si="119"/>
        <v>N/A</v>
      </c>
      <c r="K360" t="str">
        <f t="shared" si="120"/>
        <v>N/A</v>
      </c>
      <c r="L360" t="str">
        <f t="shared" si="121"/>
        <v>N/A</v>
      </c>
      <c r="M360" t="str">
        <f t="shared" si="122"/>
        <v>N/A</v>
      </c>
      <c r="N360" t="str">
        <f t="shared" si="123"/>
        <v>N/A</v>
      </c>
      <c r="V360" t="str">
        <f>"Most Variable Year"</f>
        <v>Most Variable Year</v>
      </c>
      <c r="X360" t="e">
        <f>V144+MATCH(MAX(V358:Z358),V358:Z358,0)-1</f>
        <v>#VALUE!</v>
      </c>
    </row>
    <row r="361" spans="9:29" x14ac:dyDescent="0.3">
      <c r="I361" t="str">
        <f t="shared" ref="I361:I392" si="142">IF(AND(K361&gt; J361, L361&gt; K361, M361&gt; L361, N361&gt; M361), "pos_trend", IF(AND(K361&lt; J361, L361&lt; K361, M361&lt; L361, N361&lt; M361), "neg_trend", "N/A"))</f>
        <v>N/A</v>
      </c>
      <c r="J361" t="str">
        <f t="shared" ref="J361:J392" si="143">IFERROR(IF(TRIM(C361)="-", "N/A", IF(RIGHT(C361,1)=")",IF(RIGHT(C361,2)="T)",-1000000000000*VALUE(MID(C361,2,LEN(C361)-3)),IF(RIGHT(C361,2)="M)",-1000000*VALUE(MID(C361,2,LEN(C361)-3)),IF(RIGHT(C361,2)="B)",-1000000000*VALUE(MID(C361,2,LEN(C361)-3)),IF(RIGHT(C361,2)="k)",-1000*VALUE(MID(C361,2,LEN(C361)-3)),VALUE(SUBSTITUTE(C361,",","")))))),IF(RIGHT(C361,1)="T",1000000000000*VALUE(LEFT(C361,LEN(C361)-1)),IF(RIGHT(C361,1)="M",1000000*VALUE(LEFT(C361,LEN(C361)-1)),IF(RIGHT(C361,1)="B",1000000000*VALUE(LEFT(C361,LEN(C361)-1)),IF(RIGHT(C361,1)="%",0.01*VALUE(LEFT(C361,LEN(C361)-1)),IF(RIGHT(C361,1)="k",1000*VALUE(LEFT(C361,LEN(C361)-1)),VALUE(SUBSTITUTE(C361,",",""))))))))),"N/A")</f>
        <v>N/A</v>
      </c>
      <c r="K361" t="str">
        <f t="shared" ref="K361:K392" si="144">IFERROR(IF(TRIM(D361)="-", "N/A", IF(RIGHT(D361,1)=")",IF(RIGHT(D361,2)="T)",-1000000000000*VALUE(MID(D361,2,LEN(D361)-3)),IF(RIGHT(D361,2)="M)",-1000000*VALUE(MID(D361,2,LEN(D361)-3)),IF(RIGHT(D361,2)="B)",-1000000000*VALUE(MID(D361,2,LEN(D361)-3)),IF(RIGHT(D361,2)="k)",-1000*VALUE(MID(D361,2,LEN(D361)-3)),VALUE(SUBSTITUTE(D361,",","")))))),IF(RIGHT(D361,1)="T",1000000000000*VALUE(LEFT(D361,LEN(D361)-1)),IF(RIGHT(D361,1)="M",1000000*VALUE(LEFT(D361,LEN(D361)-1)),IF(RIGHT(D361,1)="B",1000000000*VALUE(LEFT(D361,LEN(D361)-1)),IF(RIGHT(D361,1)="%",0.01*VALUE(LEFT(D361,LEN(D361)-1)),IF(RIGHT(D361,1)="k",1000*VALUE(LEFT(D361,LEN(D361)-1)),VALUE(SUBSTITUTE(D361,",",""))))))))),"N/A")</f>
        <v>N/A</v>
      </c>
      <c r="L361" t="str">
        <f t="shared" ref="L361:L392" si="145">IFERROR(IF(TRIM(E361)="-", "N/A", IF(RIGHT(E361,1)=")",IF(RIGHT(E361,2)="T)",-1000000000000*VALUE(MID(E361,2,LEN(E361)-3)),IF(RIGHT(E361,2)="M)",-1000000*VALUE(MID(E361,2,LEN(E361)-3)),IF(RIGHT(E361,2)="B)",-1000000000*VALUE(MID(E361,2,LEN(E361)-3)),IF(RIGHT(E361,2)="k)",-1000*VALUE(MID(E361,2,LEN(E361)-3)),VALUE(SUBSTITUTE(E361,",","")))))),IF(RIGHT(E361,1)="T",1000000000000*VALUE(LEFT(E361,LEN(E361)-1)),IF(RIGHT(E361,1)="M",1000000*VALUE(LEFT(E361,LEN(E361)-1)),IF(RIGHT(E361,1)="B",1000000000*VALUE(LEFT(E361,LEN(E361)-1)),IF(RIGHT(E361,1)="%",0.01*VALUE(LEFT(E361,LEN(E361)-1)),IF(RIGHT(E361,1)="k",1000*VALUE(LEFT(E361,LEN(E361)-1)),VALUE(SUBSTITUTE(E361,",",""))))))))),"N/A")</f>
        <v>N/A</v>
      </c>
      <c r="M361" t="str">
        <f t="shared" ref="M361:M392" si="146">IFERROR(IF(TRIM(F361)="-", "N/A", IF(RIGHT(F361,1)=")",IF(RIGHT(F361,2)="T)",-1000000000000*VALUE(MID(F361,2,LEN(F361)-3)),IF(RIGHT(F361,2)="M)",-1000000*VALUE(MID(F361,2,LEN(F361)-3)),IF(RIGHT(F361,2)="B)",-1000000000*VALUE(MID(F361,2,LEN(F361)-3)),IF(RIGHT(F361,2)="k)",-1000*VALUE(MID(F361,2,LEN(F361)-3)),VALUE(SUBSTITUTE(F361,",","")))))),IF(RIGHT(F361,1)="T",1000000000000*VALUE(LEFT(F361,LEN(F361)-1)),IF(RIGHT(F361,1)="M",1000000*VALUE(LEFT(F361,LEN(F361)-1)),IF(RIGHT(F361,1)="B",1000000000*VALUE(LEFT(F361,LEN(F361)-1)),IF(RIGHT(F361,1)="%",0.01*VALUE(LEFT(F361,LEN(F361)-1)),IF(RIGHT(F361,1)="k",1000*VALUE(LEFT(F361,LEN(F361)-1)),VALUE(SUBSTITUTE(F361,",",""))))))))),"N/A")</f>
        <v>N/A</v>
      </c>
      <c r="N361" t="str">
        <f t="shared" ref="N361:N392" si="147">IFERROR(IF(TRIM(G361)="-", "N/A", IF(RIGHT(G361,1)=")",IF(RIGHT(G361,2)="T)",-1000000000000*VALUE(MID(G361,2,LEN(G361)-3)),IF(RIGHT(G361,2)="M)",-1000000*VALUE(MID(G361,2,LEN(G361)-3)),IF(RIGHT(G361,2)="B)",-1000000000*VALUE(MID(G361,2,LEN(G361)-3)),IF(RIGHT(G361,2)="k)",-1000*VALUE(MID(G361,2,LEN(G361)-3)),VALUE(SUBSTITUTE(G361,",","")))))),IF(RIGHT(G361,1)="T",1000000000000*VALUE(LEFT(G361,LEN(G361)-1)),IF(RIGHT(G361,1)="M",1000000*VALUE(LEFT(G361,LEN(G361)-1)),IF(RIGHT(G361,1)="B",1000000000*VALUE(LEFT(G361,LEN(G361)-1)),IF(RIGHT(G361,1)="%",0.01*VALUE(LEFT(G361,LEN(G361)-1)),IF(RIGHT(G361,1)="k",1000*VALUE(LEFT(G361,LEN(G361)-1)),VALUE(SUBSTITUTE(G361,",",""))))))))),"N/A")</f>
        <v>N/A</v>
      </c>
    </row>
    <row r="362" spans="9:29" x14ac:dyDescent="0.3">
      <c r="I362" t="str">
        <f t="shared" si="142"/>
        <v>N/A</v>
      </c>
      <c r="J362" t="str">
        <f t="shared" si="143"/>
        <v>N/A</v>
      </c>
      <c r="K362" t="str">
        <f t="shared" si="144"/>
        <v>N/A</v>
      </c>
      <c r="L362" t="str">
        <f t="shared" si="145"/>
        <v>N/A</v>
      </c>
      <c r="M362" t="str">
        <f t="shared" si="146"/>
        <v>N/A</v>
      </c>
      <c r="N362" t="str">
        <f t="shared" si="147"/>
        <v>N/A</v>
      </c>
    </row>
    <row r="363" spans="9:29" x14ac:dyDescent="0.3">
      <c r="I363" t="str">
        <f t="shared" si="142"/>
        <v>N/A</v>
      </c>
      <c r="J363" t="str">
        <f t="shared" si="143"/>
        <v>N/A</v>
      </c>
      <c r="K363" t="str">
        <f t="shared" si="144"/>
        <v>N/A</v>
      </c>
      <c r="L363" t="str">
        <f t="shared" si="145"/>
        <v>N/A</v>
      </c>
      <c r="M363" t="str">
        <f t="shared" si="146"/>
        <v>N/A</v>
      </c>
      <c r="N363" t="str">
        <f t="shared" si="147"/>
        <v>N/A</v>
      </c>
    </row>
    <row r="364" spans="9:29" x14ac:dyDescent="0.3">
      <c r="I364" t="str">
        <f t="shared" si="142"/>
        <v>N/A</v>
      </c>
      <c r="J364" t="str">
        <f t="shared" si="143"/>
        <v>N/A</v>
      </c>
      <c r="K364" t="str">
        <f t="shared" si="144"/>
        <v>N/A</v>
      </c>
      <c r="L364" t="str">
        <f t="shared" si="145"/>
        <v>N/A</v>
      </c>
      <c r="M364" t="str">
        <f t="shared" si="146"/>
        <v>N/A</v>
      </c>
      <c r="N364" t="str">
        <f t="shared" si="147"/>
        <v>N/A</v>
      </c>
    </row>
    <row r="365" spans="9:29" x14ac:dyDescent="0.3">
      <c r="I365" t="str">
        <f t="shared" si="142"/>
        <v>N/A</v>
      </c>
      <c r="J365" t="str">
        <f t="shared" si="143"/>
        <v>N/A</v>
      </c>
      <c r="K365" t="str">
        <f t="shared" si="144"/>
        <v>N/A</v>
      </c>
      <c r="L365" t="str">
        <f t="shared" si="145"/>
        <v>N/A</v>
      </c>
      <c r="M365" t="str">
        <f t="shared" si="146"/>
        <v>N/A</v>
      </c>
      <c r="N365" t="str">
        <f t="shared" si="147"/>
        <v>N/A</v>
      </c>
    </row>
    <row r="366" spans="9:29" x14ac:dyDescent="0.3">
      <c r="I366" t="str">
        <f t="shared" si="142"/>
        <v>N/A</v>
      </c>
      <c r="J366" t="str">
        <f t="shared" si="143"/>
        <v>N/A</v>
      </c>
      <c r="K366" t="str">
        <f t="shared" si="144"/>
        <v>N/A</v>
      </c>
      <c r="L366" t="str">
        <f t="shared" si="145"/>
        <v>N/A</v>
      </c>
      <c r="M366" t="str">
        <f t="shared" si="146"/>
        <v>N/A</v>
      </c>
      <c r="N366" t="str">
        <f t="shared" si="147"/>
        <v>N/A</v>
      </c>
    </row>
    <row r="367" spans="9:29" x14ac:dyDescent="0.3">
      <c r="I367" t="str">
        <f t="shared" si="142"/>
        <v>N/A</v>
      </c>
      <c r="J367" t="str">
        <f t="shared" si="143"/>
        <v>N/A</v>
      </c>
      <c r="K367" t="str">
        <f t="shared" si="144"/>
        <v>N/A</v>
      </c>
      <c r="L367" t="str">
        <f t="shared" si="145"/>
        <v>N/A</v>
      </c>
      <c r="M367" t="str">
        <f t="shared" si="146"/>
        <v>N/A</v>
      </c>
      <c r="N367" t="str">
        <f t="shared" si="147"/>
        <v>N/A</v>
      </c>
    </row>
    <row r="368" spans="9:29" x14ac:dyDescent="0.3">
      <c r="I368" t="str">
        <f t="shared" si="142"/>
        <v>N/A</v>
      </c>
      <c r="J368" t="str">
        <f t="shared" si="143"/>
        <v>N/A</v>
      </c>
      <c r="K368" t="str">
        <f t="shared" si="144"/>
        <v>N/A</v>
      </c>
      <c r="L368" t="str">
        <f t="shared" si="145"/>
        <v>N/A</v>
      </c>
      <c r="M368" t="str">
        <f t="shared" si="146"/>
        <v>N/A</v>
      </c>
      <c r="N368" t="str">
        <f t="shared" si="147"/>
        <v>N/A</v>
      </c>
    </row>
    <row r="369" spans="9:14" x14ac:dyDescent="0.3">
      <c r="I369" t="str">
        <f t="shared" si="142"/>
        <v>N/A</v>
      </c>
      <c r="J369" t="str">
        <f t="shared" si="143"/>
        <v>N/A</v>
      </c>
      <c r="K369" t="str">
        <f t="shared" si="144"/>
        <v>N/A</v>
      </c>
      <c r="L369" t="str">
        <f t="shared" si="145"/>
        <v>N/A</v>
      </c>
      <c r="M369" t="str">
        <f t="shared" si="146"/>
        <v>N/A</v>
      </c>
      <c r="N369" t="str">
        <f t="shared" si="147"/>
        <v>N/A</v>
      </c>
    </row>
    <row r="370" spans="9:14" x14ac:dyDescent="0.3">
      <c r="I370" t="str">
        <f t="shared" si="142"/>
        <v>N/A</v>
      </c>
      <c r="J370" t="str">
        <f t="shared" si="143"/>
        <v>N/A</v>
      </c>
      <c r="K370" t="str">
        <f t="shared" si="144"/>
        <v>N/A</v>
      </c>
      <c r="L370" t="str">
        <f t="shared" si="145"/>
        <v>N/A</v>
      </c>
      <c r="M370" t="str">
        <f t="shared" si="146"/>
        <v>N/A</v>
      </c>
      <c r="N370" t="str">
        <f t="shared" si="147"/>
        <v>N/A</v>
      </c>
    </row>
    <row r="371" spans="9:14" x14ac:dyDescent="0.3">
      <c r="I371" t="str">
        <f t="shared" si="142"/>
        <v>N/A</v>
      </c>
      <c r="J371" t="str">
        <f t="shared" si="143"/>
        <v>N/A</v>
      </c>
      <c r="K371" t="str">
        <f t="shared" si="144"/>
        <v>N/A</v>
      </c>
      <c r="L371" t="str">
        <f t="shared" si="145"/>
        <v>N/A</v>
      </c>
      <c r="M371" t="str">
        <f t="shared" si="146"/>
        <v>N/A</v>
      </c>
      <c r="N371" t="str">
        <f t="shared" si="147"/>
        <v>N/A</v>
      </c>
    </row>
    <row r="372" spans="9:14" x14ac:dyDescent="0.3">
      <c r="I372" t="str">
        <f t="shared" si="142"/>
        <v>N/A</v>
      </c>
      <c r="J372" t="str">
        <f t="shared" si="143"/>
        <v>N/A</v>
      </c>
      <c r="K372" t="str">
        <f t="shared" si="144"/>
        <v>N/A</v>
      </c>
      <c r="L372" t="str">
        <f t="shared" si="145"/>
        <v>N/A</v>
      </c>
      <c r="M372" t="str">
        <f t="shared" si="146"/>
        <v>N/A</v>
      </c>
      <c r="N372" t="str">
        <f t="shared" si="147"/>
        <v>N/A</v>
      </c>
    </row>
    <row r="373" spans="9:14" x14ac:dyDescent="0.3">
      <c r="I373" t="str">
        <f t="shared" si="142"/>
        <v>N/A</v>
      </c>
      <c r="J373" t="str">
        <f t="shared" si="143"/>
        <v>N/A</v>
      </c>
      <c r="K373" t="str">
        <f t="shared" si="144"/>
        <v>N/A</v>
      </c>
      <c r="L373" t="str">
        <f t="shared" si="145"/>
        <v>N/A</v>
      </c>
      <c r="M373" t="str">
        <f t="shared" si="146"/>
        <v>N/A</v>
      </c>
      <c r="N373" t="str">
        <f t="shared" si="147"/>
        <v>N/A</v>
      </c>
    </row>
    <row r="374" spans="9:14" x14ac:dyDescent="0.3">
      <c r="I374" t="str">
        <f t="shared" si="142"/>
        <v>N/A</v>
      </c>
      <c r="J374" t="str">
        <f t="shared" si="143"/>
        <v>N/A</v>
      </c>
      <c r="K374" t="str">
        <f t="shared" si="144"/>
        <v>N/A</v>
      </c>
      <c r="L374" t="str">
        <f t="shared" si="145"/>
        <v>N/A</v>
      </c>
      <c r="M374" t="str">
        <f t="shared" si="146"/>
        <v>N/A</v>
      </c>
      <c r="N374" t="str">
        <f t="shared" si="147"/>
        <v>N/A</v>
      </c>
    </row>
    <row r="375" spans="9:14" x14ac:dyDescent="0.3">
      <c r="I375" t="str">
        <f t="shared" si="142"/>
        <v>N/A</v>
      </c>
      <c r="J375" t="str">
        <f t="shared" si="143"/>
        <v>N/A</v>
      </c>
      <c r="K375" t="str">
        <f t="shared" si="144"/>
        <v>N/A</v>
      </c>
      <c r="L375" t="str">
        <f t="shared" si="145"/>
        <v>N/A</v>
      </c>
      <c r="M375" t="str">
        <f t="shared" si="146"/>
        <v>N/A</v>
      </c>
      <c r="N375" t="str">
        <f t="shared" si="147"/>
        <v>N/A</v>
      </c>
    </row>
    <row r="376" spans="9:14" x14ac:dyDescent="0.3">
      <c r="I376" t="str">
        <f t="shared" si="142"/>
        <v>N/A</v>
      </c>
      <c r="J376" t="str">
        <f t="shared" si="143"/>
        <v>N/A</v>
      </c>
      <c r="K376" t="str">
        <f t="shared" si="144"/>
        <v>N/A</v>
      </c>
      <c r="L376" t="str">
        <f t="shared" si="145"/>
        <v>N/A</v>
      </c>
      <c r="M376" t="str">
        <f t="shared" si="146"/>
        <v>N/A</v>
      </c>
      <c r="N376" t="str">
        <f t="shared" si="147"/>
        <v>N/A</v>
      </c>
    </row>
    <row r="377" spans="9:14" x14ac:dyDescent="0.3">
      <c r="I377" t="str">
        <f t="shared" si="142"/>
        <v>N/A</v>
      </c>
      <c r="J377" t="str">
        <f t="shared" si="143"/>
        <v>N/A</v>
      </c>
      <c r="K377" t="str">
        <f t="shared" si="144"/>
        <v>N/A</v>
      </c>
      <c r="L377" t="str">
        <f t="shared" si="145"/>
        <v>N/A</v>
      </c>
      <c r="M377" t="str">
        <f t="shared" si="146"/>
        <v>N/A</v>
      </c>
      <c r="N377" t="str">
        <f t="shared" si="147"/>
        <v>N/A</v>
      </c>
    </row>
    <row r="378" spans="9:14" x14ac:dyDescent="0.3">
      <c r="I378" t="str">
        <f t="shared" si="142"/>
        <v>N/A</v>
      </c>
      <c r="J378" t="str">
        <f t="shared" si="143"/>
        <v>N/A</v>
      </c>
      <c r="K378" t="str">
        <f t="shared" si="144"/>
        <v>N/A</v>
      </c>
      <c r="L378" t="str">
        <f t="shared" si="145"/>
        <v>N/A</v>
      </c>
      <c r="M378" t="str">
        <f t="shared" si="146"/>
        <v>N/A</v>
      </c>
      <c r="N378" t="str">
        <f t="shared" si="147"/>
        <v>N/A</v>
      </c>
    </row>
    <row r="379" spans="9:14" x14ac:dyDescent="0.3">
      <c r="I379" t="str">
        <f t="shared" si="142"/>
        <v>N/A</v>
      </c>
      <c r="J379" t="str">
        <f t="shared" si="143"/>
        <v>N/A</v>
      </c>
      <c r="K379" t="str">
        <f t="shared" si="144"/>
        <v>N/A</v>
      </c>
      <c r="L379" t="str">
        <f t="shared" si="145"/>
        <v>N/A</v>
      </c>
      <c r="M379" t="str">
        <f t="shared" si="146"/>
        <v>N/A</v>
      </c>
      <c r="N379" t="str">
        <f t="shared" si="147"/>
        <v>N/A</v>
      </c>
    </row>
    <row r="380" spans="9:14" x14ac:dyDescent="0.3">
      <c r="I380" t="str">
        <f t="shared" si="142"/>
        <v>N/A</v>
      </c>
      <c r="J380" t="str">
        <f t="shared" si="143"/>
        <v>N/A</v>
      </c>
      <c r="K380" t="str">
        <f t="shared" si="144"/>
        <v>N/A</v>
      </c>
      <c r="L380" t="str">
        <f t="shared" si="145"/>
        <v>N/A</v>
      </c>
      <c r="M380" t="str">
        <f t="shared" si="146"/>
        <v>N/A</v>
      </c>
      <c r="N380" t="str">
        <f t="shared" si="147"/>
        <v>N/A</v>
      </c>
    </row>
    <row r="381" spans="9:14" x14ac:dyDescent="0.3">
      <c r="I381" t="str">
        <f t="shared" si="142"/>
        <v>N/A</v>
      </c>
      <c r="J381" t="str">
        <f t="shared" si="143"/>
        <v>N/A</v>
      </c>
      <c r="K381" t="str">
        <f t="shared" si="144"/>
        <v>N/A</v>
      </c>
      <c r="L381" t="str">
        <f t="shared" si="145"/>
        <v>N/A</v>
      </c>
      <c r="M381" t="str">
        <f t="shared" si="146"/>
        <v>N/A</v>
      </c>
      <c r="N381" t="str">
        <f t="shared" si="147"/>
        <v>N/A</v>
      </c>
    </row>
    <row r="382" spans="9:14" x14ac:dyDescent="0.3">
      <c r="I382" t="str">
        <f t="shared" si="142"/>
        <v>N/A</v>
      </c>
      <c r="J382" t="str">
        <f t="shared" si="143"/>
        <v>N/A</v>
      </c>
      <c r="K382" t="str">
        <f t="shared" si="144"/>
        <v>N/A</v>
      </c>
      <c r="L382" t="str">
        <f t="shared" si="145"/>
        <v>N/A</v>
      </c>
      <c r="M382" t="str">
        <f t="shared" si="146"/>
        <v>N/A</v>
      </c>
      <c r="N382" t="str">
        <f t="shared" si="147"/>
        <v>N/A</v>
      </c>
    </row>
    <row r="383" spans="9:14" x14ac:dyDescent="0.3">
      <c r="I383" t="str">
        <f t="shared" si="142"/>
        <v>N/A</v>
      </c>
      <c r="J383" t="str">
        <f t="shared" si="143"/>
        <v>N/A</v>
      </c>
      <c r="K383" t="str">
        <f t="shared" si="144"/>
        <v>N/A</v>
      </c>
      <c r="L383" t="str">
        <f t="shared" si="145"/>
        <v>N/A</v>
      </c>
      <c r="M383" t="str">
        <f t="shared" si="146"/>
        <v>N/A</v>
      </c>
      <c r="N383" t="str">
        <f t="shared" si="147"/>
        <v>N/A</v>
      </c>
    </row>
    <row r="384" spans="9:14" x14ac:dyDescent="0.3">
      <c r="I384" t="str">
        <f t="shared" si="142"/>
        <v>N/A</v>
      </c>
      <c r="J384" t="str">
        <f t="shared" si="143"/>
        <v>N/A</v>
      </c>
      <c r="K384" t="str">
        <f t="shared" si="144"/>
        <v>N/A</v>
      </c>
      <c r="L384" t="str">
        <f t="shared" si="145"/>
        <v>N/A</v>
      </c>
      <c r="M384" t="str">
        <f t="shared" si="146"/>
        <v>N/A</v>
      </c>
      <c r="N384" t="str">
        <f t="shared" si="147"/>
        <v>N/A</v>
      </c>
    </row>
    <row r="385" spans="9:14" x14ac:dyDescent="0.3">
      <c r="I385" t="str">
        <f t="shared" si="142"/>
        <v>N/A</v>
      </c>
      <c r="J385" t="str">
        <f t="shared" si="143"/>
        <v>N/A</v>
      </c>
      <c r="K385" t="str">
        <f t="shared" si="144"/>
        <v>N/A</v>
      </c>
      <c r="L385" t="str">
        <f t="shared" si="145"/>
        <v>N/A</v>
      </c>
      <c r="M385" t="str">
        <f t="shared" si="146"/>
        <v>N/A</v>
      </c>
      <c r="N385" t="str">
        <f t="shared" si="147"/>
        <v>N/A</v>
      </c>
    </row>
    <row r="386" spans="9:14" x14ac:dyDescent="0.3">
      <c r="I386" t="str">
        <f t="shared" si="142"/>
        <v>N/A</v>
      </c>
      <c r="J386" t="str">
        <f t="shared" si="143"/>
        <v>N/A</v>
      </c>
      <c r="K386" t="str">
        <f t="shared" si="144"/>
        <v>N/A</v>
      </c>
      <c r="L386" t="str">
        <f t="shared" si="145"/>
        <v>N/A</v>
      </c>
      <c r="M386" t="str">
        <f t="shared" si="146"/>
        <v>N/A</v>
      </c>
      <c r="N386" t="str">
        <f t="shared" si="147"/>
        <v>N/A</v>
      </c>
    </row>
    <row r="387" spans="9:14" x14ac:dyDescent="0.3">
      <c r="I387" t="str">
        <f t="shared" si="142"/>
        <v>N/A</v>
      </c>
      <c r="J387" t="str">
        <f t="shared" si="143"/>
        <v>N/A</v>
      </c>
      <c r="K387" t="str">
        <f t="shared" si="144"/>
        <v>N/A</v>
      </c>
      <c r="L387" t="str">
        <f t="shared" si="145"/>
        <v>N/A</v>
      </c>
      <c r="M387" t="str">
        <f t="shared" si="146"/>
        <v>N/A</v>
      </c>
      <c r="N387" t="str">
        <f t="shared" si="147"/>
        <v>N/A</v>
      </c>
    </row>
    <row r="388" spans="9:14" x14ac:dyDescent="0.3">
      <c r="I388" t="str">
        <f t="shared" si="142"/>
        <v>N/A</v>
      </c>
      <c r="J388" t="str">
        <f t="shared" si="143"/>
        <v>N/A</v>
      </c>
      <c r="K388" t="str">
        <f t="shared" si="144"/>
        <v>N/A</v>
      </c>
      <c r="L388" t="str">
        <f t="shared" si="145"/>
        <v>N/A</v>
      </c>
      <c r="M388" t="str">
        <f t="shared" si="146"/>
        <v>N/A</v>
      </c>
      <c r="N388" t="str">
        <f t="shared" si="147"/>
        <v>N/A</v>
      </c>
    </row>
    <row r="389" spans="9:14" x14ac:dyDescent="0.3">
      <c r="I389" t="str">
        <f t="shared" si="142"/>
        <v>N/A</v>
      </c>
      <c r="J389" t="str">
        <f t="shared" si="143"/>
        <v>N/A</v>
      </c>
      <c r="K389" t="str">
        <f t="shared" si="144"/>
        <v>N/A</v>
      </c>
      <c r="L389" t="str">
        <f t="shared" si="145"/>
        <v>N/A</v>
      </c>
      <c r="M389" t="str">
        <f t="shared" si="146"/>
        <v>N/A</v>
      </c>
      <c r="N389" t="str">
        <f t="shared" si="147"/>
        <v>N/A</v>
      </c>
    </row>
    <row r="390" spans="9:14" x14ac:dyDescent="0.3">
      <c r="I390" t="str">
        <f t="shared" si="142"/>
        <v>N/A</v>
      </c>
      <c r="J390" t="str">
        <f t="shared" si="143"/>
        <v>N/A</v>
      </c>
      <c r="K390" t="str">
        <f t="shared" si="144"/>
        <v>N/A</v>
      </c>
      <c r="L390" t="str">
        <f t="shared" si="145"/>
        <v>N/A</v>
      </c>
      <c r="M390" t="str">
        <f t="shared" si="146"/>
        <v>N/A</v>
      </c>
      <c r="N390" t="str">
        <f t="shared" si="147"/>
        <v>N/A</v>
      </c>
    </row>
    <row r="391" spans="9:14" x14ac:dyDescent="0.3">
      <c r="I391" t="str">
        <f t="shared" si="142"/>
        <v>N/A</v>
      </c>
      <c r="J391" t="str">
        <f t="shared" si="143"/>
        <v>N/A</v>
      </c>
      <c r="K391" t="str">
        <f t="shared" si="144"/>
        <v>N/A</v>
      </c>
      <c r="L391" t="str">
        <f t="shared" si="145"/>
        <v>N/A</v>
      </c>
      <c r="M391" t="str">
        <f t="shared" si="146"/>
        <v>N/A</v>
      </c>
      <c r="N391" t="str">
        <f t="shared" si="147"/>
        <v>N/A</v>
      </c>
    </row>
    <row r="392" spans="9:14" x14ac:dyDescent="0.3">
      <c r="I392" t="str">
        <f t="shared" si="142"/>
        <v>N/A</v>
      </c>
      <c r="J392" t="str">
        <f t="shared" si="143"/>
        <v>N/A</v>
      </c>
      <c r="K392" t="str">
        <f t="shared" si="144"/>
        <v>N/A</v>
      </c>
      <c r="L392" t="str">
        <f t="shared" si="145"/>
        <v>N/A</v>
      </c>
      <c r="M392" t="str">
        <f t="shared" si="146"/>
        <v>N/A</v>
      </c>
      <c r="N392" t="str">
        <f t="shared" si="147"/>
        <v>N/A</v>
      </c>
    </row>
    <row r="393" spans="9:14" x14ac:dyDescent="0.3">
      <c r="I393" t="str">
        <f t="shared" ref="I393:I424" si="148">IF(AND(K393&gt; J393, L393&gt; K393, M393&gt; L393, N393&gt; M393), "pos_trend", IF(AND(K393&lt; J393, L393&lt; K393, M393&lt; L393, N393&lt; M393), "neg_trend", "N/A"))</f>
        <v>N/A</v>
      </c>
      <c r="J393" t="str">
        <f t="shared" ref="J393:J399" si="149">IFERROR(IF(TRIM(C393)="-", "N/A", IF(RIGHT(C393,1)=")",IF(RIGHT(C393,2)="T)",-1000000000000*VALUE(MID(C393,2,LEN(C393)-3)),IF(RIGHT(C393,2)="M)",-1000000*VALUE(MID(C393,2,LEN(C393)-3)),IF(RIGHT(C393,2)="B)",-1000000000*VALUE(MID(C393,2,LEN(C393)-3)),IF(RIGHT(C393,2)="k)",-1000*VALUE(MID(C393,2,LEN(C393)-3)),VALUE(SUBSTITUTE(C393,",","")))))),IF(RIGHT(C393,1)="T",1000000000000*VALUE(LEFT(C393,LEN(C393)-1)),IF(RIGHT(C393,1)="M",1000000*VALUE(LEFT(C393,LEN(C393)-1)),IF(RIGHT(C393,1)="B",1000000000*VALUE(LEFT(C393,LEN(C393)-1)),IF(RIGHT(C393,1)="%",0.01*VALUE(LEFT(C393,LEN(C393)-1)),IF(RIGHT(C393,1)="k",1000*VALUE(LEFT(C393,LEN(C393)-1)),VALUE(SUBSTITUTE(C393,",",""))))))))),"N/A")</f>
        <v>N/A</v>
      </c>
      <c r="K393" t="str">
        <f t="shared" ref="K393:K399" si="150">IFERROR(IF(TRIM(D393)="-", "N/A", IF(RIGHT(D393,1)=")",IF(RIGHT(D393,2)="T)",-1000000000000*VALUE(MID(D393,2,LEN(D393)-3)),IF(RIGHT(D393,2)="M)",-1000000*VALUE(MID(D393,2,LEN(D393)-3)),IF(RIGHT(D393,2)="B)",-1000000000*VALUE(MID(D393,2,LEN(D393)-3)),IF(RIGHT(D393,2)="k)",-1000*VALUE(MID(D393,2,LEN(D393)-3)),VALUE(SUBSTITUTE(D393,",","")))))),IF(RIGHT(D393,1)="T",1000000000000*VALUE(LEFT(D393,LEN(D393)-1)),IF(RIGHT(D393,1)="M",1000000*VALUE(LEFT(D393,LEN(D393)-1)),IF(RIGHT(D393,1)="B",1000000000*VALUE(LEFT(D393,LEN(D393)-1)),IF(RIGHT(D393,1)="%",0.01*VALUE(LEFT(D393,LEN(D393)-1)),IF(RIGHT(D393,1)="k",1000*VALUE(LEFT(D393,LEN(D393)-1)),VALUE(SUBSTITUTE(D393,",",""))))))))),"N/A")</f>
        <v>N/A</v>
      </c>
      <c r="L393" t="str">
        <f t="shared" ref="L393:L399" si="151">IFERROR(IF(TRIM(E393)="-", "N/A", IF(RIGHT(E393,1)=")",IF(RIGHT(E393,2)="T)",-1000000000000*VALUE(MID(E393,2,LEN(E393)-3)),IF(RIGHT(E393,2)="M)",-1000000*VALUE(MID(E393,2,LEN(E393)-3)),IF(RIGHT(E393,2)="B)",-1000000000*VALUE(MID(E393,2,LEN(E393)-3)),IF(RIGHT(E393,2)="k)",-1000*VALUE(MID(E393,2,LEN(E393)-3)),VALUE(SUBSTITUTE(E393,",","")))))),IF(RIGHT(E393,1)="T",1000000000000*VALUE(LEFT(E393,LEN(E393)-1)),IF(RIGHT(E393,1)="M",1000000*VALUE(LEFT(E393,LEN(E393)-1)),IF(RIGHT(E393,1)="B",1000000000*VALUE(LEFT(E393,LEN(E393)-1)),IF(RIGHT(E393,1)="%",0.01*VALUE(LEFT(E393,LEN(E393)-1)),IF(RIGHT(E393,1)="k",1000*VALUE(LEFT(E393,LEN(E393)-1)),VALUE(SUBSTITUTE(E393,",",""))))))))),"N/A")</f>
        <v>N/A</v>
      </c>
      <c r="M393" t="str">
        <f t="shared" ref="M393:M399" si="152">IFERROR(IF(TRIM(F393)="-", "N/A", IF(RIGHT(F393,1)=")",IF(RIGHT(F393,2)="T)",-1000000000000*VALUE(MID(F393,2,LEN(F393)-3)),IF(RIGHT(F393,2)="M)",-1000000*VALUE(MID(F393,2,LEN(F393)-3)),IF(RIGHT(F393,2)="B)",-1000000000*VALUE(MID(F393,2,LEN(F393)-3)),IF(RIGHT(F393,2)="k)",-1000*VALUE(MID(F393,2,LEN(F393)-3)),VALUE(SUBSTITUTE(F393,",","")))))),IF(RIGHT(F393,1)="T",1000000000000*VALUE(LEFT(F393,LEN(F393)-1)),IF(RIGHT(F393,1)="M",1000000*VALUE(LEFT(F393,LEN(F393)-1)),IF(RIGHT(F393,1)="B",1000000000*VALUE(LEFT(F393,LEN(F393)-1)),IF(RIGHT(F393,1)="%",0.01*VALUE(LEFT(F393,LEN(F393)-1)),IF(RIGHT(F393,1)="k",1000*VALUE(LEFT(F393,LEN(F393)-1)),VALUE(SUBSTITUTE(F393,",",""))))))))),"N/A")</f>
        <v>N/A</v>
      </c>
      <c r="N393" t="str">
        <f t="shared" ref="N393:N399" si="153">IFERROR(IF(TRIM(G393)="-", "N/A", IF(RIGHT(G393,1)=")",IF(RIGHT(G393,2)="T)",-1000000000000*VALUE(MID(G393,2,LEN(G393)-3)),IF(RIGHT(G393,2)="M)",-1000000*VALUE(MID(G393,2,LEN(G393)-3)),IF(RIGHT(G393,2)="B)",-1000000000*VALUE(MID(G393,2,LEN(G393)-3)),IF(RIGHT(G393,2)="k)",-1000*VALUE(MID(G393,2,LEN(G393)-3)),VALUE(SUBSTITUTE(G393,",","")))))),IF(RIGHT(G393,1)="T",1000000000000*VALUE(LEFT(G393,LEN(G393)-1)),IF(RIGHT(G393,1)="M",1000000*VALUE(LEFT(G393,LEN(G393)-1)),IF(RIGHT(G393,1)="B",1000000000*VALUE(LEFT(G393,LEN(G393)-1)),IF(RIGHT(G393,1)="%",0.01*VALUE(LEFT(G393,LEN(G393)-1)),IF(RIGHT(G393,1)="k",1000*VALUE(LEFT(G393,LEN(G393)-1)),VALUE(SUBSTITUTE(G393,",",""))))))))),"N/A")</f>
        <v>N/A</v>
      </c>
    </row>
    <row r="394" spans="9:14" x14ac:dyDescent="0.3">
      <c r="I394" t="str">
        <f t="shared" si="148"/>
        <v>N/A</v>
      </c>
      <c r="J394" t="str">
        <f t="shared" si="149"/>
        <v>N/A</v>
      </c>
      <c r="K394" t="str">
        <f t="shared" si="150"/>
        <v>N/A</v>
      </c>
      <c r="L394" t="str">
        <f t="shared" si="151"/>
        <v>N/A</v>
      </c>
      <c r="M394" t="str">
        <f t="shared" si="152"/>
        <v>N/A</v>
      </c>
      <c r="N394" t="str">
        <f t="shared" si="153"/>
        <v>N/A</v>
      </c>
    </row>
    <row r="395" spans="9:14" x14ac:dyDescent="0.3">
      <c r="I395" t="str">
        <f t="shared" si="148"/>
        <v>N/A</v>
      </c>
      <c r="J395" t="str">
        <f t="shared" si="149"/>
        <v>N/A</v>
      </c>
      <c r="K395" t="str">
        <f t="shared" si="150"/>
        <v>N/A</v>
      </c>
      <c r="L395" t="str">
        <f t="shared" si="151"/>
        <v>N/A</v>
      </c>
      <c r="M395" t="str">
        <f t="shared" si="152"/>
        <v>N/A</v>
      </c>
      <c r="N395" t="str">
        <f t="shared" si="153"/>
        <v>N/A</v>
      </c>
    </row>
    <row r="396" spans="9:14" x14ac:dyDescent="0.3">
      <c r="I396" t="str">
        <f t="shared" si="148"/>
        <v>N/A</v>
      </c>
      <c r="J396" t="str">
        <f t="shared" si="149"/>
        <v>N/A</v>
      </c>
      <c r="K396" t="str">
        <f t="shared" si="150"/>
        <v>N/A</v>
      </c>
      <c r="L396" t="str">
        <f t="shared" si="151"/>
        <v>N/A</v>
      </c>
      <c r="M396" t="str">
        <f t="shared" si="152"/>
        <v>N/A</v>
      </c>
      <c r="N396" t="str">
        <f t="shared" si="153"/>
        <v>N/A</v>
      </c>
    </row>
    <row r="397" spans="9:14" x14ac:dyDescent="0.3">
      <c r="I397" t="str">
        <f t="shared" si="148"/>
        <v>N/A</v>
      </c>
      <c r="J397" t="str">
        <f t="shared" si="149"/>
        <v>N/A</v>
      </c>
      <c r="K397" t="str">
        <f t="shared" si="150"/>
        <v>N/A</v>
      </c>
      <c r="L397" t="str">
        <f t="shared" si="151"/>
        <v>N/A</v>
      </c>
      <c r="M397" t="str">
        <f t="shared" si="152"/>
        <v>N/A</v>
      </c>
      <c r="N397" t="str">
        <f t="shared" si="153"/>
        <v>N/A</v>
      </c>
    </row>
    <row r="398" spans="9:14" x14ac:dyDescent="0.3">
      <c r="I398" t="str">
        <f t="shared" si="148"/>
        <v>N/A</v>
      </c>
      <c r="J398" t="str">
        <f t="shared" si="149"/>
        <v>N/A</v>
      </c>
      <c r="K398" t="str">
        <f t="shared" si="150"/>
        <v>N/A</v>
      </c>
      <c r="L398" t="str">
        <f t="shared" si="151"/>
        <v>N/A</v>
      </c>
      <c r="M398" t="str">
        <f t="shared" si="152"/>
        <v>N/A</v>
      </c>
      <c r="N398" t="str">
        <f t="shared" si="153"/>
        <v>N/A</v>
      </c>
    </row>
    <row r="399" spans="9:14" x14ac:dyDescent="0.3">
      <c r="I399" t="str">
        <f t="shared" si="148"/>
        <v>N/A</v>
      </c>
      <c r="J399" t="str">
        <f t="shared" si="149"/>
        <v>N/A</v>
      </c>
      <c r="K399" t="str">
        <f t="shared" si="150"/>
        <v>N/A</v>
      </c>
      <c r="L399" t="str">
        <f t="shared" si="151"/>
        <v>N/A</v>
      </c>
      <c r="M399" t="str">
        <f t="shared" si="152"/>
        <v>N/A</v>
      </c>
      <c r="N399" t="str">
        <f t="shared" si="153"/>
        <v>N/A</v>
      </c>
    </row>
    <row r="448" spans="52:52" x14ac:dyDescent="0.3">
      <c r="AZ448" t="str">
        <f>"Compile Facts"</f>
        <v>Compile Facts</v>
      </c>
    </row>
    <row r="450" spans="2:53" x14ac:dyDescent="0.3">
      <c r="B450" t="str">
        <f>"ROIC Super Tree"</f>
        <v>ROIC Super Tree</v>
      </c>
      <c r="AZ450" t="str">
        <f t="shared" ref="AZ450:BA453" si="154">I519</f>
        <v>Max SD</v>
      </c>
      <c r="BA450" t="e">
        <f t="shared" ca="1" si="154"/>
        <v>#N/A</v>
      </c>
    </row>
    <row r="451" spans="2:53" x14ac:dyDescent="0.3">
      <c r="AZ451" t="str">
        <f t="shared" si="154"/>
        <v>Max SD Item</v>
      </c>
      <c r="BA451" t="e">
        <f t="shared" ca="1" si="154"/>
        <v>#N/A</v>
      </c>
    </row>
    <row r="452" spans="2:53" x14ac:dyDescent="0.3">
      <c r="AK452" t="str">
        <f>"Change in Gross Margin / Sales"</f>
        <v>Change in Gross Margin / Sales</v>
      </c>
      <c r="AZ452" t="str">
        <f t="shared" si="154"/>
        <v>Min SD</v>
      </c>
      <c r="BA452" t="e">
        <f t="shared" ca="1" si="154"/>
        <v>#N/A</v>
      </c>
    </row>
    <row r="453" spans="2:53" x14ac:dyDescent="0.3">
      <c r="X453" t="str">
        <f>"Gross Margin"</f>
        <v>Gross Margin</v>
      </c>
      <c r="AK453" t="str">
        <f>K476</f>
        <v>0-0</v>
      </c>
      <c r="AL453" t="str">
        <f>L476</f>
        <v>0-0</v>
      </c>
      <c r="AM453" t="str">
        <f>M476</f>
        <v>0-0</v>
      </c>
      <c r="AN453" t="str">
        <f>N476</f>
        <v>0-0</v>
      </c>
      <c r="AZ453" t="str">
        <f t="shared" si="154"/>
        <v>Min SD Item</v>
      </c>
      <c r="BA453" t="e">
        <f t="shared" ca="1" si="154"/>
        <v>#N/A</v>
      </c>
    </row>
    <row r="454" spans="2:53" x14ac:dyDescent="0.3">
      <c r="X454">
        <f>D476</f>
        <v>0</v>
      </c>
      <c r="Y454">
        <f>E476</f>
        <v>0</v>
      </c>
      <c r="Z454">
        <f>F476</f>
        <v>0</v>
      </c>
      <c r="AA454">
        <f>G476</f>
        <v>0</v>
      </c>
      <c r="AB454">
        <f>H476</f>
        <v>0</v>
      </c>
      <c r="AK454" t="e">
        <f ca="1">Y455-X455</f>
        <v>#N/A</v>
      </c>
      <c r="AL454" t="e">
        <f ca="1">Z455-Y455</f>
        <v>#N/A</v>
      </c>
      <c r="AM454" t="e">
        <f ca="1">AA455-Z455</f>
        <v>#N/A</v>
      </c>
      <c r="AN454" t="e">
        <f ca="1">AB455-AA455</f>
        <v>#N/A</v>
      </c>
    </row>
    <row r="455" spans="2:53" x14ac:dyDescent="0.3">
      <c r="X455" t="e">
        <f ca="1">IFERROR((INDIRECT("J" &amp; MATCH("Gross Income",B145:B403,0) +144))/(INDIRECT("J" &amp; MATCH("Sales/Revenue",B145:B403,0) +144)), IFERROR((1 - (INDIRECT("J" &amp; MATCH("Cost of Goods Sold*",B145:B403,0) +144))/(INDIRECT("J" &amp; MATCH("Sales/Revenue",B145:B403,0) +144))),(INDIRECT("J" &amp; MATCH("Operating Income",B145:B403,0) +144))/(INDIRECT("J" &amp; MATCH("Sales/Revenue",B145:B403,0) +144))))</f>
        <v>#N/A</v>
      </c>
      <c r="Y455" t="e">
        <f ca="1">IFERROR((INDIRECT("K" &amp; MATCH("Gross Income",B145:B403,0) +144))/(INDIRECT("K" &amp; MATCH("Sales/Revenue",B145:B403,0) +144)), IFERROR((1 - (INDIRECT("K" &amp; MATCH("Cost of Goods Sold*",B145:B403,0) +144))/(INDIRECT("K" &amp; MATCH("Sales/Revenue",B145:B403,0) +144))),(INDIRECT("K" &amp; MATCH("Operating Income",B145:B403,0) +144))/(INDIRECT("K" &amp; MATCH("Sales/Revenue",B145:B403,0) +144))))</f>
        <v>#N/A</v>
      </c>
      <c r="Z455" t="e">
        <f ca="1">IFERROR((INDIRECT("L" &amp; MATCH("Gross Income",B145:B403,0) +144))/(INDIRECT("L" &amp; MATCH("Sales/Revenue",B145:B403,0) +144)), IFERROR((1 - (INDIRECT("L" &amp; MATCH("Cost of Goods Sold*",B145:B403,0) +144))/(INDIRECT("L" &amp; MATCH("Sales/Revenue",B145:B403,0) +144))),(INDIRECT("L" &amp; MATCH("Operating Income",B145:B403,0) +144))/(INDIRECT("L" &amp; MATCH("Sales/Revenue",B145:B403,0) +144))))</f>
        <v>#N/A</v>
      </c>
      <c r="AA455" t="e">
        <f ca="1">IFERROR((INDIRECT("M" &amp; MATCH("Gross Income",B145:B403,0) +144))/(INDIRECT("M" &amp; MATCH("Sales/Revenue",B145:B403,0) +144)), IFERROR((1 - (INDIRECT("M" &amp; MATCH("Cost of Goods Sold*",B145:B403,0) +144))/(INDIRECT("M" &amp; MATCH("Sales/Revenue",B145:B403,0) +144))),(INDIRECT("M" &amp; MATCH("Operating Income",B145:B403,0) +144))/(INDIRECT("M" &amp; MATCH("Sales/Revenue",B145:B403,0) +144))))</f>
        <v>#N/A</v>
      </c>
      <c r="AB455" t="e">
        <f ca="1">IFERROR((INDIRECT("N" &amp; MATCH("Gross Income",B145:B403,0) +144))/(INDIRECT("N" &amp; MATCH("Sales/Revenue",B145:B403,0) +144)), IFERROR((1 - (INDIRECT("N" &amp; MATCH("Cost of Goods Sold*",B145:B403,0) +144))/(INDIRECT("N" &amp; MATCH("Sales/Revenue",B145:B403,0) +144))),(INDIRECT("N" &amp; MATCH("Operating Income",B145:B403,0) +144))/(INDIRECT("N" &amp; MATCH("Sales/Revenue",B145:B403,0) +144))))</f>
        <v>#N/A</v>
      </c>
      <c r="AK455" t="str">
        <f>"Max " &amp; AK452</f>
        <v>Max Change in Gross Margin / Sales</v>
      </c>
      <c r="AL455" t="e">
        <f ca="1">MAX(AK454:AN454)</f>
        <v>#N/A</v>
      </c>
      <c r="AZ455" t="str">
        <f>"Item"</f>
        <v>Item</v>
      </c>
      <c r="BA455" t="str">
        <f>"Key Driver"</f>
        <v>Key Driver</v>
      </c>
    </row>
    <row r="456" spans="2:53" x14ac:dyDescent="0.3">
      <c r="X456" t="str">
        <f>"Max " &amp; X453</f>
        <v>Max Gross Margin</v>
      </c>
      <c r="Y456" t="e">
        <f ca="1">MAX(X455:AB455)</f>
        <v>#N/A</v>
      </c>
      <c r="AK456" t="str">
        <f>AK455 &amp; " Year"</f>
        <v>Max Change in Gross Margin / Sales Year</v>
      </c>
      <c r="AL456" t="e">
        <f ca="1">IF(MATCH(AL455,AK454:AN454,0)=1,AK453,IF(MATCH(AL455,AK454:AN454,0)=2,AL453,IF(MATCH(AL455,AK454:AN454,0)=3,AM453,AN453)))</f>
        <v>#N/A</v>
      </c>
      <c r="AZ456" t="str">
        <f>C528</f>
        <v>Operating Margin</v>
      </c>
      <c r="BA456" t="e">
        <f ca="1">L528</f>
        <v>#N/A</v>
      </c>
    </row>
    <row r="457" spans="2:53" x14ac:dyDescent="0.3">
      <c r="X457" t="str">
        <f>X456 &amp; " Year"</f>
        <v>Max Gross Margin Year</v>
      </c>
      <c r="Y457" t="e">
        <f ca="1">VALUE(X454)+MATCH(Y456,X455:AB455,0)-1</f>
        <v>#N/A</v>
      </c>
      <c r="AK457" t="str">
        <f>"Min " &amp; AK452</f>
        <v>Min Change in Gross Margin / Sales</v>
      </c>
      <c r="AL457" t="e">
        <f ca="1">MIN(AK454:AN454)</f>
        <v>#N/A</v>
      </c>
      <c r="AZ457" t="str">
        <f>C529</f>
        <v>Invested Capital / Sales</v>
      </c>
      <c r="BA457" t="e">
        <f ca="1">L529</f>
        <v>#N/A</v>
      </c>
    </row>
    <row r="458" spans="2:53" x14ac:dyDescent="0.3">
      <c r="X458" t="str">
        <f>"Min " &amp; X453</f>
        <v>Min Gross Margin</v>
      </c>
      <c r="Y458" t="e">
        <f ca="1">MIN(X455:AB455)</f>
        <v>#N/A</v>
      </c>
      <c r="AK458" t="str">
        <f>AK457 &amp; " Year"</f>
        <v>Min Change in Gross Margin / Sales Year</v>
      </c>
      <c r="AL458" t="e">
        <f ca="1">IF(MATCH(AL457,AK454:AN454,0)=1,AK453,IF(MATCH(AL457,AK454:AN454,0)=2,AL453,IF(MATCH(AL457,AK454:AN454,0)=3,AM453,AN453)))</f>
        <v>#N/A</v>
      </c>
    </row>
    <row r="459" spans="2:53" x14ac:dyDescent="0.3">
      <c r="X459" t="str">
        <f>X458 &amp; " Year"</f>
        <v>Min Gross Margin Year</v>
      </c>
      <c r="Y459" t="e">
        <f ca="1">VALUE(X454)+MATCH(Y458,X455:AB455,0)-1</f>
        <v>#N/A</v>
      </c>
      <c r="AZ459" t="e">
        <f ca="1">C540</f>
        <v>#NAME?</v>
      </c>
    </row>
    <row r="460" spans="2:53" x14ac:dyDescent="0.3">
      <c r="Q460" t="str">
        <f>"Operating Margin"</f>
        <v>Operating Margin</v>
      </c>
    </row>
    <row r="461" spans="2:53" x14ac:dyDescent="0.3">
      <c r="Q461">
        <f>D476</f>
        <v>0</v>
      </c>
      <c r="R461">
        <f>E476</f>
        <v>0</v>
      </c>
      <c r="S461">
        <f>F476</f>
        <v>0</v>
      </c>
      <c r="T461">
        <f>G476</f>
        <v>0</v>
      </c>
      <c r="U461">
        <f>H476</f>
        <v>0</v>
      </c>
      <c r="X461" t="str">
        <f>"SGA / Sales"</f>
        <v>SGA / Sales</v>
      </c>
      <c r="AE461" t="str">
        <f>"Change in Operating Margin"</f>
        <v>Change in Operating Margin</v>
      </c>
      <c r="AK461" t="str">
        <f>"Change in SGA / Sales"</f>
        <v>Change in SGA / Sales</v>
      </c>
    </row>
    <row r="462" spans="2:53" x14ac:dyDescent="0.3">
      <c r="Q462" t="e">
        <f ca="1">X455-X463-X471</f>
        <v>#N/A</v>
      </c>
      <c r="R462" t="e">
        <f ca="1">Y455-Y463-Y471</f>
        <v>#N/A</v>
      </c>
      <c r="S462" t="e">
        <f ca="1">Z455-Z463-Z471</f>
        <v>#N/A</v>
      </c>
      <c r="T462" t="e">
        <f ca="1">AA455-AA463-AA471</f>
        <v>#N/A</v>
      </c>
      <c r="U462" t="e">
        <f ca="1">AB455-AB463-AB471</f>
        <v>#N/A</v>
      </c>
      <c r="X462">
        <f>D476</f>
        <v>0</v>
      </c>
      <c r="Y462">
        <f>E476</f>
        <v>0</v>
      </c>
      <c r="Z462">
        <f>F476</f>
        <v>0</v>
      </c>
      <c r="AA462">
        <f>G476</f>
        <v>0</v>
      </c>
      <c r="AB462">
        <f>H476</f>
        <v>0</v>
      </c>
      <c r="AE462" t="str">
        <f>K476</f>
        <v>0-0</v>
      </c>
      <c r="AF462" t="str">
        <f>L476</f>
        <v>0-0</v>
      </c>
      <c r="AG462" t="str">
        <f>M476</f>
        <v>0-0</v>
      </c>
      <c r="AH462" t="str">
        <f>N476</f>
        <v>0-0</v>
      </c>
      <c r="AK462" t="str">
        <f>K476</f>
        <v>0-0</v>
      </c>
      <c r="AL462" t="str">
        <f>L476</f>
        <v>0-0</v>
      </c>
      <c r="AM462" t="str">
        <f>M476</f>
        <v>0-0</v>
      </c>
      <c r="AN462" t="str">
        <f>N476</f>
        <v>0-0</v>
      </c>
    </row>
    <row r="463" spans="2:53" x14ac:dyDescent="0.3">
      <c r="Q463" t="str">
        <f>"Max " &amp; Q460</f>
        <v>Max Operating Margin</v>
      </c>
      <c r="R463" t="e">
        <f ca="1">MAX(Q462:U462)</f>
        <v>#N/A</v>
      </c>
      <c r="S463" t="str">
        <f>"GM Effect on Max"</f>
        <v>GM Effect on Max</v>
      </c>
      <c r="T463" t="e">
        <f ca="1">IF(R464=Y457,"Max OM in same year as Max GM","Inconclusive Effect")</f>
        <v>#N/A</v>
      </c>
      <c r="U463" t="str">
        <f>"Correlation with GM"</f>
        <v>Correlation with GM</v>
      </c>
      <c r="V463" t="e">
        <f ca="1">CORREL(Q462:U462,X455:AB455)</f>
        <v>#N/A</v>
      </c>
      <c r="X463" t="e">
        <f ca="1">(INDIRECT("J" &amp; MATCH("SG&amp;A Expense",B145:B403,0) +144))/(INDIRECT("J" &amp; MATCH("Sales/Revenue",B145:B403,0) +144))</f>
        <v>#N/A</v>
      </c>
      <c r="Y463" t="e">
        <f ca="1">(INDIRECT("K" &amp; MATCH("SG&amp;A Expense",B145:B403,0) +144))/(INDIRECT("K" &amp; MATCH("Sales/Revenue",B145:B403,0) +144))</f>
        <v>#N/A</v>
      </c>
      <c r="Z463" t="e">
        <f ca="1">(INDIRECT("L" &amp; MATCH("SG&amp;A Expense",B145:B403,0) +144))/(INDIRECT("L" &amp; MATCH("Sales/Revenue",B145:B403,0) +144))</f>
        <v>#N/A</v>
      </c>
      <c r="AA463" t="e">
        <f ca="1">(INDIRECT("M" &amp; MATCH("SG&amp;A Expense",B145:B403,0) +144))/(INDIRECT("M" &amp; MATCH("Sales/Revenue",B145:B403,0) +144))</f>
        <v>#N/A</v>
      </c>
      <c r="AB463" t="e">
        <f ca="1">(INDIRECT("N" &amp; MATCH("SG&amp;A Expense",B145:B403,0) +144))/(INDIRECT("N" &amp; MATCH("Sales/Revenue",B145:B403,0) +144))</f>
        <v>#N/A</v>
      </c>
      <c r="AE463" t="e">
        <f ca="1">R462-Q462</f>
        <v>#N/A</v>
      </c>
      <c r="AF463" t="e">
        <f ca="1">S462-R462</f>
        <v>#N/A</v>
      </c>
      <c r="AG463" t="e">
        <f ca="1">T462-S462</f>
        <v>#N/A</v>
      </c>
      <c r="AH463" t="e">
        <f ca="1">U462-T462</f>
        <v>#N/A</v>
      </c>
      <c r="AK463" t="e">
        <f ca="1">Y463-X463</f>
        <v>#N/A</v>
      </c>
      <c r="AL463" t="e">
        <f ca="1">Z463-Y463</f>
        <v>#N/A</v>
      </c>
      <c r="AM463" t="e">
        <f ca="1">AA463-Z463</f>
        <v>#N/A</v>
      </c>
      <c r="AN463" t="e">
        <f ca="1">AB463-AA463</f>
        <v>#N/A</v>
      </c>
    </row>
    <row r="464" spans="2:53" x14ac:dyDescent="0.3">
      <c r="Q464" t="str">
        <f>Q463 &amp; " Year"</f>
        <v>Max Operating Margin Year</v>
      </c>
      <c r="R464" t="e">
        <f ca="1">VALUE(Q461)+MATCH(R463,Q462:U462,0)-1</f>
        <v>#N/A</v>
      </c>
      <c r="S464" t="str">
        <f>"SGA Effect on Max"</f>
        <v>SGA Effect on Max</v>
      </c>
      <c r="T464" t="e">
        <f ca="1">IF(R464=Y467,"Max OM in same year as Min SGA","Inconclusive Effect")</f>
        <v>#N/A</v>
      </c>
      <c r="U464" t="str">
        <f>"Correlation with SGA"</f>
        <v>Correlation with SGA</v>
      </c>
      <c r="V464" t="e">
        <f ca="1">CORREL(Q462:U462,X463:AB463)</f>
        <v>#N/A</v>
      </c>
      <c r="X464" t="str">
        <f>"Max " &amp; X461</f>
        <v>Max SGA / Sales</v>
      </c>
      <c r="Y464" t="e">
        <f ca="1">MAX(X463:AB463)</f>
        <v>#N/A</v>
      </c>
      <c r="AE464" t="str">
        <f>"Max " &amp; AE461</f>
        <v>Max Change in Operating Margin</v>
      </c>
      <c r="AF464" t="e">
        <f ca="1">MAX(AE463:AH463)</f>
        <v>#N/A</v>
      </c>
      <c r="AK464" t="str">
        <f>"Max " &amp; AK461</f>
        <v>Max Change in SGA / Sales</v>
      </c>
      <c r="AL464" t="e">
        <f ca="1">MAX(AK463:AN463)</f>
        <v>#N/A</v>
      </c>
    </row>
    <row r="465" spans="4:40" x14ac:dyDescent="0.3">
      <c r="J465" t="str">
        <f>"EOY Pretax ROIC"</f>
        <v>EOY Pretax ROIC</v>
      </c>
      <c r="Q465" t="str">
        <f>"Min " &amp; Q460</f>
        <v>Min Operating Margin</v>
      </c>
      <c r="R465" t="e">
        <f ca="1">MIN(Q462:U462)</f>
        <v>#N/A</v>
      </c>
      <c r="S465" t="str">
        <f>"Dep Effect on Max"</f>
        <v>Dep Effect on Max</v>
      </c>
      <c r="T465" t="e">
        <f ca="1">IF(R464=Y475,"Max OM in same year as Min Depr","Inconclusive Effect")</f>
        <v>#N/A</v>
      </c>
      <c r="U465" t="str">
        <f>"Correlation with Dep"</f>
        <v>Correlation with Dep</v>
      </c>
      <c r="V465" t="e">
        <f ca="1">CORREL(Q462:U462,X471:AB471)</f>
        <v>#N/A</v>
      </c>
      <c r="X465" t="str">
        <f>X464 &amp; " Year"</f>
        <v>Max SGA / Sales Year</v>
      </c>
      <c r="Y465" t="e">
        <f ca="1">VALUE(X462)+MATCH(Y464,X463:AB463,0)-1</f>
        <v>#N/A</v>
      </c>
      <c r="AE465" t="str">
        <f>AE464 &amp; " Year"</f>
        <v>Max Change in Operating Margin Year</v>
      </c>
      <c r="AF465" t="e">
        <f ca="1">IF(MATCH(AF464,AE463:AH463,0)=1,AE462,IF(MATCH(AF464,AE463:AH463,0)=2,AF462,IF(MATCH(AF464,AE463:AH463,0)=3,AG462,AH462)))</f>
        <v>#N/A</v>
      </c>
      <c r="AK465" t="str">
        <f>AK464 &amp; " Year"</f>
        <v>Max Change in SGA / Sales Year</v>
      </c>
      <c r="AL465" t="e">
        <f ca="1">IF(MATCH(AL464,AK463:AN463,0)=1,AK462,IF(MATCH(AL464,AK463:AN463,0)=2,AL462,IF(MATCH(AL464,AK463:AN463,0)=3,AM462,AN462)))</f>
        <v>#N/A</v>
      </c>
    </row>
    <row r="466" spans="4:40" x14ac:dyDescent="0.3">
      <c r="J466">
        <f>D476</f>
        <v>0</v>
      </c>
      <c r="K466">
        <f>E476</f>
        <v>0</v>
      </c>
      <c r="L466">
        <f>F476</f>
        <v>0</v>
      </c>
      <c r="M466">
        <f>G476</f>
        <v>0</v>
      </c>
      <c r="N466">
        <f>H476</f>
        <v>0</v>
      </c>
      <c r="Q466" t="str">
        <f>Q465 &amp; " Year"</f>
        <v>Min Operating Margin Year</v>
      </c>
      <c r="R466" t="e">
        <f ca="1">VALUE(Q461)+MATCH(R465,Q462:U462,0)-1</f>
        <v>#N/A</v>
      </c>
      <c r="S466" t="str">
        <f>"GM Effect on Min"</f>
        <v>GM Effect on Min</v>
      </c>
      <c r="T466" t="e">
        <f ca="1">IF(R466=Y459,"Min OM in same year as Min GM","Inconclusive Effect")</f>
        <v>#N/A</v>
      </c>
      <c r="X466" t="str">
        <f>"Min " &amp; X461</f>
        <v>Min SGA / Sales</v>
      </c>
      <c r="Y466" t="e">
        <f ca="1">MIN(X463:AB463)</f>
        <v>#N/A</v>
      </c>
      <c r="AE466" t="str">
        <f>"Min " &amp; AE461</f>
        <v>Min Change in Operating Margin</v>
      </c>
      <c r="AF466" t="e">
        <f ca="1">MIN(AE463:AH463)</f>
        <v>#N/A</v>
      </c>
      <c r="AK466" t="str">
        <f>"Min " &amp; AK461</f>
        <v>Min Change in SGA / Sales</v>
      </c>
      <c r="AL466" t="e">
        <f ca="1">MIN(AK463:AN463)</f>
        <v>#N/A</v>
      </c>
    </row>
    <row r="467" spans="4:40" x14ac:dyDescent="0.3">
      <c r="J467" t="e">
        <f ca="1">Q462*(1/Q490)</f>
        <v>#N/A</v>
      </c>
      <c r="K467" t="e">
        <f ca="1">R462*(1/R490)</f>
        <v>#N/A</v>
      </c>
      <c r="L467" t="e">
        <f ca="1">S462*(1/S490)</f>
        <v>#N/A</v>
      </c>
      <c r="M467" t="e">
        <f ca="1">T462*(1/T490)</f>
        <v>#N/A</v>
      </c>
      <c r="N467" t="e">
        <f ca="1">U462*(1/U490)</f>
        <v>#N/A</v>
      </c>
      <c r="S467" t="str">
        <f>"SGA Effect on Min"</f>
        <v>SGA Effect on Min</v>
      </c>
      <c r="T467" t="e">
        <f ca="1">IF(R466=Y465,"Min OM in same year as Max SGA","Inconclusive Effect")</f>
        <v>#N/A</v>
      </c>
      <c r="X467" t="str">
        <f>X466 &amp; " Year"</f>
        <v>Min SGA / Sales Year</v>
      </c>
      <c r="Y467" t="e">
        <f ca="1">VALUE(X462)+MATCH(Y466,X463:AB463,0)-1</f>
        <v>#N/A</v>
      </c>
      <c r="AE467" t="str">
        <f>AE466 &amp; " Year"</f>
        <v>Min Change in Operating Margin Year</v>
      </c>
      <c r="AF467" t="e">
        <f ca="1">IF(MATCH(AF466,AE463:AH463,0)=1,AE462,IF(MATCH(AF466,AE463:AH463,0)=2,AF462,IF(MATCH(AF466,AE463:AH463,0)=3,AG462,AH462)))</f>
        <v>#N/A</v>
      </c>
      <c r="AK467" t="str">
        <f>AK466 &amp; " Year"</f>
        <v>Min Change in SGA / Sales Year</v>
      </c>
      <c r="AL467" t="e">
        <f ca="1">IF(MATCH(AL466,AK463:AN463,0)=1,AK462,IF(MATCH(AL466,AK463:AN463,0)=2,AL462,IF(MATCH(AL466,AK463:AN463,0)=3,AM462,AN462)))</f>
        <v>#N/A</v>
      </c>
    </row>
    <row r="468" spans="4:40" x14ac:dyDescent="0.3">
      <c r="J468" t="str">
        <f>"Max " &amp; J465</f>
        <v>Max EOY Pretax ROIC</v>
      </c>
      <c r="K468" t="e">
        <f ca="1">MAX(J467:N467)</f>
        <v>#N/A</v>
      </c>
      <c r="L468" t="str">
        <f>"OM Effect on Max"</f>
        <v>OM Effect on Max</v>
      </c>
      <c r="M468" t="e">
        <f ca="1">IF(K469=R464,"Max ROIC in same year as Max OM","Inconclusive Effect")</f>
        <v>#N/A</v>
      </c>
      <c r="N468" t="str">
        <f>"Correlation with OM"</f>
        <v>Correlation with OM</v>
      </c>
      <c r="O468" t="e">
        <f ca="1">CORREL(J467:N467,Q462:U462)</f>
        <v>#N/A</v>
      </c>
      <c r="S468" t="str">
        <f>"Dep Effect on Min"</f>
        <v>Dep Effect on Min</v>
      </c>
      <c r="T468" t="e">
        <f ca="1">IF(R466=Y473,"Min OM in same year as Max Dep","Inconclusive Effect")</f>
        <v>#N/A</v>
      </c>
    </row>
    <row r="469" spans="4:40" x14ac:dyDescent="0.3">
      <c r="J469" t="str">
        <f>J468 &amp; " Year"</f>
        <v>Max EOY Pretax ROIC Year</v>
      </c>
      <c r="K469" t="e">
        <f ca="1">VALUE(J466)+MATCH(K468,J467:N467,0)-1</f>
        <v>#N/A</v>
      </c>
      <c r="L469" t="str">
        <f>"IC Effect on Max"</f>
        <v>IC Effect on Max</v>
      </c>
      <c r="M469" t="e">
        <f ca="1">IF(K469=R494,"Max ROIC in same year as Min IC","Inconclusive Effect")</f>
        <v>#N/A</v>
      </c>
      <c r="N469" t="str">
        <f>"Correlation with IC"</f>
        <v>Correlation with IC</v>
      </c>
      <c r="O469" t="e">
        <f ca="1">CORREL(J467:N467,Q490:U490)</f>
        <v>#N/A</v>
      </c>
      <c r="X469" t="str">
        <f>"Depreciation / Sales"</f>
        <v>Depreciation / Sales</v>
      </c>
    </row>
    <row r="470" spans="4:40" x14ac:dyDescent="0.3">
      <c r="J470" t="str">
        <f>"Min " &amp; J465</f>
        <v>Min EOY Pretax ROIC</v>
      </c>
      <c r="K470" t="e">
        <f ca="1">MIN(J467:N467)</f>
        <v>#N/A</v>
      </c>
      <c r="L470" t="str">
        <f>"OM Effect on Min"</f>
        <v>OM Effect on Min</v>
      </c>
      <c r="M470" t="e">
        <f ca="1">IF(K471=R466,"Min ROIC in same year as Min OM","Inconclusive Effect")</f>
        <v>#N/A</v>
      </c>
      <c r="Q470" t="str">
        <f>"Change in EOY Pretax ROIC"</f>
        <v>Change in EOY Pretax ROIC</v>
      </c>
      <c r="X470">
        <f>D476</f>
        <v>0</v>
      </c>
      <c r="Y470">
        <f>E476</f>
        <v>0</v>
      </c>
      <c r="Z470">
        <f>F476</f>
        <v>0</v>
      </c>
      <c r="AA470">
        <f>G476</f>
        <v>0</v>
      </c>
      <c r="AB470">
        <f>H476</f>
        <v>0</v>
      </c>
    </row>
    <row r="471" spans="4:40" x14ac:dyDescent="0.3">
      <c r="J471" t="str">
        <f>J470 &amp; " Year"</f>
        <v>Min EOY Pretax ROIC Year</v>
      </c>
      <c r="K471" t="e">
        <f ca="1">VALUE(J466)+MATCH(K470,J467:N467,0)-1</f>
        <v>#N/A</v>
      </c>
      <c r="L471" t="str">
        <f>"IC Effect on Min"</f>
        <v>IC Effect on Min</v>
      </c>
      <c r="M471" t="e">
        <f ca="1">IF(K471=R492,"Min ROIC in same year as Max IC","Inconclusive Effect")</f>
        <v>#N/A</v>
      </c>
      <c r="Q471" t="str">
        <f>K476</f>
        <v>0-0</v>
      </c>
      <c r="R471" t="str">
        <f>L476</f>
        <v>0-0</v>
      </c>
      <c r="S471" t="str">
        <f>M476</f>
        <v>0-0</v>
      </c>
      <c r="T471" t="str">
        <f>N476</f>
        <v>0-0</v>
      </c>
      <c r="X471" t="e">
        <f ca="1">(INDIRECT("J" &amp; MATCH("Depreciation &amp; Amortization Expense",B145:B403,0) +144))/(INDIRECT("J" &amp; MATCH("Sales/Revenue",B145:B403,0) +144))</f>
        <v>#N/A</v>
      </c>
      <c r="Y471" t="e">
        <f ca="1">(INDIRECT("K" &amp; MATCH("Depreciation &amp; Amortization Expense",B145:B403,0) +144))/(INDIRECT("K" &amp; MATCH("Sales/Revenue",B145:B403,0) +144))</f>
        <v>#N/A</v>
      </c>
      <c r="Z471" t="e">
        <f ca="1">(INDIRECT("L" &amp; MATCH("Depreciation &amp; Amortization Expense",B145:B403,0) +144))/(INDIRECT("L" &amp; MATCH("Sales/Revenue",B145:B403,0) +144))</f>
        <v>#N/A</v>
      </c>
      <c r="AA471" t="e">
        <f ca="1">(INDIRECT("M" &amp; MATCH("Depreciation &amp; Amortization Expense",B145:B403,0) +144))/(INDIRECT("M" &amp; MATCH("Sales/Revenue",B145:B403,0) +144))</f>
        <v>#N/A</v>
      </c>
      <c r="AB471" t="e">
        <f ca="1">(INDIRECT("N" &amp; MATCH("Depreciation &amp; Amortization Expense",B145:B403,0) +144))/(INDIRECT("N" &amp; MATCH("Sales/Revenue",B145:B403,0) +144))</f>
        <v>#N/A</v>
      </c>
    </row>
    <row r="472" spans="4:40" x14ac:dyDescent="0.3">
      <c r="Q472" t="e">
        <f ca="1">K467-J467</f>
        <v>#N/A</v>
      </c>
      <c r="R472" t="e">
        <f ca="1">L467-K467</f>
        <v>#N/A</v>
      </c>
      <c r="S472" t="e">
        <f ca="1">M467-L467</f>
        <v>#N/A</v>
      </c>
      <c r="T472" t="e">
        <f ca="1">N467-M467</f>
        <v>#N/A</v>
      </c>
      <c r="X472" t="str">
        <f>"Max " &amp; X469</f>
        <v>Max Depreciation / Sales</v>
      </c>
      <c r="Y472" t="e">
        <f ca="1">MAX(X471:AB471)</f>
        <v>#N/A</v>
      </c>
      <c r="AK472" t="str">
        <f>"Change in Depreciation / Sales"</f>
        <v>Change in Depreciation / Sales</v>
      </c>
    </row>
    <row r="473" spans="4:40" x14ac:dyDescent="0.3">
      <c r="Q473" t="str">
        <f>"Max " &amp; Q470</f>
        <v>Max Change in EOY Pretax ROIC</v>
      </c>
      <c r="R473" t="e">
        <f ca="1">MAX(Q472:T472)</f>
        <v>#N/A</v>
      </c>
      <c r="X473" t="str">
        <f>X472 &amp; " Year"</f>
        <v>Max Depreciation / Sales Year</v>
      </c>
      <c r="Y473" t="e">
        <f ca="1">VALUE(X470)+MATCH(Y472,X471:AB471,0)-1</f>
        <v>#N/A</v>
      </c>
      <c r="AK473" t="str">
        <f>K476</f>
        <v>0-0</v>
      </c>
      <c r="AL473" t="str">
        <f>L476</f>
        <v>0-0</v>
      </c>
      <c r="AM473" t="str">
        <f>M476</f>
        <v>0-0</v>
      </c>
      <c r="AN473" t="str">
        <f>N476</f>
        <v>0-0</v>
      </c>
    </row>
    <row r="474" spans="4:40" x14ac:dyDescent="0.3">
      <c r="Q474" t="str">
        <f>Q473 &amp; " Year"</f>
        <v>Max Change in EOY Pretax ROIC Year</v>
      </c>
      <c r="R474" t="e">
        <f ca="1">IF(MATCH(R473,Q472:T472,0)=1,Q471,IF(MATCH(R473,Q472:T472,0)=2,R471,IF(MATCH(R473,Q472:T472,0)=3,S471,T471)))</f>
        <v>#N/A</v>
      </c>
      <c r="X474" t="str">
        <f>"Min " &amp; X469</f>
        <v>Min Depreciation / Sales</v>
      </c>
      <c r="Y474" t="e">
        <f ca="1">MIN(X471:AB471)</f>
        <v>#N/A</v>
      </c>
      <c r="AK474" t="e">
        <f ca="1">Y471-X471</f>
        <v>#N/A</v>
      </c>
      <c r="AL474" t="e">
        <f ca="1">Z471-Y471</f>
        <v>#N/A</v>
      </c>
      <c r="AM474" t="e">
        <f ca="1">AA471-Z471</f>
        <v>#N/A</v>
      </c>
      <c r="AN474" t="e">
        <f ca="1">AB471-AA471</f>
        <v>#N/A</v>
      </c>
    </row>
    <row r="475" spans="4:40" x14ac:dyDescent="0.3">
      <c r="D475" t="str">
        <f>"EOY ROIC"</f>
        <v>EOY ROIC</v>
      </c>
      <c r="K475" t="str">
        <f>"Change in EOY ROIC"</f>
        <v>Change in EOY ROIC</v>
      </c>
      <c r="Q475" t="str">
        <f>"Min " &amp; Q470</f>
        <v>Min Change in EOY Pretax ROIC</v>
      </c>
      <c r="R475" t="e">
        <f ca="1">MIN(Q472:T472)</f>
        <v>#N/A</v>
      </c>
      <c r="X475" t="str">
        <f>X474 &amp; " Year"</f>
        <v>Min Depreciation / Sales Year</v>
      </c>
      <c r="Y475" t="e">
        <f ca="1">VALUE(X470)+MATCH(Y474,X471:AB471,0)-1</f>
        <v>#N/A</v>
      </c>
      <c r="AK475" t="str">
        <f>"Max " &amp; AK472</f>
        <v>Max Change in Depreciation / Sales</v>
      </c>
      <c r="AL475" t="e">
        <f ca="1">MAX(AK474:AN474)</f>
        <v>#N/A</v>
      </c>
    </row>
    <row r="476" spans="4:40" x14ac:dyDescent="0.3">
      <c r="D476">
        <f>C144</f>
        <v>0</v>
      </c>
      <c r="E476">
        <f>D144</f>
        <v>0</v>
      </c>
      <c r="F476">
        <f>E144</f>
        <v>0</v>
      </c>
      <c r="G476">
        <f>F144</f>
        <v>0</v>
      </c>
      <c r="H476">
        <f>G144</f>
        <v>0</v>
      </c>
      <c r="K476" t="str">
        <f>RIGHT(D476,2) &amp; "-" &amp; RIGHT(E476,2)</f>
        <v>0-0</v>
      </c>
      <c r="L476" t="str">
        <f>RIGHT(E476,2) &amp; "-" &amp; RIGHT(F476,2)</f>
        <v>0-0</v>
      </c>
      <c r="M476" t="str">
        <f>RIGHT(F476,2) &amp; "-" &amp; RIGHT(G476,2)</f>
        <v>0-0</v>
      </c>
      <c r="N476" t="str">
        <f>RIGHT(G476,2) &amp; "-" &amp; RIGHT(H476,2)</f>
        <v>0-0</v>
      </c>
      <c r="Q476" t="str">
        <f>Q475 &amp; " Year"</f>
        <v>Min Change in EOY Pretax ROIC Year</v>
      </c>
      <c r="R476" t="e">
        <f ca="1">IF(MATCH(R475,Q472:T472,0)=1,Q471,IF(MATCH(R475,Q472:T472,0)=2,R471,IF(MATCH(R475,Q472:T472,0)=3,S471,T471)))</f>
        <v>#N/A</v>
      </c>
      <c r="AK476" t="str">
        <f>AK475 &amp; " Year"</f>
        <v>Max Change in Depreciation / Sales Year</v>
      </c>
      <c r="AL476" t="e">
        <f ca="1">IF(MATCH(AL475,AK474:AN474,0)=1,AK473,IF(MATCH(AL475,AK474:AN474,0)=2,AL473,IF(MATCH(AL475,AK474:AN474,0)=3,AM473,AN473)))</f>
        <v>#N/A</v>
      </c>
    </row>
    <row r="477" spans="4:40" x14ac:dyDescent="0.3">
      <c r="D477" t="e">
        <f ca="1">J467*(1-J487)</f>
        <v>#N/A</v>
      </c>
      <c r="E477" t="e">
        <f ca="1">K467*(1-K487)</f>
        <v>#N/A</v>
      </c>
      <c r="F477" t="e">
        <f ca="1">L467*(1-L487)</f>
        <v>#N/A</v>
      </c>
      <c r="G477" t="e">
        <f ca="1">M467*(1-M487)</f>
        <v>#N/A</v>
      </c>
      <c r="H477" t="e">
        <f ca="1">N467*(1-N487)</f>
        <v>#N/A</v>
      </c>
      <c r="K477" t="e">
        <f ca="1">E477-D477</f>
        <v>#N/A</v>
      </c>
      <c r="L477" t="e">
        <f ca="1">F477-E477</f>
        <v>#N/A</v>
      </c>
      <c r="M477" t="e">
        <f ca="1">G477-F477</f>
        <v>#N/A</v>
      </c>
      <c r="N477" t="e">
        <f ca="1">H477-G477</f>
        <v>#N/A</v>
      </c>
      <c r="AK477" t="str">
        <f>"Min " &amp; AK472</f>
        <v>Min Change in Depreciation / Sales</v>
      </c>
      <c r="AL477" t="e">
        <f ca="1">MIN(AK474:AN474)</f>
        <v>#N/A</v>
      </c>
    </row>
    <row r="478" spans="4:40" x14ac:dyDescent="0.3">
      <c r="D478" t="str">
        <f>"Max " &amp; D475</f>
        <v>Max EOY ROIC</v>
      </c>
      <c r="E478" t="e">
        <f ca="1">MAX(D477:H477)</f>
        <v>#N/A</v>
      </c>
      <c r="F478" t="str">
        <f>"Cash Tax  Effect on Max"</f>
        <v>Cash Tax  Effect on Max</v>
      </c>
      <c r="G478" t="e">
        <f ca="1">IF(E479=K491,"Max ROIC in same year as Min Cash Tax","Inconclusive Effect")</f>
        <v>#N/A</v>
      </c>
      <c r="K478" t="str">
        <f>"Max " &amp; K475</f>
        <v>Max Change in EOY ROIC</v>
      </c>
      <c r="L478" t="e">
        <f ca="1">MAX(K477:N477)</f>
        <v>#N/A</v>
      </c>
      <c r="AK478" t="str">
        <f>AK477 &amp; " Year"</f>
        <v>Min Change in Depreciation / Sales Year</v>
      </c>
      <c r="AL478" t="e">
        <f ca="1">IF(MATCH(AL477,AK474:AN474,0)=1,AK473,IF(MATCH(AL477,AK474:AN474,0)=2,AL473,IF(MATCH(AL477,AK474:AN474,0)=3,AM473,AN473)))</f>
        <v>#N/A</v>
      </c>
    </row>
    <row r="479" spans="4:40" x14ac:dyDescent="0.3">
      <c r="D479" t="str">
        <f>D478 &amp; " Year"</f>
        <v>Max EOY ROIC Year</v>
      </c>
      <c r="E479" t="e">
        <f ca="1">VALUE(D476)+MATCH(E478,D477:H477,0)-1</f>
        <v>#N/A</v>
      </c>
      <c r="K479" t="str">
        <f>K478 &amp; " Year"</f>
        <v>Max Change in EOY ROIC Year</v>
      </c>
      <c r="L479" t="e">
        <f ca="1">IF(MATCH(L478,K477:N477,0)=1,K476,IF(MATCH(L478,K477:N477,0)=2,L476,IF(MATCH(L478,K477:N477,0)=3,M476,N476)))</f>
        <v>#N/A</v>
      </c>
      <c r="Q479" t="str">
        <f>"Change in Cash Tax Rate"</f>
        <v>Change in Cash Tax Rate</v>
      </c>
    </row>
    <row r="480" spans="4:40" x14ac:dyDescent="0.3">
      <c r="D480" t="str">
        <f>"Min " &amp; D475</f>
        <v>Min EOY ROIC</v>
      </c>
      <c r="E480" t="e">
        <f ca="1">MIN(D477:H477)</f>
        <v>#N/A</v>
      </c>
      <c r="F480" t="str">
        <f>"Cash Tax  Effect on Min"</f>
        <v>Cash Tax  Effect on Min</v>
      </c>
      <c r="G480" t="e">
        <f ca="1">IF(E481=K489,"Min ROIC in same year as Max Cash Tax","Inconclusive Effect")</f>
        <v>#N/A</v>
      </c>
      <c r="K480" t="str">
        <f>"Min " &amp; K475</f>
        <v>Min Change in EOY ROIC</v>
      </c>
      <c r="L480" t="e">
        <f ca="1">MIN(K477:N477)</f>
        <v>#N/A</v>
      </c>
      <c r="Q480" t="str">
        <f>K476</f>
        <v>0-0</v>
      </c>
      <c r="R480" t="str">
        <f>L476</f>
        <v>0-0</v>
      </c>
      <c r="S480" t="str">
        <f>M476</f>
        <v>0-0</v>
      </c>
      <c r="T480" t="str">
        <f>N476</f>
        <v>0-0</v>
      </c>
    </row>
    <row r="481" spans="4:40" x14ac:dyDescent="0.3">
      <c r="D481" t="str">
        <f>D480 &amp; " Year"</f>
        <v>Min EOY ROIC Year</v>
      </c>
      <c r="E481" t="e">
        <f ca="1">VALUE(D476)+MATCH(E480,D477:H477,0)-1</f>
        <v>#N/A</v>
      </c>
      <c r="K481" t="str">
        <f>K480 &amp; " Year"</f>
        <v>Min Change in EOY ROIC Year</v>
      </c>
      <c r="L481" t="e">
        <f ca="1">IF(MATCH(L480,K477:N477,0)=1,K476,IF(MATCH(L480,K477:N477,0)=2,L476,IF(MATCH(L480,K477:N477,0)=3,M476,N476)))</f>
        <v>#N/A</v>
      </c>
      <c r="Q481" t="e">
        <f ca="1">K487-J487</f>
        <v>#N/A</v>
      </c>
      <c r="R481" t="e">
        <f ca="1">L487-K487</f>
        <v>#N/A</v>
      </c>
      <c r="S481" t="e">
        <f ca="1">M487-L487</f>
        <v>#N/A</v>
      </c>
      <c r="T481" t="e">
        <f ca="1">N487-M487</f>
        <v>#N/A</v>
      </c>
      <c r="X481" t="str">
        <f>"Op WC / Sales"</f>
        <v>Op WC / Sales</v>
      </c>
    </row>
    <row r="482" spans="4:40" x14ac:dyDescent="0.3">
      <c r="D482" t="str">
        <f>"Correlation with OM"</f>
        <v>Correlation with OM</v>
      </c>
      <c r="E482" t="e">
        <f ca="1">CORREL(D477:H477,Q462:U462)</f>
        <v>#N/A</v>
      </c>
      <c r="Q482" t="str">
        <f>"Max " &amp; Q479</f>
        <v>Max Change in Cash Tax Rate</v>
      </c>
      <c r="R482" t="e">
        <f ca="1">MAX(Q481:T481)</f>
        <v>#N/A</v>
      </c>
      <c r="X482">
        <f>D476</f>
        <v>0</v>
      </c>
      <c r="Y482">
        <f>E476</f>
        <v>0</v>
      </c>
      <c r="Z482">
        <f>F476</f>
        <v>0</v>
      </c>
      <c r="AA482">
        <f>G476</f>
        <v>0</v>
      </c>
      <c r="AB482">
        <f>H476</f>
        <v>0</v>
      </c>
      <c r="AK482" t="str">
        <f>"Change in Op WC / Sales"</f>
        <v>Change in Op WC / Sales</v>
      </c>
    </row>
    <row r="483" spans="4:40" x14ac:dyDescent="0.3">
      <c r="D483" t="str">
        <f>"Correlation with IC"</f>
        <v>Correlation with IC</v>
      </c>
      <c r="E483" t="e">
        <f ca="1">CORREL(D477:H477,Q490:U490)</f>
        <v>#N/A</v>
      </c>
      <c r="Q483" t="str">
        <f>Q482 &amp; " Year"</f>
        <v>Max Change in Cash Tax Rate Year</v>
      </c>
      <c r="R483" t="e">
        <f ca="1">IF(MATCH(R482,Q481:T481,0)=1,Q480,IF(MATCH(R482,Q481:T481,0)=2,R480,IF(MATCH(R482,Q481:T481,0)=3,S480,T480)))</f>
        <v>#N/A</v>
      </c>
      <c r="X483" t="e">
        <f ca="1">(INDIRECT("J" &amp; MATCH("Total Current Assets",B145:B403,0) +144) - INDIRECT("J" &amp; MATCH("Total Current Liabilities",B145:B403,0) +144))/(INDIRECT("J" &amp; MATCH("Sales/Revenue",B145:B403,0) +144))</f>
        <v>#N/A</v>
      </c>
      <c r="Y483" t="e">
        <f ca="1">(INDIRECT("K" &amp; MATCH("Total Current Assets",B145:B403,0) +144) - INDIRECT("K" &amp; MATCH("Total Current Liabilities",B145:B403,0) +144))/(INDIRECT("K" &amp; MATCH("Sales/Revenue",B145:B403,0) +144))</f>
        <v>#N/A</v>
      </c>
      <c r="Z483" t="e">
        <f ca="1">(INDIRECT("L" &amp; MATCH("Total Current Assets",B145:B403,0) +144) - INDIRECT("L" &amp; MATCH("Total Current Liabilities",B145:B403,0) +144))/(INDIRECT("L" &amp; MATCH("Sales/Revenue",B145:B403,0) +144))</f>
        <v>#N/A</v>
      </c>
      <c r="AA483" t="e">
        <f ca="1">(INDIRECT("M" &amp; MATCH("Total Current Assets",B145:B403,0) +144) - INDIRECT("M" &amp; MATCH("Total Current Liabilities",B145:B403,0) +144))/(INDIRECT("M" &amp; MATCH("Sales/Revenue",B145:B403,0) +144))</f>
        <v>#N/A</v>
      </c>
      <c r="AB483" t="e">
        <f ca="1">(INDIRECT("N" &amp; MATCH("Total Current Assets",B145:B403,0) +144) - INDIRECT("N" &amp; MATCH("Total Current Liabilities",B145:B403,0) +144))/(INDIRECT("N" &amp; MATCH("Sales/Revenue",B145:B403,0) +144))</f>
        <v>#N/A</v>
      </c>
      <c r="AK483" t="str">
        <f>K476</f>
        <v>0-0</v>
      </c>
      <c r="AL483" t="str">
        <f>L476</f>
        <v>0-0</v>
      </c>
      <c r="AM483" t="str">
        <f>M476</f>
        <v>0-0</v>
      </c>
      <c r="AN483" t="str">
        <f>N476</f>
        <v>0-0</v>
      </c>
    </row>
    <row r="484" spans="4:40" x14ac:dyDescent="0.3">
      <c r="D484" t="str">
        <f>"Correlation with GM"</f>
        <v>Correlation with GM</v>
      </c>
      <c r="E484" t="e">
        <f ca="1">CORREL(D477:H477,X455:AB455)</f>
        <v>#N/A</v>
      </c>
      <c r="Q484" t="str">
        <f>"Min " &amp; Q479</f>
        <v>Min Change in Cash Tax Rate</v>
      </c>
      <c r="R484" t="e">
        <f ca="1">MIN(Q481:T481)</f>
        <v>#N/A</v>
      </c>
      <c r="X484" t="str">
        <f>"Max " &amp; X481</f>
        <v>Max Op WC / Sales</v>
      </c>
      <c r="Y484" t="e">
        <f ca="1">MAX(X483:AB483)</f>
        <v>#N/A</v>
      </c>
      <c r="AK484" t="e">
        <f ca="1">Y483-X483</f>
        <v>#N/A</v>
      </c>
      <c r="AL484" t="e">
        <f ca="1">Z483-Y483</f>
        <v>#N/A</v>
      </c>
      <c r="AM484" t="e">
        <f ca="1">AA483-Z483</f>
        <v>#N/A</v>
      </c>
      <c r="AN484" t="e">
        <f ca="1">AB483-AA483</f>
        <v>#N/A</v>
      </c>
    </row>
    <row r="485" spans="4:40" x14ac:dyDescent="0.3">
      <c r="D485" t="str">
        <f>"Correlation with SGA"</f>
        <v>Correlation with SGA</v>
      </c>
      <c r="E485" t="e">
        <f ca="1">CORREL(D477:H477,X463:AB463)</f>
        <v>#N/A</v>
      </c>
      <c r="J485" t="str">
        <f>"Cash Tax Rate"</f>
        <v>Cash Tax Rate</v>
      </c>
      <c r="Q485" t="str">
        <f>Q484 &amp; " Year"</f>
        <v>Min Change in Cash Tax Rate Year</v>
      </c>
      <c r="R485" t="e">
        <f ca="1">IF(MATCH(R484,Q481:T481,0)=1,Q480,IF(MATCH(R484,Q481:T481,0)=2,R480,IF(MATCH(R484,Q481:T481,0)=3,S480,T480)))</f>
        <v>#N/A</v>
      </c>
      <c r="X485" t="str">
        <f>X484 &amp; " Year"</f>
        <v>Max Op WC / Sales Year</v>
      </c>
      <c r="Y485" t="e">
        <f ca="1">VALUE(X482)+MATCH(Y484,X483:AB483,0)-1</f>
        <v>#N/A</v>
      </c>
      <c r="AK485" t="str">
        <f>"Max " &amp; AK482</f>
        <v>Max Change in Op WC / Sales</v>
      </c>
      <c r="AL485" t="e">
        <f ca="1">MAX(AK484:AN484)</f>
        <v>#N/A</v>
      </c>
    </row>
    <row r="486" spans="4:40" x14ac:dyDescent="0.3">
      <c r="D486" t="str">
        <f>"Correlation with Dep"</f>
        <v>Correlation with Dep</v>
      </c>
      <c r="E486" t="e">
        <f ca="1">CORREL(D477:H477,X471:AB471)</f>
        <v>#N/A</v>
      </c>
      <c r="J486">
        <f>D476</f>
        <v>0</v>
      </c>
      <c r="K486">
        <f>E476</f>
        <v>0</v>
      </c>
      <c r="L486">
        <f>F476</f>
        <v>0</v>
      </c>
      <c r="M486">
        <f>G476</f>
        <v>0</v>
      </c>
      <c r="N486">
        <f>H476</f>
        <v>0</v>
      </c>
      <c r="X486" t="str">
        <f>"Min " &amp; X481</f>
        <v>Min Op WC / Sales</v>
      </c>
      <c r="Y486" t="e">
        <f ca="1">MIN(X483:AB483)</f>
        <v>#N/A</v>
      </c>
      <c r="AK486" t="str">
        <f>AK485 &amp; " Year"</f>
        <v>Max Change in Op WC / Sales Year</v>
      </c>
      <c r="AL486" t="e">
        <f ca="1">IF(MATCH(AL485,AK484:AN484,0)=1,AK483,IF(MATCH(AL485,AK484:AN484,0)=2,AL483,IF(MATCH(AL485,AK484:AN484,0)=3,AM483,AN483)))</f>
        <v>#N/A</v>
      </c>
    </row>
    <row r="487" spans="4:40" x14ac:dyDescent="0.3">
      <c r="D487" t="str">
        <f>"Correlation with Op WC"</f>
        <v>Correlation with Op WC</v>
      </c>
      <c r="E487" t="e">
        <f ca="1">CORREL(D477:H477,X483:AB483)</f>
        <v>#N/A</v>
      </c>
      <c r="J487" t="e">
        <f ca="1">(INDIRECT("J" &amp; MATCH("Income Tax",B145:B403,0) +144))/(INDIRECT("J" &amp; MATCH("Pretax Income",B145:B403,0) +144))</f>
        <v>#N/A</v>
      </c>
      <c r="K487" t="e">
        <f ca="1">(INDIRECT("K" &amp; MATCH("Income Tax",B145:B403,0) +144))/(INDIRECT("K" &amp; MATCH("Pretax Income",B145:B403,0) +144))</f>
        <v>#N/A</v>
      </c>
      <c r="L487" t="e">
        <f ca="1">(INDIRECT("L" &amp; MATCH("Income Tax",B145:B403,0) +144))/(INDIRECT("L" &amp; MATCH("Pretax Income",B145:B403,0) +144))</f>
        <v>#N/A</v>
      </c>
      <c r="M487" t="e">
        <f ca="1">(INDIRECT("M" &amp; MATCH("Income Tax",B145:B403,0) +144))/(INDIRECT("M" &amp; MATCH("Pretax Income",B145:B403,0) +144))</f>
        <v>#N/A</v>
      </c>
      <c r="N487" t="e">
        <f ca="1">(INDIRECT("N" &amp; MATCH("Income Tax",B145:B403,0) +144))/(INDIRECT("N" &amp; MATCH("Pretax Income",B145:B403,0) +144))</f>
        <v>#N/A</v>
      </c>
      <c r="X487" t="str">
        <f>X486 &amp; " Year"</f>
        <v>Min Op WC / Sales Year</v>
      </c>
      <c r="Y487" t="e">
        <f ca="1">VALUE(X482)+MATCH(Y486,X483:AB483,0)-1</f>
        <v>#N/A</v>
      </c>
      <c r="AK487" t="str">
        <f>"Min " &amp; AK482</f>
        <v>Min Change in Op WC / Sales</v>
      </c>
      <c r="AL487" t="e">
        <f ca="1">MIN(AK484:AN484)</f>
        <v>#N/A</v>
      </c>
    </row>
    <row r="488" spans="4:40" x14ac:dyDescent="0.3">
      <c r="D488" t="str">
        <f>"Correlation with PPE"</f>
        <v>Correlation with PPE</v>
      </c>
      <c r="E488" t="e">
        <f ca="1">CORREL(D477:H477,X491:AB491)</f>
        <v>#N/A</v>
      </c>
      <c r="J488" t="str">
        <f>"Max " &amp; J485</f>
        <v>Max Cash Tax Rate</v>
      </c>
      <c r="K488" t="e">
        <f ca="1">MAX(J487:N487)</f>
        <v>#N/A</v>
      </c>
      <c r="Q488" t="str">
        <f>"Invested Capital / Sales"</f>
        <v>Invested Capital / Sales</v>
      </c>
      <c r="AK488" t="str">
        <f>AK487 &amp; " Year"</f>
        <v>Min Change in Op WC / Sales Year</v>
      </c>
      <c r="AL488" t="e">
        <f ca="1">IF(MATCH(AL487,AK484:AN484,0)=1,AK483,IF(MATCH(AL487,AK484:AN484,0)=2,AL483,IF(MATCH(AL487,AK484:AN484,0)=3,AM483,AN483)))</f>
        <v>#N/A</v>
      </c>
    </row>
    <row r="489" spans="4:40" x14ac:dyDescent="0.3">
      <c r="D489" t="str">
        <f>"Correlation with Intangibles"</f>
        <v>Correlation with Intangibles</v>
      </c>
      <c r="E489" t="e">
        <f ca="1">CORREL(D477:H477,X499:AB499)</f>
        <v>#N/A</v>
      </c>
      <c r="J489" t="str">
        <f>J488 &amp; " Year"</f>
        <v>Max Cash Tax Rate Year</v>
      </c>
      <c r="K489" t="e">
        <f ca="1">VALUE(J486)+MATCH(K488,J487:N487,0)-1</f>
        <v>#N/A</v>
      </c>
      <c r="Q489">
        <f>D476</f>
        <v>0</v>
      </c>
      <c r="R489">
        <f>E476</f>
        <v>0</v>
      </c>
      <c r="S489">
        <f>F476</f>
        <v>0</v>
      </c>
      <c r="T489">
        <f>G476</f>
        <v>0</v>
      </c>
      <c r="U489">
        <f>H476</f>
        <v>0</v>
      </c>
      <c r="X489" t="str">
        <f>"PPE / Sales"</f>
        <v>PPE / Sales</v>
      </c>
    </row>
    <row r="490" spans="4:40" x14ac:dyDescent="0.3">
      <c r="J490" t="str">
        <f>"Min " &amp; J485</f>
        <v>Min Cash Tax Rate</v>
      </c>
      <c r="K490" t="e">
        <f ca="1">MIN(J487:N487)</f>
        <v>#N/A</v>
      </c>
      <c r="Q490" t="e">
        <f ca="1">SUM(X483,X491,X499)</f>
        <v>#N/A</v>
      </c>
      <c r="R490" t="e">
        <f ca="1">SUM(Y483,Y491,Y499)</f>
        <v>#N/A</v>
      </c>
      <c r="S490" t="e">
        <f ca="1">SUM(Z483,Z491,Z499)</f>
        <v>#N/A</v>
      </c>
      <c r="T490" t="e">
        <f ca="1">SUM(AA483,AA491,AA499)</f>
        <v>#N/A</v>
      </c>
      <c r="U490" t="e">
        <f ca="1">SUM(AB483,AB491,AB499)</f>
        <v>#N/A</v>
      </c>
      <c r="X490">
        <f>D476</f>
        <v>0</v>
      </c>
      <c r="Y490">
        <f>E476</f>
        <v>0</v>
      </c>
      <c r="Z490">
        <f>F476</f>
        <v>0</v>
      </c>
      <c r="AA490">
        <f>G476</f>
        <v>0</v>
      </c>
      <c r="AB490">
        <f>H476</f>
        <v>0</v>
      </c>
      <c r="AE490" t="str">
        <f>"Change in Invested Capital / Sales"</f>
        <v>Change in Invested Capital / Sales</v>
      </c>
      <c r="AK490" t="str">
        <f>"Change in PPE / Sales"</f>
        <v>Change in PPE / Sales</v>
      </c>
    </row>
    <row r="491" spans="4:40" x14ac:dyDescent="0.3">
      <c r="J491" t="str">
        <f>J490 &amp; " Year"</f>
        <v>Min Cash Tax Rate Year</v>
      </c>
      <c r="K491" t="e">
        <f ca="1">VALUE(J486)+MATCH(K490,J487:N487,0)-1</f>
        <v>#N/A</v>
      </c>
      <c r="Q491" t="str">
        <f>"Max " &amp; Q488</f>
        <v>Max Invested Capital / Sales</v>
      </c>
      <c r="R491" t="e">
        <f ca="1">MAX(Q490:U490)</f>
        <v>#N/A</v>
      </c>
      <c r="S491" t="str">
        <f>"Op WC Effect on Max"</f>
        <v>Op WC Effect on Max</v>
      </c>
      <c r="T491" t="e">
        <f ca="1">IF(R492=Y485,"Max IC in same year as Max Op WC","Inconclusive Effect")</f>
        <v>#N/A</v>
      </c>
      <c r="U491" t="str">
        <f>"Correlation with Op WC"</f>
        <v>Correlation with Op WC</v>
      </c>
      <c r="V491" t="e">
        <f ca="1">CORREL(Q490:U490,X483:AB483)</f>
        <v>#N/A</v>
      </c>
      <c r="X491" t="e">
        <f ca="1">(INDIRECT("J" &amp; MATCH("Net Property, Plant &amp; Equipment",B145:B403,0) +144))/(INDIRECT("J" &amp; MATCH("Sales/Revenue",B145:B403,0) +144))</f>
        <v>#N/A</v>
      </c>
      <c r="Y491" t="e">
        <f ca="1">(INDIRECT("K" &amp; MATCH("Net Property, Plant &amp; Equipment",B145:B403,0) +144))/(INDIRECT("K" &amp; MATCH("Sales/Revenue",B145:B403,0) +144))</f>
        <v>#N/A</v>
      </c>
      <c r="Z491" t="e">
        <f ca="1">(INDIRECT("L" &amp; MATCH("Net Property, Plant &amp; Equipment",B145:B403,0) +144))/(INDIRECT("L" &amp; MATCH("Sales/Revenue",B145:B403,0) +144))</f>
        <v>#N/A</v>
      </c>
      <c r="AA491" t="e">
        <f ca="1">(INDIRECT("M" &amp; MATCH("Net Property, Plant &amp; Equipment",B145:B403,0) +144))/(INDIRECT("M" &amp; MATCH("Sales/Revenue",B145:B403,0) +144))</f>
        <v>#N/A</v>
      </c>
      <c r="AB491" t="e">
        <f ca="1">(INDIRECT("N" &amp; MATCH("Net Property, Plant &amp; Equipment",B145:B403,0) +144))/(INDIRECT("N" &amp; MATCH("Sales/Revenue",B145:B403,0) +144))</f>
        <v>#N/A</v>
      </c>
      <c r="AE491" t="str">
        <f>K476</f>
        <v>0-0</v>
      </c>
      <c r="AF491" t="str">
        <f>L476</f>
        <v>0-0</v>
      </c>
      <c r="AG491" t="str">
        <f>M476</f>
        <v>0-0</v>
      </c>
      <c r="AH491" t="str">
        <f>N476</f>
        <v>0-0</v>
      </c>
      <c r="AK491" t="str">
        <f>K476</f>
        <v>0-0</v>
      </c>
      <c r="AL491" t="str">
        <f>L476</f>
        <v>0-0</v>
      </c>
      <c r="AM491" t="str">
        <f>M476</f>
        <v>0-0</v>
      </c>
      <c r="AN491" t="str">
        <f>N476</f>
        <v>0-0</v>
      </c>
    </row>
    <row r="492" spans="4:40" x14ac:dyDescent="0.3">
      <c r="Q492" t="str">
        <f>Q491 &amp; " Year"</f>
        <v>Max Invested Capital / Sales Year</v>
      </c>
      <c r="R492" t="e">
        <f ca="1">VALUE(Q489)+MATCH(R491,Q490:U490,0)-1</f>
        <v>#N/A</v>
      </c>
      <c r="S492" t="str">
        <f>"PPE Effect on Max"</f>
        <v>PPE Effect on Max</v>
      </c>
      <c r="T492" t="e">
        <f ca="1">IF(R492=Y493,"Max IC in same year as Max PPE","Inconclusive Effect")</f>
        <v>#N/A</v>
      </c>
      <c r="U492" t="str">
        <f>"Correlation with PPE"</f>
        <v>Correlation with PPE</v>
      </c>
      <c r="V492" t="e">
        <f ca="1">CORREL(Q490:U490,X491:AB491)</f>
        <v>#N/A</v>
      </c>
      <c r="X492" t="str">
        <f>"Max " &amp; X489</f>
        <v>Max PPE / Sales</v>
      </c>
      <c r="Y492" t="e">
        <f ca="1">MAX(X491:AB491)</f>
        <v>#N/A</v>
      </c>
      <c r="AE492" t="e">
        <f ca="1">R490-Q490</f>
        <v>#N/A</v>
      </c>
      <c r="AF492" t="e">
        <f ca="1">S490-R490</f>
        <v>#N/A</v>
      </c>
      <c r="AG492" t="e">
        <f ca="1">T490-S490</f>
        <v>#N/A</v>
      </c>
      <c r="AH492" t="e">
        <f ca="1">U490-T490</f>
        <v>#N/A</v>
      </c>
      <c r="AK492" t="e">
        <f ca="1">Y491-X491</f>
        <v>#N/A</v>
      </c>
      <c r="AL492" t="e">
        <f ca="1">Z491-Y491</f>
        <v>#N/A</v>
      </c>
      <c r="AM492" t="e">
        <f ca="1">AA491-Z491</f>
        <v>#N/A</v>
      </c>
      <c r="AN492" t="e">
        <f ca="1">AB491-AA491</f>
        <v>#N/A</v>
      </c>
    </row>
    <row r="493" spans="4:40" x14ac:dyDescent="0.3">
      <c r="Q493" t="str">
        <f>"Min " &amp; Q488</f>
        <v>Min Invested Capital / Sales</v>
      </c>
      <c r="R493" t="e">
        <f ca="1">MIN(Q490:U490)</f>
        <v>#N/A</v>
      </c>
      <c r="S493" t="str">
        <f>"Intangibles Effect on Max"</f>
        <v>Intangibles Effect on Max</v>
      </c>
      <c r="T493" t="e">
        <f ca="1">IF(R492=Y501,"Max IC in same year as Max Intangibles","Inconclusive Effect")</f>
        <v>#N/A</v>
      </c>
      <c r="U493" t="str">
        <f>"Correlation with Intangibles"</f>
        <v>Correlation with Intangibles</v>
      </c>
      <c r="V493" t="e">
        <f ca="1">CORREL(Q490:U490,X499:AB499)</f>
        <v>#N/A</v>
      </c>
      <c r="X493" t="str">
        <f>X492 &amp; " Year"</f>
        <v>Max PPE / Sales Year</v>
      </c>
      <c r="Y493" t="e">
        <f ca="1">VALUE(X490)+MATCH(Y492,X491:AB491,0)-1</f>
        <v>#N/A</v>
      </c>
      <c r="AE493" t="str">
        <f>"Max " &amp; AE490</f>
        <v>Max Change in Invested Capital / Sales</v>
      </c>
      <c r="AF493" t="e">
        <f ca="1">MAX(AE492:AH492)</f>
        <v>#N/A</v>
      </c>
      <c r="AK493" t="str">
        <f>"Max " &amp; AK490</f>
        <v>Max Change in PPE / Sales</v>
      </c>
      <c r="AL493" t="e">
        <f ca="1">MAX(AK492:AN492)</f>
        <v>#N/A</v>
      </c>
    </row>
    <row r="494" spans="4:40" x14ac:dyDescent="0.3">
      <c r="Q494" t="str">
        <f>Q493 &amp; " Year"</f>
        <v>Min Invested Capital / Sales Year</v>
      </c>
      <c r="R494" t="e">
        <f ca="1">VALUE(Q489)+MATCH(R493,Q490:U490,0)-1</f>
        <v>#N/A</v>
      </c>
      <c r="S494" t="str">
        <f>"Op WC Effect on Min"</f>
        <v>Op WC Effect on Min</v>
      </c>
      <c r="T494" t="e">
        <f ca="1">IF(R494=Y487,"Min IC in same year as Min Op WC","Inconclusive Effect")</f>
        <v>#N/A</v>
      </c>
      <c r="X494" t="str">
        <f>"Min " &amp; X489</f>
        <v>Min PPE / Sales</v>
      </c>
      <c r="Y494" t="e">
        <f ca="1">MIN(X491:AB491)</f>
        <v>#N/A</v>
      </c>
      <c r="AE494" t="str">
        <f>AE493 &amp; " Year"</f>
        <v>Max Change in Invested Capital / Sales Year</v>
      </c>
      <c r="AF494" t="e">
        <f ca="1">IF(MATCH(AF493,AE492:AH492,0)=1,AE491,IF(MATCH(AF493,AE492:AH492,0)=2,AF491,IF(MATCH(AF493,AE492:AH492,0)=3,AG491,AH491)))</f>
        <v>#N/A</v>
      </c>
      <c r="AK494" t="str">
        <f>AK493 &amp; " Year"</f>
        <v>Max Change in PPE / Sales Year</v>
      </c>
      <c r="AL494" t="e">
        <f ca="1">IF(MATCH(AL493,AK492:AN492,0)=1,AK491,IF(MATCH(AL493,AK492:AN492,0)=2,AL491,IF(MATCH(AL493,AK492:AN492,0)=3,AM491,AN491)))</f>
        <v>#N/A</v>
      </c>
    </row>
    <row r="495" spans="4:40" x14ac:dyDescent="0.3">
      <c r="S495" t="str">
        <f>"PPE Effect on Min"</f>
        <v>PPE Effect on Min</v>
      </c>
      <c r="T495" t="e">
        <f ca="1">IF(R494=Y495,"Min IC in same year as Min PPE","Inconclusive Effect")</f>
        <v>#N/A</v>
      </c>
      <c r="X495" t="str">
        <f>X494 &amp; " Year"</f>
        <v>Min PPE / Sales Year</v>
      </c>
      <c r="Y495" t="e">
        <f ca="1">VALUE(X490)+MATCH(Y494,X491:AB491,0)-1</f>
        <v>#N/A</v>
      </c>
      <c r="AE495" t="str">
        <f>"Min " &amp; AE490</f>
        <v>Min Change in Invested Capital / Sales</v>
      </c>
      <c r="AF495" t="e">
        <f ca="1">MIN(AE492:AH492)</f>
        <v>#N/A</v>
      </c>
      <c r="AK495" t="str">
        <f>"Min " &amp; AK490</f>
        <v>Min Change in PPE / Sales</v>
      </c>
      <c r="AL495" t="e">
        <f ca="1">MIN(AK492:AN492)</f>
        <v>#N/A</v>
      </c>
    </row>
    <row r="496" spans="4:40" x14ac:dyDescent="0.3">
      <c r="S496" t="str">
        <f>"Intangibles Effect on Min"</f>
        <v>Intangibles Effect on Min</v>
      </c>
      <c r="T496" t="e">
        <f ca="1">IF(R494=Y503,"Min IC in same year as Min Intangibles","Inconclusive Effect")</f>
        <v>#N/A</v>
      </c>
      <c r="AE496" t="str">
        <f>AE495 &amp; " Year"</f>
        <v>Min Change in Invested Capital / Sales Year</v>
      </c>
      <c r="AF496" t="e">
        <f ca="1">IF(MATCH(AF495,AE492:AH492,0)=1,AE491,IF(MATCH(AF495,AE492:AH492,0)=2,AF491,IF(MATCH(AF495,AE492:AH492,0)=3,AG491,AH491)))</f>
        <v>#N/A</v>
      </c>
      <c r="AK496" t="str">
        <f>AK495 &amp; " Year"</f>
        <v>Min Change in PPE / Sales Year</v>
      </c>
      <c r="AL496" t="e">
        <f ca="1">IF(MATCH(AL495,AK492:AN492,0)=1,AK491,IF(MATCH(AL495,AK492:AN492,0)=2,AL491,IF(MATCH(AL495,AK492:AN492,0)=3,AM491,AN491)))</f>
        <v>#N/A</v>
      </c>
    </row>
    <row r="497" spans="3:40" x14ac:dyDescent="0.3">
      <c r="X497" t="str">
        <f>"Intangibles / Sales"</f>
        <v>Intangibles / Sales</v>
      </c>
    </row>
    <row r="498" spans="3:40" x14ac:dyDescent="0.3">
      <c r="X498">
        <f>D476</f>
        <v>0</v>
      </c>
      <c r="Y498">
        <f>E476</f>
        <v>0</v>
      </c>
      <c r="Z498">
        <f>F476</f>
        <v>0</v>
      </c>
      <c r="AA498">
        <f>G476</f>
        <v>0</v>
      </c>
      <c r="AB498">
        <f>H476</f>
        <v>0</v>
      </c>
      <c r="AK498" t="str">
        <f>"Change in Intagibles / Sales"</f>
        <v>Change in Intagibles / Sales</v>
      </c>
    </row>
    <row r="499" spans="3:40" x14ac:dyDescent="0.3">
      <c r="X499" t="e">
        <f ca="1">(INDIRECT("J" &amp; MATCH("Intangible Assets",B145:B403,0) +144))/(INDIRECT("J" &amp; MATCH("Sales/Revenue",B145:B403,0) +144))</f>
        <v>#N/A</v>
      </c>
      <c r="Y499" t="e">
        <f ca="1">(INDIRECT("K" &amp; MATCH("Intangible Assets",B145:B403,0) +144))/(INDIRECT("K" &amp; MATCH("Sales/Revenue",B145:B403,0) +144))</f>
        <v>#N/A</v>
      </c>
      <c r="Z499" t="e">
        <f ca="1">(INDIRECT("L" &amp; MATCH("Intangible Assets",B145:B403,0) +144))/(INDIRECT("L" &amp; MATCH("Sales/Revenue",B145:B403,0) +144))</f>
        <v>#N/A</v>
      </c>
      <c r="AA499" t="e">
        <f ca="1">(INDIRECT("M" &amp; MATCH("Intangible Assets",B145:B403,0) +144))/(INDIRECT("M" &amp; MATCH("Sales/Revenue",B145:B403,0) +144))</f>
        <v>#N/A</v>
      </c>
      <c r="AB499" t="e">
        <f ca="1">(INDIRECT("N" &amp; MATCH("Intangible Assets",B145:B403,0) +144))/(INDIRECT("N" &amp; MATCH("Sales/Revenue",B145:B403,0) +144))</f>
        <v>#N/A</v>
      </c>
      <c r="AK499" t="str">
        <f>K476</f>
        <v>0-0</v>
      </c>
      <c r="AL499" t="str">
        <f>L476</f>
        <v>0-0</v>
      </c>
      <c r="AM499" t="str">
        <f>M476</f>
        <v>0-0</v>
      </c>
      <c r="AN499" t="str">
        <f>N476</f>
        <v>0-0</v>
      </c>
    </row>
    <row r="500" spans="3:40" x14ac:dyDescent="0.3">
      <c r="X500" t="str">
        <f>"Max " &amp; X497</f>
        <v>Max Intangibles / Sales</v>
      </c>
      <c r="Y500" t="e">
        <f ca="1">MAX(X499:AB499)</f>
        <v>#N/A</v>
      </c>
      <c r="AK500" t="e">
        <f ca="1">Y499-X499</f>
        <v>#N/A</v>
      </c>
      <c r="AL500" t="e">
        <f ca="1">Z499-Y499</f>
        <v>#N/A</v>
      </c>
      <c r="AM500" t="e">
        <f ca="1">AA499-Z499</f>
        <v>#N/A</v>
      </c>
      <c r="AN500" t="e">
        <f ca="1">AB499-AA499</f>
        <v>#N/A</v>
      </c>
    </row>
    <row r="501" spans="3:40" x14ac:dyDescent="0.3">
      <c r="X501" t="str">
        <f>X500 &amp; " Year"</f>
        <v>Max Intangibles / Sales Year</v>
      </c>
      <c r="Y501" t="e">
        <f ca="1">VALUE(X498)+MATCH(Y500,X499:AB499,0)-1</f>
        <v>#N/A</v>
      </c>
      <c r="AK501" t="str">
        <f>"Max " &amp; AK498</f>
        <v>Max Change in Intagibles / Sales</v>
      </c>
      <c r="AL501" t="e">
        <f ca="1">MAX(AK500:AN500)</f>
        <v>#N/A</v>
      </c>
    </row>
    <row r="502" spans="3:40" x14ac:dyDescent="0.3">
      <c r="X502" t="str">
        <f>"Min " &amp; X497</f>
        <v>Min Intangibles / Sales</v>
      </c>
      <c r="Y502" t="e">
        <f ca="1">MIN(X499:AB499)</f>
        <v>#N/A</v>
      </c>
      <c r="AK502" t="str">
        <f>AK501 &amp; " Year"</f>
        <v>Max Change in Intagibles / Sales Year</v>
      </c>
      <c r="AL502" t="e">
        <f ca="1">IF(MATCH(AL501,AK500:AN500,0)=1,AK499,IF(MATCH(AL501,AK500:AN500,0)=2,AL499,IF(MATCH(AL501,AK500:AN500,0)=3,AM499,AN499)))</f>
        <v>#N/A</v>
      </c>
    </row>
    <row r="503" spans="3:40" x14ac:dyDescent="0.3">
      <c r="X503" t="str">
        <f>X502 &amp; " Year"</f>
        <v>Min Intangibles / Sales Year</v>
      </c>
      <c r="Y503" t="e">
        <f ca="1">VALUE(X498)+MATCH(Y502,X499:AB499,0)-1</f>
        <v>#N/A</v>
      </c>
      <c r="AK503" t="str">
        <f>"Min " &amp; AK498</f>
        <v>Min Change in Intagibles / Sales</v>
      </c>
      <c r="AL503" t="e">
        <f ca="1">MIN(AK500:AN500)</f>
        <v>#N/A</v>
      </c>
    </row>
    <row r="504" spans="3:40" x14ac:dyDescent="0.3">
      <c r="AK504" t="str">
        <f>AK503 &amp; " Year"</f>
        <v>Min Change in Intagibles / Sales Year</v>
      </c>
      <c r="AL504" t="e">
        <f ca="1">IF(MATCH(AL503,AK500:AN500,0)=1,AK499,IF(MATCH(AL503,AK500:AN500,0)=2,AL499,IF(MATCH(AL503,AK500:AN500,0)=3,AM499,AN499)))</f>
        <v>#N/A</v>
      </c>
    </row>
    <row r="507" spans="3:40" x14ac:dyDescent="0.3">
      <c r="D507">
        <f t="shared" ref="D507:H508" si="155">D476</f>
        <v>0</v>
      </c>
      <c r="E507">
        <f t="shared" si="155"/>
        <v>0</v>
      </c>
      <c r="F507">
        <f t="shared" si="155"/>
        <v>0</v>
      </c>
      <c r="G507">
        <f t="shared" si="155"/>
        <v>0</v>
      </c>
      <c r="H507">
        <f t="shared" si="155"/>
        <v>0</v>
      </c>
      <c r="I507" t="str">
        <f>"Average"</f>
        <v>Average</v>
      </c>
      <c r="J507" t="str">
        <f>"SD"</f>
        <v>SD</v>
      </c>
      <c r="K507">
        <f>D507</f>
        <v>0</v>
      </c>
      <c r="L507">
        <f>E507</f>
        <v>0</v>
      </c>
      <c r="M507">
        <f>F507</f>
        <v>0</v>
      </c>
      <c r="N507">
        <f>G507</f>
        <v>0</v>
      </c>
      <c r="O507">
        <f>H507</f>
        <v>0</v>
      </c>
      <c r="P507" t="str">
        <f>"Max z Year"</f>
        <v>Max z Year</v>
      </c>
    </row>
    <row r="508" spans="3:40" x14ac:dyDescent="0.3">
      <c r="C508" t="str">
        <f>D475</f>
        <v>EOY ROIC</v>
      </c>
      <c r="D508" t="e">
        <f t="shared" ca="1" si="155"/>
        <v>#N/A</v>
      </c>
      <c r="E508" t="e">
        <f t="shared" ca="1" si="155"/>
        <v>#N/A</v>
      </c>
      <c r="F508" t="e">
        <f t="shared" ca="1" si="155"/>
        <v>#N/A</v>
      </c>
      <c r="G508" t="e">
        <f t="shared" ca="1" si="155"/>
        <v>#N/A</v>
      </c>
      <c r="H508" t="e">
        <f t="shared" ca="1" si="155"/>
        <v>#N/A</v>
      </c>
      <c r="I508" t="e">
        <f t="shared" ref="I508:I518" ca="1" si="156">AVERAGE(D508:H508)</f>
        <v>#N/A</v>
      </c>
      <c r="J508" t="e">
        <f t="shared" ref="J508:J518" ca="1" si="157">STDEV(D508:H508)</f>
        <v>#N/A</v>
      </c>
      <c r="K508" t="e">
        <f t="shared" ref="K508:K518" ca="1" si="158">(D508-I508)/J508</f>
        <v>#N/A</v>
      </c>
      <c r="L508" t="e">
        <f t="shared" ref="L508:L518" ca="1" si="159">(E508-I508)/J508</f>
        <v>#N/A</v>
      </c>
      <c r="M508" t="e">
        <f t="shared" ref="M508:M518" ca="1" si="160">(F508-I508)/J508</f>
        <v>#N/A</v>
      </c>
      <c r="N508" t="e">
        <f t="shared" ref="N508:N518" ca="1" si="161">(G508-I508)/J508</f>
        <v>#N/A</v>
      </c>
      <c r="O508" t="e">
        <f t="shared" ref="O508:O518" ca="1" si="162">(H508-I508)/J508</f>
        <v>#N/A</v>
      </c>
      <c r="P508" t="e">
        <f ca="1">K507 + MATCH(IF(MAX(MAX(K508:O508),ABS(MIN(K508:O508)))=ABS(MIN(K508:O508)), MIN(K508:O508),MAX(K508:O508)),K508:O508,0) - 1</f>
        <v>#N/A</v>
      </c>
    </row>
    <row r="509" spans="3:40" x14ac:dyDescent="0.3">
      <c r="C509" t="str">
        <f>J465</f>
        <v>EOY Pretax ROIC</v>
      </c>
      <c r="D509" t="e">
        <f ca="1">J467</f>
        <v>#N/A</v>
      </c>
      <c r="E509" t="e">
        <f ca="1">K467</f>
        <v>#N/A</v>
      </c>
      <c r="F509" t="e">
        <f ca="1">L467</f>
        <v>#N/A</v>
      </c>
      <c r="G509" t="e">
        <f ca="1">M467</f>
        <v>#N/A</v>
      </c>
      <c r="H509" t="e">
        <f ca="1">N467</f>
        <v>#N/A</v>
      </c>
      <c r="I509" t="e">
        <f t="shared" ca="1" si="156"/>
        <v>#N/A</v>
      </c>
      <c r="J509" t="e">
        <f t="shared" ca="1" si="157"/>
        <v>#N/A</v>
      </c>
      <c r="K509" t="e">
        <f t="shared" ca="1" si="158"/>
        <v>#N/A</v>
      </c>
      <c r="L509" t="e">
        <f t="shared" ca="1" si="159"/>
        <v>#N/A</v>
      </c>
      <c r="M509" t="e">
        <f t="shared" ca="1" si="160"/>
        <v>#N/A</v>
      </c>
      <c r="N509" t="e">
        <f t="shared" ca="1" si="161"/>
        <v>#N/A</v>
      </c>
      <c r="O509" t="e">
        <f t="shared" ca="1" si="162"/>
        <v>#N/A</v>
      </c>
      <c r="P509" t="e">
        <f ca="1">K507 + MATCH(IF(MAX(MAX(K509:O509),ABS(MIN(K509:O509)))=ABS(MIN(K509:O509)), MIN(K509:O509),MAX(K509:O509)),K509:O509,0) - 1</f>
        <v>#N/A</v>
      </c>
    </row>
    <row r="510" spans="3:40" x14ac:dyDescent="0.3">
      <c r="C510" t="str">
        <f>J485</f>
        <v>Cash Tax Rate</v>
      </c>
      <c r="D510" t="e">
        <f ca="1">J487</f>
        <v>#N/A</v>
      </c>
      <c r="E510" t="e">
        <f ca="1">K487</f>
        <v>#N/A</v>
      </c>
      <c r="F510" t="e">
        <f ca="1">L487</f>
        <v>#N/A</v>
      </c>
      <c r="G510" t="e">
        <f ca="1">M487</f>
        <v>#N/A</v>
      </c>
      <c r="H510" t="e">
        <f ca="1">N487</f>
        <v>#N/A</v>
      </c>
      <c r="I510" t="e">
        <f t="shared" ca="1" si="156"/>
        <v>#N/A</v>
      </c>
      <c r="J510" t="e">
        <f t="shared" ca="1" si="157"/>
        <v>#N/A</v>
      </c>
      <c r="K510" t="e">
        <f t="shared" ca="1" si="158"/>
        <v>#N/A</v>
      </c>
      <c r="L510" t="e">
        <f t="shared" ca="1" si="159"/>
        <v>#N/A</v>
      </c>
      <c r="M510" t="e">
        <f t="shared" ca="1" si="160"/>
        <v>#N/A</v>
      </c>
      <c r="N510" t="e">
        <f t="shared" ca="1" si="161"/>
        <v>#N/A</v>
      </c>
      <c r="O510" t="e">
        <f t="shared" ca="1" si="162"/>
        <v>#N/A</v>
      </c>
      <c r="P510" t="e">
        <f ca="1">K507 + MATCH(IF(MAX(MAX(K510:O510),ABS(MIN(K510:O510)))=ABS(MIN(K510:O510)), MIN(K510:O510),MAX(K510:O510)),K510:O510,0) - 1</f>
        <v>#N/A</v>
      </c>
    </row>
    <row r="511" spans="3:40" x14ac:dyDescent="0.3">
      <c r="C511" t="str">
        <f>Q460</f>
        <v>Operating Margin</v>
      </c>
      <c r="D511" t="e">
        <f ca="1">Q462</f>
        <v>#N/A</v>
      </c>
      <c r="E511" t="e">
        <f ca="1">R462</f>
        <v>#N/A</v>
      </c>
      <c r="F511" t="e">
        <f ca="1">S462</f>
        <v>#N/A</v>
      </c>
      <c r="G511" t="e">
        <f ca="1">T462</f>
        <v>#N/A</v>
      </c>
      <c r="H511" t="e">
        <f ca="1">U462</f>
        <v>#N/A</v>
      </c>
      <c r="I511" t="e">
        <f t="shared" ca="1" si="156"/>
        <v>#N/A</v>
      </c>
      <c r="J511" t="e">
        <f t="shared" ca="1" si="157"/>
        <v>#N/A</v>
      </c>
      <c r="K511" t="e">
        <f t="shared" ca="1" si="158"/>
        <v>#N/A</v>
      </c>
      <c r="L511" t="e">
        <f t="shared" ca="1" si="159"/>
        <v>#N/A</v>
      </c>
      <c r="M511" t="e">
        <f t="shared" ca="1" si="160"/>
        <v>#N/A</v>
      </c>
      <c r="N511" t="e">
        <f t="shared" ca="1" si="161"/>
        <v>#N/A</v>
      </c>
      <c r="O511" t="e">
        <f t="shared" ca="1" si="162"/>
        <v>#N/A</v>
      </c>
      <c r="P511" t="e">
        <f ca="1">K507 + MATCH(IF(MAX(MAX(K511:O511),ABS(MIN(K511:O511)))=ABS(MIN(K511:O511)), MIN(K511:O511),MAX(K511:O511)),K511:O511,0) - 1</f>
        <v>#N/A</v>
      </c>
    </row>
    <row r="512" spans="3:40" x14ac:dyDescent="0.3">
      <c r="C512" t="str">
        <f>Q488</f>
        <v>Invested Capital / Sales</v>
      </c>
      <c r="D512" t="e">
        <f ca="1">Q490</f>
        <v>#N/A</v>
      </c>
      <c r="E512" t="e">
        <f ca="1">R490</f>
        <v>#N/A</v>
      </c>
      <c r="F512" t="e">
        <f ca="1">S490</f>
        <v>#N/A</v>
      </c>
      <c r="G512" t="e">
        <f ca="1">T490</f>
        <v>#N/A</v>
      </c>
      <c r="H512" t="e">
        <f ca="1">U490</f>
        <v>#N/A</v>
      </c>
      <c r="I512" t="e">
        <f t="shared" ca="1" si="156"/>
        <v>#N/A</v>
      </c>
      <c r="J512" t="e">
        <f t="shared" ca="1" si="157"/>
        <v>#N/A</v>
      </c>
      <c r="K512" t="e">
        <f t="shared" ca="1" si="158"/>
        <v>#N/A</v>
      </c>
      <c r="L512" t="e">
        <f t="shared" ca="1" si="159"/>
        <v>#N/A</v>
      </c>
      <c r="M512" t="e">
        <f t="shared" ca="1" si="160"/>
        <v>#N/A</v>
      </c>
      <c r="N512" t="e">
        <f t="shared" ca="1" si="161"/>
        <v>#N/A</v>
      </c>
      <c r="O512" t="e">
        <f t="shared" ca="1" si="162"/>
        <v>#N/A</v>
      </c>
      <c r="P512" t="e">
        <f ca="1">K507 + MATCH(IF(MAX(MAX(K512:O512),ABS(MIN(K512:O512)))=ABS(MIN(K512:O512)), MIN(K512:O512),MAX(K512:O512)),K512:O512,0) - 1</f>
        <v>#N/A</v>
      </c>
    </row>
    <row r="513" spans="3:16" x14ac:dyDescent="0.3">
      <c r="C513" t="str">
        <f>X453</f>
        <v>Gross Margin</v>
      </c>
      <c r="D513" t="e">
        <f ca="1">X455</f>
        <v>#N/A</v>
      </c>
      <c r="E513" t="e">
        <f ca="1">Y455</f>
        <v>#N/A</v>
      </c>
      <c r="F513" t="e">
        <f ca="1">Z455</f>
        <v>#N/A</v>
      </c>
      <c r="G513" t="e">
        <f ca="1">AA455</f>
        <v>#N/A</v>
      </c>
      <c r="H513" t="e">
        <f ca="1">AB455</f>
        <v>#N/A</v>
      </c>
      <c r="I513" t="e">
        <f t="shared" ca="1" si="156"/>
        <v>#N/A</v>
      </c>
      <c r="J513" t="e">
        <f t="shared" ca="1" si="157"/>
        <v>#N/A</v>
      </c>
      <c r="K513" t="e">
        <f t="shared" ca="1" si="158"/>
        <v>#N/A</v>
      </c>
      <c r="L513" t="e">
        <f t="shared" ca="1" si="159"/>
        <v>#N/A</v>
      </c>
      <c r="M513" t="e">
        <f t="shared" ca="1" si="160"/>
        <v>#N/A</v>
      </c>
      <c r="N513" t="e">
        <f t="shared" ca="1" si="161"/>
        <v>#N/A</v>
      </c>
      <c r="O513" t="e">
        <f t="shared" ca="1" si="162"/>
        <v>#N/A</v>
      </c>
      <c r="P513" t="e">
        <f ca="1">K507 + MATCH(IF(MAX(MAX(K513:O513),ABS(MIN(K513:O513)))=ABS(MIN(K513:O513)), MIN(K513:O513),MAX(K513:O513)),K513:O513,0) - 1</f>
        <v>#N/A</v>
      </c>
    </row>
    <row r="514" spans="3:16" x14ac:dyDescent="0.3">
      <c r="C514" t="str">
        <f>X461</f>
        <v>SGA / Sales</v>
      </c>
      <c r="D514" t="e">
        <f ca="1">X463</f>
        <v>#N/A</v>
      </c>
      <c r="E514" t="e">
        <f ca="1">Y463</f>
        <v>#N/A</v>
      </c>
      <c r="F514" t="e">
        <f ca="1">Z463</f>
        <v>#N/A</v>
      </c>
      <c r="G514" t="e">
        <f ca="1">AA463</f>
        <v>#N/A</v>
      </c>
      <c r="H514" t="e">
        <f ca="1">AB463</f>
        <v>#N/A</v>
      </c>
      <c r="I514" t="e">
        <f t="shared" ca="1" si="156"/>
        <v>#N/A</v>
      </c>
      <c r="J514" t="e">
        <f t="shared" ca="1" si="157"/>
        <v>#N/A</v>
      </c>
      <c r="K514" t="e">
        <f t="shared" ca="1" si="158"/>
        <v>#N/A</v>
      </c>
      <c r="L514" t="e">
        <f t="shared" ca="1" si="159"/>
        <v>#N/A</v>
      </c>
      <c r="M514" t="e">
        <f t="shared" ca="1" si="160"/>
        <v>#N/A</v>
      </c>
      <c r="N514" t="e">
        <f t="shared" ca="1" si="161"/>
        <v>#N/A</v>
      </c>
      <c r="O514" t="e">
        <f t="shared" ca="1" si="162"/>
        <v>#N/A</v>
      </c>
      <c r="P514" t="e">
        <f ca="1">K507 + MATCH(IF(MAX(MAX(K514:O514),ABS(MIN(K514:O514)))=ABS(MIN(K514:O514)), MIN(K514:O514),MAX(K514:O514)),K514:O514,0) - 1</f>
        <v>#N/A</v>
      </c>
    </row>
    <row r="515" spans="3:16" x14ac:dyDescent="0.3">
      <c r="C515" t="str">
        <f>X469</f>
        <v>Depreciation / Sales</v>
      </c>
      <c r="D515" t="e">
        <f ca="1">X471</f>
        <v>#N/A</v>
      </c>
      <c r="E515" t="e">
        <f ca="1">Y471</f>
        <v>#N/A</v>
      </c>
      <c r="F515" t="e">
        <f ca="1">Z471</f>
        <v>#N/A</v>
      </c>
      <c r="G515" t="e">
        <f ca="1">AA471</f>
        <v>#N/A</v>
      </c>
      <c r="H515" t="e">
        <f ca="1">AB471</f>
        <v>#N/A</v>
      </c>
      <c r="I515" t="e">
        <f t="shared" ca="1" si="156"/>
        <v>#N/A</v>
      </c>
      <c r="J515" t="e">
        <f t="shared" ca="1" si="157"/>
        <v>#N/A</v>
      </c>
      <c r="K515" t="e">
        <f t="shared" ca="1" si="158"/>
        <v>#N/A</v>
      </c>
      <c r="L515" t="e">
        <f t="shared" ca="1" si="159"/>
        <v>#N/A</v>
      </c>
      <c r="M515" t="e">
        <f t="shared" ca="1" si="160"/>
        <v>#N/A</v>
      </c>
      <c r="N515" t="e">
        <f t="shared" ca="1" si="161"/>
        <v>#N/A</v>
      </c>
      <c r="O515" t="e">
        <f t="shared" ca="1" si="162"/>
        <v>#N/A</v>
      </c>
      <c r="P515" t="e">
        <f ca="1">K507 + MATCH(IF(MAX(MAX(K515:O515),ABS(MIN(K515:O515)))=ABS(MIN(K515:O515)), MIN(K515:O515),MAX(K515:O515)),K515:O515,0) - 1</f>
        <v>#N/A</v>
      </c>
    </row>
    <row r="516" spans="3:16" x14ac:dyDescent="0.3">
      <c r="C516" t="str">
        <f>X481</f>
        <v>Op WC / Sales</v>
      </c>
      <c r="D516" t="e">
        <f ca="1">X483</f>
        <v>#N/A</v>
      </c>
      <c r="E516" t="e">
        <f ca="1">Y483</f>
        <v>#N/A</v>
      </c>
      <c r="F516" t="e">
        <f ca="1">Z483</f>
        <v>#N/A</v>
      </c>
      <c r="G516" t="e">
        <f ca="1">AA483</f>
        <v>#N/A</v>
      </c>
      <c r="H516" t="e">
        <f ca="1">AB483</f>
        <v>#N/A</v>
      </c>
      <c r="I516" t="e">
        <f t="shared" ca="1" si="156"/>
        <v>#N/A</v>
      </c>
      <c r="J516" t="e">
        <f t="shared" ca="1" si="157"/>
        <v>#N/A</v>
      </c>
      <c r="K516" t="e">
        <f t="shared" ca="1" si="158"/>
        <v>#N/A</v>
      </c>
      <c r="L516" t="e">
        <f t="shared" ca="1" si="159"/>
        <v>#N/A</v>
      </c>
      <c r="M516" t="e">
        <f t="shared" ca="1" si="160"/>
        <v>#N/A</v>
      </c>
      <c r="N516" t="e">
        <f t="shared" ca="1" si="161"/>
        <v>#N/A</v>
      </c>
      <c r="O516" t="e">
        <f t="shared" ca="1" si="162"/>
        <v>#N/A</v>
      </c>
      <c r="P516" t="e">
        <f ca="1">K507 + MATCH(IF(MAX(MAX(K516:O516),ABS(MIN(K516:O516)))=ABS(MIN(K516:O516)), MIN(K516:O516),MAX(K516:O516)),K516:O516,0) - 1</f>
        <v>#N/A</v>
      </c>
    </row>
    <row r="517" spans="3:16" x14ac:dyDescent="0.3">
      <c r="C517" t="str">
        <f>X489</f>
        <v>PPE / Sales</v>
      </c>
      <c r="D517" t="e">
        <f ca="1">X491</f>
        <v>#N/A</v>
      </c>
      <c r="E517" t="e">
        <f ca="1">Y491</f>
        <v>#N/A</v>
      </c>
      <c r="F517" t="e">
        <f ca="1">Z491</f>
        <v>#N/A</v>
      </c>
      <c r="G517" t="e">
        <f ca="1">AA491</f>
        <v>#N/A</v>
      </c>
      <c r="H517" t="e">
        <f ca="1">AB491</f>
        <v>#N/A</v>
      </c>
      <c r="I517" t="e">
        <f t="shared" ca="1" si="156"/>
        <v>#N/A</v>
      </c>
      <c r="J517" t="e">
        <f t="shared" ca="1" si="157"/>
        <v>#N/A</v>
      </c>
      <c r="K517" t="e">
        <f t="shared" ca="1" si="158"/>
        <v>#N/A</v>
      </c>
      <c r="L517" t="e">
        <f t="shared" ca="1" si="159"/>
        <v>#N/A</v>
      </c>
      <c r="M517" t="e">
        <f t="shared" ca="1" si="160"/>
        <v>#N/A</v>
      </c>
      <c r="N517" t="e">
        <f t="shared" ca="1" si="161"/>
        <v>#N/A</v>
      </c>
      <c r="O517" t="e">
        <f t="shared" ca="1" si="162"/>
        <v>#N/A</v>
      </c>
      <c r="P517" t="e">
        <f ca="1">K507 + MATCH(IF(MAX(MAX(K517:O517),ABS(MIN(K517:O517)))=ABS(MIN(K517:O517)), MIN(K517:O517),MAX(K517:O517)),K517:O517,0) - 1</f>
        <v>#N/A</v>
      </c>
    </row>
    <row r="518" spans="3:16" x14ac:dyDescent="0.3">
      <c r="C518" t="str">
        <f>X497</f>
        <v>Intangibles / Sales</v>
      </c>
      <c r="D518" t="e">
        <f ca="1">X499</f>
        <v>#N/A</v>
      </c>
      <c r="E518" t="e">
        <f ca="1">Y499</f>
        <v>#N/A</v>
      </c>
      <c r="F518" t="e">
        <f ca="1">Z499</f>
        <v>#N/A</v>
      </c>
      <c r="G518" t="e">
        <f ca="1">AA499</f>
        <v>#N/A</v>
      </c>
      <c r="H518" t="e">
        <f ca="1">AB499</f>
        <v>#N/A</v>
      </c>
      <c r="I518" t="e">
        <f t="shared" ca="1" si="156"/>
        <v>#N/A</v>
      </c>
      <c r="J518" t="e">
        <f t="shared" ca="1" si="157"/>
        <v>#N/A</v>
      </c>
      <c r="K518" t="e">
        <f t="shared" ca="1" si="158"/>
        <v>#N/A</v>
      </c>
      <c r="L518" t="e">
        <f t="shared" ca="1" si="159"/>
        <v>#N/A</v>
      </c>
      <c r="M518" t="e">
        <f t="shared" ca="1" si="160"/>
        <v>#N/A</v>
      </c>
      <c r="N518" t="e">
        <f t="shared" ca="1" si="161"/>
        <v>#N/A</v>
      </c>
      <c r="O518" t="e">
        <f t="shared" ca="1" si="162"/>
        <v>#N/A</v>
      </c>
      <c r="P518" t="e">
        <f ca="1">K507 + MATCH(IF(MAX(MAX(K518:O518),ABS(MIN(K518:O518)))=ABS(MIN(K518:O518)), MIN(K518:O518),MAX(K518:O518)),K518:O518,0) - 1</f>
        <v>#N/A</v>
      </c>
    </row>
    <row r="519" spans="3:16" x14ac:dyDescent="0.3">
      <c r="I519" t="str">
        <f>"Max SD"</f>
        <v>Max SD</v>
      </c>
      <c r="J519" t="e">
        <f ca="1">MAX(J508:J518)</f>
        <v>#N/A</v>
      </c>
    </row>
    <row r="520" spans="3:16" x14ac:dyDescent="0.3">
      <c r="I520" t="str">
        <f>"Max SD Item"</f>
        <v>Max SD Item</v>
      </c>
      <c r="J520" t="e">
        <f ca="1">INDIRECT("C" &amp; 507 + MATCH(J519,J508:J518,0))</f>
        <v>#N/A</v>
      </c>
    </row>
    <row r="521" spans="3:16" x14ac:dyDescent="0.3">
      <c r="I521" t="str">
        <f>"Min SD"</f>
        <v>Min SD</v>
      </c>
      <c r="J521" t="e">
        <f ca="1">MIN(J508:J518)</f>
        <v>#N/A</v>
      </c>
    </row>
    <row r="522" spans="3:16" x14ac:dyDescent="0.3">
      <c r="I522" t="str">
        <f>"Min SD Item"</f>
        <v>Min SD Item</v>
      </c>
      <c r="J522" t="e">
        <f ca="1">INDIRECT("C" &amp; 507 + MATCH(J521,J508:J518,0))</f>
        <v>#N/A</v>
      </c>
    </row>
    <row r="523" spans="3:16" x14ac:dyDescent="0.3">
      <c r="C523" t="str">
        <f>"Correlation Analysis"</f>
        <v>Correlation Analysis</v>
      </c>
    </row>
    <row r="524" spans="3:16" x14ac:dyDescent="0.3">
      <c r="D524" t="str">
        <f>C528</f>
        <v>Operating Margin</v>
      </c>
      <c r="E524" t="str">
        <f>C529</f>
        <v>Invested Capital / Sales</v>
      </c>
      <c r="F524" t="str">
        <f>X453</f>
        <v>Gross Margin</v>
      </c>
      <c r="G524" t="str">
        <f>X461</f>
        <v>SGA / Sales</v>
      </c>
      <c r="H524" t="str">
        <f>X469</f>
        <v>Depreciation / Sales</v>
      </c>
      <c r="I524" t="str">
        <f>X481</f>
        <v>Op WC / Sales</v>
      </c>
      <c r="J524" t="str">
        <f>X489</f>
        <v>PPE / Sales</v>
      </c>
      <c r="K524" t="str">
        <f>X497</f>
        <v>Intangibles / Sales</v>
      </c>
      <c r="L524" t="str">
        <f>"Key Driver on correlation basis"</f>
        <v>Key Driver on correlation basis</v>
      </c>
    </row>
    <row r="525" spans="3:16" x14ac:dyDescent="0.3">
      <c r="C525" t="str">
        <f>C508</f>
        <v>EOY ROIC</v>
      </c>
      <c r="D525" t="e">
        <f ca="1">E482</f>
        <v>#N/A</v>
      </c>
      <c r="E525" t="e">
        <f ca="1">E483</f>
        <v>#N/A</v>
      </c>
      <c r="F525" t="e">
        <f ca="1">E484</f>
        <v>#N/A</v>
      </c>
      <c r="G525" t="e">
        <f ca="1">E485</f>
        <v>#N/A</v>
      </c>
      <c r="H525" t="e">
        <f ca="1">E486</f>
        <v>#N/A</v>
      </c>
      <c r="I525" t="e">
        <f ca="1">E487</f>
        <v>#N/A</v>
      </c>
      <c r="J525" t="e">
        <f ca="1">E488</f>
        <v>#N/A</v>
      </c>
      <c r="K525" t="e">
        <f ca="1">E489</f>
        <v>#N/A</v>
      </c>
    </row>
    <row r="526" spans="3:16" x14ac:dyDescent="0.3">
      <c r="C526" t="str">
        <f>C509</f>
        <v>EOY Pretax ROIC</v>
      </c>
      <c r="D526" t="e">
        <f ca="1">O468</f>
        <v>#N/A</v>
      </c>
      <c r="E526" t="e">
        <f ca="1">O469</f>
        <v>#N/A</v>
      </c>
    </row>
    <row r="527" spans="3:16" x14ac:dyDescent="0.3">
      <c r="C527" t="str">
        <f>C510</f>
        <v>Cash Tax Rate</v>
      </c>
    </row>
    <row r="528" spans="3:16" x14ac:dyDescent="0.3">
      <c r="C528" t="str">
        <f>C511</f>
        <v>Operating Margin</v>
      </c>
      <c r="F528" t="e">
        <f ca="1">V463</f>
        <v>#N/A</v>
      </c>
      <c r="G528" t="e">
        <f ca="1">V464</f>
        <v>#N/A</v>
      </c>
      <c r="H528" t="e">
        <f ca="1">V465</f>
        <v>#N/A</v>
      </c>
      <c r="L528" t="e">
        <f ca="1">INDIRECT(ADDRESS(524,5+MATCH(IF(ABS(MAX(F528:H528))&gt;ABS(MIN(F528:H528)),MAX(F528:H528),MIN(F528:H528)),F528:H528,0)))</f>
        <v>#N/A</v>
      </c>
    </row>
    <row r="529" spans="3:12" x14ac:dyDescent="0.3">
      <c r="C529" t="str">
        <f>C512</f>
        <v>Invested Capital / Sales</v>
      </c>
      <c r="I529" t="e">
        <f ca="1">V491</f>
        <v>#N/A</v>
      </c>
      <c r="J529" t="e">
        <f ca="1">V492</f>
        <v>#N/A</v>
      </c>
      <c r="K529" t="e">
        <f ca="1">V493</f>
        <v>#N/A</v>
      </c>
      <c r="L529" t="e">
        <f ca="1">INDIRECT(ADDRESS(524,8+MATCH(IF(ABS(MAX(I529:K529))&gt;ABS(MIN(I529:K529)),MAX(I529:K529),MIN(I529:K529)),I529:K529,0)))</f>
        <v>#N/A</v>
      </c>
    </row>
    <row r="532" spans="3:12" x14ac:dyDescent="0.3">
      <c r="C532" t="str">
        <f>"Causation Analysis"</f>
        <v>Causation Analysis</v>
      </c>
    </row>
    <row r="533" spans="3:12" x14ac:dyDescent="0.3">
      <c r="D533" t="str">
        <f>C527</f>
        <v>Cash Tax Rate</v>
      </c>
      <c r="E533" t="str">
        <f>C536</f>
        <v>Operating Margin</v>
      </c>
      <c r="F533" t="str">
        <f>C537</f>
        <v>Invested Capital / Sales</v>
      </c>
      <c r="G533" t="str">
        <f t="shared" ref="G533:L533" si="163">F524</f>
        <v>Gross Margin</v>
      </c>
      <c r="H533" t="str">
        <f t="shared" si="163"/>
        <v>SGA / Sales</v>
      </c>
      <c r="I533" t="str">
        <f t="shared" si="163"/>
        <v>Depreciation / Sales</v>
      </c>
      <c r="J533" t="str">
        <f t="shared" si="163"/>
        <v>Op WC / Sales</v>
      </c>
      <c r="K533" t="str">
        <f t="shared" si="163"/>
        <v>PPE / Sales</v>
      </c>
      <c r="L533" t="str">
        <f t="shared" si="163"/>
        <v>Intangibles / Sales</v>
      </c>
    </row>
    <row r="534" spans="3:12" x14ac:dyDescent="0.3">
      <c r="C534" t="str">
        <f>C508</f>
        <v>EOY ROIC</v>
      </c>
      <c r="D534" t="e">
        <f ca="1">IF(AND(G478&lt;&gt;"Inconclusive Effect",G480&lt;&gt;"Inconclusive Effect"),G478 &amp; CHAR(10) &amp; ". " &amp;G480,IF(G478&lt;&gt;"Inconclusive Effect",G478,IF(G480&lt;&gt;"Inconclusive Effect",G480,"Inconclusive Effect")))</f>
        <v>#N/A</v>
      </c>
    </row>
    <row r="535" spans="3:12" x14ac:dyDescent="0.3">
      <c r="C535" t="str">
        <f>C509</f>
        <v>EOY Pretax ROIC</v>
      </c>
      <c r="E535" t="e">
        <f ca="1">IF(AND(M468&lt;&gt;"Inconclusive Effect",M470&lt;&gt;"Inconclusive Effect"),M468 &amp; CHAR(10) &amp; ". " &amp;M470,IF(M468&lt;&gt;"Inconclusive Effect",M468,IF(M470&lt;&gt;"Inconclusive Effect",M470,"Inconclusive Effect")))</f>
        <v>#N/A</v>
      </c>
      <c r="F535" t="e">
        <f ca="1">IF(AND(M469&lt;&gt;"Inconclusive Effect",M471&lt;&gt;"Inconclusive Effect"),M469 &amp; CHAR(10) &amp; ". " &amp;M471,IF(M469&lt;&gt;"Inconclusive Effect",M469,IF(M471&lt;&gt;"Inconclusive Effect",M471,"Inconclusive Effect")))</f>
        <v>#N/A</v>
      </c>
    </row>
    <row r="536" spans="3:12" x14ac:dyDescent="0.3">
      <c r="C536" t="str">
        <f>C511</f>
        <v>Operating Margin</v>
      </c>
      <c r="G536" t="e">
        <f ca="1">IF(AND(T463&lt;&gt;"Inconclusive Effect",T466&lt;&gt;"Inconclusive Effect"),T463 &amp; CHAR(10) &amp; ". " &amp;T466,IF(T463&lt;&gt;"Inconclusive Effect",T463,IF(T466&lt;&gt;"Inconclusive Effect",T466,"Inconclusive Effect")))</f>
        <v>#N/A</v>
      </c>
      <c r="H536" t="e">
        <f ca="1">IF(AND(T464&lt;&gt;"Inconclusive Effect",T467&lt;&gt;"Inconclusive Effect"),T464 &amp; CHAR(10) &amp; ". " &amp;T467,IF(T464&lt;&gt;"Inconclusive Effect",T464,IF(T467&lt;&gt;"Inconclusive Effect",T467,"Inconclusive Effect")))</f>
        <v>#N/A</v>
      </c>
      <c r="I536" t="e">
        <f ca="1">IF(AND(T465&lt;&gt;"Inconclusive Effect",T468&lt;&gt;"Inconclusive Effect"),T465 &amp; CHAR(10) &amp; ". " &amp;T468,IF(T465&lt;&gt;"Inconclusive Effect",T465,IF(T468&lt;&gt;"Inconclusive Effect",T468,"Inconclusive Effect")))</f>
        <v>#N/A</v>
      </c>
    </row>
    <row r="537" spans="3:12" x14ac:dyDescent="0.3">
      <c r="C537" t="str">
        <f>C512</f>
        <v>Invested Capital / Sales</v>
      </c>
      <c r="J537" t="e">
        <f ca="1">IF(AND(T491&lt;&gt;"Inconclusive Effect",T494&lt;&gt;"Inconclusive Effect"),T491 &amp; CHAR(10) &amp; ". " &amp;T494,IF(T491&lt;&gt;"Inconclusive Effect",T491,IF(T494&lt;&gt;"Inconclusive Effect",T494,"Inconclusive Effect")))</f>
        <v>#N/A</v>
      </c>
      <c r="K537" t="e">
        <f ca="1">IF(AND(T492&lt;&gt;"Inconclusive Effect",T495&lt;&gt;"Inconclusive Effect"),T492 &amp; CHAR(10) &amp; ". " &amp;T495,IF(T492&lt;&gt;"Inconclusive Effect",T492,IF(T495&lt;&gt;"Inconclusive Effect",T495,"Inconclusive Effect")))</f>
        <v>#N/A</v>
      </c>
      <c r="L537" t="e">
        <f ca="1">IF(AND(T493&lt;&gt;"Inconclusive Effect",T496&lt;&gt;"Inconclusive Effect"),T493 &amp; CHAR(10) &amp; ". " &amp;T496,IF(T493&lt;&gt;"Inconclusive Effect",T493,IF(T496&lt;&gt;"Inconclusive Effect",T496,"Inconclusive Effect")))</f>
        <v>#N/A</v>
      </c>
    </row>
    <row r="538" spans="3:12" x14ac:dyDescent="0.3">
      <c r="C538" t="str">
        <f>"Summary"</f>
        <v>Summary</v>
      </c>
      <c r="D538" t="e">
        <f ca="1">IF(D534&lt;&gt;"Inconclusive Effect",D534,"")</f>
        <v>#N/A</v>
      </c>
      <c r="E538" t="e">
        <f ca="1">IF(E535&lt;&gt;"Inconclusive Effect",E535,"")</f>
        <v>#N/A</v>
      </c>
      <c r="F538" t="e">
        <f ca="1">IF(F535&lt;&gt;"Inconclusive Effect",F535,"")</f>
        <v>#N/A</v>
      </c>
      <c r="G538" t="e">
        <f ca="1">IF(G536&lt;&gt;"Inconclusive Effect",G536,"")</f>
        <v>#N/A</v>
      </c>
      <c r="H538" t="e">
        <f ca="1">IF(H536&lt;&gt;"Inconclusive Effect",H536,"")</f>
        <v>#N/A</v>
      </c>
      <c r="I538" t="e">
        <f ca="1">IF(I536&lt;&gt;"Inconclusive Effect",I536,"")</f>
        <v>#N/A</v>
      </c>
      <c r="J538" t="e">
        <f ca="1">IF(J537&lt;&gt;"Inconclusive Effect",J537,"")</f>
        <v>#N/A</v>
      </c>
      <c r="K538" t="e">
        <f ca="1">IF(K537&lt;&gt;"Inconclusive Effect",K537,"")</f>
        <v>#N/A</v>
      </c>
      <c r="L538" t="e">
        <f ca="1">IF(L537&lt;&gt;"Inconclusive Effect",L537,"")</f>
        <v>#N/A</v>
      </c>
    </row>
    <row r="540" spans="3:12" x14ac:dyDescent="0.3">
      <c r="C540" t="e">
        <f ca="1">_xludf.TEXTJOIN(". ",TRUE,D538:L538)</f>
        <v>#NAME?</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H540"/>
  <sheetViews>
    <sheetView topLeftCell="B1" workbookViewId="0"/>
  </sheetViews>
  <sheetFormatPr defaultRowHeight="14.4" x14ac:dyDescent="0.3"/>
  <cols>
    <col min="1" max="1" width="0" hidden="1" customWidth="1"/>
    <col min="2" max="7" width="20.6640625" customWidth="1"/>
  </cols>
  <sheetData>
    <row r="1" spans="1:16" x14ac:dyDescent="0.3">
      <c r="B1" t="s">
        <v>0</v>
      </c>
      <c r="C1" t="s">
        <v>4541</v>
      </c>
      <c r="D1" t="str">
        <f>TRIM(IFERROR(IFERROR(IFERROR(IFERROR(IFERROR(IFERROR(IFERROR(REPLACE(LEFT(C1,FIND("(",C1) - 2), FIND("PLC",UPPER(LEFT(C1,FIND("(",C1) - 2))),3,"" ), REPLACE(LEFT(C1,FIND("(",C1) - 2), FIND(", INC.",UPPER(LEFT(C1,FIND("(",C1) - 2))),6,"" )), REPLACE(LEFT(C1,FIND("(",C1) - 2), FIND("CORPORATION",UPPER(LEFT(C1,FIND("(",C1) - 2))),11,"" )),REPLACE(LEFT(C1,FIND("(",C1) - 2), FIND("CORP.",UPPER(LEFT(C1,FIND("(",C1) - 2))),5,"" )), REPLACE(LEFT(C1,FIND("(",C1) - 2), FIND("COMPANY",UPPER(LEFT(C1,FIND("(",C1) - 2))),7,"" )),REPLACE(LEFT(C1,FIND("(",C1) - 2), FIND("INC.",UPPER(LEFT(C1,FIND("(",C1) - 2))),4,"" )),REPLACE(LEFT(C1,FIND("(",C1) - 2), FIND("CORP",UPPER(LEFT(C1,FIND("(",C1) - 2))),4,"" )),LEFT(C1,FIND("(",C1) - 2)))</f>
        <v>Domtar</v>
      </c>
    </row>
    <row r="2" spans="1:16" x14ac:dyDescent="0.3">
      <c r="B2" t="s">
        <v>2</v>
      </c>
      <c r="C2" t="s">
        <v>4542</v>
      </c>
      <c r="K2" t="str">
        <f>LEFT(C1,FIND("(",C1) - 2)</f>
        <v>Domtar Corporation</v>
      </c>
    </row>
    <row r="3" spans="1:16" x14ac:dyDescent="0.3">
      <c r="J3">
        <f ca="1">RANDBETWEEN(1,6)</f>
        <v>3</v>
      </c>
      <c r="K3" t="str">
        <f>" is scheduled to report earnings "&amp;IFERROR("between "&amp;LEFT(C20,FIND("-",C20)-2)&amp;" and "&amp;RIGHT(C20,FIND("-",C20)-2),"on "&amp;C20)</f>
        <v xml:space="preserve"> is scheduled to report earnings on Oct 26, 2017</v>
      </c>
      <c r="L3" t="str">
        <f>" is slated to report earnings "&amp;IFERROR("between "&amp;LEFT(C20,FIND("-",C20)-2)&amp;" and "&amp;RIGHT(C20,FIND("-",C20)-2),"on "&amp;C20)</f>
        <v xml:space="preserve"> is slated to report earnings on Oct 26, 2017</v>
      </c>
      <c r="M3" t="str">
        <f>" will report earnings "&amp;IFERROR("between "&amp;LEFT(C20,FIND("-",C20)-2)&amp;" and "&amp;RIGHT(C20,FIND("-",C20)-2),"on "&amp;C20)</f>
        <v xml:space="preserve"> will report earnings on Oct 26, 2017</v>
      </c>
      <c r="N3" t="str">
        <f>" reports earnings "&amp;IFERROR("between "&amp;LEFT(C20,FIND("-",C20)-2)&amp;" and "&amp;RIGHT(C20,FIND("-",C20)-2),"on "&amp;C20)</f>
        <v xml:space="preserve"> reports earnings on Oct 26, 2017</v>
      </c>
      <c r="O3" t="str">
        <f>" plans to report earnings "&amp;IFERROR("between "&amp;LEFT(C20,FIND("-",C20)-2)&amp;" and "&amp;RIGHT(C20,FIND("-",C20)-2),"on "&amp;C20)</f>
        <v xml:space="preserve"> plans to report earnings on Oct 26, 2017</v>
      </c>
      <c r="P3" t="str">
        <f>" is going to report earnings "&amp;IFERROR("between "&amp;LEFT(C20,FIND("-",C20)-2)&amp;" and "&amp;RIGHT(C20,FIND("-",C20)-2),"on "&amp;C20)</f>
        <v xml:space="preserve"> is going to report earnings on Oct 26, 2017</v>
      </c>
    </row>
    <row r="4" spans="1:16" x14ac:dyDescent="0.3">
      <c r="B4" t="s">
        <v>4</v>
      </c>
      <c r="J4">
        <f ca="1">RANDBETWEEN(1,2)</f>
        <v>1</v>
      </c>
      <c r="K4" t="str">
        <f>"The stock is currently trading at " &amp; TEXT(C2,"$####.00") &amp; ", " &amp; IF(C2-C7=0, "at the same price" &amp; " after opening " &amp; IF(C8-C7=0, "at the same price as yesterday's close", IF(C8-C7&gt;0, "up " &amp; IF((C7-C8)/C7*-1 &lt;0.01, "slightly", TEXT((C7-C8)/C7*-1,"##.##%")) &amp; " over yesterday's close", IF((C7-C8)/C7 &lt;0.01, "slightly below", "down " &amp; TEXT((C7-C8)/C7*1,"##.##%") &amp; " from") &amp; " yesterday's close")), IF(C2-C7&gt;0, "up " &amp; TEXT((C7-C2)/C7*-1,"##.##%") &amp; " after opening " &amp; IF(C8-C7=0, "at the same price as yesterday's close", IF(C8-C7&gt;0, "up " &amp; IF((C7-C8)/C7*-1 &lt;0.01, "slightly", TEXT((C7-C8)/C7*-1,"##.##%")) &amp; " over yesterday's close", IF((C7-C8)/C7 &lt;0.01, "slightly below", "down " &amp; TEXT((C7-C8)/C7*1,"##.##%") &amp; " from") &amp; " yesterday's close")), "down " &amp; TEXT((C7-C2)/C7*1,"##.##%") &amp; " after opening " &amp; IF(C8-C7=0, "at the same price as yesterday's close", IF(C8-C7&gt;0, "up " &amp; IF((C7-C8)/C7*-1 &lt;0.01, "slightly", TEXT((C7-C8)/C7*-1,"##.##%")) &amp; " over yesterday's close", IF((C7-C8)/C7 &lt;0.01, "slightly below", "down " &amp; TEXT((C7-C8)/C7*1,"##.##%") &amp; " from") &amp; " yesterday's close")) ))</f>
        <v>The stock is currently trading at $48.33, up 1.% after opening up slightly over yesterday's close</v>
      </c>
      <c r="L4" t="str">
        <f>"The current stock price is " &amp; TEXT(C2,"$####.00") &amp; ", " &amp; IF(C2-C7=0, "at the same price" &amp; " after opening " &amp; IF(C8-C7=0, "at the same price as yesterday's closing price", IF(C8-C7&gt;0, "up " &amp; IF((C7-C8)/C7*-1 &lt;0.01, "a fraction", TEXT((C7-C8)/C7*-1,"##.##%")) &amp; " over yesterday's closing price", IF((C7-C8)/C7 &lt;0.01, "a bit below", "down " &amp; TEXT((C7-C8)/C7*1,"##.##%") &amp; " from") &amp; " yesterday's closing price")), IF(C2-C7&gt;0, "up " &amp; TEXT((C7-C2)/C7*-1,"##.##%") &amp; " after opening " &amp; IF(C8-C7=0, "at yesterday's closing price", IF(C8-C7&gt;0, "up " &amp; IF((C7-C8)/C7*-1 &lt;0.01, "a fraction", TEXT((C7-C8)/C7*-1,"##.##%")) &amp; " over yesterday's closing price", IF((C7-C8)/C7 &lt;0.01, "a bit below", "down " &amp; TEXT((C7-C8)/C7*1,"##.##%") &amp; " from") &amp; " yesterday's closing price")), "down " &amp; TEXT((C7-C2)/C7*1,"##.##%") &amp; " after opening " &amp; IF(C8-C7=0, "at yesterday's closing price", IF(C8-C7&gt;0, "up " &amp; IF((C7-C8)/C7*-1 &lt;0.01, "a fraction", TEXT((C7-C8)/C7*-1,"##.##%")) &amp; " over yesterday's closing price", IF((C7-C8)/C7 &lt;0.01, "a bit below", "down " &amp; TEXT((C7-C8)/C7*1,"##.##%") &amp; " from") &amp; " yesterday's closing price")) ))</f>
        <v>The current stock price is $48.33, up 1.% after opening up a fraction over yesterday's closing price</v>
      </c>
    </row>
    <row r="5" spans="1:16" x14ac:dyDescent="0.3">
      <c r="J5">
        <f ca="1">RANDBETWEEN(1,2)</f>
        <v>2</v>
      </c>
      <c r="K5" t="str">
        <f>"The one year target estimate for " &amp; D1 &amp; " is " &amp; TEXT(C23,"$####.00")</f>
        <v>The one year target estimate for Domtar is $40.67</v>
      </c>
      <c r="L5" t="str">
        <f>D1 &amp; " is expected to be trading at " &amp; TEXT(C23, "$####.00") &amp; ", based on target estimates"</f>
        <v>Domtar is expected to be trading at $40.67, based on target estimates</v>
      </c>
    </row>
    <row r="6" spans="1:16" x14ac:dyDescent="0.3">
      <c r="K6" t="str">
        <f>" which would be " &amp; IF(OR(LEFT(ABS((C23-C2)/C2*100),1)="8",LEFT(ABS((C23-C2)/C2*100),2)="18"), "an ", "a ")  &amp;TEXT(ABS((C23-C2)/C2),"####.00%")&amp;IF((C23-C2)&gt;0," increase over"," decrease from")&amp;" the current price"</f>
        <v xml:space="preserve"> which would be a 15.85% decrease from the current price</v>
      </c>
    </row>
    <row r="7" spans="1:16" x14ac:dyDescent="0.3">
      <c r="A7" s="1">
        <v>0</v>
      </c>
      <c r="B7" t="s">
        <v>5</v>
      </c>
      <c r="C7" t="s">
        <v>4543</v>
      </c>
      <c r="K7" t="str">
        <f>"Earnings are expected to " &amp; IF(C28=D28, "remain constant over the next quarter", IF( D28&gt;C28,  "increase by " &amp; TEXT((D28-C28)/C28*100,"##.##") &amp; "% over last quarter", "decrease by " &amp; TEXT((D28-C28)/C28*-100,"##.##") &amp; "% from last quarter")) &amp; " based on the average of " &amp; $C$27 &amp; " analyst estimates (Yahoo Finance)"</f>
        <v>Earnings are expected to increase by 62.96% over last quarter based on the average of 8 analyst estimates (Yahoo Finance)</v>
      </c>
    </row>
    <row r="8" spans="1:16" x14ac:dyDescent="0.3">
      <c r="A8" s="1">
        <v>1</v>
      </c>
      <c r="B8" t="s">
        <v>7</v>
      </c>
      <c r="C8" t="s">
        <v>4544</v>
      </c>
      <c r="K8" t="str">
        <f>IF(VALUE(C2)=D12, "The stock is trading at an all-time low",IF(VALUE(C2) =E12,"The stock is trading at an all-time high",IF(VALUE(C2)&lt;D12+(E12-D12)/3, "The stock is trading in the low end of its 52-week range",IF(VALUE(C2)&lt;D12+2*(E12-D12)/3, "The stock is trading near the middle of its 52 week range", "The stock is trading in the high end of its 52-week range"))) )</f>
        <v>The stock is trading in the low end of its 52-week range</v>
      </c>
    </row>
    <row r="9" spans="1:16" x14ac:dyDescent="0.3">
      <c r="A9" s="1">
        <v>2</v>
      </c>
      <c r="B9" t="s">
        <v>9</v>
      </c>
      <c r="C9" t="s">
        <v>4545</v>
      </c>
      <c r="K9" t="str">
        <f>"Over the last 4 quarters, there" &amp; IF(4 - COUNTIF(C45:F45,"-*")=1, " has"," have") &amp; " been" &amp; IF(4 - COUNTIF(C45:F45,"-*")=1, " a,","") &amp; " positive earnings surprise" &amp; IF(4 - COUNTIF(C45:F45,"-*")=1, " ","s ") &amp; 4 -COUNTIF(C45:F45,"-*") &amp; IF(4 - COUNTIF(C45:F45,"-*")=1, " time,"," times,") &amp; " and a negative earnings surprise " &amp; COUNTIF(C45:F45,"-*") &amp; IF(COUNTIF(C45:F45,"-*")=1, " time", " times")</f>
        <v>Over the last 4 quarters, there have been positive earnings surprises 3 times, and a negative earnings surprise 1 time</v>
      </c>
    </row>
    <row r="10" spans="1:16" x14ac:dyDescent="0.3">
      <c r="A10" s="1">
        <v>3</v>
      </c>
      <c r="B10" t="s">
        <v>11</v>
      </c>
      <c r="C10" t="s">
        <v>4546</v>
      </c>
      <c r="K10" t="str">
        <f>IF(F48=F52,"",IF(F48&gt;F52, "EPS estimates have increased by " &amp; TEXT(F48-F52,"$0.00") &amp; " in the 2 months leading up to the earnings report", "EPS estimates have decreased by " &amp; TEXT(ABS(F48-F52),"$0.00") &amp; " in the 2 months leading up to the earnings report"))</f>
        <v>EPS estimates have decreased by $0.11 in the 2 months leading up to the earnings report</v>
      </c>
    </row>
    <row r="11" spans="1:16" x14ac:dyDescent="0.3">
      <c r="A11" s="1">
        <v>4</v>
      </c>
      <c r="B11" t="s">
        <v>12</v>
      </c>
      <c r="C11" t="s">
        <v>4547</v>
      </c>
      <c r="K11" t="str">
        <f>IF(B145="Interest Income",U42, K42)</f>
        <v>No positive trends</v>
      </c>
    </row>
    <row r="12" spans="1:16" x14ac:dyDescent="0.3">
      <c r="A12" s="1">
        <v>5</v>
      </c>
      <c r="B12" t="s">
        <v>14</v>
      </c>
      <c r="C12" t="s">
        <v>4548</v>
      </c>
      <c r="D12" t="str">
        <f>LEFT(C12,FIND("-",C12)-2)</f>
        <v>45.48</v>
      </c>
      <c r="E12" t="str">
        <f>TRIM(RIGHT(C12,FIND("-",C12)-1))</f>
        <v>58.31</v>
      </c>
      <c r="K12" t="str">
        <f ca="1">D78</f>
        <v>Inconclusive</v>
      </c>
    </row>
    <row r="13" spans="1:16" x14ac:dyDescent="0.3">
      <c r="A13" s="1">
        <v>6</v>
      </c>
      <c r="B13" t="s">
        <v>16</v>
      </c>
      <c r="C13" t="s">
        <v>4549</v>
      </c>
      <c r="K13" t="str">
        <f ca="1">D89</f>
        <v>Inconclusive</v>
      </c>
    </row>
    <row r="14" spans="1:16" x14ac:dyDescent="0.3">
      <c r="A14" s="1">
        <v>7</v>
      </c>
      <c r="B14" t="s">
        <v>18</v>
      </c>
      <c r="C14" t="s">
        <v>4550</v>
      </c>
    </row>
    <row r="16" spans="1:16" x14ac:dyDescent="0.3">
      <c r="A16" s="1">
        <v>0</v>
      </c>
      <c r="B16" t="s">
        <v>20</v>
      </c>
      <c r="C16" t="s">
        <v>4551</v>
      </c>
    </row>
    <row r="17" spans="1:23" x14ac:dyDescent="0.3">
      <c r="A17" s="1">
        <v>1</v>
      </c>
      <c r="B17" t="s">
        <v>22</v>
      </c>
      <c r="K17" t="str">
        <f ca="1">K2 &amp; IF(J3=1, K3,IF(J3=2,L3,IF(J3=3,M3,IF(J3=4,N3,IF(J3=5,O3,IF(J3=6,P3)))))) &amp; ". " &amp; IF(J4=1,K4,IF(J4=2,L4)) &amp; ". " &amp; IF(J5=1,K5,IF(J5=2,L5)) &amp; K6 &amp; ". " &amp; K7 &amp; ". " &amp; K8 &amp; ". " &amp; K9 &amp; "."</f>
        <v>Domtar Corporation will report earnings on Oct 26, 2017. The stock is currently trading at $48.33, up 1.% after opening up slightly over yesterday's close. Domtar is expected to be trading at $40.67, based on target estimates which would be a 15.85% decrease from the current price. Earnings are expected to increase by 62.96% over last quarter based on the average of 8 analyst estimates (Yahoo Finance). The stock is trading in the low end of its 52-week range. Over the last 4 quarters, there have been positive earnings surprises 3 times, and a negative earnings surprise 1 time.</v>
      </c>
    </row>
    <row r="18" spans="1:23" x14ac:dyDescent="0.3">
      <c r="A18" s="1">
        <v>2</v>
      </c>
      <c r="B18" t="s">
        <v>24</v>
      </c>
      <c r="C18" t="s">
        <v>4552</v>
      </c>
    </row>
    <row r="19" spans="1:23" x14ac:dyDescent="0.3">
      <c r="A19" s="1">
        <v>3</v>
      </c>
      <c r="B19" t="s">
        <v>26</v>
      </c>
      <c r="C19" t="s">
        <v>4553</v>
      </c>
    </row>
    <row r="20" spans="1:23" x14ac:dyDescent="0.3">
      <c r="A20" s="1">
        <v>4</v>
      </c>
      <c r="B20" t="s">
        <v>28</v>
      </c>
      <c r="C20" t="s">
        <v>4554</v>
      </c>
    </row>
    <row r="21" spans="1:23" x14ac:dyDescent="0.3">
      <c r="A21" s="1">
        <v>5</v>
      </c>
      <c r="B21" t="s">
        <v>30</v>
      </c>
      <c r="C21" t="s">
        <v>3158</v>
      </c>
    </row>
    <row r="22" spans="1:23" x14ac:dyDescent="0.3">
      <c r="A22" s="1">
        <v>6</v>
      </c>
      <c r="B22" t="s">
        <v>32</v>
      </c>
      <c r="J22">
        <f>IF(K22 &lt;&gt; "",1, 0)</f>
        <v>0</v>
      </c>
      <c r="K22" t="str">
        <f>IF(I145="pos_trend","Revenue","")</f>
        <v/>
      </c>
      <c r="L22" t="str">
        <f t="shared" ref="L22:L38" si="0">IF(EXACT(K22,UPPER(K22)),K22,LOWER(K22))</f>
        <v/>
      </c>
      <c r="M22" t="str">
        <f>L22</f>
        <v/>
      </c>
      <c r="T22">
        <f>IF(U22 &lt;&gt; "",1, 0)</f>
        <v>0</v>
      </c>
      <c r="U22" t="str">
        <f>IF(AND(B145 = "Interest Income",I145="pos_trend"), "Interest Income","")</f>
        <v/>
      </c>
      <c r="V22" t="str">
        <f t="shared" ref="V22:V38" si="1">IF(EXACT(U22,UPPER(U22)),U22,LOWER(U22))</f>
        <v/>
      </c>
      <c r="W22" t="str">
        <f>V22</f>
        <v/>
      </c>
    </row>
    <row r="23" spans="1:23" x14ac:dyDescent="0.3">
      <c r="A23" s="1">
        <v>7</v>
      </c>
      <c r="B23" t="s">
        <v>34</v>
      </c>
      <c r="C23" t="s">
        <v>4555</v>
      </c>
      <c r="J23">
        <f>IF(K23 &lt;&gt; "",2, 0)</f>
        <v>0</v>
      </c>
      <c r="K23" t="str">
        <f>IF(I146="pos_trend",B146,"")</f>
        <v/>
      </c>
      <c r="L23" t="str">
        <f t="shared" si="0"/>
        <v/>
      </c>
      <c r="M23" t="str">
        <f t="shared" ref="M23:M39" si="2">IF(L23&lt;&gt;"", M22 &amp; ", " &amp; L23,M22)</f>
        <v/>
      </c>
      <c r="T23">
        <f>IF(U23 &lt;&gt; "",2, 0)</f>
        <v>0</v>
      </c>
      <c r="U23" t="str">
        <f>IF(I151="pos_trend",B151,"")</f>
        <v/>
      </c>
      <c r="V23" t="str">
        <f t="shared" si="1"/>
        <v/>
      </c>
      <c r="W23" t="str">
        <f t="shared" ref="W23:W39" si="3">IF(V23&lt;&gt;"", W22 &amp; ", " &amp; V23,W22)</f>
        <v/>
      </c>
    </row>
    <row r="24" spans="1:23" x14ac:dyDescent="0.3">
      <c r="J24">
        <f>IF(K24 &lt;&gt; "",3, 0)</f>
        <v>0</v>
      </c>
      <c r="K24" t="str">
        <f>IF(I153="pos_trend",B153,"")</f>
        <v/>
      </c>
      <c r="L24" t="str">
        <f t="shared" si="0"/>
        <v/>
      </c>
      <c r="M24" t="str">
        <f t="shared" si="2"/>
        <v/>
      </c>
      <c r="T24">
        <f>IF(U24 &lt;&gt; "",3, 0)</f>
        <v>0</v>
      </c>
      <c r="U24" t="str">
        <f>IF(I161="pos_trend",B161,"")</f>
        <v/>
      </c>
      <c r="V24" t="str">
        <f t="shared" si="1"/>
        <v/>
      </c>
      <c r="W24" t="str">
        <f t="shared" si="3"/>
        <v/>
      </c>
    </row>
    <row r="25" spans="1:23" x14ac:dyDescent="0.3">
      <c r="J25">
        <f>IF(K25 &lt;&gt; "",4, 0)</f>
        <v>0</v>
      </c>
      <c r="K25" t="str">
        <f>IF(I154="pos_trend",B154,"")</f>
        <v/>
      </c>
      <c r="L25" t="str">
        <f t="shared" si="0"/>
        <v/>
      </c>
      <c r="M25" t="str">
        <f t="shared" si="2"/>
        <v/>
      </c>
      <c r="T25">
        <f>IF(U25 &lt;&gt; "",4, 0)</f>
        <v>0</v>
      </c>
      <c r="U25" t="str">
        <f>IF(I162="pos_trend",B162,"")</f>
        <v/>
      </c>
      <c r="V25" t="str">
        <f t="shared" si="1"/>
        <v/>
      </c>
      <c r="W25" t="str">
        <f t="shared" si="3"/>
        <v/>
      </c>
    </row>
    <row r="26" spans="1:23" x14ac:dyDescent="0.3">
      <c r="B26" s="1" t="s">
        <v>36</v>
      </c>
      <c r="C26" s="1" t="s">
        <v>37</v>
      </c>
      <c r="D26" s="1" t="s">
        <v>38</v>
      </c>
      <c r="E26" s="1" t="s">
        <v>39</v>
      </c>
      <c r="F26" s="1" t="s">
        <v>40</v>
      </c>
      <c r="J26">
        <f>IF(K26 &lt;&gt; "",5, 0)</f>
        <v>0</v>
      </c>
      <c r="K26" t="str">
        <f>IF(I155="pos_trend",B155,"")</f>
        <v/>
      </c>
      <c r="L26" t="str">
        <f t="shared" si="0"/>
        <v/>
      </c>
      <c r="M26" t="str">
        <f t="shared" si="2"/>
        <v/>
      </c>
      <c r="T26">
        <f>IF(U26 &lt;&gt; "",5, 0)</f>
        <v>0</v>
      </c>
      <c r="U26" t="str">
        <f>IF(I167="pos_trend",B167,"")</f>
        <v/>
      </c>
      <c r="V26" t="str">
        <f t="shared" si="1"/>
        <v/>
      </c>
      <c r="W26" t="str">
        <f t="shared" si="3"/>
        <v/>
      </c>
    </row>
    <row r="27" spans="1:23" x14ac:dyDescent="0.3">
      <c r="A27" s="1">
        <v>0</v>
      </c>
      <c r="B27" t="s">
        <v>41</v>
      </c>
      <c r="C27">
        <v>8</v>
      </c>
      <c r="D27">
        <v>7</v>
      </c>
      <c r="E27">
        <v>8</v>
      </c>
      <c r="F27">
        <v>8</v>
      </c>
      <c r="J27">
        <f>IF(K27 &lt;&gt; "",6, 0)</f>
        <v>0</v>
      </c>
      <c r="K27" t="str">
        <f>IF(I172="pos_trend",B172,"")</f>
        <v/>
      </c>
      <c r="L27" t="str">
        <f t="shared" si="0"/>
        <v/>
      </c>
      <c r="M27" t="str">
        <f t="shared" si="2"/>
        <v/>
      </c>
      <c r="T27">
        <f>IF(U27 &lt;&gt; "",6, 0)</f>
        <v>0</v>
      </c>
      <c r="U27" t="str">
        <f>IF(I170="pos_trend",B170,"")</f>
        <v/>
      </c>
      <c r="V27" t="str">
        <f t="shared" si="1"/>
        <v/>
      </c>
      <c r="W27" t="str">
        <f t="shared" si="3"/>
        <v/>
      </c>
    </row>
    <row r="28" spans="1:23" x14ac:dyDescent="0.3">
      <c r="A28" s="1">
        <v>1</v>
      </c>
      <c r="B28" t="s">
        <v>42</v>
      </c>
      <c r="C28">
        <v>0.54</v>
      </c>
      <c r="D28">
        <v>0.88</v>
      </c>
      <c r="E28">
        <v>2.6</v>
      </c>
      <c r="F28">
        <v>2.97</v>
      </c>
      <c r="J28">
        <f>IF(K28 &lt;&gt; "",7, 0)</f>
        <v>0</v>
      </c>
      <c r="K28" t="str">
        <f>IF(I173="pos_trend",B173,"")</f>
        <v/>
      </c>
      <c r="L28" t="str">
        <f t="shared" si="0"/>
        <v/>
      </c>
      <c r="M28" t="str">
        <f t="shared" si="2"/>
        <v/>
      </c>
      <c r="T28">
        <f>IF(U28 &lt;&gt; "",7, 0)</f>
        <v>0</v>
      </c>
      <c r="U28" t="str">
        <f>IF(I171="pos_trend",B171,"")</f>
        <v/>
      </c>
      <c r="V28" t="str">
        <f t="shared" si="1"/>
        <v/>
      </c>
      <c r="W28" t="str">
        <f t="shared" si="3"/>
        <v/>
      </c>
    </row>
    <row r="29" spans="1:23" x14ac:dyDescent="0.3">
      <c r="A29" s="1">
        <v>2</v>
      </c>
      <c r="B29" t="s">
        <v>43</v>
      </c>
      <c r="C29">
        <v>0.4</v>
      </c>
      <c r="D29">
        <v>0.66</v>
      </c>
      <c r="E29">
        <v>2.0699999999999998</v>
      </c>
      <c r="F29">
        <v>1.95</v>
      </c>
      <c r="J29">
        <f>IF(K29 &lt;&gt; "",8, 0)</f>
        <v>0</v>
      </c>
      <c r="K29" t="str">
        <f>IF(I174="pos_trend",B174,"")</f>
        <v/>
      </c>
      <c r="L29" t="str">
        <f t="shared" si="0"/>
        <v/>
      </c>
      <c r="M29" t="str">
        <f t="shared" si="2"/>
        <v/>
      </c>
      <c r="T29">
        <f>IF(U29 &lt;&gt; "",8, 0)</f>
        <v>0</v>
      </c>
      <c r="U29" t="str">
        <f>IF(I172="pos_trend",B172,"")</f>
        <v/>
      </c>
      <c r="V29" t="str">
        <f t="shared" si="1"/>
        <v/>
      </c>
      <c r="W29" t="str">
        <f t="shared" si="3"/>
        <v/>
      </c>
    </row>
    <row r="30" spans="1:23" x14ac:dyDescent="0.3">
      <c r="A30" s="1">
        <v>3</v>
      </c>
      <c r="B30" t="s">
        <v>44</v>
      </c>
      <c r="C30">
        <v>0.73</v>
      </c>
      <c r="D30">
        <v>1.25</v>
      </c>
      <c r="E30">
        <v>3.5</v>
      </c>
      <c r="F30">
        <v>4.8</v>
      </c>
      <c r="J30">
        <f>IF(K30 &lt;&gt; "",9, 0)</f>
        <v>0</v>
      </c>
      <c r="K30" t="str">
        <f>IF(I185="pos_trend",B185,"")</f>
        <v/>
      </c>
      <c r="L30" t="str">
        <f t="shared" si="0"/>
        <v/>
      </c>
      <c r="M30" t="str">
        <f t="shared" si="2"/>
        <v/>
      </c>
      <c r="T30">
        <f>IF(U30 &lt;&gt; "",9, 0)</f>
        <v>0</v>
      </c>
      <c r="U30" t="str">
        <f>IF(I178="pos_trend",B178,"")</f>
        <v/>
      </c>
      <c r="V30" t="str">
        <f t="shared" si="1"/>
        <v/>
      </c>
      <c r="W30" t="str">
        <f t="shared" si="3"/>
        <v/>
      </c>
    </row>
    <row r="31" spans="1:23" x14ac:dyDescent="0.3">
      <c r="A31" s="1">
        <v>4</v>
      </c>
      <c r="B31" t="s">
        <v>45</v>
      </c>
      <c r="C31">
        <v>0.61</v>
      </c>
      <c r="D31">
        <v>1.1299999999999999</v>
      </c>
      <c r="E31">
        <v>2.84</v>
      </c>
      <c r="F31">
        <v>2.6</v>
      </c>
      <c r="J31">
        <f>IF(K31 &lt;&gt; "",10, 0)</f>
        <v>0</v>
      </c>
      <c r="K31" t="str">
        <f>IF(I186="pos_trend",B186,"")</f>
        <v/>
      </c>
      <c r="L31" t="str">
        <f t="shared" si="0"/>
        <v/>
      </c>
      <c r="M31" t="str">
        <f t="shared" si="2"/>
        <v/>
      </c>
      <c r="T31">
        <f>IF(U31 &lt;&gt; "",10, 0)</f>
        <v>0</v>
      </c>
      <c r="U31" t="str">
        <f>IF(I199="pos_trend",B199,"")</f>
        <v/>
      </c>
      <c r="V31" t="str">
        <f t="shared" si="1"/>
        <v/>
      </c>
      <c r="W31" t="str">
        <f t="shared" si="3"/>
        <v/>
      </c>
    </row>
    <row r="32" spans="1:23" x14ac:dyDescent="0.3">
      <c r="J32">
        <f>IF(K32 &lt;&gt; "",11, 0)</f>
        <v>0</v>
      </c>
      <c r="K32" t="str">
        <f>IF(I187="pos_trend",B187,"")</f>
        <v/>
      </c>
      <c r="L32" t="str">
        <f t="shared" si="0"/>
        <v/>
      </c>
      <c r="M32" t="str">
        <f t="shared" si="2"/>
        <v/>
      </c>
      <c r="T32">
        <f>IF(U32 &lt;&gt; "",11, 0)</f>
        <v>0</v>
      </c>
      <c r="U32" t="str">
        <f>IF(I209="pos_trend",B209,"")</f>
        <v/>
      </c>
      <c r="V32" t="str">
        <f t="shared" si="1"/>
        <v/>
      </c>
      <c r="W32" t="str">
        <f t="shared" si="3"/>
        <v/>
      </c>
    </row>
    <row r="33" spans="1:23" x14ac:dyDescent="0.3">
      <c r="B33" s="1" t="s">
        <v>46</v>
      </c>
      <c r="C33" s="1" t="s">
        <v>37</v>
      </c>
      <c r="D33" s="1" t="s">
        <v>38</v>
      </c>
      <c r="E33" s="1" t="s">
        <v>39</v>
      </c>
      <c r="F33" s="1" t="s">
        <v>40</v>
      </c>
      <c r="J33">
        <f>IF(K33 &lt;&gt; "",12, 0)</f>
        <v>0</v>
      </c>
      <c r="K33" t="str">
        <f>IF(I195="pos_trend",B195,"")</f>
        <v/>
      </c>
      <c r="L33" t="str">
        <f t="shared" si="0"/>
        <v/>
      </c>
      <c r="M33" t="str">
        <f t="shared" si="2"/>
        <v/>
      </c>
      <c r="T33">
        <f>IF(U33 &lt;&gt; "",12, 0)</f>
        <v>0</v>
      </c>
      <c r="U33" t="str">
        <f>IF(I231="pos_trend",B231,"")</f>
        <v/>
      </c>
      <c r="V33" t="str">
        <f t="shared" si="1"/>
        <v/>
      </c>
      <c r="W33" t="str">
        <f t="shared" si="3"/>
        <v/>
      </c>
    </row>
    <row r="34" spans="1:23" x14ac:dyDescent="0.3">
      <c r="A34" s="1">
        <v>0</v>
      </c>
      <c r="B34" t="s">
        <v>41</v>
      </c>
      <c r="C34" t="s">
        <v>1006</v>
      </c>
      <c r="D34" t="s">
        <v>1006</v>
      </c>
      <c r="E34" t="s">
        <v>48</v>
      </c>
      <c r="F34" t="s">
        <v>48</v>
      </c>
      <c r="J34">
        <f>IF(K34 &lt;&gt; "",13, 0)</f>
        <v>0</v>
      </c>
      <c r="K34" t="str">
        <f>IF(I196="pos_trend",B196,"")</f>
        <v/>
      </c>
      <c r="L34" t="str">
        <f t="shared" si="0"/>
        <v/>
      </c>
      <c r="M34" t="str">
        <f t="shared" si="2"/>
        <v/>
      </c>
      <c r="T34">
        <f>IF(U34 &lt;&gt; "",13, 0)</f>
        <v>0</v>
      </c>
      <c r="U34" t="str">
        <f>IF(I251="pos_trend",B251,"")</f>
        <v/>
      </c>
      <c r="V34" t="str">
        <f t="shared" si="1"/>
        <v/>
      </c>
      <c r="W34" t="str">
        <f t="shared" si="3"/>
        <v/>
      </c>
    </row>
    <row r="35" spans="1:23" x14ac:dyDescent="0.3">
      <c r="A35" s="1">
        <v>1</v>
      </c>
      <c r="B35" t="s">
        <v>42</v>
      </c>
      <c r="C35" t="s">
        <v>1376</v>
      </c>
      <c r="D35" t="s">
        <v>704</v>
      </c>
      <c r="E35" t="s">
        <v>4556</v>
      </c>
      <c r="F35" t="s">
        <v>4557</v>
      </c>
      <c r="J35">
        <f>IF(K35 &lt;&gt; "",14, 0)</f>
        <v>0</v>
      </c>
      <c r="K35" t="str">
        <f>IF(I201="pos_trend",B201,"")</f>
        <v/>
      </c>
      <c r="L35" t="str">
        <f t="shared" si="0"/>
        <v/>
      </c>
      <c r="M35" t="str">
        <f t="shared" si="2"/>
        <v/>
      </c>
      <c r="T35">
        <f>IF(U35 &lt;&gt; "",14, 0)</f>
        <v>0</v>
      </c>
      <c r="U35" t="str">
        <f>IF(I279="pos_trend",B279,"")</f>
        <v/>
      </c>
      <c r="V35" t="str">
        <f t="shared" si="1"/>
        <v/>
      </c>
      <c r="W35" t="str">
        <f t="shared" si="3"/>
        <v/>
      </c>
    </row>
    <row r="36" spans="1:23" x14ac:dyDescent="0.3">
      <c r="A36" s="1">
        <v>2</v>
      </c>
      <c r="B36" t="s">
        <v>43</v>
      </c>
      <c r="C36" t="s">
        <v>1375</v>
      </c>
      <c r="D36" t="s">
        <v>543</v>
      </c>
      <c r="E36" t="s">
        <v>4558</v>
      </c>
      <c r="F36" t="s">
        <v>4559</v>
      </c>
      <c r="J36">
        <f>IF(K36 &lt;&gt; "",15, 0)</f>
        <v>0</v>
      </c>
      <c r="K36" t="str">
        <f>IF(I202="pos_trend",B202,"")</f>
        <v/>
      </c>
      <c r="L36" t="str">
        <f t="shared" si="0"/>
        <v/>
      </c>
      <c r="M36" t="str">
        <f t="shared" si="2"/>
        <v/>
      </c>
      <c r="T36">
        <f>IF(U36 &lt;&gt; "",15, 0)</f>
        <v>0</v>
      </c>
      <c r="U36" t="str">
        <f>IF(I336="pos_trend",B336,"")</f>
        <v/>
      </c>
      <c r="V36" t="str">
        <f t="shared" si="1"/>
        <v/>
      </c>
      <c r="W36" t="str">
        <f t="shared" si="3"/>
        <v/>
      </c>
    </row>
    <row r="37" spans="1:23" x14ac:dyDescent="0.3">
      <c r="A37" s="1">
        <v>3</v>
      </c>
      <c r="B37" t="s">
        <v>44</v>
      </c>
      <c r="C37" t="s">
        <v>545</v>
      </c>
      <c r="D37" t="s">
        <v>4560</v>
      </c>
      <c r="E37" t="s">
        <v>4561</v>
      </c>
      <c r="F37" t="s">
        <v>4562</v>
      </c>
      <c r="J37">
        <f>IF(K37 &lt;&gt; "",16, 0)</f>
        <v>0</v>
      </c>
      <c r="K37" t="str">
        <f>IF(I203="pos_trend",B203,"")</f>
        <v/>
      </c>
      <c r="L37" t="str">
        <f t="shared" si="0"/>
        <v/>
      </c>
      <c r="M37" t="str">
        <f t="shared" si="2"/>
        <v/>
      </c>
      <c r="T37">
        <f>IF(U37 &lt;&gt; "",16, 0)</f>
        <v>0</v>
      </c>
      <c r="U37" t="str">
        <f>IF(I235="pos_trend",B235,"")</f>
        <v/>
      </c>
      <c r="V37" t="str">
        <f t="shared" si="1"/>
        <v/>
      </c>
      <c r="W37" t="str">
        <f t="shared" si="3"/>
        <v/>
      </c>
    </row>
    <row r="38" spans="1:23" x14ac:dyDescent="0.3">
      <c r="A38" s="1">
        <v>4</v>
      </c>
      <c r="B38" t="s">
        <v>61</v>
      </c>
      <c r="C38" t="s">
        <v>722</v>
      </c>
      <c r="D38" t="s">
        <v>722</v>
      </c>
      <c r="E38" t="s">
        <v>4563</v>
      </c>
      <c r="F38" t="s">
        <v>4556</v>
      </c>
      <c r="J38">
        <f>IF(K38 &lt;&gt; "",17, 0)</f>
        <v>0</v>
      </c>
      <c r="K38" t="str">
        <f>IF(I351="pos_trend",B351,"")</f>
        <v/>
      </c>
      <c r="L38" t="str">
        <f t="shared" si="0"/>
        <v/>
      </c>
      <c r="M38" t="str">
        <f t="shared" si="2"/>
        <v/>
      </c>
      <c r="T38">
        <f>IF(U38 &lt;&gt; "",17, 0)</f>
        <v>0</v>
      </c>
      <c r="U38" t="str">
        <f>IF(I236="pos_trend",B236,"")</f>
        <v/>
      </c>
      <c r="V38" t="str">
        <f t="shared" si="1"/>
        <v/>
      </c>
      <c r="W38" t="str">
        <f t="shared" si="3"/>
        <v/>
      </c>
    </row>
    <row r="39" spans="1:23" x14ac:dyDescent="0.3">
      <c r="A39" s="1">
        <v>5</v>
      </c>
      <c r="B39" t="s">
        <v>65</v>
      </c>
      <c r="C39" t="s">
        <v>1723</v>
      </c>
      <c r="D39" t="s">
        <v>1716</v>
      </c>
      <c r="E39" t="s">
        <v>3406</v>
      </c>
      <c r="F39" t="s">
        <v>2535</v>
      </c>
      <c r="K39" t="str">
        <f>IF(I352="pos_trend",B352,"")</f>
        <v/>
      </c>
      <c r="M39" t="str">
        <f t="shared" si="2"/>
        <v/>
      </c>
      <c r="W39" t="str">
        <f t="shared" si="3"/>
        <v/>
      </c>
    </row>
    <row r="40" spans="1:23" x14ac:dyDescent="0.3">
      <c r="J40">
        <f>MAX(J22:J39)</f>
        <v>0</v>
      </c>
      <c r="K40" t="str">
        <f>VLOOKUP(J40,J22:K39,2,FALSE)</f>
        <v/>
      </c>
      <c r="M40" t="str">
        <f>IF(IFERROR(FIND(",",M39),TRUE)=TRUE,M39,IF(NOT(EXACT(K40,UPPER(K40))),SUBSTITUTE(M39,LOWER(K40),"and "&amp;LOWER(K40)),SUBSTITUTE(M39,K40,"and "&amp;K40)))</f>
        <v/>
      </c>
      <c r="T40">
        <f>MAX(T22:T39)</f>
        <v>0</v>
      </c>
      <c r="U40" t="str">
        <f>VLOOKUP(T40,T22:U39,2,FALSE)</f>
        <v/>
      </c>
      <c r="W40" t="str">
        <f>IF(IFERROR(FIND(",",W39),TRUE)=TRUE,W39,IF(NOT(EXACT(U40,UPPER(U40))),SUBSTITUTE(W39,LOWER(U40),"and "&amp;LOWER(U40)),SUBSTITUTE(W39,U40,"and "&amp;U40)))</f>
        <v/>
      </c>
    </row>
    <row r="41" spans="1:23" x14ac:dyDescent="0.3">
      <c r="B41" s="1" t="s">
        <v>70</v>
      </c>
      <c r="C41" s="1" t="s">
        <v>71</v>
      </c>
      <c r="D41" s="1" t="s">
        <v>72</v>
      </c>
      <c r="E41" s="1" t="s">
        <v>73</v>
      </c>
      <c r="F41" s="1" t="s">
        <v>74</v>
      </c>
    </row>
    <row r="42" spans="1:23" x14ac:dyDescent="0.3">
      <c r="A42" s="1">
        <v>0</v>
      </c>
      <c r="B42" t="s">
        <v>75</v>
      </c>
      <c r="C42" t="s">
        <v>4564</v>
      </c>
      <c r="D42" t="s">
        <v>4565</v>
      </c>
      <c r="E42" t="s">
        <v>4566</v>
      </c>
      <c r="F42" t="s">
        <v>4491</v>
      </c>
      <c r="K42" t="str">
        <f>SUBSTITUTE(IF(M40&lt;&gt;"", D1 &amp; " has managed to increase " &amp; M40 &amp; " each year since " &amp; C144, "No positive trends")," , "," ")</f>
        <v>No positive trends</v>
      </c>
      <c r="U42" t="str">
        <f>SUBSTITUTE(IF(W40&lt;&gt;"", D1 &amp; " has managed to increase " &amp; W40 &amp; " each year since " &amp; C144, "No positive trends")," , "," ")</f>
        <v>No positive trends</v>
      </c>
    </row>
    <row r="43" spans="1:23" x14ac:dyDescent="0.3">
      <c r="A43" s="1">
        <v>1</v>
      </c>
      <c r="B43" t="s">
        <v>80</v>
      </c>
      <c r="C43" t="s">
        <v>1717</v>
      </c>
      <c r="D43" t="s">
        <v>4567</v>
      </c>
      <c r="E43" t="s">
        <v>4568</v>
      </c>
      <c r="F43" t="s">
        <v>1080</v>
      </c>
    </row>
    <row r="44" spans="1:23" x14ac:dyDescent="0.3">
      <c r="A44" s="1">
        <v>2</v>
      </c>
      <c r="B44" t="s">
        <v>84</v>
      </c>
      <c r="C44" t="s">
        <v>1024</v>
      </c>
      <c r="D44" t="s">
        <v>4569</v>
      </c>
      <c r="E44" t="s">
        <v>4570</v>
      </c>
      <c r="F44" t="s">
        <v>2575</v>
      </c>
    </row>
    <row r="45" spans="1:23" x14ac:dyDescent="0.3">
      <c r="A45" s="1">
        <v>3</v>
      </c>
      <c r="B45" t="s">
        <v>89</v>
      </c>
      <c r="C45" t="s">
        <v>4571</v>
      </c>
      <c r="D45" t="s">
        <v>4572</v>
      </c>
      <c r="E45" t="s">
        <v>4573</v>
      </c>
      <c r="F45" t="s">
        <v>4574</v>
      </c>
    </row>
    <row r="47" spans="1:23" x14ac:dyDescent="0.3">
      <c r="B47" s="1" t="s">
        <v>94</v>
      </c>
      <c r="C47" s="1" t="s">
        <v>37</v>
      </c>
      <c r="D47" s="1" t="s">
        <v>38</v>
      </c>
      <c r="E47" s="1" t="s">
        <v>39</v>
      </c>
      <c r="F47" s="1" t="s">
        <v>40</v>
      </c>
    </row>
    <row r="48" spans="1:23" x14ac:dyDescent="0.3">
      <c r="A48" s="1">
        <v>0</v>
      </c>
      <c r="B48" t="s">
        <v>95</v>
      </c>
      <c r="C48">
        <v>0.54</v>
      </c>
      <c r="D48">
        <v>0.88</v>
      </c>
      <c r="E48">
        <v>2.6</v>
      </c>
      <c r="F48">
        <v>2.97</v>
      </c>
    </row>
    <row r="49" spans="1:14" x14ac:dyDescent="0.3">
      <c r="A49" s="1">
        <v>1</v>
      </c>
      <c r="B49" t="s">
        <v>96</v>
      </c>
      <c r="C49">
        <v>0.54</v>
      </c>
      <c r="D49">
        <v>0.88</v>
      </c>
      <c r="E49">
        <v>2.65</v>
      </c>
      <c r="F49">
        <v>2.93</v>
      </c>
    </row>
    <row r="50" spans="1:14" x14ac:dyDescent="0.3">
      <c r="A50" s="1">
        <v>2</v>
      </c>
      <c r="B50" t="s">
        <v>97</v>
      </c>
      <c r="C50">
        <v>0.55000000000000004</v>
      </c>
      <c r="D50">
        <v>0.94</v>
      </c>
      <c r="E50">
        <v>2.76</v>
      </c>
      <c r="F50">
        <v>3.06</v>
      </c>
    </row>
    <row r="51" spans="1:14" x14ac:dyDescent="0.3">
      <c r="A51" s="1">
        <v>3</v>
      </c>
      <c r="B51" t="s">
        <v>98</v>
      </c>
      <c r="C51">
        <v>0.55000000000000004</v>
      </c>
      <c r="D51">
        <v>0.94</v>
      </c>
      <c r="E51">
        <v>2.76</v>
      </c>
      <c r="F51">
        <v>3.06</v>
      </c>
    </row>
    <row r="52" spans="1:14" x14ac:dyDescent="0.3">
      <c r="A52" s="1">
        <v>4</v>
      </c>
      <c r="B52" t="s">
        <v>99</v>
      </c>
      <c r="C52">
        <v>0.57999999999999996</v>
      </c>
      <c r="D52">
        <v>0.91</v>
      </c>
      <c r="E52">
        <v>2.67</v>
      </c>
      <c r="F52">
        <v>3.08</v>
      </c>
    </row>
    <row r="54" spans="1:14" x14ac:dyDescent="0.3">
      <c r="B54" s="1" t="s">
        <v>100</v>
      </c>
      <c r="C54" s="1" t="s">
        <v>37</v>
      </c>
      <c r="D54" s="1" t="s">
        <v>38</v>
      </c>
      <c r="E54" s="1" t="s">
        <v>39</v>
      </c>
      <c r="F54" s="1" t="s">
        <v>40</v>
      </c>
    </row>
    <row r="55" spans="1:14" x14ac:dyDescent="0.3">
      <c r="A55" s="1">
        <v>0</v>
      </c>
      <c r="B55" t="s">
        <v>101</v>
      </c>
      <c r="D55">
        <v>2</v>
      </c>
      <c r="F55">
        <v>1</v>
      </c>
    </row>
    <row r="56" spans="1:14" x14ac:dyDescent="0.3">
      <c r="A56" s="1">
        <v>1</v>
      </c>
      <c r="B56" t="s">
        <v>102</v>
      </c>
      <c r="C56">
        <v>1</v>
      </c>
      <c r="D56">
        <v>2</v>
      </c>
      <c r="E56">
        <v>2</v>
      </c>
      <c r="F56">
        <v>2</v>
      </c>
    </row>
    <row r="57" spans="1:14" x14ac:dyDescent="0.3">
      <c r="A57" s="1">
        <v>2</v>
      </c>
      <c r="B57" t="s">
        <v>103</v>
      </c>
      <c r="D57">
        <v>1</v>
      </c>
      <c r="E57">
        <v>1</v>
      </c>
    </row>
    <row r="58" spans="1:14" x14ac:dyDescent="0.3">
      <c r="A58" s="1">
        <v>3</v>
      </c>
      <c r="B58" t="s">
        <v>104</v>
      </c>
    </row>
    <row r="60" spans="1:14" x14ac:dyDescent="0.3">
      <c r="B60" s="1" t="s">
        <v>105</v>
      </c>
      <c r="C60" s="1" t="s">
        <v>4575</v>
      </c>
      <c r="D60" s="1" t="s">
        <v>107</v>
      </c>
      <c r="E60" s="1" t="s">
        <v>108</v>
      </c>
      <c r="F60" s="1" t="s">
        <v>109</v>
      </c>
      <c r="I60" t="str">
        <f t="shared" ref="I60:I91" si="4">IF(AND(K60&gt; J60, L60&gt; K60, M60&gt; L60, N60&gt; M60), "pos_trend", IF(AND(K60&lt; J60, L60&lt; K60, M60&lt; L60, N60&lt; M60), "neg_trend", "N/A"))</f>
        <v>N/A</v>
      </c>
      <c r="J60" t="str">
        <f t="shared" ref="J60:J91" si="5">IFERROR(IF(TRIM(C60)="-", "N/A", IF(RIGHT(C60,1)=")",IF(RIGHT(C60,2)="T)",-1000000000000*VALUE(MID(C60,2,LEN(C60)-3)),IF(RIGHT(C60,2)="M)",-1000000*VALUE(MID(C60,2,LEN(C60)-3)),IF(RIGHT(C60,2)="B)",-1000000000*VALUE(MID(C60,2,LEN(C60)-3)),IF(RIGHT(C60,2)="k)",-1000*VALUE(MID(C60,2,LEN(C60)-3)),VALUE(SUBSTITUTE(C60,",","")))))),IF(RIGHT(C60,1)="T",1000000000000*VALUE(LEFT(C60,LEN(C60)-1)),IF(RIGHT(C60,1)="M",1000000*VALUE(LEFT(C60,LEN(C60)-1)),IF(RIGHT(C60,1)="B",1000000000*VALUE(LEFT(C60,LEN(C60)-1)),IF(RIGHT(C60,1)="%",0.01*VALUE(LEFT(C60,LEN(C60)-1)),IF(RIGHT(C60,1)="k",1000*VALUE(LEFT(C60,LEN(C60)-1)),VALUE(SUBSTITUTE(C60,",",""))))))))),"N/A")</f>
        <v>N/A</v>
      </c>
      <c r="K60" t="str">
        <f t="shared" ref="K60:K91" si="6">IFERROR(IF(TRIM(D60)="-", "N/A", IF(RIGHT(D60,1)=")",IF(RIGHT(D60,2)="T)",-1000000000000*VALUE(MID(D60,2,LEN(D60)-3)),IF(RIGHT(D60,2)="M)",-1000000*VALUE(MID(D60,2,LEN(D60)-3)),IF(RIGHT(D60,2)="B)",-1000000000*VALUE(MID(D60,2,LEN(D60)-3)),IF(RIGHT(D60,2)="k)",-1000*VALUE(MID(D60,2,LEN(D60)-3)),VALUE(SUBSTITUTE(D60,",","")))))),IF(RIGHT(D60,1)="T",1000000000000*VALUE(LEFT(D60,LEN(D60)-1)),IF(RIGHT(D60,1)="M",1000000*VALUE(LEFT(D60,LEN(D60)-1)),IF(RIGHT(D60,1)="B",1000000000*VALUE(LEFT(D60,LEN(D60)-1)),IF(RIGHT(D60,1)="%",0.01*VALUE(LEFT(D60,LEN(D60)-1)),IF(RIGHT(D60,1)="k",1000*VALUE(LEFT(D60,LEN(D60)-1)),VALUE(SUBSTITUTE(D60,",",""))))))))),"N/A")</f>
        <v>N/A</v>
      </c>
      <c r="L60" t="str">
        <f t="shared" ref="L60:L91" si="7">IFERROR(IF(TRIM(E60)="-", "N/A", IF(RIGHT(E60,1)=")",IF(RIGHT(E60,2)="T)",-1000000000000*VALUE(MID(E60,2,LEN(E60)-3)),IF(RIGHT(E60,2)="M)",-1000000*VALUE(MID(E60,2,LEN(E60)-3)),IF(RIGHT(E60,2)="B)",-1000000000*VALUE(MID(E60,2,LEN(E60)-3)),IF(RIGHT(E60,2)="k)",-1000*VALUE(MID(E60,2,LEN(E60)-3)),VALUE(SUBSTITUTE(E60,",","")))))),IF(RIGHT(E60,1)="T",1000000000000*VALUE(LEFT(E60,LEN(E60)-1)),IF(RIGHT(E60,1)="M",1000000*VALUE(LEFT(E60,LEN(E60)-1)),IF(RIGHT(E60,1)="B",1000000000*VALUE(LEFT(E60,LEN(E60)-1)),IF(RIGHT(E60,1)="%",0.01*VALUE(LEFT(E60,LEN(E60)-1)),IF(RIGHT(E60,1)="k",1000*VALUE(LEFT(E60,LEN(E60)-1)),VALUE(SUBSTITUTE(E60,",",""))))))))),"N/A")</f>
        <v>N/A</v>
      </c>
      <c r="M60" t="str">
        <f t="shared" ref="M60:M91" si="8">IFERROR(IF(TRIM(F60)="-", "N/A", IF(RIGHT(F60,1)=")",IF(RIGHT(F60,2)="T)",-1000000000000*VALUE(MID(F60,2,LEN(F60)-3)),IF(RIGHT(F60,2)="M)",-1000000*VALUE(MID(F60,2,LEN(F60)-3)),IF(RIGHT(F60,2)="B)",-1000000000*VALUE(MID(F60,2,LEN(F60)-3)),IF(RIGHT(F60,2)="k)",-1000*VALUE(MID(F60,2,LEN(F60)-3)),VALUE(SUBSTITUTE(F60,",","")))))),IF(RIGHT(F60,1)="T",1000000000000*VALUE(LEFT(F60,LEN(F60)-1)),IF(RIGHT(F60,1)="M",1000000*VALUE(LEFT(F60,LEN(F60)-1)),IF(RIGHT(F60,1)="B",1000000000*VALUE(LEFT(F60,LEN(F60)-1)),IF(RIGHT(F60,1)="%",0.01*VALUE(LEFT(F60,LEN(F60)-1)),IF(RIGHT(F60,1)="k",1000*VALUE(LEFT(F60,LEN(F60)-1)),VALUE(SUBSTITUTE(F60,",",""))))))))),"N/A")</f>
        <v>N/A</v>
      </c>
      <c r="N60" t="str">
        <f t="shared" ref="N60:N91" si="9">IFERROR(IF(TRIM(G60)="-", "N/A", IF(RIGHT(G60,1)=")",IF(RIGHT(G60,2)="T)",-1000000000000*VALUE(MID(G60,2,LEN(G60)-3)),IF(RIGHT(G60,2)="M)",-1000000*VALUE(MID(G60,2,LEN(G60)-3)),IF(RIGHT(G60,2)="B)",-1000000000*VALUE(MID(G60,2,LEN(G60)-3)),IF(RIGHT(G60,2)="k)",-1000*VALUE(MID(G60,2,LEN(G60)-3)),VALUE(SUBSTITUTE(G60,",","")))))),IF(RIGHT(G60,1)="T",1000000000000*VALUE(LEFT(G60,LEN(G60)-1)),IF(RIGHT(G60,1)="M",1000000*VALUE(LEFT(G60,LEN(G60)-1)),IF(RIGHT(G60,1)="B",1000000000*VALUE(LEFT(G60,LEN(G60)-1)),IF(RIGHT(G60,1)="%",0.01*VALUE(LEFT(G60,LEN(G60)-1)),IF(RIGHT(G60,1)="k",1000*VALUE(LEFT(G60,LEN(G60)-1)),VALUE(SUBSTITUTE(G60,",",""))))))))),"N/A")</f>
        <v>N/A</v>
      </c>
    </row>
    <row r="61" spans="1:14" x14ac:dyDescent="0.3">
      <c r="A61" s="1">
        <v>0</v>
      </c>
      <c r="B61" t="s">
        <v>110</v>
      </c>
      <c r="C61" t="s">
        <v>4576</v>
      </c>
      <c r="F61">
        <v>0.18</v>
      </c>
      <c r="I61" t="str">
        <f t="shared" si="4"/>
        <v>N/A</v>
      </c>
      <c r="J61">
        <f t="shared" si="5"/>
        <v>-0.115</v>
      </c>
      <c r="K61" t="str">
        <f t="shared" si="6"/>
        <v>N/A</v>
      </c>
      <c r="L61" t="str">
        <f t="shared" si="7"/>
        <v>N/A</v>
      </c>
      <c r="M61">
        <f t="shared" si="8"/>
        <v>0.18</v>
      </c>
      <c r="N61" t="str">
        <f t="shared" si="9"/>
        <v>N/A</v>
      </c>
    </row>
    <row r="62" spans="1:14" x14ac:dyDescent="0.3">
      <c r="A62" s="1">
        <v>1</v>
      </c>
      <c r="B62" t="s">
        <v>112</v>
      </c>
      <c r="C62" t="s">
        <v>4577</v>
      </c>
      <c r="F62">
        <v>0.24</v>
      </c>
      <c r="I62" t="str">
        <f t="shared" si="4"/>
        <v>N/A</v>
      </c>
      <c r="J62">
        <f t="shared" si="5"/>
        <v>-0.22100000000000003</v>
      </c>
      <c r="K62" t="str">
        <f t="shared" si="6"/>
        <v>N/A</v>
      </c>
      <c r="L62" t="str">
        <f t="shared" si="7"/>
        <v>N/A</v>
      </c>
      <c r="M62">
        <f t="shared" si="8"/>
        <v>0.24</v>
      </c>
      <c r="N62" t="str">
        <f t="shared" si="9"/>
        <v>N/A</v>
      </c>
    </row>
    <row r="63" spans="1:14" x14ac:dyDescent="0.3">
      <c r="A63" s="1">
        <v>2</v>
      </c>
      <c r="B63" t="s">
        <v>114</v>
      </c>
      <c r="C63" t="s">
        <v>4578</v>
      </c>
      <c r="F63">
        <v>0.08</v>
      </c>
      <c r="I63" t="str">
        <f t="shared" si="4"/>
        <v>N/A</v>
      </c>
      <c r="J63">
        <f t="shared" si="5"/>
        <v>-8.5000000000000006E-2</v>
      </c>
      <c r="K63" t="str">
        <f t="shared" si="6"/>
        <v>N/A</v>
      </c>
      <c r="L63" t="str">
        <f t="shared" si="7"/>
        <v>N/A</v>
      </c>
      <c r="M63">
        <f t="shared" si="8"/>
        <v>0.08</v>
      </c>
      <c r="N63" t="str">
        <f t="shared" si="9"/>
        <v>N/A</v>
      </c>
    </row>
    <row r="64" spans="1:14" x14ac:dyDescent="0.3">
      <c r="A64" s="1">
        <v>3</v>
      </c>
      <c r="B64" t="s">
        <v>116</v>
      </c>
      <c r="C64" t="s">
        <v>4579</v>
      </c>
      <c r="F64">
        <v>0.12</v>
      </c>
      <c r="I64" t="str">
        <f t="shared" si="4"/>
        <v>N/A</v>
      </c>
      <c r="J64">
        <f t="shared" si="5"/>
        <v>0.14199999999999999</v>
      </c>
      <c r="K64" t="str">
        <f t="shared" si="6"/>
        <v>N/A</v>
      </c>
      <c r="L64" t="str">
        <f t="shared" si="7"/>
        <v>N/A</v>
      </c>
      <c r="M64">
        <f t="shared" si="8"/>
        <v>0.12</v>
      </c>
      <c r="N64" t="str">
        <f t="shared" si="9"/>
        <v>N/A</v>
      </c>
    </row>
    <row r="65" spans="1:14" x14ac:dyDescent="0.3">
      <c r="A65" s="1">
        <v>4</v>
      </c>
      <c r="B65" t="s">
        <v>118</v>
      </c>
      <c r="C65" t="s">
        <v>4580</v>
      </c>
      <c r="F65">
        <v>0.1</v>
      </c>
      <c r="I65" t="str">
        <f t="shared" si="4"/>
        <v>N/A</v>
      </c>
      <c r="J65">
        <f t="shared" si="5"/>
        <v>0.03</v>
      </c>
      <c r="K65" t="str">
        <f t="shared" si="6"/>
        <v>N/A</v>
      </c>
      <c r="L65" t="str">
        <f t="shared" si="7"/>
        <v>N/A</v>
      </c>
      <c r="M65">
        <f t="shared" si="8"/>
        <v>0.1</v>
      </c>
      <c r="N65" t="str">
        <f t="shared" si="9"/>
        <v>N/A</v>
      </c>
    </row>
    <row r="66" spans="1:14" x14ac:dyDescent="0.3">
      <c r="A66" s="1">
        <v>5</v>
      </c>
      <c r="B66" t="s">
        <v>120</v>
      </c>
      <c r="C66" t="s">
        <v>4581</v>
      </c>
      <c r="I66" t="str">
        <f t="shared" si="4"/>
        <v>N/A</v>
      </c>
      <c r="J66">
        <f t="shared" si="5"/>
        <v>-1.2700000000000001E-2</v>
      </c>
      <c r="K66" t="str">
        <f t="shared" si="6"/>
        <v>N/A</v>
      </c>
      <c r="L66" t="str">
        <f t="shared" si="7"/>
        <v>N/A</v>
      </c>
      <c r="M66" t="str">
        <f t="shared" si="8"/>
        <v>N/A</v>
      </c>
      <c r="N66" t="str">
        <f t="shared" si="9"/>
        <v>N/A</v>
      </c>
    </row>
    <row r="67" spans="1:14" x14ac:dyDescent="0.3">
      <c r="D67" t="s">
        <v>122</v>
      </c>
      <c r="E67" t="str">
        <f>C1</f>
        <v>Domtar Corporation (UFS.TO)</v>
      </c>
      <c r="I67" t="str">
        <f t="shared" si="4"/>
        <v>N/A</v>
      </c>
      <c r="J67" t="str">
        <f t="shared" si="5"/>
        <v>N/A</v>
      </c>
      <c r="K67" t="str">
        <f t="shared" si="6"/>
        <v>N/A</v>
      </c>
      <c r="L67" t="str">
        <f t="shared" si="7"/>
        <v>N/A</v>
      </c>
      <c r="M67" t="str">
        <f t="shared" si="8"/>
        <v>N/A</v>
      </c>
      <c r="N67" t="str">
        <f t="shared" si="9"/>
        <v>N/A</v>
      </c>
    </row>
    <row r="68" spans="1:14" x14ac:dyDescent="0.3">
      <c r="A68" s="1">
        <v>0</v>
      </c>
      <c r="B68" t="s">
        <v>123</v>
      </c>
      <c r="C68" t="s">
        <v>4551</v>
      </c>
      <c r="D68" t="str">
        <f ca="1">IFERROR(AVERAGE(VALUE(INDIRECT("J"&amp;(MATCH(B68,B69:B500,0)+68))),VALUE(INDIRECT("J"&amp;(MATCH(B68,B69:B500,0)+79))),VALUE(INDIRECT("J"&amp;(MATCH(B68,B69:B500,0)+90))),VALUE(INDIRECT("J"&amp;(MATCH(B68,B69:B500,0)+101)))),"")</f>
        <v/>
      </c>
      <c r="E68" t="str">
        <f t="shared" ref="E68:E76" ca="1" si="10">IFERROR(IF(AND(C68&lt;&gt;"",D68&lt;&gt;0),IF(VALUE(J68)&gt;VALUE(K68),"above average","below average"),"no data"),"no data")</f>
        <v>no data</v>
      </c>
      <c r="I68" t="str">
        <f t="shared" ca="1" si="4"/>
        <v>N/A</v>
      </c>
      <c r="J68">
        <f t="shared" si="5"/>
        <v>3310000000</v>
      </c>
      <c r="K68" t="str">
        <f t="shared" ca="1" si="6"/>
        <v>N/A</v>
      </c>
      <c r="L68" t="str">
        <f t="shared" ca="1" si="7"/>
        <v>N/A</v>
      </c>
      <c r="M68" t="str">
        <f t="shared" si="8"/>
        <v>N/A</v>
      </c>
      <c r="N68" t="str">
        <f t="shared" si="9"/>
        <v>N/A</v>
      </c>
    </row>
    <row r="69" spans="1:14" x14ac:dyDescent="0.3">
      <c r="A69" s="1">
        <v>1</v>
      </c>
      <c r="B69" t="s">
        <v>124</v>
      </c>
      <c r="D69" t="str">
        <f ca="1">IFERROR(AVERAGE(VALUE(INDIRECT("J"&amp;(MATCH(B69,B70:B501,0)+69))),VALUE(INDIRECT("J"&amp;(MATCH(B69,B70:B501,0)+80))),VALUE(INDIRECT("J"&amp;(MATCH(B69,B70:B501,0)+91))),VALUE(INDIRECT("J"&amp;(MATCH(B69,B70:B501,0)+102)))),"")</f>
        <v/>
      </c>
      <c r="E69" t="str">
        <f t="shared" ca="1" si="10"/>
        <v>no data</v>
      </c>
      <c r="I69" t="str">
        <f t="shared" ca="1" si="4"/>
        <v>N/A</v>
      </c>
      <c r="J69" t="str">
        <f t="shared" si="5"/>
        <v>N/A</v>
      </c>
      <c r="K69" t="str">
        <f t="shared" ca="1" si="6"/>
        <v>N/A</v>
      </c>
      <c r="L69" t="str">
        <f t="shared" ca="1" si="7"/>
        <v>N/A</v>
      </c>
      <c r="M69" t="str">
        <f t="shared" si="8"/>
        <v>N/A</v>
      </c>
      <c r="N69" t="str">
        <f t="shared" si="9"/>
        <v>N/A</v>
      </c>
    </row>
    <row r="70" spans="1:14" x14ac:dyDescent="0.3">
      <c r="A70" s="1">
        <v>2</v>
      </c>
      <c r="B70" t="s">
        <v>125</v>
      </c>
      <c r="C70" t="s">
        <v>4552</v>
      </c>
      <c r="D70" t="str">
        <f ca="1">IFERROR(AVERAGE(VALUE(INDIRECT("J"&amp;(MATCH(B70,B71:B502,0)+70))),VALUE(INDIRECT("J"&amp;(MATCH(B70,B71:B502,0)+81))),VALUE(INDIRECT("J"&amp;(MATCH(B70,B71:B502,0)+92))),VALUE(INDIRECT("J"&amp;(MATCH(B70,B71:B502,0)+103)))),"")</f>
        <v/>
      </c>
      <c r="E70" t="str">
        <f t="shared" ca="1" si="10"/>
        <v>no data</v>
      </c>
      <c r="F70" t="str">
        <f t="shared" ref="F70:F76" ca="1" si="11">IF(E70="above average",LOWER(TRIM(IF(ISNUMBER(VALUE(RIGHT(B70,1))),REPLACE(B70,LEN(B70),1,""),B70))),"")</f>
        <v/>
      </c>
      <c r="G70" t="str">
        <f ca="1">IFERROR(LEFT(F70,FIND("(",F70) - 2),F70)</f>
        <v/>
      </c>
      <c r="I70" t="str">
        <f t="shared" ca="1" si="4"/>
        <v>N/A</v>
      </c>
      <c r="J70">
        <f t="shared" si="5"/>
        <v>21.01</v>
      </c>
      <c r="K70" t="str">
        <f t="shared" ca="1" si="6"/>
        <v>N/A</v>
      </c>
      <c r="L70" t="str">
        <f t="shared" ca="1" si="7"/>
        <v>N/A</v>
      </c>
      <c r="M70" t="str">
        <f t="shared" ca="1" si="8"/>
        <v>N/A</v>
      </c>
      <c r="N70" t="str">
        <f t="shared" ca="1" si="9"/>
        <v>N/A</v>
      </c>
    </row>
    <row r="71" spans="1:14" x14ac:dyDescent="0.3">
      <c r="A71" s="1">
        <v>3</v>
      </c>
      <c r="B71" t="s">
        <v>126</v>
      </c>
      <c r="C71" t="s">
        <v>4582</v>
      </c>
      <c r="D71" t="str">
        <f ca="1">IFERROR(AVERAGE(VALUE(INDIRECT("J"&amp;(MATCH(B71,B72:B503,0)+71))),VALUE(INDIRECT("J"&amp;(MATCH(B71,B72:B503,0)+82))),VALUE(INDIRECT("J"&amp;(MATCH(B71,B72:B503,0)+93))),VALUE(INDIRECT("J"&amp;(MATCH(B71,B72:B503,0)+104)))),"")</f>
        <v/>
      </c>
      <c r="E71" t="str">
        <f t="shared" ca="1" si="10"/>
        <v>no data</v>
      </c>
      <c r="F71" t="str">
        <f t="shared" ca="1" si="11"/>
        <v/>
      </c>
      <c r="G71" t="str">
        <f t="shared" ref="G71:G76" ca="1" si="12">IF(F71&lt;&gt;"", G70 &amp; ", " &amp; IFERROR(LEFT(F71,FIND("(",F71) - 2),F71),G70)</f>
        <v/>
      </c>
      <c r="I71" t="str">
        <f t="shared" ca="1" si="4"/>
        <v>N/A</v>
      </c>
      <c r="J71">
        <f t="shared" si="5"/>
        <v>16.27</v>
      </c>
      <c r="K71" t="str">
        <f t="shared" ca="1" si="6"/>
        <v>N/A</v>
      </c>
      <c r="L71" t="str">
        <f t="shared" ca="1" si="7"/>
        <v>N/A</v>
      </c>
      <c r="M71" t="str">
        <f t="shared" ca="1" si="8"/>
        <v>N/A</v>
      </c>
      <c r="N71" t="str">
        <f t="shared" ca="1" si="9"/>
        <v>N/A</v>
      </c>
    </row>
    <row r="72" spans="1:14" x14ac:dyDescent="0.3">
      <c r="A72" s="1">
        <v>4</v>
      </c>
      <c r="B72" t="s">
        <v>128</v>
      </c>
      <c r="C72" t="s">
        <v>166</v>
      </c>
      <c r="D72" t="str">
        <f ca="1">IFERROR(AVERAGE(VALUE(INDIRECT("J"&amp;(MATCH(B72,B73:B504,0)+72))),VALUE(INDIRECT("J"&amp;(MATCH(B72,B73:B504,0)+83))),VALUE(INDIRECT("J"&amp;(MATCH(B72,B73:B504,0)+94))),VALUE(INDIRECT("J"&amp;(MATCH(B72,B73:B504,0)+105)))),"")</f>
        <v/>
      </c>
      <c r="E72" t="str">
        <f t="shared" ca="1" si="10"/>
        <v>no data</v>
      </c>
      <c r="F72" t="str">
        <f t="shared" ca="1" si="11"/>
        <v/>
      </c>
      <c r="G72" t="str">
        <f t="shared" ca="1" si="12"/>
        <v/>
      </c>
      <c r="I72" t="str">
        <f t="shared" ca="1" si="4"/>
        <v>N/A</v>
      </c>
      <c r="J72">
        <f t="shared" si="5"/>
        <v>4.93</v>
      </c>
      <c r="K72" t="str">
        <f t="shared" ca="1" si="6"/>
        <v>N/A</v>
      </c>
      <c r="L72" t="str">
        <f t="shared" ca="1" si="7"/>
        <v>N/A</v>
      </c>
      <c r="M72" t="str">
        <f t="shared" ca="1" si="8"/>
        <v>N/A</v>
      </c>
      <c r="N72" t="str">
        <f t="shared" ca="1" si="9"/>
        <v>N/A</v>
      </c>
    </row>
    <row r="73" spans="1:14" x14ac:dyDescent="0.3">
      <c r="A73" s="1">
        <v>5</v>
      </c>
      <c r="B73" t="s">
        <v>130</v>
      </c>
      <c r="C73" t="s">
        <v>3447</v>
      </c>
      <c r="D73" t="str">
        <f ca="1">IFERROR(AVERAGE(VALUE(INDIRECT("J"&amp;(MATCH(B73,B74:B505,0)+73))),VALUE(INDIRECT("J"&amp;(MATCH(B73,B74:B505,0)+84))),VALUE(INDIRECT("J"&amp;(MATCH(B73,B74:B505,0)+95))),VALUE(INDIRECT("J"&amp;(MATCH(B73,B74:B505,0)+106)))),"")</f>
        <v/>
      </c>
      <c r="E73" t="str">
        <f t="shared" ca="1" si="10"/>
        <v>no data</v>
      </c>
      <c r="F73" t="str">
        <f t="shared" ca="1" si="11"/>
        <v/>
      </c>
      <c r="G73" t="str">
        <f t="shared" ca="1" si="12"/>
        <v/>
      </c>
      <c r="I73" t="str">
        <f t="shared" ca="1" si="4"/>
        <v>N/A</v>
      </c>
      <c r="J73">
        <f t="shared" si="5"/>
        <v>0.65</v>
      </c>
      <c r="K73" t="str">
        <f t="shared" ca="1" si="6"/>
        <v>N/A</v>
      </c>
      <c r="L73" t="str">
        <f t="shared" ca="1" si="7"/>
        <v>N/A</v>
      </c>
      <c r="M73" t="str">
        <f t="shared" ca="1" si="8"/>
        <v>N/A</v>
      </c>
      <c r="N73" t="str">
        <f t="shared" ca="1" si="9"/>
        <v>N/A</v>
      </c>
    </row>
    <row r="74" spans="1:14" x14ac:dyDescent="0.3">
      <c r="A74" s="1">
        <v>6</v>
      </c>
      <c r="B74" t="s">
        <v>132</v>
      </c>
      <c r="C74" t="s">
        <v>4567</v>
      </c>
      <c r="D74" t="str">
        <f ca="1">IFERROR(AVERAGE(VALUE(INDIRECT("J"&amp;(MATCH(B74,B75:B506,0)+74))),VALUE(INDIRECT("J"&amp;(MATCH(B74,B75:B506,0)+85))),VALUE(INDIRECT("J"&amp;(MATCH(B74,B75:B506,0)+96))),VALUE(INDIRECT("J"&amp;(MATCH(B74,B75:B506,0)+107)))),"")</f>
        <v/>
      </c>
      <c r="E74" t="str">
        <f t="shared" ca="1" si="10"/>
        <v>no data</v>
      </c>
      <c r="F74" t="str">
        <f t="shared" ca="1" si="11"/>
        <v/>
      </c>
      <c r="G74" t="str">
        <f t="shared" ca="1" si="12"/>
        <v/>
      </c>
      <c r="I74" t="str">
        <f t="shared" ca="1" si="4"/>
        <v>N/A</v>
      </c>
      <c r="J74">
        <f t="shared" si="5"/>
        <v>1.1299999999999999</v>
      </c>
      <c r="K74" t="str">
        <f t="shared" ca="1" si="6"/>
        <v>N/A</v>
      </c>
      <c r="L74" t="str">
        <f t="shared" ca="1" si="7"/>
        <v>N/A</v>
      </c>
      <c r="M74" t="str">
        <f t="shared" ca="1" si="8"/>
        <v>N/A</v>
      </c>
      <c r="N74" t="str">
        <f t="shared" ca="1" si="9"/>
        <v>N/A</v>
      </c>
    </row>
    <row r="75" spans="1:14" x14ac:dyDescent="0.3">
      <c r="A75" s="1">
        <v>7</v>
      </c>
      <c r="B75" t="s">
        <v>134</v>
      </c>
      <c r="D75" t="str">
        <f ca="1">IFERROR(AVERAGE(VALUE(INDIRECT("J"&amp;(MATCH(B75,B76:B507,0)+75))),VALUE(INDIRECT("J"&amp;(MATCH(B75,B76:B507,0)+86))),VALUE(INDIRECT("J"&amp;(MATCH(B75,B76:B507,0)+97))),VALUE(INDIRECT("J"&amp;(MATCH(B75,B76:B507,0)+108)))),"")</f>
        <v/>
      </c>
      <c r="E75" t="str">
        <f t="shared" ca="1" si="10"/>
        <v>no data</v>
      </c>
      <c r="F75" t="str">
        <f t="shared" ca="1" si="11"/>
        <v/>
      </c>
      <c r="G75" t="str">
        <f t="shared" ca="1" si="12"/>
        <v/>
      </c>
      <c r="I75" t="str">
        <f t="shared" ca="1" si="4"/>
        <v>N/A</v>
      </c>
      <c r="J75" t="str">
        <f t="shared" si="5"/>
        <v>N/A</v>
      </c>
      <c r="K75" t="str">
        <f t="shared" ca="1" si="6"/>
        <v>N/A</v>
      </c>
      <c r="L75" t="str">
        <f t="shared" ca="1" si="7"/>
        <v>N/A</v>
      </c>
      <c r="M75" t="str">
        <f t="shared" ca="1" si="8"/>
        <v>N/A</v>
      </c>
      <c r="N75" t="str">
        <f t="shared" ca="1" si="9"/>
        <v>N/A</v>
      </c>
    </row>
    <row r="76" spans="1:14" x14ac:dyDescent="0.3">
      <c r="A76" s="1">
        <v>8</v>
      </c>
      <c r="B76" t="s">
        <v>135</v>
      </c>
      <c r="D76" t="str">
        <f ca="1">IFERROR(AVERAGE(VALUE(INDIRECT("J"&amp;(MATCH(B76,B77:B508,0)+76))),VALUE(INDIRECT("J"&amp;(MATCH(B76,B77:B508,0)+87))),VALUE(INDIRECT("J"&amp;(MATCH(B76,B77:B508,0)+98))),VALUE(INDIRECT("J"&amp;(MATCH(B76,B77:B508,0)+109)))),"")</f>
        <v/>
      </c>
      <c r="E76" t="str">
        <f t="shared" ca="1" si="10"/>
        <v>no data</v>
      </c>
      <c r="F76" t="str">
        <f t="shared" ca="1" si="11"/>
        <v/>
      </c>
      <c r="G76" t="str">
        <f t="shared" ca="1" si="12"/>
        <v/>
      </c>
      <c r="I76" t="str">
        <f t="shared" ca="1" si="4"/>
        <v>N/A</v>
      </c>
      <c r="J76" t="str">
        <f t="shared" si="5"/>
        <v>N/A</v>
      </c>
      <c r="K76" t="str">
        <f t="shared" ca="1" si="6"/>
        <v>N/A</v>
      </c>
      <c r="L76" t="str">
        <f t="shared" ca="1" si="7"/>
        <v>N/A</v>
      </c>
      <c r="M76" t="str">
        <f t="shared" ca="1" si="8"/>
        <v>N/A</v>
      </c>
      <c r="N76" t="str">
        <f t="shared" ca="1" si="9"/>
        <v>N/A</v>
      </c>
    </row>
    <row r="77" spans="1:14" x14ac:dyDescent="0.3">
      <c r="F77" t="str">
        <f ca="1">IF(F76="",IF(F75="",IF(F74="",IF(F73="",IF(F72="",IF(F71="",IFERROR(LEFT(F70,FIND("(",F70) - 2),F70),IFERROR(LEFT(F71,FIND("(",F71) - 2),F71)),IFERROR(LEFT(F72,FIND("(",F72) - 2),F72)),IFERROR(LEFT(F73,FIND("(",F73) - 2),F73)),IFERROR(LEFT(F74,FIND("(",F74) - 2),F74)),IFERROR(LEFT(F75,FIND("(",F75) - 2),F75)),IFERROR(LEFT(F76,FIND("(",F76) - 2),F76))</f>
        <v/>
      </c>
      <c r="G77" t="str">
        <f ca="1">TRIM(IF(LEFT(G76,1)=",",REPLACE(G76,1,1,""),SUBSTITUTE(G76,F77, "and " &amp; F77)))</f>
        <v/>
      </c>
      <c r="I77" t="str">
        <f t="shared" ca="1" si="4"/>
        <v>N/A</v>
      </c>
      <c r="J77" t="str">
        <f t="shared" si="5"/>
        <v>N/A</v>
      </c>
      <c r="K77" t="str">
        <f t="shared" si="6"/>
        <v>N/A</v>
      </c>
      <c r="L77" t="str">
        <f t="shared" si="7"/>
        <v>N/A</v>
      </c>
      <c r="M77" t="str">
        <f t="shared" ca="1" si="8"/>
        <v>N/A</v>
      </c>
      <c r="N77" t="str">
        <f t="shared" ca="1" si="9"/>
        <v>N/A</v>
      </c>
    </row>
    <row r="78" spans="1:14" x14ac:dyDescent="0.3">
      <c r="A78" s="1">
        <v>0</v>
      </c>
      <c r="B78" t="s">
        <v>136</v>
      </c>
      <c r="C78" t="s">
        <v>137</v>
      </c>
      <c r="D78" t="str">
        <f ca="1">IF(COUNTIF(E70:E76,"=above average")&gt;0,"There are some indications that "&amp;D1&amp;" may be overvalued. The company has a higher " &amp; G77 &amp; " than the comparable average", "Inconclusive")</f>
        <v>Inconclusive</v>
      </c>
      <c r="I78" t="str">
        <f t="shared" ca="1" si="4"/>
        <v>N/A</v>
      </c>
      <c r="J78" t="str">
        <f t="shared" si="5"/>
        <v>N/A</v>
      </c>
      <c r="K78" t="str">
        <f t="shared" ca="1" si="6"/>
        <v>N/A</v>
      </c>
      <c r="L78" t="str">
        <f t="shared" si="7"/>
        <v>N/A</v>
      </c>
      <c r="M78" t="str">
        <f t="shared" si="8"/>
        <v>N/A</v>
      </c>
      <c r="N78" t="str">
        <f t="shared" si="9"/>
        <v>N/A</v>
      </c>
    </row>
    <row r="79" spans="1:14" x14ac:dyDescent="0.3">
      <c r="A79" s="1">
        <v>1</v>
      </c>
      <c r="B79" t="s">
        <v>138</v>
      </c>
      <c r="C79" t="s">
        <v>139</v>
      </c>
      <c r="I79" t="str">
        <f t="shared" si="4"/>
        <v>N/A</v>
      </c>
      <c r="J79" t="str">
        <f t="shared" si="5"/>
        <v>N/A</v>
      </c>
      <c r="K79" t="str">
        <f t="shared" si="6"/>
        <v>N/A</v>
      </c>
      <c r="L79" t="str">
        <f t="shared" si="7"/>
        <v>N/A</v>
      </c>
      <c r="M79" t="str">
        <f t="shared" si="8"/>
        <v>N/A</v>
      </c>
      <c r="N79" t="str">
        <f t="shared" si="9"/>
        <v>N/A</v>
      </c>
    </row>
    <row r="80" spans="1:14" x14ac:dyDescent="0.3">
      <c r="I80" t="str">
        <f t="shared" si="4"/>
        <v>N/A</v>
      </c>
      <c r="J80" t="str">
        <f t="shared" si="5"/>
        <v>N/A</v>
      </c>
      <c r="K80" t="str">
        <f t="shared" si="6"/>
        <v>N/A</v>
      </c>
      <c r="L80" t="str">
        <f t="shared" si="7"/>
        <v>N/A</v>
      </c>
      <c r="M80" t="str">
        <f t="shared" si="8"/>
        <v>N/A</v>
      </c>
      <c r="N80" t="str">
        <f t="shared" si="9"/>
        <v>N/A</v>
      </c>
    </row>
    <row r="81" spans="1:14" x14ac:dyDescent="0.3">
      <c r="A81" s="1">
        <v>0</v>
      </c>
      <c r="B81" t="s">
        <v>140</v>
      </c>
      <c r="C81" t="s">
        <v>3614</v>
      </c>
      <c r="F81" t="str">
        <f t="shared" ref="F81:F87" ca="1" si="13">IF(E70="below average",LOWER(TRIM(IF(ISNUMBER(VALUE(RIGHT(B70,1))),REPLACE(B70,LEN(B70),1,""),B70))),"")</f>
        <v/>
      </c>
      <c r="G81" t="str">
        <f ca="1">IFERROR(LEFT(F81,FIND("(",F81) - 2),F81)</f>
        <v/>
      </c>
      <c r="I81" t="str">
        <f t="shared" ca="1" si="4"/>
        <v>N/A</v>
      </c>
      <c r="J81">
        <f t="shared" si="5"/>
        <v>2.81E-2</v>
      </c>
      <c r="K81" t="str">
        <f t="shared" si="6"/>
        <v>N/A</v>
      </c>
      <c r="L81" t="str">
        <f t="shared" si="7"/>
        <v>N/A</v>
      </c>
      <c r="M81" t="str">
        <f t="shared" ca="1" si="8"/>
        <v>N/A</v>
      </c>
      <c r="N81" t="str">
        <f t="shared" ca="1" si="9"/>
        <v>N/A</v>
      </c>
    </row>
    <row r="82" spans="1:14" x14ac:dyDescent="0.3">
      <c r="A82" s="1">
        <v>1</v>
      </c>
      <c r="B82" t="s">
        <v>142</v>
      </c>
      <c r="C82" t="s">
        <v>4583</v>
      </c>
      <c r="F82" t="str">
        <f t="shared" ca="1" si="13"/>
        <v/>
      </c>
      <c r="G82" t="str">
        <f t="shared" ref="G82:G87" ca="1" si="14">IF(F82&lt;&gt;"", G81 &amp; ", " &amp; IFERROR(LEFT(F82,FIND("(",F82) - 2),F82),G81)</f>
        <v/>
      </c>
      <c r="I82" t="str">
        <f t="shared" ca="1" si="4"/>
        <v>N/A</v>
      </c>
      <c r="J82">
        <f t="shared" si="5"/>
        <v>5.6300000000000003E-2</v>
      </c>
      <c r="K82" t="str">
        <f t="shared" si="6"/>
        <v>N/A</v>
      </c>
      <c r="L82" t="str">
        <f t="shared" si="7"/>
        <v>N/A</v>
      </c>
      <c r="M82" t="str">
        <f t="shared" ca="1" si="8"/>
        <v>N/A</v>
      </c>
      <c r="N82" t="str">
        <f t="shared" ca="1" si="9"/>
        <v>N/A</v>
      </c>
    </row>
    <row r="83" spans="1:14" x14ac:dyDescent="0.3">
      <c r="F83" t="str">
        <f t="shared" ca="1" si="13"/>
        <v/>
      </c>
      <c r="G83" t="str">
        <f t="shared" ca="1" si="14"/>
        <v/>
      </c>
      <c r="I83" t="str">
        <f t="shared" ca="1" si="4"/>
        <v>N/A</v>
      </c>
      <c r="J83" t="str">
        <f t="shared" si="5"/>
        <v>N/A</v>
      </c>
      <c r="K83" t="str">
        <f t="shared" si="6"/>
        <v>N/A</v>
      </c>
      <c r="L83" t="str">
        <f t="shared" si="7"/>
        <v>N/A</v>
      </c>
      <c r="M83" t="str">
        <f t="shared" ca="1" si="8"/>
        <v>N/A</v>
      </c>
      <c r="N83" t="str">
        <f t="shared" ca="1" si="9"/>
        <v>N/A</v>
      </c>
    </row>
    <row r="84" spans="1:14" x14ac:dyDescent="0.3">
      <c r="A84" s="1">
        <v>0</v>
      </c>
      <c r="B84" t="s">
        <v>144</v>
      </c>
      <c r="C84" t="s">
        <v>4584</v>
      </c>
      <c r="F84" t="str">
        <f t="shared" ca="1" si="13"/>
        <v/>
      </c>
      <c r="G84" t="str">
        <f t="shared" ca="1" si="14"/>
        <v/>
      </c>
      <c r="I84" t="str">
        <f t="shared" ca="1" si="4"/>
        <v>N/A</v>
      </c>
      <c r="J84">
        <f t="shared" si="5"/>
        <v>3.1600000000000003E-2</v>
      </c>
      <c r="K84" t="str">
        <f t="shared" si="6"/>
        <v>N/A</v>
      </c>
      <c r="L84" t="str">
        <f t="shared" si="7"/>
        <v>N/A</v>
      </c>
      <c r="M84" t="str">
        <f t="shared" ca="1" si="8"/>
        <v>N/A</v>
      </c>
      <c r="N84" t="str">
        <f t="shared" ca="1" si="9"/>
        <v>N/A</v>
      </c>
    </row>
    <row r="85" spans="1:14" x14ac:dyDescent="0.3">
      <c r="A85" s="1">
        <v>1</v>
      </c>
      <c r="B85" t="s">
        <v>146</v>
      </c>
      <c r="C85" t="s">
        <v>4585</v>
      </c>
      <c r="F85" t="str">
        <f t="shared" ca="1" si="13"/>
        <v/>
      </c>
      <c r="G85" t="str">
        <f t="shared" ca="1" si="14"/>
        <v/>
      </c>
      <c r="I85" t="str">
        <f t="shared" ca="1" si="4"/>
        <v>N/A</v>
      </c>
      <c r="J85">
        <f t="shared" si="5"/>
        <v>5.3099999999999994E-2</v>
      </c>
      <c r="K85" t="str">
        <f t="shared" si="6"/>
        <v>N/A</v>
      </c>
      <c r="L85" t="str">
        <f t="shared" si="7"/>
        <v>N/A</v>
      </c>
      <c r="M85" t="str">
        <f t="shared" ca="1" si="8"/>
        <v>N/A</v>
      </c>
      <c r="N85" t="str">
        <f t="shared" ca="1" si="9"/>
        <v>N/A</v>
      </c>
    </row>
    <row r="86" spans="1:14" x14ac:dyDescent="0.3">
      <c r="F86" t="str">
        <f t="shared" ca="1" si="13"/>
        <v/>
      </c>
      <c r="G86" t="str">
        <f t="shared" ca="1" si="14"/>
        <v/>
      </c>
      <c r="I86" t="str">
        <f t="shared" ca="1" si="4"/>
        <v>N/A</v>
      </c>
      <c r="J86" t="str">
        <f t="shared" si="5"/>
        <v>N/A</v>
      </c>
      <c r="K86" t="str">
        <f t="shared" si="6"/>
        <v>N/A</v>
      </c>
      <c r="L86" t="str">
        <f t="shared" si="7"/>
        <v>N/A</v>
      </c>
      <c r="M86" t="str">
        <f t="shared" ca="1" si="8"/>
        <v>N/A</v>
      </c>
      <c r="N86" t="str">
        <f t="shared" ca="1" si="9"/>
        <v>N/A</v>
      </c>
    </row>
    <row r="87" spans="1:14" x14ac:dyDescent="0.3">
      <c r="A87" s="1">
        <v>0</v>
      </c>
      <c r="B87" t="s">
        <v>148</v>
      </c>
      <c r="C87" t="s">
        <v>2435</v>
      </c>
      <c r="F87" t="str">
        <f t="shared" ca="1" si="13"/>
        <v/>
      </c>
      <c r="G87" t="str">
        <f t="shared" ca="1" si="14"/>
        <v/>
      </c>
      <c r="I87" t="str">
        <f t="shared" ca="1" si="4"/>
        <v>N/A</v>
      </c>
      <c r="J87">
        <f t="shared" si="5"/>
        <v>5110000000</v>
      </c>
      <c r="K87" t="str">
        <f t="shared" si="6"/>
        <v>N/A</v>
      </c>
      <c r="L87" t="str">
        <f t="shared" si="7"/>
        <v>N/A</v>
      </c>
      <c r="M87" t="str">
        <f t="shared" ca="1" si="8"/>
        <v>N/A</v>
      </c>
      <c r="N87" t="str">
        <f t="shared" ca="1" si="9"/>
        <v>N/A</v>
      </c>
    </row>
    <row r="88" spans="1:14" x14ac:dyDescent="0.3">
      <c r="A88" s="1">
        <v>1</v>
      </c>
      <c r="B88" t="s">
        <v>150</v>
      </c>
      <c r="C88" t="s">
        <v>4586</v>
      </c>
      <c r="F88" t="str">
        <f ca="1">IF(F87="",IF(F86="",IF(F85="",IF(F84="",IF(F83="",IF(F82="",IFERROR(LEFT(F81,FIND("(",F81) - 2),F81),IFERROR(LEFT(F82,FIND("(",F82) - 2),F82)),IFERROR(LEFT(F83,FIND("(",F83) - 2),F83)),IFERROR(LEFT(F84,FIND("(",F84) - 2),F84)),IFERROR(LEFT(F85,FIND("(",F85) - 2),F85)),IFERROR(LEFT(F86,FIND("(",F86) - 2),F86)),IFERROR(LEFT(F87,FIND("(",F87) - 2),F87))</f>
        <v/>
      </c>
      <c r="G88" t="str">
        <f ca="1">TRIM(IF(LEFT(G87,1)=",",REPLACE(G87,1,1,""),SUBSTITUTE(G87,F88, "and " &amp; F88)))</f>
        <v/>
      </c>
      <c r="I88" t="str">
        <f t="shared" ca="1" si="4"/>
        <v>N/A</v>
      </c>
      <c r="J88">
        <f t="shared" si="5"/>
        <v>81.739999999999995</v>
      </c>
      <c r="K88" t="str">
        <f t="shared" si="6"/>
        <v>N/A</v>
      </c>
      <c r="L88" t="str">
        <f t="shared" si="7"/>
        <v>N/A</v>
      </c>
      <c r="M88" t="str">
        <f t="shared" ca="1" si="8"/>
        <v>N/A</v>
      </c>
      <c r="N88" t="str">
        <f t="shared" ca="1" si="9"/>
        <v>N/A</v>
      </c>
    </row>
    <row r="89" spans="1:14" x14ac:dyDescent="0.3">
      <c r="A89" s="1">
        <v>2</v>
      </c>
      <c r="B89" t="s">
        <v>152</v>
      </c>
      <c r="C89" t="s">
        <v>4587</v>
      </c>
      <c r="D89" t="str">
        <f ca="1">IF(COUNTIF(E70:E76,"=below average")&gt;0,"There are some indications that "&amp;D1&amp;" may be undervalued. The company has a lower " &amp; G88 &amp; " than the comparable average", "Inconclusive")</f>
        <v>Inconclusive</v>
      </c>
      <c r="I89" t="str">
        <f t="shared" ca="1" si="4"/>
        <v>N/A</v>
      </c>
      <c r="J89">
        <f t="shared" si="5"/>
        <v>1.3000000000000001E-2</v>
      </c>
      <c r="K89" t="str">
        <f t="shared" ca="1" si="6"/>
        <v>N/A</v>
      </c>
      <c r="L89" t="str">
        <f t="shared" si="7"/>
        <v>N/A</v>
      </c>
      <c r="M89" t="str">
        <f t="shared" si="8"/>
        <v>N/A</v>
      </c>
      <c r="N89" t="str">
        <f t="shared" si="9"/>
        <v>N/A</v>
      </c>
    </row>
    <row r="90" spans="1:14" x14ac:dyDescent="0.3">
      <c r="A90" s="1">
        <v>3</v>
      </c>
      <c r="B90" t="s">
        <v>154</v>
      </c>
      <c r="I90" t="str">
        <f t="shared" si="4"/>
        <v>N/A</v>
      </c>
      <c r="J90" t="str">
        <f t="shared" si="5"/>
        <v>N/A</v>
      </c>
      <c r="K90" t="str">
        <f t="shared" si="6"/>
        <v>N/A</v>
      </c>
      <c r="L90" t="str">
        <f t="shared" si="7"/>
        <v>N/A</v>
      </c>
      <c r="M90" t="str">
        <f t="shared" si="8"/>
        <v>N/A</v>
      </c>
      <c r="N90" t="str">
        <f t="shared" si="9"/>
        <v>N/A</v>
      </c>
    </row>
    <row r="91" spans="1:14" x14ac:dyDescent="0.3">
      <c r="A91" s="1">
        <v>4</v>
      </c>
      <c r="B91" t="s">
        <v>156</v>
      </c>
      <c r="C91" t="s">
        <v>4588</v>
      </c>
      <c r="I91" t="str">
        <f t="shared" si="4"/>
        <v>N/A</v>
      </c>
      <c r="J91">
        <f t="shared" si="5"/>
        <v>627000000</v>
      </c>
      <c r="K91" t="str">
        <f t="shared" si="6"/>
        <v>N/A</v>
      </c>
      <c r="L91" t="str">
        <f t="shared" si="7"/>
        <v>N/A</v>
      </c>
      <c r="M91" t="str">
        <f t="shared" si="8"/>
        <v>N/A</v>
      </c>
      <c r="N91" t="str">
        <f t="shared" si="9"/>
        <v>N/A</v>
      </c>
    </row>
    <row r="92" spans="1:14" x14ac:dyDescent="0.3">
      <c r="A92" s="1">
        <v>5</v>
      </c>
      <c r="B92" t="s">
        <v>158</v>
      </c>
      <c r="C92" t="s">
        <v>4589</v>
      </c>
      <c r="I92" t="str">
        <f t="shared" ref="I92:I123" si="15">IF(AND(K92&gt; J92, L92&gt; K92, M92&gt; L92, N92&gt; M92), "pos_trend", IF(AND(K92&lt; J92, L92&lt; K92, M92&lt; L92, N92&lt; M92), "neg_trend", "N/A"))</f>
        <v>N/A</v>
      </c>
      <c r="J92">
        <f t="shared" ref="J92:J123" si="16">IFERROR(IF(TRIM(C92)="-", "N/A", IF(RIGHT(C92,1)=")",IF(RIGHT(C92,2)="T)",-1000000000000*VALUE(MID(C92,2,LEN(C92)-3)),IF(RIGHT(C92,2)="M)",-1000000*VALUE(MID(C92,2,LEN(C92)-3)),IF(RIGHT(C92,2)="B)",-1000000000*VALUE(MID(C92,2,LEN(C92)-3)),IF(RIGHT(C92,2)="k)",-1000*VALUE(MID(C92,2,LEN(C92)-3)),VALUE(SUBSTITUTE(C92,",","")))))),IF(RIGHT(C92,1)="T",1000000000000*VALUE(LEFT(C92,LEN(C92)-1)),IF(RIGHT(C92,1)="M",1000000*VALUE(LEFT(C92,LEN(C92)-1)),IF(RIGHT(C92,1)="B",1000000000*VALUE(LEFT(C92,LEN(C92)-1)),IF(RIGHT(C92,1)="%",0.01*VALUE(LEFT(C92,LEN(C92)-1)),IF(RIGHT(C92,1)="k",1000*VALUE(LEFT(C92,LEN(C92)-1)),VALUE(SUBSTITUTE(C92,",",""))))))))),"N/A")</f>
        <v>144000000</v>
      </c>
      <c r="K92" t="str">
        <f t="shared" ref="K92:K123" si="17">IFERROR(IF(TRIM(D92)="-", "N/A", IF(RIGHT(D92,1)=")",IF(RIGHT(D92,2)="T)",-1000000000000*VALUE(MID(D92,2,LEN(D92)-3)),IF(RIGHT(D92,2)="M)",-1000000*VALUE(MID(D92,2,LEN(D92)-3)),IF(RIGHT(D92,2)="B)",-1000000000*VALUE(MID(D92,2,LEN(D92)-3)),IF(RIGHT(D92,2)="k)",-1000*VALUE(MID(D92,2,LEN(D92)-3)),VALUE(SUBSTITUTE(D92,",","")))))),IF(RIGHT(D92,1)="T",1000000000000*VALUE(LEFT(D92,LEN(D92)-1)),IF(RIGHT(D92,1)="M",1000000*VALUE(LEFT(D92,LEN(D92)-1)),IF(RIGHT(D92,1)="B",1000000000*VALUE(LEFT(D92,LEN(D92)-1)),IF(RIGHT(D92,1)="%",0.01*VALUE(LEFT(D92,LEN(D92)-1)),IF(RIGHT(D92,1)="k",1000*VALUE(LEFT(D92,LEN(D92)-1)),VALUE(SUBSTITUTE(D92,",",""))))))))),"N/A")</f>
        <v>N/A</v>
      </c>
      <c r="L92" t="str">
        <f t="shared" ref="L92:L123" si="18">IFERROR(IF(TRIM(E92)="-", "N/A", IF(RIGHT(E92,1)=")",IF(RIGHT(E92,2)="T)",-1000000000000*VALUE(MID(E92,2,LEN(E92)-3)),IF(RIGHT(E92,2)="M)",-1000000*VALUE(MID(E92,2,LEN(E92)-3)),IF(RIGHT(E92,2)="B)",-1000000000*VALUE(MID(E92,2,LEN(E92)-3)),IF(RIGHT(E92,2)="k)",-1000*VALUE(MID(E92,2,LEN(E92)-3)),VALUE(SUBSTITUTE(E92,",","")))))),IF(RIGHT(E92,1)="T",1000000000000*VALUE(LEFT(E92,LEN(E92)-1)),IF(RIGHT(E92,1)="M",1000000*VALUE(LEFT(E92,LEN(E92)-1)),IF(RIGHT(E92,1)="B",1000000000*VALUE(LEFT(E92,LEN(E92)-1)),IF(RIGHT(E92,1)="%",0.01*VALUE(LEFT(E92,LEN(E92)-1)),IF(RIGHT(E92,1)="k",1000*VALUE(LEFT(E92,LEN(E92)-1)),VALUE(SUBSTITUTE(E92,",",""))))))))),"N/A")</f>
        <v>N/A</v>
      </c>
      <c r="M92" t="str">
        <f t="shared" ref="M92:M123" si="19">IFERROR(IF(TRIM(F92)="-", "N/A", IF(RIGHT(F92,1)=")",IF(RIGHT(F92,2)="T)",-1000000000000*VALUE(MID(F92,2,LEN(F92)-3)),IF(RIGHT(F92,2)="M)",-1000000*VALUE(MID(F92,2,LEN(F92)-3)),IF(RIGHT(F92,2)="B)",-1000000000*VALUE(MID(F92,2,LEN(F92)-3)),IF(RIGHT(F92,2)="k)",-1000*VALUE(MID(F92,2,LEN(F92)-3)),VALUE(SUBSTITUTE(F92,",","")))))),IF(RIGHT(F92,1)="T",1000000000000*VALUE(LEFT(F92,LEN(F92)-1)),IF(RIGHT(F92,1)="M",1000000*VALUE(LEFT(F92,LEN(F92)-1)),IF(RIGHT(F92,1)="B",1000000000*VALUE(LEFT(F92,LEN(F92)-1)),IF(RIGHT(F92,1)="%",0.01*VALUE(LEFT(F92,LEN(F92)-1)),IF(RIGHT(F92,1)="k",1000*VALUE(LEFT(F92,LEN(F92)-1)),VALUE(SUBSTITUTE(F92,",",""))))))))),"N/A")</f>
        <v>N/A</v>
      </c>
      <c r="N92" t="str">
        <f t="shared" ref="N92:N123" si="20">IFERROR(IF(TRIM(G92)="-", "N/A", IF(RIGHT(G92,1)=")",IF(RIGHT(G92,2)="T)",-1000000000000*VALUE(MID(G92,2,LEN(G92)-3)),IF(RIGHT(G92,2)="M)",-1000000*VALUE(MID(G92,2,LEN(G92)-3)),IF(RIGHT(G92,2)="B)",-1000000000*VALUE(MID(G92,2,LEN(G92)-3)),IF(RIGHT(G92,2)="k)",-1000*VALUE(MID(G92,2,LEN(G92)-3)),VALUE(SUBSTITUTE(G92,",","")))))),IF(RIGHT(G92,1)="T",1000000000000*VALUE(LEFT(G92,LEN(G92)-1)),IF(RIGHT(G92,1)="M",1000000*VALUE(LEFT(G92,LEN(G92)-1)),IF(RIGHT(G92,1)="B",1000000000*VALUE(LEFT(G92,LEN(G92)-1)),IF(RIGHT(G92,1)="%",0.01*VALUE(LEFT(G92,LEN(G92)-1)),IF(RIGHT(G92,1)="k",1000*VALUE(LEFT(G92,LEN(G92)-1)),VALUE(SUBSTITUTE(G92,",",""))))))))),"N/A")</f>
        <v>N/A</v>
      </c>
    </row>
    <row r="93" spans="1:14" x14ac:dyDescent="0.3">
      <c r="A93" s="1">
        <v>6</v>
      </c>
      <c r="B93" t="s">
        <v>160</v>
      </c>
      <c r="C93" t="s">
        <v>4553</v>
      </c>
      <c r="I93" t="str">
        <f t="shared" si="15"/>
        <v>N/A</v>
      </c>
      <c r="J93">
        <f t="shared" si="16"/>
        <v>2.2999999999999998</v>
      </c>
      <c r="K93" t="str">
        <f t="shared" si="17"/>
        <v>N/A</v>
      </c>
      <c r="L93" t="str">
        <f t="shared" si="18"/>
        <v>N/A</v>
      </c>
      <c r="M93" t="str">
        <f t="shared" si="19"/>
        <v>N/A</v>
      </c>
      <c r="N93" t="str">
        <f t="shared" si="20"/>
        <v>N/A</v>
      </c>
    </row>
    <row r="94" spans="1:14" x14ac:dyDescent="0.3">
      <c r="A94" s="1">
        <v>7</v>
      </c>
      <c r="B94" t="s">
        <v>161</v>
      </c>
      <c r="C94" t="s">
        <v>4590</v>
      </c>
      <c r="I94" t="str">
        <f t="shared" si="15"/>
        <v>N/A</v>
      </c>
      <c r="J94">
        <f t="shared" si="16"/>
        <v>4</v>
      </c>
      <c r="K94" t="str">
        <f t="shared" si="17"/>
        <v>N/A</v>
      </c>
      <c r="L94" t="str">
        <f t="shared" si="18"/>
        <v>N/A</v>
      </c>
      <c r="M94" t="str">
        <f t="shared" si="19"/>
        <v>N/A</v>
      </c>
      <c r="N94" t="str">
        <f t="shared" si="20"/>
        <v>N/A</v>
      </c>
    </row>
    <row r="95" spans="1:14" x14ac:dyDescent="0.3">
      <c r="I95" t="str">
        <f t="shared" si="15"/>
        <v>N/A</v>
      </c>
      <c r="J95" t="str">
        <f t="shared" si="16"/>
        <v>N/A</v>
      </c>
      <c r="K95" t="str">
        <f t="shared" si="17"/>
        <v>N/A</v>
      </c>
      <c r="L95" t="str">
        <f t="shared" si="18"/>
        <v>N/A</v>
      </c>
      <c r="M95" t="str">
        <f t="shared" si="19"/>
        <v>N/A</v>
      </c>
      <c r="N95" t="str">
        <f t="shared" si="20"/>
        <v>N/A</v>
      </c>
    </row>
    <row r="96" spans="1:14" x14ac:dyDescent="0.3">
      <c r="A96" s="1">
        <v>0</v>
      </c>
      <c r="B96" t="s">
        <v>163</v>
      </c>
      <c r="C96" t="s">
        <v>1336</v>
      </c>
      <c r="I96" t="str">
        <f t="shared" si="15"/>
        <v>N/A</v>
      </c>
      <c r="J96">
        <f t="shared" si="16"/>
        <v>111000000</v>
      </c>
      <c r="K96" t="str">
        <f t="shared" si="17"/>
        <v>N/A</v>
      </c>
      <c r="L96" t="str">
        <f t="shared" si="18"/>
        <v>N/A</v>
      </c>
      <c r="M96" t="str">
        <f t="shared" si="19"/>
        <v>N/A</v>
      </c>
      <c r="N96" t="str">
        <f t="shared" si="20"/>
        <v>N/A</v>
      </c>
    </row>
    <row r="97" spans="1:14" x14ac:dyDescent="0.3">
      <c r="A97" s="1">
        <v>1</v>
      </c>
      <c r="B97" t="s">
        <v>165</v>
      </c>
      <c r="C97" t="s">
        <v>2719</v>
      </c>
      <c r="I97" t="str">
        <f t="shared" si="15"/>
        <v>N/A</v>
      </c>
      <c r="J97">
        <f t="shared" si="16"/>
        <v>1.77</v>
      </c>
      <c r="K97" t="str">
        <f t="shared" si="17"/>
        <v>N/A</v>
      </c>
      <c r="L97" t="str">
        <f t="shared" si="18"/>
        <v>N/A</v>
      </c>
      <c r="M97" t="str">
        <f t="shared" si="19"/>
        <v>N/A</v>
      </c>
      <c r="N97" t="str">
        <f t="shared" si="20"/>
        <v>N/A</v>
      </c>
    </row>
    <row r="98" spans="1:14" x14ac:dyDescent="0.3">
      <c r="A98" s="1">
        <v>2</v>
      </c>
      <c r="B98" t="s">
        <v>167</v>
      </c>
      <c r="C98" t="s">
        <v>542</v>
      </c>
      <c r="I98" t="str">
        <f t="shared" si="15"/>
        <v>N/A</v>
      </c>
      <c r="J98">
        <f t="shared" si="16"/>
        <v>1250000000</v>
      </c>
      <c r="K98" t="str">
        <f t="shared" si="17"/>
        <v>N/A</v>
      </c>
      <c r="L98" t="str">
        <f t="shared" si="18"/>
        <v>N/A</v>
      </c>
      <c r="M98" t="str">
        <f t="shared" si="19"/>
        <v>N/A</v>
      </c>
      <c r="N98" t="str">
        <f t="shared" si="20"/>
        <v>N/A</v>
      </c>
    </row>
    <row r="99" spans="1:14" x14ac:dyDescent="0.3">
      <c r="A99" s="1">
        <v>3</v>
      </c>
      <c r="B99" t="s">
        <v>169</v>
      </c>
      <c r="C99" t="s">
        <v>4591</v>
      </c>
      <c r="I99" t="str">
        <f t="shared" si="15"/>
        <v>N/A</v>
      </c>
      <c r="J99">
        <f t="shared" si="16"/>
        <v>46.7</v>
      </c>
      <c r="K99" t="str">
        <f t="shared" si="17"/>
        <v>N/A</v>
      </c>
      <c r="L99" t="str">
        <f t="shared" si="18"/>
        <v>N/A</v>
      </c>
      <c r="M99" t="str">
        <f t="shared" si="19"/>
        <v>N/A</v>
      </c>
      <c r="N99" t="str">
        <f t="shared" si="20"/>
        <v>N/A</v>
      </c>
    </row>
    <row r="100" spans="1:14" x14ac:dyDescent="0.3">
      <c r="A100" s="1">
        <v>4</v>
      </c>
      <c r="B100" t="s">
        <v>171</v>
      </c>
      <c r="C100" t="s">
        <v>4592</v>
      </c>
      <c r="I100" t="str">
        <f t="shared" si="15"/>
        <v>N/A</v>
      </c>
      <c r="J100">
        <f t="shared" si="16"/>
        <v>2.13</v>
      </c>
      <c r="K100" t="str">
        <f t="shared" si="17"/>
        <v>N/A</v>
      </c>
      <c r="L100" t="str">
        <f t="shared" si="18"/>
        <v>N/A</v>
      </c>
      <c r="M100" t="str">
        <f t="shared" si="19"/>
        <v>N/A</v>
      </c>
      <c r="N100" t="str">
        <f t="shared" si="20"/>
        <v>N/A</v>
      </c>
    </row>
    <row r="101" spans="1:14" x14ac:dyDescent="0.3">
      <c r="A101" s="1">
        <v>5</v>
      </c>
      <c r="B101" t="s">
        <v>173</v>
      </c>
      <c r="C101" t="s">
        <v>4593</v>
      </c>
      <c r="I101" t="str">
        <f t="shared" si="15"/>
        <v>N/A</v>
      </c>
      <c r="J101">
        <f t="shared" si="16"/>
        <v>42.87</v>
      </c>
      <c r="K101" t="str">
        <f t="shared" si="17"/>
        <v>N/A</v>
      </c>
      <c r="L101" t="str">
        <f t="shared" si="18"/>
        <v>N/A</v>
      </c>
      <c r="M101" t="str">
        <f t="shared" si="19"/>
        <v>N/A</v>
      </c>
      <c r="N101" t="str">
        <f t="shared" si="20"/>
        <v>N/A</v>
      </c>
    </row>
    <row r="102" spans="1:14" x14ac:dyDescent="0.3">
      <c r="I102" t="str">
        <f t="shared" si="15"/>
        <v>N/A</v>
      </c>
      <c r="J102" t="str">
        <f t="shared" si="16"/>
        <v>N/A</v>
      </c>
      <c r="K102" t="str">
        <f t="shared" si="17"/>
        <v>N/A</v>
      </c>
      <c r="L102" t="str">
        <f t="shared" si="18"/>
        <v>N/A</v>
      </c>
      <c r="M102" t="str">
        <f t="shared" si="19"/>
        <v>N/A</v>
      </c>
      <c r="N102" t="str">
        <f t="shared" si="20"/>
        <v>N/A</v>
      </c>
    </row>
    <row r="103" spans="1:14" x14ac:dyDescent="0.3">
      <c r="A103" s="1">
        <v>0</v>
      </c>
      <c r="B103" t="s">
        <v>175</v>
      </c>
      <c r="C103" t="s">
        <v>1457</v>
      </c>
      <c r="I103" t="str">
        <f t="shared" si="15"/>
        <v>N/A</v>
      </c>
      <c r="J103">
        <f t="shared" si="16"/>
        <v>459000000</v>
      </c>
      <c r="K103" t="str">
        <f t="shared" si="17"/>
        <v>N/A</v>
      </c>
      <c r="L103" t="str">
        <f t="shared" si="18"/>
        <v>N/A</v>
      </c>
      <c r="M103" t="str">
        <f t="shared" si="19"/>
        <v>N/A</v>
      </c>
      <c r="N103" t="str">
        <f t="shared" si="20"/>
        <v>N/A</v>
      </c>
    </row>
    <row r="104" spans="1:14" x14ac:dyDescent="0.3">
      <c r="A104" s="1">
        <v>1</v>
      </c>
      <c r="B104" t="s">
        <v>177</v>
      </c>
      <c r="C104" t="s">
        <v>4594</v>
      </c>
      <c r="I104" t="str">
        <f t="shared" si="15"/>
        <v>N/A</v>
      </c>
      <c r="J104">
        <f t="shared" si="16"/>
        <v>179750000</v>
      </c>
      <c r="K104" t="str">
        <f t="shared" si="17"/>
        <v>N/A</v>
      </c>
      <c r="L104" t="str">
        <f t="shared" si="18"/>
        <v>N/A</v>
      </c>
      <c r="M104" t="str">
        <f t="shared" si="19"/>
        <v>N/A</v>
      </c>
      <c r="N104" t="str">
        <f t="shared" si="20"/>
        <v>N/A</v>
      </c>
    </row>
    <row r="105" spans="1:14" x14ac:dyDescent="0.3">
      <c r="I105" t="str">
        <f t="shared" si="15"/>
        <v>N/A</v>
      </c>
      <c r="J105" t="str">
        <f t="shared" si="16"/>
        <v>N/A</v>
      </c>
      <c r="K105" t="str">
        <f t="shared" si="17"/>
        <v>N/A</v>
      </c>
      <c r="L105" t="str">
        <f t="shared" si="18"/>
        <v>N/A</v>
      </c>
      <c r="M105" t="str">
        <f t="shared" si="19"/>
        <v>N/A</v>
      </c>
      <c r="N105" t="str">
        <f t="shared" si="20"/>
        <v>N/A</v>
      </c>
    </row>
    <row r="106" spans="1:14" x14ac:dyDescent="0.3">
      <c r="A106" s="1">
        <v>0</v>
      </c>
      <c r="B106" t="s">
        <v>22</v>
      </c>
      <c r="I106" t="str">
        <f t="shared" si="15"/>
        <v>N/A</v>
      </c>
      <c r="J106" t="str">
        <f t="shared" si="16"/>
        <v>N/A</v>
      </c>
      <c r="K106" t="str">
        <f t="shared" si="17"/>
        <v>N/A</v>
      </c>
      <c r="L106" t="str">
        <f t="shared" si="18"/>
        <v>N/A</v>
      </c>
      <c r="M106" t="str">
        <f t="shared" si="19"/>
        <v>N/A</v>
      </c>
      <c r="N106" t="str">
        <f t="shared" si="20"/>
        <v>N/A</v>
      </c>
    </row>
    <row r="107" spans="1:14" x14ac:dyDescent="0.3">
      <c r="A107" s="1">
        <v>1</v>
      </c>
      <c r="B107" t="s">
        <v>179</v>
      </c>
      <c r="C107" t="s">
        <v>4595</v>
      </c>
      <c r="I107" t="str">
        <f t="shared" si="15"/>
        <v>N/A</v>
      </c>
      <c r="J107">
        <f t="shared" si="16"/>
        <v>-8.2100000000000006E-2</v>
      </c>
      <c r="K107" t="str">
        <f t="shared" si="17"/>
        <v>N/A</v>
      </c>
      <c r="L107" t="str">
        <f t="shared" si="18"/>
        <v>N/A</v>
      </c>
      <c r="M107" t="str">
        <f t="shared" si="19"/>
        <v>N/A</v>
      </c>
      <c r="N107" t="str">
        <f t="shared" si="20"/>
        <v>N/A</v>
      </c>
    </row>
    <row r="108" spans="1:14" x14ac:dyDescent="0.3">
      <c r="A108" s="1">
        <v>2</v>
      </c>
      <c r="B108" t="s">
        <v>181</v>
      </c>
      <c r="C108" t="s">
        <v>4596</v>
      </c>
      <c r="I108" t="str">
        <f t="shared" si="15"/>
        <v>N/A</v>
      </c>
      <c r="J108">
        <f t="shared" si="16"/>
        <v>0.14369999999999999</v>
      </c>
      <c r="K108" t="str">
        <f t="shared" si="17"/>
        <v>N/A</v>
      </c>
      <c r="L108" t="str">
        <f t="shared" si="18"/>
        <v>N/A</v>
      </c>
      <c r="M108" t="str">
        <f t="shared" si="19"/>
        <v>N/A</v>
      </c>
      <c r="N108" t="str">
        <f t="shared" si="20"/>
        <v>N/A</v>
      </c>
    </row>
    <row r="109" spans="1:14" x14ac:dyDescent="0.3">
      <c r="A109" s="1">
        <v>3</v>
      </c>
      <c r="B109" t="s">
        <v>183</v>
      </c>
      <c r="C109" t="s">
        <v>4597</v>
      </c>
      <c r="I109" t="str">
        <f t="shared" si="15"/>
        <v>N/A</v>
      </c>
      <c r="J109">
        <f t="shared" si="16"/>
        <v>58.31</v>
      </c>
      <c r="K109" t="str">
        <f t="shared" si="17"/>
        <v>N/A</v>
      </c>
      <c r="L109" t="str">
        <f t="shared" si="18"/>
        <v>N/A</v>
      </c>
      <c r="M109" t="str">
        <f t="shared" si="19"/>
        <v>N/A</v>
      </c>
      <c r="N109" t="str">
        <f t="shared" si="20"/>
        <v>N/A</v>
      </c>
    </row>
    <row r="110" spans="1:14" x14ac:dyDescent="0.3">
      <c r="A110" s="1">
        <v>4</v>
      </c>
      <c r="B110" t="s">
        <v>185</v>
      </c>
      <c r="C110" t="s">
        <v>4598</v>
      </c>
      <c r="I110" t="str">
        <f t="shared" si="15"/>
        <v>N/A</v>
      </c>
      <c r="J110">
        <f t="shared" si="16"/>
        <v>45.48</v>
      </c>
      <c r="K110" t="str">
        <f t="shared" si="17"/>
        <v>N/A</v>
      </c>
      <c r="L110" t="str">
        <f t="shared" si="18"/>
        <v>N/A</v>
      </c>
      <c r="M110" t="str">
        <f t="shared" si="19"/>
        <v>N/A</v>
      </c>
      <c r="N110" t="str">
        <f t="shared" si="20"/>
        <v>N/A</v>
      </c>
    </row>
    <row r="111" spans="1:14" x14ac:dyDescent="0.3">
      <c r="A111" s="1">
        <v>5</v>
      </c>
      <c r="B111" t="s">
        <v>187</v>
      </c>
      <c r="C111" t="s">
        <v>4599</v>
      </c>
      <c r="I111" t="str">
        <f t="shared" si="15"/>
        <v>N/A</v>
      </c>
      <c r="J111">
        <f t="shared" si="16"/>
        <v>49.19</v>
      </c>
      <c r="K111" t="str">
        <f t="shared" si="17"/>
        <v>N/A</v>
      </c>
      <c r="L111" t="str">
        <f t="shared" si="18"/>
        <v>N/A</v>
      </c>
      <c r="M111" t="str">
        <f t="shared" si="19"/>
        <v>N/A</v>
      </c>
      <c r="N111" t="str">
        <f t="shared" si="20"/>
        <v>N/A</v>
      </c>
    </row>
    <row r="112" spans="1:14" x14ac:dyDescent="0.3">
      <c r="A112" s="1">
        <v>6</v>
      </c>
      <c r="B112" t="s">
        <v>189</v>
      </c>
      <c r="C112" t="s">
        <v>4600</v>
      </c>
      <c r="I112" t="str">
        <f t="shared" si="15"/>
        <v>N/A</v>
      </c>
      <c r="J112">
        <f t="shared" si="16"/>
        <v>51.06</v>
      </c>
      <c r="K112" t="str">
        <f t="shared" si="17"/>
        <v>N/A</v>
      </c>
      <c r="L112" t="str">
        <f t="shared" si="18"/>
        <v>N/A</v>
      </c>
      <c r="M112" t="str">
        <f t="shared" si="19"/>
        <v>N/A</v>
      </c>
      <c r="N112" t="str">
        <f t="shared" si="20"/>
        <v>N/A</v>
      </c>
    </row>
    <row r="113" spans="1:14" x14ac:dyDescent="0.3">
      <c r="I113" t="str">
        <f t="shared" si="15"/>
        <v>N/A</v>
      </c>
      <c r="J113" t="str">
        <f t="shared" si="16"/>
        <v>N/A</v>
      </c>
      <c r="K113" t="str">
        <f t="shared" si="17"/>
        <v>N/A</v>
      </c>
      <c r="L113" t="str">
        <f t="shared" si="18"/>
        <v>N/A</v>
      </c>
      <c r="M113" t="str">
        <f t="shared" si="19"/>
        <v>N/A</v>
      </c>
      <c r="N113" t="str">
        <f t="shared" si="20"/>
        <v>N/A</v>
      </c>
    </row>
    <row r="114" spans="1:14" x14ac:dyDescent="0.3">
      <c r="A114" s="1">
        <v>0</v>
      </c>
      <c r="B114" t="s">
        <v>191</v>
      </c>
      <c r="C114" t="s">
        <v>4601</v>
      </c>
      <c r="I114" t="str">
        <f t="shared" si="15"/>
        <v>N/A</v>
      </c>
      <c r="J114">
        <f t="shared" si="16"/>
        <v>22800</v>
      </c>
      <c r="K114" t="str">
        <f t="shared" si="17"/>
        <v>N/A</v>
      </c>
      <c r="L114" t="str">
        <f t="shared" si="18"/>
        <v>N/A</v>
      </c>
      <c r="M114" t="str">
        <f t="shared" si="19"/>
        <v>N/A</v>
      </c>
      <c r="N114" t="str">
        <f t="shared" si="20"/>
        <v>N/A</v>
      </c>
    </row>
    <row r="115" spans="1:14" x14ac:dyDescent="0.3">
      <c r="A115" s="1">
        <v>1</v>
      </c>
      <c r="B115" t="s">
        <v>193</v>
      </c>
      <c r="C115" t="s">
        <v>4602</v>
      </c>
      <c r="I115" t="str">
        <f t="shared" si="15"/>
        <v>N/A</v>
      </c>
      <c r="J115">
        <f t="shared" si="16"/>
        <v>17350</v>
      </c>
      <c r="K115" t="str">
        <f t="shared" si="17"/>
        <v>N/A</v>
      </c>
      <c r="L115" t="str">
        <f t="shared" si="18"/>
        <v>N/A</v>
      </c>
      <c r="M115" t="str">
        <f t="shared" si="19"/>
        <v>N/A</v>
      </c>
      <c r="N115" t="str">
        <f t="shared" si="20"/>
        <v>N/A</v>
      </c>
    </row>
    <row r="116" spans="1:14" x14ac:dyDescent="0.3">
      <c r="A116" s="1">
        <v>2</v>
      </c>
      <c r="B116" t="s">
        <v>195</v>
      </c>
      <c r="C116" t="s">
        <v>4603</v>
      </c>
      <c r="I116" t="str">
        <f t="shared" si="15"/>
        <v>N/A</v>
      </c>
      <c r="J116">
        <f t="shared" si="16"/>
        <v>62630000</v>
      </c>
      <c r="K116" t="str">
        <f t="shared" si="17"/>
        <v>N/A</v>
      </c>
      <c r="L116" t="str">
        <f t="shared" si="18"/>
        <v>N/A</v>
      </c>
      <c r="M116" t="str">
        <f t="shared" si="19"/>
        <v>N/A</v>
      </c>
      <c r="N116" t="str">
        <f t="shared" si="20"/>
        <v>N/A</v>
      </c>
    </row>
    <row r="117" spans="1:14" x14ac:dyDescent="0.3">
      <c r="A117" s="1">
        <v>3</v>
      </c>
      <c r="B117" t="s">
        <v>197</v>
      </c>
      <c r="C117" t="s">
        <v>3505</v>
      </c>
      <c r="I117" t="str">
        <f t="shared" si="15"/>
        <v>N/A</v>
      </c>
      <c r="J117">
        <f t="shared" si="16"/>
        <v>62570000</v>
      </c>
      <c r="K117" t="str">
        <f t="shared" si="17"/>
        <v>N/A</v>
      </c>
      <c r="L117" t="str">
        <f t="shared" si="18"/>
        <v>N/A</v>
      </c>
      <c r="M117" t="str">
        <f t="shared" si="19"/>
        <v>N/A</v>
      </c>
      <c r="N117" t="str">
        <f t="shared" si="20"/>
        <v>N/A</v>
      </c>
    </row>
    <row r="118" spans="1:14" x14ac:dyDescent="0.3">
      <c r="A118" s="1">
        <v>4</v>
      </c>
      <c r="B118" t="s">
        <v>199</v>
      </c>
      <c r="C118" t="s">
        <v>66</v>
      </c>
      <c r="I118" t="str">
        <f t="shared" si="15"/>
        <v>N/A</v>
      </c>
      <c r="J118">
        <f t="shared" si="16"/>
        <v>1E-3</v>
      </c>
      <c r="K118" t="str">
        <f t="shared" si="17"/>
        <v>N/A</v>
      </c>
      <c r="L118" t="str">
        <f t="shared" si="18"/>
        <v>N/A</v>
      </c>
      <c r="M118" t="str">
        <f t="shared" si="19"/>
        <v>N/A</v>
      </c>
      <c r="N118" t="str">
        <f t="shared" si="20"/>
        <v>N/A</v>
      </c>
    </row>
    <row r="119" spans="1:14" x14ac:dyDescent="0.3">
      <c r="A119" s="1">
        <v>5</v>
      </c>
      <c r="B119" t="s">
        <v>201</v>
      </c>
      <c r="C119" t="s">
        <v>4604</v>
      </c>
      <c r="I119" t="str">
        <f t="shared" si="15"/>
        <v>N/A</v>
      </c>
      <c r="J119">
        <f t="shared" si="16"/>
        <v>0.93900000000000006</v>
      </c>
      <c r="K119" t="str">
        <f t="shared" si="17"/>
        <v>N/A</v>
      </c>
      <c r="L119" t="str">
        <f t="shared" si="18"/>
        <v>N/A</v>
      </c>
      <c r="M119" t="str">
        <f t="shared" si="19"/>
        <v>N/A</v>
      </c>
      <c r="N119" t="str">
        <f t="shared" si="20"/>
        <v>N/A</v>
      </c>
    </row>
    <row r="120" spans="1:14" x14ac:dyDescent="0.3">
      <c r="A120" s="1">
        <v>6</v>
      </c>
      <c r="B120" t="s">
        <v>203</v>
      </c>
      <c r="C120" t="s">
        <v>4605</v>
      </c>
      <c r="I120" t="str">
        <f t="shared" si="15"/>
        <v>N/A</v>
      </c>
      <c r="J120">
        <f t="shared" si="16"/>
        <v>249200</v>
      </c>
      <c r="K120" t="str">
        <f t="shared" si="17"/>
        <v>N/A</v>
      </c>
      <c r="L120" t="str">
        <f t="shared" si="18"/>
        <v>N/A</v>
      </c>
      <c r="M120" t="str">
        <f t="shared" si="19"/>
        <v>N/A</v>
      </c>
      <c r="N120" t="str">
        <f t="shared" si="20"/>
        <v>N/A</v>
      </c>
    </row>
    <row r="121" spans="1:14" x14ac:dyDescent="0.3">
      <c r="A121" s="1">
        <v>7</v>
      </c>
      <c r="B121" t="s">
        <v>205</v>
      </c>
      <c r="C121" t="s">
        <v>3148</v>
      </c>
      <c r="I121" t="str">
        <f t="shared" si="15"/>
        <v>N/A</v>
      </c>
      <c r="J121">
        <f t="shared" si="16"/>
        <v>12.22</v>
      </c>
      <c r="K121" t="str">
        <f t="shared" si="17"/>
        <v>N/A</v>
      </c>
      <c r="L121" t="str">
        <f t="shared" si="18"/>
        <v>N/A</v>
      </c>
      <c r="M121" t="str">
        <f t="shared" si="19"/>
        <v>N/A</v>
      </c>
      <c r="N121" t="str">
        <f t="shared" si="20"/>
        <v>N/A</v>
      </c>
    </row>
    <row r="122" spans="1:14" x14ac:dyDescent="0.3">
      <c r="A122" s="1">
        <v>8</v>
      </c>
      <c r="B122" t="s">
        <v>207</v>
      </c>
      <c r="C122" t="s">
        <v>4606</v>
      </c>
      <c r="I122" t="str">
        <f t="shared" si="15"/>
        <v>N/A</v>
      </c>
      <c r="J122">
        <f t="shared" si="16"/>
        <v>4.7999999999999996E-3</v>
      </c>
      <c r="K122" t="str">
        <f t="shared" si="17"/>
        <v>N/A</v>
      </c>
      <c r="L122" t="str">
        <f t="shared" si="18"/>
        <v>N/A</v>
      </c>
      <c r="M122" t="str">
        <f t="shared" si="19"/>
        <v>N/A</v>
      </c>
      <c r="N122" t="str">
        <f t="shared" si="20"/>
        <v>N/A</v>
      </c>
    </row>
    <row r="123" spans="1:14" x14ac:dyDescent="0.3">
      <c r="A123" s="1">
        <v>9</v>
      </c>
      <c r="B123" t="s">
        <v>209</v>
      </c>
      <c r="C123" t="s">
        <v>4607</v>
      </c>
      <c r="I123" t="str">
        <f t="shared" si="15"/>
        <v>N/A</v>
      </c>
      <c r="J123">
        <f t="shared" si="16"/>
        <v>245710</v>
      </c>
      <c r="K123" t="str">
        <f t="shared" si="17"/>
        <v>N/A</v>
      </c>
      <c r="L123" t="str">
        <f t="shared" si="18"/>
        <v>N/A</v>
      </c>
      <c r="M123" t="str">
        <f t="shared" si="19"/>
        <v>N/A</v>
      </c>
      <c r="N123" t="str">
        <f t="shared" si="20"/>
        <v>N/A</v>
      </c>
    </row>
    <row r="124" spans="1:14" x14ac:dyDescent="0.3">
      <c r="I124" t="str">
        <f t="shared" ref="I124:I155" si="21">IF(AND(K124&gt; J124, L124&gt; K124, M124&gt; L124, N124&gt; M124), "pos_trend", IF(AND(K124&lt; J124, L124&lt; K124, M124&lt; L124, N124&lt; M124), "neg_trend", "N/A"))</f>
        <v>N/A</v>
      </c>
      <c r="J124" t="str">
        <f t="shared" ref="J124:J156" si="22">IFERROR(IF(TRIM(C124)="-", "N/A", IF(RIGHT(C124,1)=")",IF(RIGHT(C124,2)="T)",-1000000000000*VALUE(MID(C124,2,LEN(C124)-3)),IF(RIGHT(C124,2)="M)",-1000000*VALUE(MID(C124,2,LEN(C124)-3)),IF(RIGHT(C124,2)="B)",-1000000000*VALUE(MID(C124,2,LEN(C124)-3)),IF(RIGHT(C124,2)="k)",-1000*VALUE(MID(C124,2,LEN(C124)-3)),VALUE(SUBSTITUTE(C124,",","")))))),IF(RIGHT(C124,1)="T",1000000000000*VALUE(LEFT(C124,LEN(C124)-1)),IF(RIGHT(C124,1)="M",1000000*VALUE(LEFT(C124,LEN(C124)-1)),IF(RIGHT(C124,1)="B",1000000000*VALUE(LEFT(C124,LEN(C124)-1)),IF(RIGHT(C124,1)="%",0.01*VALUE(LEFT(C124,LEN(C124)-1)),IF(RIGHT(C124,1)="k",1000*VALUE(LEFT(C124,LEN(C124)-1)),VALUE(SUBSTITUTE(C124,",",""))))))))),"N/A")</f>
        <v>N/A</v>
      </c>
      <c r="K124" t="str">
        <f t="shared" ref="K124:K156" si="23">IFERROR(IF(TRIM(D124)="-", "N/A", IF(RIGHT(D124,1)=")",IF(RIGHT(D124,2)="T)",-1000000000000*VALUE(MID(D124,2,LEN(D124)-3)),IF(RIGHT(D124,2)="M)",-1000000*VALUE(MID(D124,2,LEN(D124)-3)),IF(RIGHT(D124,2)="B)",-1000000000*VALUE(MID(D124,2,LEN(D124)-3)),IF(RIGHT(D124,2)="k)",-1000*VALUE(MID(D124,2,LEN(D124)-3)),VALUE(SUBSTITUTE(D124,",","")))))),IF(RIGHT(D124,1)="T",1000000000000*VALUE(LEFT(D124,LEN(D124)-1)),IF(RIGHT(D124,1)="M",1000000*VALUE(LEFT(D124,LEN(D124)-1)),IF(RIGHT(D124,1)="B",1000000000*VALUE(LEFT(D124,LEN(D124)-1)),IF(RIGHT(D124,1)="%",0.01*VALUE(LEFT(D124,LEN(D124)-1)),IF(RIGHT(D124,1)="k",1000*VALUE(LEFT(D124,LEN(D124)-1)),VALUE(SUBSTITUTE(D124,",",""))))))))),"N/A")</f>
        <v>N/A</v>
      </c>
      <c r="L124" t="str">
        <f t="shared" ref="L124:L156" si="24">IFERROR(IF(TRIM(E124)="-", "N/A", IF(RIGHT(E124,1)=")",IF(RIGHT(E124,2)="T)",-1000000000000*VALUE(MID(E124,2,LEN(E124)-3)),IF(RIGHT(E124,2)="M)",-1000000*VALUE(MID(E124,2,LEN(E124)-3)),IF(RIGHT(E124,2)="B)",-1000000000*VALUE(MID(E124,2,LEN(E124)-3)),IF(RIGHT(E124,2)="k)",-1000*VALUE(MID(E124,2,LEN(E124)-3)),VALUE(SUBSTITUTE(E124,",","")))))),IF(RIGHT(E124,1)="T",1000000000000*VALUE(LEFT(E124,LEN(E124)-1)),IF(RIGHT(E124,1)="M",1000000*VALUE(LEFT(E124,LEN(E124)-1)),IF(RIGHT(E124,1)="B",1000000000*VALUE(LEFT(E124,LEN(E124)-1)),IF(RIGHT(E124,1)="%",0.01*VALUE(LEFT(E124,LEN(E124)-1)),IF(RIGHT(E124,1)="k",1000*VALUE(LEFT(E124,LEN(E124)-1)),VALUE(SUBSTITUTE(E124,",",""))))))))),"N/A")</f>
        <v>N/A</v>
      </c>
      <c r="M124" t="str">
        <f t="shared" ref="M124:M156" si="25">IFERROR(IF(TRIM(F124)="-", "N/A", IF(RIGHT(F124,1)=")",IF(RIGHT(F124,2)="T)",-1000000000000*VALUE(MID(F124,2,LEN(F124)-3)),IF(RIGHT(F124,2)="M)",-1000000*VALUE(MID(F124,2,LEN(F124)-3)),IF(RIGHT(F124,2)="B)",-1000000000*VALUE(MID(F124,2,LEN(F124)-3)),IF(RIGHT(F124,2)="k)",-1000*VALUE(MID(F124,2,LEN(F124)-3)),VALUE(SUBSTITUTE(F124,",","")))))),IF(RIGHT(F124,1)="T",1000000000000*VALUE(LEFT(F124,LEN(F124)-1)),IF(RIGHT(F124,1)="M",1000000*VALUE(LEFT(F124,LEN(F124)-1)),IF(RIGHT(F124,1)="B",1000000000*VALUE(LEFT(F124,LEN(F124)-1)),IF(RIGHT(F124,1)="%",0.01*VALUE(LEFT(F124,LEN(F124)-1)),IF(RIGHT(F124,1)="k",1000*VALUE(LEFT(F124,LEN(F124)-1)),VALUE(SUBSTITUTE(F124,",",""))))))))),"N/A")</f>
        <v>N/A</v>
      </c>
      <c r="N124" t="str">
        <f t="shared" ref="N124:N156" si="26">IFERROR(IF(TRIM(G124)="-", "N/A", IF(RIGHT(G124,1)=")",IF(RIGHT(G124,2)="T)",-1000000000000*VALUE(MID(G124,2,LEN(G124)-3)),IF(RIGHT(G124,2)="M)",-1000000*VALUE(MID(G124,2,LEN(G124)-3)),IF(RIGHT(G124,2)="B)",-1000000000*VALUE(MID(G124,2,LEN(G124)-3)),IF(RIGHT(G124,2)="k)",-1000*VALUE(MID(G124,2,LEN(G124)-3)),VALUE(SUBSTITUTE(G124,",","")))))),IF(RIGHT(G124,1)="T",1000000000000*VALUE(LEFT(G124,LEN(G124)-1)),IF(RIGHT(G124,1)="M",1000000*VALUE(LEFT(G124,LEN(G124)-1)),IF(RIGHT(G124,1)="B",1000000000*VALUE(LEFT(G124,LEN(G124)-1)),IF(RIGHT(G124,1)="%",0.01*VALUE(LEFT(G124,LEN(G124)-1)),IF(RIGHT(G124,1)="k",1000*VALUE(LEFT(G124,LEN(G124)-1)),VALUE(SUBSTITUTE(G124,",",""))))))))),"N/A")</f>
        <v>N/A</v>
      </c>
    </row>
    <row r="125" spans="1:14" x14ac:dyDescent="0.3">
      <c r="A125" s="1">
        <v>0</v>
      </c>
      <c r="B125" t="s">
        <v>211</v>
      </c>
      <c r="I125" t="str">
        <f t="shared" si="21"/>
        <v>N/A</v>
      </c>
      <c r="J125" t="str">
        <f t="shared" si="22"/>
        <v>N/A</v>
      </c>
      <c r="K125" t="str">
        <f t="shared" si="23"/>
        <v>N/A</v>
      </c>
      <c r="L125" t="str">
        <f t="shared" si="24"/>
        <v>N/A</v>
      </c>
      <c r="M125" t="str">
        <f t="shared" si="25"/>
        <v>N/A</v>
      </c>
      <c r="N125" t="str">
        <f t="shared" si="26"/>
        <v>N/A</v>
      </c>
    </row>
    <row r="126" spans="1:14" x14ac:dyDescent="0.3">
      <c r="A126" s="1">
        <v>1</v>
      </c>
      <c r="B126" t="s">
        <v>213</v>
      </c>
      <c r="I126" t="str">
        <f t="shared" si="21"/>
        <v>N/A</v>
      </c>
      <c r="J126" t="str">
        <f t="shared" si="22"/>
        <v>N/A</v>
      </c>
      <c r="K126" t="str">
        <f t="shared" si="23"/>
        <v>N/A</v>
      </c>
      <c r="L126" t="str">
        <f t="shared" si="24"/>
        <v>N/A</v>
      </c>
      <c r="M126" t="str">
        <f t="shared" si="25"/>
        <v>N/A</v>
      </c>
      <c r="N126" t="str">
        <f t="shared" si="26"/>
        <v>N/A</v>
      </c>
    </row>
    <row r="127" spans="1:14" x14ac:dyDescent="0.3">
      <c r="A127" s="1">
        <v>2</v>
      </c>
      <c r="B127" t="s">
        <v>215</v>
      </c>
      <c r="C127" t="s">
        <v>4608</v>
      </c>
      <c r="I127" t="str">
        <f t="shared" si="21"/>
        <v>N/A</v>
      </c>
      <c r="J127">
        <f t="shared" si="22"/>
        <v>1.66</v>
      </c>
      <c r="K127" t="str">
        <f t="shared" si="23"/>
        <v>N/A</v>
      </c>
      <c r="L127" t="str">
        <f t="shared" si="24"/>
        <v>N/A</v>
      </c>
      <c r="M127" t="str">
        <f t="shared" si="25"/>
        <v>N/A</v>
      </c>
      <c r="N127" t="str">
        <f t="shared" si="26"/>
        <v>N/A</v>
      </c>
    </row>
    <row r="128" spans="1:14" x14ac:dyDescent="0.3">
      <c r="A128" s="1">
        <v>3</v>
      </c>
      <c r="B128" t="s">
        <v>217</v>
      </c>
      <c r="C128" t="s">
        <v>4120</v>
      </c>
      <c r="I128" t="str">
        <f t="shared" si="21"/>
        <v>N/A</v>
      </c>
      <c r="J128">
        <f t="shared" si="22"/>
        <v>3.4700000000000002E-2</v>
      </c>
      <c r="K128" t="str">
        <f t="shared" si="23"/>
        <v>N/A</v>
      </c>
      <c r="L128" t="str">
        <f t="shared" si="24"/>
        <v>N/A</v>
      </c>
      <c r="M128" t="str">
        <f t="shared" si="25"/>
        <v>N/A</v>
      </c>
      <c r="N128" t="str">
        <f t="shared" si="26"/>
        <v>N/A</v>
      </c>
    </row>
    <row r="129" spans="1:60" x14ac:dyDescent="0.3">
      <c r="A129" s="1">
        <v>4</v>
      </c>
      <c r="B129" t="s">
        <v>219</v>
      </c>
      <c r="I129" t="str">
        <f t="shared" si="21"/>
        <v>N/A</v>
      </c>
      <c r="J129" t="str">
        <f t="shared" si="22"/>
        <v>N/A</v>
      </c>
      <c r="K129" t="str">
        <f t="shared" si="23"/>
        <v>N/A</v>
      </c>
      <c r="L129" t="str">
        <f t="shared" si="24"/>
        <v>N/A</v>
      </c>
      <c r="M129" t="str">
        <f t="shared" si="25"/>
        <v>N/A</v>
      </c>
      <c r="N129" t="str">
        <f t="shared" si="26"/>
        <v>N/A</v>
      </c>
    </row>
    <row r="130" spans="1:60" x14ac:dyDescent="0.3">
      <c r="A130" s="1">
        <v>5</v>
      </c>
      <c r="B130" t="s">
        <v>221</v>
      </c>
      <c r="I130" t="str">
        <f t="shared" si="21"/>
        <v>N/A</v>
      </c>
      <c r="J130" t="str">
        <f t="shared" si="22"/>
        <v>N/A</v>
      </c>
      <c r="K130" t="str">
        <f t="shared" si="23"/>
        <v>N/A</v>
      </c>
      <c r="L130" t="str">
        <f t="shared" si="24"/>
        <v>N/A</v>
      </c>
      <c r="M130" t="str">
        <f t="shared" si="25"/>
        <v>N/A</v>
      </c>
      <c r="N130" t="str">
        <f t="shared" si="26"/>
        <v>N/A</v>
      </c>
    </row>
    <row r="131" spans="1:60" x14ac:dyDescent="0.3">
      <c r="A131" s="1">
        <v>6</v>
      </c>
      <c r="B131" t="s">
        <v>223</v>
      </c>
      <c r="C131" t="s">
        <v>4609</v>
      </c>
      <c r="I131" t="str">
        <f t="shared" si="21"/>
        <v>N/A</v>
      </c>
      <c r="J131" t="str">
        <f t="shared" si="22"/>
        <v>N/A</v>
      </c>
      <c r="K131" t="str">
        <f t="shared" si="23"/>
        <v>N/A</v>
      </c>
      <c r="L131" t="str">
        <f t="shared" si="24"/>
        <v>N/A</v>
      </c>
      <c r="M131" t="str">
        <f t="shared" si="25"/>
        <v>N/A</v>
      </c>
      <c r="N131" t="str">
        <f t="shared" si="26"/>
        <v>N/A</v>
      </c>
    </row>
    <row r="132" spans="1:60" x14ac:dyDescent="0.3">
      <c r="A132" s="1">
        <v>7</v>
      </c>
      <c r="B132" t="s">
        <v>225</v>
      </c>
      <c r="I132" t="str">
        <f t="shared" si="21"/>
        <v>N/A</v>
      </c>
      <c r="J132" t="str">
        <f t="shared" si="22"/>
        <v>N/A</v>
      </c>
      <c r="K132" t="str">
        <f t="shared" si="23"/>
        <v>N/A</v>
      </c>
      <c r="L132" t="str">
        <f t="shared" si="24"/>
        <v>N/A</v>
      </c>
      <c r="M132" t="str">
        <f t="shared" si="25"/>
        <v>N/A</v>
      </c>
      <c r="N132" t="str">
        <f t="shared" si="26"/>
        <v>N/A</v>
      </c>
    </row>
    <row r="133" spans="1:60" x14ac:dyDescent="0.3">
      <c r="A133" s="1">
        <v>8</v>
      </c>
      <c r="B133" t="s">
        <v>227</v>
      </c>
      <c r="C133" t="s">
        <v>1773</v>
      </c>
      <c r="I133" t="str">
        <f t="shared" si="21"/>
        <v>N/A</v>
      </c>
      <c r="J133">
        <f t="shared" si="22"/>
        <v>42767</v>
      </c>
      <c r="K133" t="str">
        <f t="shared" si="23"/>
        <v>N/A</v>
      </c>
      <c r="L133" t="str">
        <f t="shared" si="24"/>
        <v>N/A</v>
      </c>
      <c r="M133" t="str">
        <f t="shared" si="25"/>
        <v>N/A</v>
      </c>
      <c r="N133" t="str">
        <f t="shared" si="26"/>
        <v>N/A</v>
      </c>
    </row>
    <row r="134" spans="1:60" x14ac:dyDescent="0.3">
      <c r="A134" s="1">
        <v>9</v>
      </c>
      <c r="B134" t="s">
        <v>229</v>
      </c>
      <c r="C134" t="s">
        <v>4610</v>
      </c>
      <c r="I134" t="str">
        <f t="shared" si="21"/>
        <v>N/A</v>
      </c>
      <c r="J134" t="str">
        <f t="shared" si="22"/>
        <v>N/A</v>
      </c>
      <c r="K134" t="str">
        <f t="shared" si="23"/>
        <v>N/A</v>
      </c>
      <c r="L134" t="str">
        <f t="shared" si="24"/>
        <v>N/A</v>
      </c>
      <c r="M134" t="str">
        <f t="shared" si="25"/>
        <v>N/A</v>
      </c>
      <c r="N134" t="str">
        <f t="shared" si="26"/>
        <v>N/A</v>
      </c>
    </row>
    <row r="135" spans="1:60" x14ac:dyDescent="0.3">
      <c r="I135" t="str">
        <f t="shared" si="21"/>
        <v>N/A</v>
      </c>
      <c r="J135" t="str">
        <f t="shared" si="22"/>
        <v>N/A</v>
      </c>
      <c r="K135" t="str">
        <f t="shared" si="23"/>
        <v>N/A</v>
      </c>
      <c r="L135" t="str">
        <f t="shared" si="24"/>
        <v>N/A</v>
      </c>
      <c r="M135" t="str">
        <f t="shared" si="25"/>
        <v>N/A</v>
      </c>
      <c r="N135" t="str">
        <f t="shared" si="26"/>
        <v>N/A</v>
      </c>
    </row>
    <row r="136" spans="1:60" x14ac:dyDescent="0.3">
      <c r="I136" t="str">
        <f t="shared" si="21"/>
        <v>N/A</v>
      </c>
      <c r="J136" t="str">
        <f t="shared" si="22"/>
        <v>N/A</v>
      </c>
      <c r="K136" t="str">
        <f t="shared" si="23"/>
        <v>N/A</v>
      </c>
      <c r="L136" t="str">
        <f t="shared" si="24"/>
        <v>N/A</v>
      </c>
      <c r="M136" t="str">
        <f t="shared" si="25"/>
        <v>N/A</v>
      </c>
      <c r="N136" t="str">
        <f t="shared" si="26"/>
        <v>N/A</v>
      </c>
    </row>
    <row r="137" spans="1:60" x14ac:dyDescent="0.3">
      <c r="B137" s="1" t="s">
        <v>231</v>
      </c>
      <c r="C137" s="1" t="s">
        <v>232</v>
      </c>
      <c r="D137" s="1" t="s">
        <v>233</v>
      </c>
      <c r="E137" s="1" t="s">
        <v>234</v>
      </c>
      <c r="F137" s="1" t="s">
        <v>235</v>
      </c>
      <c r="I137" t="str">
        <f t="shared" si="21"/>
        <v>N/A</v>
      </c>
      <c r="J137" t="str">
        <f t="shared" si="22"/>
        <v>N/A</v>
      </c>
      <c r="K137" t="str">
        <f t="shared" si="23"/>
        <v>N/A</v>
      </c>
      <c r="L137" t="str">
        <f t="shared" si="24"/>
        <v>N/A</v>
      </c>
      <c r="M137" t="str">
        <f t="shared" si="25"/>
        <v>N/A</v>
      </c>
      <c r="N137" t="str">
        <f t="shared" si="26"/>
        <v>N/A</v>
      </c>
    </row>
    <row r="138" spans="1:60" x14ac:dyDescent="0.3">
      <c r="A138" s="1">
        <v>0</v>
      </c>
      <c r="B138" t="s">
        <v>4611</v>
      </c>
      <c r="C138" t="s">
        <v>237</v>
      </c>
      <c r="F138">
        <v>63</v>
      </c>
      <c r="I138" t="str">
        <f t="shared" si="21"/>
        <v>N/A</v>
      </c>
      <c r="J138" t="str">
        <f t="shared" si="22"/>
        <v>N/A</v>
      </c>
      <c r="K138" t="str">
        <f t="shared" si="23"/>
        <v>N/A</v>
      </c>
      <c r="L138" t="str">
        <f t="shared" si="24"/>
        <v>N/A</v>
      </c>
      <c r="M138">
        <f t="shared" si="25"/>
        <v>63</v>
      </c>
      <c r="N138" t="str">
        <f t="shared" si="26"/>
        <v>N/A</v>
      </c>
    </row>
    <row r="139" spans="1:60" x14ac:dyDescent="0.3">
      <c r="A139" s="1">
        <v>1</v>
      </c>
      <c r="B139" t="s">
        <v>4612</v>
      </c>
      <c r="C139" t="s">
        <v>4613</v>
      </c>
      <c r="F139">
        <v>53</v>
      </c>
      <c r="I139" t="str">
        <f t="shared" si="21"/>
        <v>N/A</v>
      </c>
      <c r="J139" t="str">
        <f t="shared" si="22"/>
        <v>N/A</v>
      </c>
      <c r="K139" t="str">
        <f t="shared" si="23"/>
        <v>N/A</v>
      </c>
      <c r="L139" t="str">
        <f t="shared" si="24"/>
        <v>N/A</v>
      </c>
      <c r="M139">
        <f t="shared" si="25"/>
        <v>53</v>
      </c>
      <c r="N139" t="str">
        <f t="shared" si="26"/>
        <v>N/A</v>
      </c>
    </row>
    <row r="140" spans="1:60" x14ac:dyDescent="0.3">
      <c r="A140" s="1">
        <v>2</v>
      </c>
      <c r="B140" t="s">
        <v>4614</v>
      </c>
      <c r="C140" t="s">
        <v>4615</v>
      </c>
      <c r="F140">
        <v>63</v>
      </c>
      <c r="I140" t="str">
        <f t="shared" si="21"/>
        <v>N/A</v>
      </c>
      <c r="J140" t="str">
        <f t="shared" si="22"/>
        <v>N/A</v>
      </c>
      <c r="K140" t="str">
        <f t="shared" si="23"/>
        <v>N/A</v>
      </c>
      <c r="L140" t="str">
        <f t="shared" si="24"/>
        <v>N/A</v>
      </c>
      <c r="M140">
        <f t="shared" si="25"/>
        <v>63</v>
      </c>
      <c r="N140" t="str">
        <f t="shared" si="26"/>
        <v>N/A</v>
      </c>
    </row>
    <row r="141" spans="1:60" x14ac:dyDescent="0.3">
      <c r="A141" s="1">
        <v>3</v>
      </c>
      <c r="B141" t="s">
        <v>4616</v>
      </c>
      <c r="C141" t="s">
        <v>4617</v>
      </c>
      <c r="F141">
        <v>55</v>
      </c>
      <c r="I141" t="str">
        <f t="shared" si="21"/>
        <v>N/A</v>
      </c>
      <c r="J141" t="str">
        <f t="shared" si="22"/>
        <v>N/A</v>
      </c>
      <c r="K141" t="str">
        <f t="shared" si="23"/>
        <v>N/A</v>
      </c>
      <c r="L141" t="str">
        <f t="shared" si="24"/>
        <v>N/A</v>
      </c>
      <c r="M141">
        <f t="shared" si="25"/>
        <v>55</v>
      </c>
      <c r="N141" t="str">
        <f t="shared" si="26"/>
        <v>N/A</v>
      </c>
    </row>
    <row r="142" spans="1:60" x14ac:dyDescent="0.3">
      <c r="A142" s="1">
        <v>4</v>
      </c>
      <c r="B142" t="s">
        <v>4618</v>
      </c>
      <c r="C142" t="s">
        <v>4619</v>
      </c>
      <c r="F142">
        <v>52</v>
      </c>
      <c r="I142" t="str">
        <f t="shared" si="21"/>
        <v>N/A</v>
      </c>
      <c r="J142" t="str">
        <f t="shared" si="22"/>
        <v>N/A</v>
      </c>
      <c r="K142" t="str">
        <f t="shared" si="23"/>
        <v>N/A</v>
      </c>
      <c r="L142" t="str">
        <f t="shared" si="24"/>
        <v>N/A</v>
      </c>
      <c r="M142">
        <f t="shared" si="25"/>
        <v>52</v>
      </c>
      <c r="N142" t="str">
        <f t="shared" si="26"/>
        <v>N/A</v>
      </c>
    </row>
    <row r="143" spans="1:60" x14ac:dyDescent="0.3">
      <c r="I143" t="str">
        <f t="shared" si="21"/>
        <v>N/A</v>
      </c>
      <c r="J143" t="str">
        <f t="shared" si="22"/>
        <v>N/A</v>
      </c>
      <c r="K143" t="str">
        <f t="shared" si="23"/>
        <v>N/A</v>
      </c>
      <c r="L143" t="str">
        <f t="shared" si="24"/>
        <v>N/A</v>
      </c>
      <c r="M143" t="str">
        <f t="shared" si="25"/>
        <v>N/A</v>
      </c>
      <c r="N143" t="str">
        <f t="shared" si="26"/>
        <v>N/A</v>
      </c>
      <c r="V143" t="str">
        <f>"z-score"</f>
        <v>z-score</v>
      </c>
    </row>
    <row r="144" spans="1:60" x14ac:dyDescent="0.3">
      <c r="B144" s="1">
        <v>0</v>
      </c>
      <c r="C144" s="1">
        <v>1</v>
      </c>
      <c r="I144" t="str">
        <f t="shared" si="21"/>
        <v>N/A</v>
      </c>
      <c r="J144">
        <f t="shared" si="22"/>
        <v>1</v>
      </c>
      <c r="K144" t="str">
        <f t="shared" si="23"/>
        <v>N/A</v>
      </c>
      <c r="L144" t="str">
        <f t="shared" si="24"/>
        <v>N/A</v>
      </c>
      <c r="M144" t="str">
        <f t="shared" si="25"/>
        <v>N/A</v>
      </c>
      <c r="N144" t="str">
        <f t="shared" si="26"/>
        <v>N/A</v>
      </c>
      <c r="P144" t="str">
        <f>"Max"</f>
        <v>Max</v>
      </c>
      <c r="Q144" t="str">
        <f>"Max Year"</f>
        <v>Max Year</v>
      </c>
      <c r="R144" t="str">
        <f>"Min"</f>
        <v>Min</v>
      </c>
      <c r="S144" t="str">
        <f>"Min Year"</f>
        <v>Min Year</v>
      </c>
      <c r="T144" t="str">
        <f>"Average"</f>
        <v>Average</v>
      </c>
      <c r="U144" t="str">
        <f>"SD"</f>
        <v>SD</v>
      </c>
      <c r="V144">
        <f>J144</f>
        <v>1</v>
      </c>
      <c r="W144" t="str">
        <f>K144</f>
        <v>N/A</v>
      </c>
      <c r="X144" t="str">
        <f>L144</f>
        <v>N/A</v>
      </c>
      <c r="Y144" t="str">
        <f>M144</f>
        <v>N/A</v>
      </c>
      <c r="Z144" t="str">
        <f>N144</f>
        <v>N/A</v>
      </c>
      <c r="AA144" t="str">
        <f>"Max z"</f>
        <v>Max z</v>
      </c>
      <c r="AB144" t="str">
        <f>"Max z Year"</f>
        <v>Max z Year</v>
      </c>
      <c r="AC144" t="str">
        <f>"Direction"</f>
        <v>Direction</v>
      </c>
      <c r="AE144" t="str">
        <f>"Trendline"</f>
        <v>Trendline</v>
      </c>
      <c r="AF144" t="str">
        <f>"Correlation"</f>
        <v>Correlation</v>
      </c>
      <c r="AZ144" t="str">
        <f>"Max/Min inequality check"</f>
        <v>Max/Min inequality check</v>
      </c>
      <c r="BA144" t="str">
        <f>"If most recent year is max"</f>
        <v>If most recent year is max</v>
      </c>
      <c r="BC144" t="str">
        <f>"If most recent year is min"</f>
        <v>If most recent year is min</v>
      </c>
      <c r="BE144" t="str">
        <f>"Trend direction"</f>
        <v>Trend direction</v>
      </c>
      <c r="BF144" t="str">
        <f>"If trend matched by max or min in most recent year"</f>
        <v>If trend matched by max or min in most recent year</v>
      </c>
      <c r="BG144" t="str">
        <f>"If 5 years of increasing"</f>
        <v>If 5 years of increasing</v>
      </c>
      <c r="BH144" t="str">
        <f>"If correlation &gt; .8"</f>
        <v>If correlation &gt; .8</v>
      </c>
    </row>
    <row r="145" spans="1:60" x14ac:dyDescent="0.3">
      <c r="A145" s="1">
        <v>0</v>
      </c>
      <c r="B145" t="s">
        <v>123</v>
      </c>
      <c r="C145" t="s">
        <v>4620</v>
      </c>
      <c r="I145" t="str">
        <f t="shared" si="21"/>
        <v>N/A</v>
      </c>
      <c r="J145">
        <f t="shared" si="22"/>
        <v>1470000000</v>
      </c>
      <c r="K145" t="str">
        <f t="shared" si="23"/>
        <v>N/A</v>
      </c>
      <c r="L145" t="str">
        <f t="shared" si="24"/>
        <v>N/A</v>
      </c>
      <c r="M145" t="str">
        <f t="shared" si="25"/>
        <v>N/A</v>
      </c>
      <c r="N145" t="str">
        <f t="shared" si="26"/>
        <v>N/A</v>
      </c>
      <c r="P145">
        <f t="shared" ref="P145:P208" si="27">MAX(J145:N145)</f>
        <v>1470000000</v>
      </c>
      <c r="Q145">
        <f>IFERROR(J144+MATCH(P145,J145:N145,0)-1,"")</f>
        <v>1</v>
      </c>
      <c r="R145">
        <f t="shared" ref="R145:R208" si="28">IF(Q145="","",MIN(J145:N145))</f>
        <v>1470000000</v>
      </c>
      <c r="S145">
        <f>IFERROR(J144+MATCH(R145,J145:N145,0)-1,"")</f>
        <v>1</v>
      </c>
      <c r="T145">
        <f t="shared" ref="T145:T208" si="29">IFERROR(AVERAGE(J145:N145),"")</f>
        <v>1470000000</v>
      </c>
      <c r="U145" t="str">
        <f t="shared" ref="U145:U208" si="30">IFERROR(STDEV(J145:N145),"")</f>
        <v/>
      </c>
      <c r="V145" t="str">
        <f t="shared" ref="V145:V208" si="31">IFERROR(IF(C145="-","",IF(ISBLANK(B145),"",IF(OR(ISNUMBER(FIND("Growth",B145)),ISNUMBER(FIND("Margin",B145))),"",(J145-T145)/U145))),"")</f>
        <v/>
      </c>
      <c r="W145" t="str">
        <f t="shared" ref="W145:W208" si="32">IFERROR(IF(OR(D145="-",ISBLANK(D145)),"",(K145-T145)/U145),"")</f>
        <v/>
      </c>
      <c r="X145" t="str">
        <f t="shared" ref="X145:X208" si="33">IFERROR(IF(OR(E145="-",ISBLANK(E145)),"",(L145-T145)/U145),"")</f>
        <v/>
      </c>
      <c r="Y145" t="str">
        <f t="shared" ref="Y145:Y208" si="34">IFERROR(IF(OR(F145="-",ISBLANK(F145)),"",(M145-T145)/U145),"")</f>
        <v/>
      </c>
      <c r="Z145" t="str">
        <f t="shared" ref="Z145:Z208" si="35">IFERROR(IF(OR(G145="-",ISBLANK(G145)),"",(N145-T145)/U145),"")</f>
        <v/>
      </c>
      <c r="AA145">
        <f t="shared" ref="AA145:AA208" si="36">IF(MAX(MAX(V145:Z145),ABS(MIN(V145:Z145)))=ABS(MIN(V145:Z145)),MIN(V145:Z145),MAX(V145:Z145))</f>
        <v>0</v>
      </c>
      <c r="AB145" t="str">
        <f>IFERROR(V144+MATCH(AA145,V145:Z145,0)-1,"")</f>
        <v/>
      </c>
      <c r="AC145" t="str">
        <f t="shared" ref="AC145:AC208" si="37">IF(AB145&lt;&gt;"",IF(S145=AB145,"Low",IF(AB145=Q145,"High","")),"")</f>
        <v/>
      </c>
      <c r="AE145" t="str">
        <f>IF(ISNUMBER(MATCH("N/A",J145:N145,0)),"",IFERROR((5 * SUMPRODUCT(J144:N144,J145:N145) - PRODUCT(SUM(J144:N144),SUM(J145:N145))) / ((5 * SUM((J144^2)+(K144^2)+(L144^2)+(M144^2)+(N144^2))) - SUM(J144:N144)^2),""))</f>
        <v/>
      </c>
      <c r="AF145" t="str">
        <f>IFERROR(CORREL(J144:N144,J145:N145),"")</f>
        <v/>
      </c>
      <c r="AZ145">
        <f t="shared" ref="AZ145:AZ208" si="38">IF(Q145=S145,0,1)</f>
        <v>0</v>
      </c>
      <c r="BA145" t="str">
        <f>IF(AZ145=1,IF(Q145="","",IF(Q145=N144,"Yes","No")),"")</f>
        <v/>
      </c>
      <c r="BB145" t="str">
        <f t="shared" ref="BB145:BB208" si="39">IF(BA145="Yes",P145,"")</f>
        <v/>
      </c>
      <c r="BC145" t="str">
        <f>IF(AZ145=1,IF(S145="","",IF(S145=N144,"Yes","No")),"")</f>
        <v/>
      </c>
      <c r="BD145" t="str">
        <f t="shared" ref="BD145:BD208" si="40">IF(BC145="Yes",R145,"")</f>
        <v/>
      </c>
      <c r="BE145" t="str">
        <f t="shared" ref="BE145:BE208" si="41">IFERROR(IF(SIGN(AE145)=1,"Increasing",IF(SIGN(AE145)=-1,"Decreasing","")),"")</f>
        <v/>
      </c>
      <c r="BF145" t="str">
        <f t="shared" ref="BF145:BF208" si="42">IF(OR(AND(BE145="Increasing",BA145="Yes"),AND(BE145="Decreasing",BC145="Yes")),"Yes","No")</f>
        <v>No</v>
      </c>
      <c r="BG145" t="str">
        <f t="shared" ref="BG145:BG208" si="43">IF(I145="pos_trend","Yes","No")</f>
        <v>No</v>
      </c>
      <c r="BH145" t="str">
        <f t="shared" ref="BH145:BH208" si="44">IF(AF145&lt;&gt;"",IF(ABS(AF145)&gt;0.8,"Yes","No"),"")</f>
        <v/>
      </c>
    </row>
    <row r="146" spans="1:60" x14ac:dyDescent="0.3">
      <c r="A146" s="1">
        <v>1</v>
      </c>
      <c r="B146" t="s">
        <v>124</v>
      </c>
      <c r="I146" t="str">
        <f t="shared" si="21"/>
        <v>N/A</v>
      </c>
      <c r="J146" t="str">
        <f t="shared" si="22"/>
        <v>N/A</v>
      </c>
      <c r="K146" t="str">
        <f t="shared" si="23"/>
        <v>N/A</v>
      </c>
      <c r="L146" t="str">
        <f t="shared" si="24"/>
        <v>N/A</v>
      </c>
      <c r="M146" t="str">
        <f t="shared" si="25"/>
        <v>N/A</v>
      </c>
      <c r="N146" t="str">
        <f t="shared" si="26"/>
        <v>N/A</v>
      </c>
      <c r="P146">
        <f t="shared" si="27"/>
        <v>0</v>
      </c>
      <c r="Q146" t="str">
        <f>IFERROR(J144+MATCH(P146,J146:N146,0)-1,"")</f>
        <v/>
      </c>
      <c r="R146" t="str">
        <f t="shared" si="28"/>
        <v/>
      </c>
      <c r="S146" t="str">
        <f>IFERROR(J144+MATCH(R146,J146:N146,0)-1,"")</f>
        <v/>
      </c>
      <c r="T146" t="str">
        <f t="shared" si="29"/>
        <v/>
      </c>
      <c r="U146" t="str">
        <f t="shared" si="30"/>
        <v/>
      </c>
      <c r="V146" t="str">
        <f t="shared" si="31"/>
        <v/>
      </c>
      <c r="W146" t="str">
        <f t="shared" si="32"/>
        <v/>
      </c>
      <c r="X146" t="str">
        <f t="shared" si="33"/>
        <v/>
      </c>
      <c r="Y146" t="str">
        <f t="shared" si="34"/>
        <v/>
      </c>
      <c r="Z146" t="str">
        <f t="shared" si="35"/>
        <v/>
      </c>
      <c r="AA146">
        <f t="shared" si="36"/>
        <v>0</v>
      </c>
      <c r="AB146" t="str">
        <f>IFERROR(V144+MATCH(AA146,V146:Z146,0)-1,"")</f>
        <v/>
      </c>
      <c r="AC146" t="str">
        <f t="shared" si="37"/>
        <v/>
      </c>
      <c r="AE146" t="str">
        <f>IF(ISNUMBER(MATCH("N/A",J146:N146,0)),"",IFERROR((5 * SUMPRODUCT(J144:N144,J146:N146) - PRODUCT(SUM(J144:N144),SUM(J146:N146))) / ((5 * SUM((J144^2)+(K144^2)+(L144^2)+(M144^2)+(N144^2))) - SUM(J144:N144)^2),""))</f>
        <v/>
      </c>
      <c r="AF146" t="str">
        <f>IFERROR(CORREL(J144:N144,J146:N146),"")</f>
        <v/>
      </c>
      <c r="AZ146">
        <f t="shared" si="38"/>
        <v>0</v>
      </c>
      <c r="BA146" t="str">
        <f>IF(AZ146=1,IF(Q146="","",IF(Q146=N144,"Yes","No")),"")</f>
        <v/>
      </c>
      <c r="BB146" t="str">
        <f t="shared" si="39"/>
        <v/>
      </c>
      <c r="BC146" t="str">
        <f>IF(AZ146=1,IF(S146="","",IF(S146=N144,"Yes","No")),"")</f>
        <v/>
      </c>
      <c r="BD146" t="str">
        <f t="shared" si="40"/>
        <v/>
      </c>
      <c r="BE146" t="str">
        <f t="shared" si="41"/>
        <v/>
      </c>
      <c r="BF146" t="str">
        <f t="shared" si="42"/>
        <v>No</v>
      </c>
      <c r="BG146" t="str">
        <f t="shared" si="43"/>
        <v>No</v>
      </c>
      <c r="BH146" t="str">
        <f t="shared" si="44"/>
        <v/>
      </c>
    </row>
    <row r="147" spans="1:60" x14ac:dyDescent="0.3">
      <c r="A147" s="1">
        <v>2</v>
      </c>
      <c r="B147" t="s">
        <v>125</v>
      </c>
      <c r="C147" t="s">
        <v>4621</v>
      </c>
      <c r="I147" t="str">
        <f t="shared" si="21"/>
        <v>N/A</v>
      </c>
      <c r="J147">
        <f t="shared" si="22"/>
        <v>6.81</v>
      </c>
      <c r="K147" t="str">
        <f t="shared" si="23"/>
        <v>N/A</v>
      </c>
      <c r="L147" t="str">
        <f t="shared" si="24"/>
        <v>N/A</v>
      </c>
      <c r="M147" t="str">
        <f t="shared" si="25"/>
        <v>N/A</v>
      </c>
      <c r="N147" t="str">
        <f t="shared" si="26"/>
        <v>N/A</v>
      </c>
      <c r="P147">
        <f t="shared" si="27"/>
        <v>6.81</v>
      </c>
      <c r="Q147">
        <f>IFERROR(J144+MATCH(P147,J147:N147,0)-1,"")</f>
        <v>1</v>
      </c>
      <c r="R147">
        <f t="shared" si="28"/>
        <v>6.81</v>
      </c>
      <c r="S147">
        <f>IFERROR(J144+MATCH(R147,J147:N147,0)-1,"")</f>
        <v>1</v>
      </c>
      <c r="T147">
        <f t="shared" si="29"/>
        <v>6.81</v>
      </c>
      <c r="U147" t="str">
        <f t="shared" si="30"/>
        <v/>
      </c>
      <c r="V147" t="str">
        <f t="shared" si="31"/>
        <v/>
      </c>
      <c r="W147" t="str">
        <f t="shared" si="32"/>
        <v/>
      </c>
      <c r="X147" t="str">
        <f t="shared" si="33"/>
        <v/>
      </c>
      <c r="Y147" t="str">
        <f t="shared" si="34"/>
        <v/>
      </c>
      <c r="Z147" t="str">
        <f t="shared" si="35"/>
        <v/>
      </c>
      <c r="AA147">
        <f t="shared" si="36"/>
        <v>0</v>
      </c>
      <c r="AB147" t="str">
        <f>IFERROR(V144+MATCH(AA147,V147:Z147,0)-1,"")</f>
        <v/>
      </c>
      <c r="AC147" t="str">
        <f t="shared" si="37"/>
        <v/>
      </c>
      <c r="AE147" t="str">
        <f>IF(ISNUMBER(MATCH("N/A",J147:N147,0)),"",IFERROR((5 * SUMPRODUCT(J144:N144,J147:N147) - PRODUCT(SUM(J144:N144),SUM(J147:N147))) / ((5 * SUM((J144^2)+(K144^2)+(L144^2)+(M144^2)+(N144^2))) - SUM(J144:N144)^2),""))</f>
        <v/>
      </c>
      <c r="AF147" t="str">
        <f>IFERROR(CORREL(J144:N144,J147:N147),"")</f>
        <v/>
      </c>
      <c r="AZ147">
        <f t="shared" si="38"/>
        <v>0</v>
      </c>
      <c r="BA147" t="str">
        <f>IF(AZ147=1,IF(Q147="","",IF(Q147=N144,"Yes","No")),"")</f>
        <v/>
      </c>
      <c r="BB147" t="str">
        <f t="shared" si="39"/>
        <v/>
      </c>
      <c r="BC147" t="str">
        <f>IF(AZ147=1,IF(S147="","",IF(S147=N144,"Yes","No")),"")</f>
        <v/>
      </c>
      <c r="BD147" t="str">
        <f t="shared" si="40"/>
        <v/>
      </c>
      <c r="BE147" t="str">
        <f t="shared" si="41"/>
        <v/>
      </c>
      <c r="BF147" t="str">
        <f t="shared" si="42"/>
        <v>No</v>
      </c>
      <c r="BG147" t="str">
        <f t="shared" si="43"/>
        <v>No</v>
      </c>
      <c r="BH147" t="str">
        <f t="shared" si="44"/>
        <v/>
      </c>
    </row>
    <row r="148" spans="1:60" x14ac:dyDescent="0.3">
      <c r="A148" s="1">
        <v>3</v>
      </c>
      <c r="B148" t="s">
        <v>126</v>
      </c>
      <c r="C148" t="s">
        <v>4622</v>
      </c>
      <c r="I148" t="str">
        <f t="shared" si="21"/>
        <v>N/A</v>
      </c>
      <c r="J148">
        <f t="shared" si="22"/>
        <v>10.43</v>
      </c>
      <c r="K148" t="str">
        <f t="shared" si="23"/>
        <v>N/A</v>
      </c>
      <c r="L148" t="str">
        <f t="shared" si="24"/>
        <v>N/A</v>
      </c>
      <c r="M148" t="str">
        <f t="shared" si="25"/>
        <v>N/A</v>
      </c>
      <c r="N148" t="str">
        <f t="shared" si="26"/>
        <v>N/A</v>
      </c>
      <c r="P148">
        <f t="shared" si="27"/>
        <v>10.43</v>
      </c>
      <c r="Q148">
        <f>IFERROR(J144+MATCH(P148,J148:N148,0)-1,"")</f>
        <v>1</v>
      </c>
      <c r="R148">
        <f t="shared" si="28"/>
        <v>10.43</v>
      </c>
      <c r="S148">
        <f>IFERROR(J144+MATCH(R148,J148:N148,0)-1,"")</f>
        <v>1</v>
      </c>
      <c r="T148">
        <f t="shared" si="29"/>
        <v>10.43</v>
      </c>
      <c r="U148" t="str">
        <f t="shared" si="30"/>
        <v/>
      </c>
      <c r="V148" t="str">
        <f t="shared" si="31"/>
        <v/>
      </c>
      <c r="W148" t="str">
        <f t="shared" si="32"/>
        <v/>
      </c>
      <c r="X148" t="str">
        <f t="shared" si="33"/>
        <v/>
      </c>
      <c r="Y148" t="str">
        <f t="shared" si="34"/>
        <v/>
      </c>
      <c r="Z148" t="str">
        <f t="shared" si="35"/>
        <v/>
      </c>
      <c r="AA148">
        <f t="shared" si="36"/>
        <v>0</v>
      </c>
      <c r="AB148" t="str">
        <f>IFERROR(V144+MATCH(AA148,V148:Z148,0)-1,"")</f>
        <v/>
      </c>
      <c r="AC148" t="str">
        <f t="shared" si="37"/>
        <v/>
      </c>
      <c r="AE148" t="str">
        <f>IF(ISNUMBER(MATCH("N/A",J148:N148,0)),"",IFERROR((5 * SUMPRODUCT(J144:N144,J148:N148) - PRODUCT(SUM(J144:N144),SUM(J148:N148))) / ((5 * SUM((J144^2)+(K144^2)+(L144^2)+(M144^2)+(N144^2))) - SUM(J144:N144)^2),""))</f>
        <v/>
      </c>
      <c r="AF148" t="str">
        <f>IFERROR(CORREL(J144:N144,J148:N148),"")</f>
        <v/>
      </c>
      <c r="AZ148">
        <f t="shared" si="38"/>
        <v>0</v>
      </c>
      <c r="BA148" t="str">
        <f>IF(AZ148=1,IF(Q148="","",IF(Q148=N144,"Yes","No")),"")</f>
        <v/>
      </c>
      <c r="BB148" t="str">
        <f t="shared" si="39"/>
        <v/>
      </c>
      <c r="BC148" t="str">
        <f>IF(AZ148=1,IF(S148="","",IF(S148=N144,"Yes","No")),"")</f>
        <v/>
      </c>
      <c r="BD148" t="str">
        <f t="shared" si="40"/>
        <v/>
      </c>
      <c r="BE148" t="str">
        <f t="shared" si="41"/>
        <v/>
      </c>
      <c r="BF148" t="str">
        <f t="shared" si="42"/>
        <v>No</v>
      </c>
      <c r="BG148" t="str">
        <f t="shared" si="43"/>
        <v>No</v>
      </c>
      <c r="BH148" t="str">
        <f t="shared" si="44"/>
        <v/>
      </c>
    </row>
    <row r="149" spans="1:60" x14ac:dyDescent="0.3">
      <c r="A149" s="1">
        <v>4</v>
      </c>
      <c r="B149" t="s">
        <v>128</v>
      </c>
      <c r="C149" t="s">
        <v>4623</v>
      </c>
      <c r="I149" t="str">
        <f t="shared" si="21"/>
        <v>N/A</v>
      </c>
      <c r="J149">
        <f t="shared" si="22"/>
        <v>0.36</v>
      </c>
      <c r="K149" t="str">
        <f t="shared" si="23"/>
        <v>N/A</v>
      </c>
      <c r="L149" t="str">
        <f t="shared" si="24"/>
        <v>N/A</v>
      </c>
      <c r="M149" t="str">
        <f t="shared" si="25"/>
        <v>N/A</v>
      </c>
      <c r="N149" t="str">
        <f t="shared" si="26"/>
        <v>N/A</v>
      </c>
      <c r="P149">
        <f t="shared" si="27"/>
        <v>0.36</v>
      </c>
      <c r="Q149">
        <f>IFERROR(J144+MATCH(P149,J149:N149,0)-1,"")</f>
        <v>1</v>
      </c>
      <c r="R149">
        <f t="shared" si="28"/>
        <v>0.36</v>
      </c>
      <c r="S149">
        <f>IFERROR(J144+MATCH(R149,J149:N149,0)-1,"")</f>
        <v>1</v>
      </c>
      <c r="T149">
        <f t="shared" si="29"/>
        <v>0.36</v>
      </c>
      <c r="U149" t="str">
        <f t="shared" si="30"/>
        <v/>
      </c>
      <c r="V149" t="str">
        <f t="shared" si="31"/>
        <v/>
      </c>
      <c r="W149" t="str">
        <f t="shared" si="32"/>
        <v/>
      </c>
      <c r="X149" t="str">
        <f t="shared" si="33"/>
        <v/>
      </c>
      <c r="Y149" t="str">
        <f t="shared" si="34"/>
        <v/>
      </c>
      <c r="Z149" t="str">
        <f t="shared" si="35"/>
        <v/>
      </c>
      <c r="AA149">
        <f t="shared" si="36"/>
        <v>0</v>
      </c>
      <c r="AB149" t="str">
        <f>IFERROR(V144+MATCH(AA149,V149:Z149,0)-1,"")</f>
        <v/>
      </c>
      <c r="AC149" t="str">
        <f t="shared" si="37"/>
        <v/>
      </c>
      <c r="AE149" t="str">
        <f>IF(ISNUMBER(MATCH("N/A",J149:N149,0)),"",IFERROR((5 * SUMPRODUCT(J144:N144,J149:N149) - PRODUCT(SUM(J144:N144),SUM(J149:N149))) / ((5 * SUM((J144^2)+(K144^2)+(L144^2)+(M144^2)+(N144^2))) - SUM(J144:N144)^2),""))</f>
        <v/>
      </c>
      <c r="AF149" t="str">
        <f>IFERROR(CORREL(J144:N144,J149:N149),"")</f>
        <v/>
      </c>
      <c r="AZ149">
        <f t="shared" si="38"/>
        <v>0</v>
      </c>
      <c r="BA149" t="str">
        <f>IF(AZ149=1,IF(Q149="","",IF(Q149=N144,"Yes","No")),"")</f>
        <v/>
      </c>
      <c r="BB149" t="str">
        <f t="shared" si="39"/>
        <v/>
      </c>
      <c r="BC149" t="str">
        <f>IF(AZ149=1,IF(S149="","",IF(S149=N144,"Yes","No")),"")</f>
        <v/>
      </c>
      <c r="BD149" t="str">
        <f t="shared" si="40"/>
        <v/>
      </c>
      <c r="BE149" t="str">
        <f t="shared" si="41"/>
        <v/>
      </c>
      <c r="BF149" t="str">
        <f t="shared" si="42"/>
        <v>No</v>
      </c>
      <c r="BG149" t="str">
        <f t="shared" si="43"/>
        <v>No</v>
      </c>
      <c r="BH149" t="str">
        <f t="shared" si="44"/>
        <v/>
      </c>
    </row>
    <row r="150" spans="1:60" x14ac:dyDescent="0.3">
      <c r="A150" s="1">
        <v>5</v>
      </c>
      <c r="B150" t="s">
        <v>130</v>
      </c>
      <c r="C150" t="s">
        <v>4624</v>
      </c>
      <c r="I150" t="str">
        <f t="shared" si="21"/>
        <v>N/A</v>
      </c>
      <c r="J150">
        <f t="shared" si="22"/>
        <v>0.37</v>
      </c>
      <c r="K150" t="str">
        <f t="shared" si="23"/>
        <v>N/A</v>
      </c>
      <c r="L150" t="str">
        <f t="shared" si="24"/>
        <v>N/A</v>
      </c>
      <c r="M150" t="str">
        <f t="shared" si="25"/>
        <v>N/A</v>
      </c>
      <c r="N150" t="str">
        <f t="shared" si="26"/>
        <v>N/A</v>
      </c>
      <c r="P150">
        <f t="shared" si="27"/>
        <v>0.37</v>
      </c>
      <c r="Q150">
        <f>IFERROR(J144+MATCH(P150,J150:N150,0)-1,"")</f>
        <v>1</v>
      </c>
      <c r="R150">
        <f t="shared" si="28"/>
        <v>0.37</v>
      </c>
      <c r="S150">
        <f>IFERROR(J144+MATCH(R150,J150:N150,0)-1,"")</f>
        <v>1</v>
      </c>
      <c r="T150">
        <f t="shared" si="29"/>
        <v>0.37</v>
      </c>
      <c r="U150" t="str">
        <f t="shared" si="30"/>
        <v/>
      </c>
      <c r="V150" t="str">
        <f t="shared" si="31"/>
        <v/>
      </c>
      <c r="W150" t="str">
        <f t="shared" si="32"/>
        <v/>
      </c>
      <c r="X150" t="str">
        <f t="shared" si="33"/>
        <v/>
      </c>
      <c r="Y150" t="str">
        <f t="shared" si="34"/>
        <v/>
      </c>
      <c r="Z150" t="str">
        <f t="shared" si="35"/>
        <v/>
      </c>
      <c r="AA150">
        <f t="shared" si="36"/>
        <v>0</v>
      </c>
      <c r="AB150" t="str">
        <f>IFERROR(V144+MATCH(AA150,V150:Z150,0)-1,"")</f>
        <v/>
      </c>
      <c r="AC150" t="str">
        <f t="shared" si="37"/>
        <v/>
      </c>
      <c r="AE150" t="str">
        <f>IF(ISNUMBER(MATCH("N/A",J150:N150,0)),"",IFERROR((5 * SUMPRODUCT(J144:N144,J150:N150) - PRODUCT(SUM(J144:N144),SUM(J150:N150))) / ((5 * SUM((J144^2)+(K144^2)+(L144^2)+(M144^2)+(N144^2))) - SUM(J144:N144)^2),""))</f>
        <v/>
      </c>
      <c r="AF150" t="str">
        <f>IFERROR(CORREL(J144:N144,J150:N150),"")</f>
        <v/>
      </c>
      <c r="AZ150">
        <f t="shared" si="38"/>
        <v>0</v>
      </c>
      <c r="BA150" t="str">
        <f>IF(AZ150=1,IF(Q150="","",IF(Q150=N144,"Yes","No")),"")</f>
        <v/>
      </c>
      <c r="BB150" t="str">
        <f t="shared" si="39"/>
        <v/>
      </c>
      <c r="BC150" t="str">
        <f>IF(AZ150=1,IF(S150="","",IF(S150=N144,"Yes","No")),"")</f>
        <v/>
      </c>
      <c r="BD150" t="str">
        <f t="shared" si="40"/>
        <v/>
      </c>
      <c r="BE150" t="str">
        <f t="shared" si="41"/>
        <v/>
      </c>
      <c r="BF150" t="str">
        <f t="shared" si="42"/>
        <v>No</v>
      </c>
      <c r="BG150" t="str">
        <f t="shared" si="43"/>
        <v>No</v>
      </c>
      <c r="BH150" t="str">
        <f t="shared" si="44"/>
        <v/>
      </c>
    </row>
    <row r="151" spans="1:60" x14ac:dyDescent="0.3">
      <c r="A151" s="1">
        <v>6</v>
      </c>
      <c r="B151" t="s">
        <v>132</v>
      </c>
      <c r="C151" t="s">
        <v>4625</v>
      </c>
      <c r="I151" t="str">
        <f t="shared" si="21"/>
        <v>N/A</v>
      </c>
      <c r="J151">
        <f t="shared" si="22"/>
        <v>1.27</v>
      </c>
      <c r="K151" t="str">
        <f t="shared" si="23"/>
        <v>N/A</v>
      </c>
      <c r="L151" t="str">
        <f t="shared" si="24"/>
        <v>N/A</v>
      </c>
      <c r="M151" t="str">
        <f t="shared" si="25"/>
        <v>N/A</v>
      </c>
      <c r="N151" t="str">
        <f t="shared" si="26"/>
        <v>N/A</v>
      </c>
      <c r="P151">
        <f t="shared" si="27"/>
        <v>1.27</v>
      </c>
      <c r="Q151">
        <f>IFERROR(J144+MATCH(P151,J151:N151,0)-1,"")</f>
        <v>1</v>
      </c>
      <c r="R151">
        <f t="shared" si="28"/>
        <v>1.27</v>
      </c>
      <c r="S151">
        <f>IFERROR(J144+MATCH(R151,J151:N151,0)-1,"")</f>
        <v>1</v>
      </c>
      <c r="T151">
        <f t="shared" si="29"/>
        <v>1.27</v>
      </c>
      <c r="U151" t="str">
        <f t="shared" si="30"/>
        <v/>
      </c>
      <c r="V151" t="str">
        <f t="shared" si="31"/>
        <v/>
      </c>
      <c r="W151" t="str">
        <f t="shared" si="32"/>
        <v/>
      </c>
      <c r="X151" t="str">
        <f t="shared" si="33"/>
        <v/>
      </c>
      <c r="Y151" t="str">
        <f t="shared" si="34"/>
        <v/>
      </c>
      <c r="Z151" t="str">
        <f t="shared" si="35"/>
        <v/>
      </c>
      <c r="AA151">
        <f t="shared" si="36"/>
        <v>0</v>
      </c>
      <c r="AB151" t="str">
        <f>IFERROR(V144+MATCH(AA151,V151:Z151,0)-1,"")</f>
        <v/>
      </c>
      <c r="AC151" t="str">
        <f t="shared" si="37"/>
        <v/>
      </c>
      <c r="AE151" t="str">
        <f>IF(ISNUMBER(MATCH("N/A",J151:N151,0)),"",IFERROR((5 * SUMPRODUCT(J144:N144,J151:N151) - PRODUCT(SUM(J144:N144),SUM(J151:N151))) / ((5 * SUM((J144^2)+(K144^2)+(L144^2)+(M144^2)+(N144^2))) - SUM(J144:N144)^2),""))</f>
        <v/>
      </c>
      <c r="AF151" t="str">
        <f>IFERROR(CORREL(J144:N144,J151:N151),"")</f>
        <v/>
      </c>
      <c r="AZ151">
        <f t="shared" si="38"/>
        <v>0</v>
      </c>
      <c r="BA151" t="str">
        <f>IF(AZ151=1,IF(Q151="","",IF(Q151=N144,"Yes","No")),"")</f>
        <v/>
      </c>
      <c r="BB151" t="str">
        <f t="shared" si="39"/>
        <v/>
      </c>
      <c r="BC151" t="str">
        <f>IF(AZ151=1,IF(S151="","",IF(S151=N144,"Yes","No")),"")</f>
        <v/>
      </c>
      <c r="BD151" t="str">
        <f t="shared" si="40"/>
        <v/>
      </c>
      <c r="BE151" t="str">
        <f t="shared" si="41"/>
        <v/>
      </c>
      <c r="BF151" t="str">
        <f t="shared" si="42"/>
        <v>No</v>
      </c>
      <c r="BG151" t="str">
        <f t="shared" si="43"/>
        <v>No</v>
      </c>
      <c r="BH151" t="str">
        <f t="shared" si="44"/>
        <v/>
      </c>
    </row>
    <row r="152" spans="1:60" x14ac:dyDescent="0.3">
      <c r="A152" s="1">
        <v>7</v>
      </c>
      <c r="B152" t="s">
        <v>134</v>
      </c>
      <c r="I152" t="str">
        <f t="shared" si="21"/>
        <v>N/A</v>
      </c>
      <c r="J152" t="str">
        <f t="shared" si="22"/>
        <v>N/A</v>
      </c>
      <c r="K152" t="str">
        <f t="shared" si="23"/>
        <v>N/A</v>
      </c>
      <c r="L152" t="str">
        <f t="shared" si="24"/>
        <v>N/A</v>
      </c>
      <c r="M152" t="str">
        <f t="shared" si="25"/>
        <v>N/A</v>
      </c>
      <c r="N152" t="str">
        <f t="shared" si="26"/>
        <v>N/A</v>
      </c>
      <c r="P152">
        <f t="shared" si="27"/>
        <v>0</v>
      </c>
      <c r="Q152" t="str">
        <f>IFERROR(J144+MATCH(P152,J152:N152,0)-1,"")</f>
        <v/>
      </c>
      <c r="R152" t="str">
        <f t="shared" si="28"/>
        <v/>
      </c>
      <c r="S152" t="str">
        <f>IFERROR(J144+MATCH(R152,J152:N152,0)-1,"")</f>
        <v/>
      </c>
      <c r="T152" t="str">
        <f t="shared" si="29"/>
        <v/>
      </c>
      <c r="U152" t="str">
        <f t="shared" si="30"/>
        <v/>
      </c>
      <c r="V152" t="str">
        <f t="shared" si="31"/>
        <v/>
      </c>
      <c r="W152" t="str">
        <f t="shared" si="32"/>
        <v/>
      </c>
      <c r="X152" t="str">
        <f t="shared" si="33"/>
        <v/>
      </c>
      <c r="Y152" t="str">
        <f t="shared" si="34"/>
        <v/>
      </c>
      <c r="Z152" t="str">
        <f t="shared" si="35"/>
        <v/>
      </c>
      <c r="AA152">
        <f t="shared" si="36"/>
        <v>0</v>
      </c>
      <c r="AB152" t="str">
        <f>IFERROR(V144+MATCH(AA152,V152:Z152,0)-1,"")</f>
        <v/>
      </c>
      <c r="AC152" t="str">
        <f t="shared" si="37"/>
        <v/>
      </c>
      <c r="AE152" t="str">
        <f>IF(ISNUMBER(MATCH("N/A",J152:N152,0)),"",IFERROR((5 * SUMPRODUCT(J144:N144,J152:N152) - PRODUCT(SUM(J144:N144),SUM(J152:N152))) / ((5 * SUM((J144^2)+(K144^2)+(L144^2)+(M144^2)+(N144^2))) - SUM(J144:N144)^2),""))</f>
        <v/>
      </c>
      <c r="AF152" t="str">
        <f>IFERROR(CORREL(J144:N144,J152:N152),"")</f>
        <v/>
      </c>
      <c r="AZ152">
        <f t="shared" si="38"/>
        <v>0</v>
      </c>
      <c r="BA152" t="str">
        <f>IF(AZ152=1,IF(Q152="","",IF(Q152=N144,"Yes","No")),"")</f>
        <v/>
      </c>
      <c r="BB152" t="str">
        <f t="shared" si="39"/>
        <v/>
      </c>
      <c r="BC152" t="str">
        <f>IF(AZ152=1,IF(S152="","",IF(S152=N144,"Yes","No")),"")</f>
        <v/>
      </c>
      <c r="BD152" t="str">
        <f t="shared" si="40"/>
        <v/>
      </c>
      <c r="BE152" t="str">
        <f t="shared" si="41"/>
        <v/>
      </c>
      <c r="BF152" t="str">
        <f t="shared" si="42"/>
        <v>No</v>
      </c>
      <c r="BG152" t="str">
        <f t="shared" si="43"/>
        <v>No</v>
      </c>
      <c r="BH152" t="str">
        <f t="shared" si="44"/>
        <v/>
      </c>
    </row>
    <row r="153" spans="1:60" x14ac:dyDescent="0.3">
      <c r="A153" s="1">
        <v>8</v>
      </c>
      <c r="B153" t="s">
        <v>135</v>
      </c>
      <c r="I153" t="str">
        <f t="shared" si="21"/>
        <v>N/A</v>
      </c>
      <c r="J153" t="str">
        <f t="shared" si="22"/>
        <v>N/A</v>
      </c>
      <c r="K153" t="str">
        <f t="shared" si="23"/>
        <v>N/A</v>
      </c>
      <c r="L153" t="str">
        <f t="shared" si="24"/>
        <v>N/A</v>
      </c>
      <c r="M153" t="str">
        <f t="shared" si="25"/>
        <v>N/A</v>
      </c>
      <c r="N153" t="str">
        <f t="shared" si="26"/>
        <v>N/A</v>
      </c>
      <c r="P153">
        <f t="shared" si="27"/>
        <v>0</v>
      </c>
      <c r="Q153" t="str">
        <f>IFERROR(J144+MATCH(P153,J153:N153,0)-1,"")</f>
        <v/>
      </c>
      <c r="R153" t="str">
        <f t="shared" si="28"/>
        <v/>
      </c>
      <c r="S153" t="str">
        <f>IFERROR(J144+MATCH(R153,J153:N153,0)-1,"")</f>
        <v/>
      </c>
      <c r="T153" t="str">
        <f t="shared" si="29"/>
        <v/>
      </c>
      <c r="U153" t="str">
        <f t="shared" si="30"/>
        <v/>
      </c>
      <c r="V153" t="str">
        <f t="shared" si="31"/>
        <v/>
      </c>
      <c r="W153" t="str">
        <f t="shared" si="32"/>
        <v/>
      </c>
      <c r="X153" t="str">
        <f t="shared" si="33"/>
        <v/>
      </c>
      <c r="Y153" t="str">
        <f t="shared" si="34"/>
        <v/>
      </c>
      <c r="Z153" t="str">
        <f t="shared" si="35"/>
        <v/>
      </c>
      <c r="AA153">
        <f t="shared" si="36"/>
        <v>0</v>
      </c>
      <c r="AB153" t="str">
        <f>IFERROR(V144+MATCH(AA153,V153:Z153,0)-1,"")</f>
        <v/>
      </c>
      <c r="AC153" t="str">
        <f t="shared" si="37"/>
        <v/>
      </c>
      <c r="AE153" t="str">
        <f>IF(ISNUMBER(MATCH("N/A",J153:N153,0)),"",IFERROR((5 * SUMPRODUCT(J144:N144,J153:N153) - PRODUCT(SUM(J144:N144),SUM(J153:N153))) / ((5 * SUM((J144^2)+(K144^2)+(L144^2)+(M144^2)+(N144^2))) - SUM(J144:N144)^2),""))</f>
        <v/>
      </c>
      <c r="AF153" t="str">
        <f>IFERROR(CORREL(J144:N144,J153:N153),"")</f>
        <v/>
      </c>
      <c r="AZ153">
        <f t="shared" si="38"/>
        <v>0</v>
      </c>
      <c r="BA153" t="str">
        <f>IF(AZ153=1,IF(Q153="","",IF(Q153=N144,"Yes","No")),"")</f>
        <v/>
      </c>
      <c r="BB153" t="str">
        <f t="shared" si="39"/>
        <v/>
      </c>
      <c r="BC153" t="str">
        <f>IF(AZ153=1,IF(S153="","",IF(S153=N144,"Yes","No")),"")</f>
        <v/>
      </c>
      <c r="BD153" t="str">
        <f t="shared" si="40"/>
        <v/>
      </c>
      <c r="BE153" t="str">
        <f t="shared" si="41"/>
        <v/>
      </c>
      <c r="BF153" t="str">
        <f t="shared" si="42"/>
        <v>No</v>
      </c>
      <c r="BG153" t="str">
        <f t="shared" si="43"/>
        <v>No</v>
      </c>
      <c r="BH153" t="str">
        <f t="shared" si="44"/>
        <v/>
      </c>
    </row>
    <row r="154" spans="1:60" x14ac:dyDescent="0.3">
      <c r="I154" t="str">
        <f t="shared" si="21"/>
        <v>N/A</v>
      </c>
      <c r="J154" t="str">
        <f t="shared" si="22"/>
        <v>N/A</v>
      </c>
      <c r="K154" t="str">
        <f t="shared" si="23"/>
        <v>N/A</v>
      </c>
      <c r="L154" t="str">
        <f t="shared" si="24"/>
        <v>N/A</v>
      </c>
      <c r="M154" t="str">
        <f t="shared" si="25"/>
        <v>N/A</v>
      </c>
      <c r="N154" t="str">
        <f t="shared" si="26"/>
        <v>N/A</v>
      </c>
      <c r="P154">
        <f t="shared" si="27"/>
        <v>0</v>
      </c>
      <c r="Q154" t="str">
        <f>IFERROR(J144+MATCH(P154,J154:N154,0)-1,"")</f>
        <v/>
      </c>
      <c r="R154" t="str">
        <f t="shared" si="28"/>
        <v/>
      </c>
      <c r="S154" t="str">
        <f>IFERROR(J144+MATCH(R154,J154:N154,0)-1,"")</f>
        <v/>
      </c>
      <c r="T154" t="str">
        <f t="shared" si="29"/>
        <v/>
      </c>
      <c r="U154" t="str">
        <f t="shared" si="30"/>
        <v/>
      </c>
      <c r="V154" t="str">
        <f t="shared" si="31"/>
        <v/>
      </c>
      <c r="W154" t="str">
        <f t="shared" si="32"/>
        <v/>
      </c>
      <c r="X154" t="str">
        <f t="shared" si="33"/>
        <v/>
      </c>
      <c r="Y154" t="str">
        <f t="shared" si="34"/>
        <v/>
      </c>
      <c r="Z154" t="str">
        <f t="shared" si="35"/>
        <v/>
      </c>
      <c r="AA154">
        <f t="shared" si="36"/>
        <v>0</v>
      </c>
      <c r="AB154" t="str">
        <f>IFERROR(V144+MATCH(AA154,V154:Z154,0)-1,"")</f>
        <v/>
      </c>
      <c r="AC154" t="str">
        <f t="shared" si="37"/>
        <v/>
      </c>
      <c r="AE154" t="str">
        <f>IF(ISNUMBER(MATCH("N/A",J154:N154,0)),"",IFERROR((5 * SUMPRODUCT(J144:N144,J154:N154) - PRODUCT(SUM(J144:N144),SUM(J154:N154))) / ((5 * SUM((J144^2)+(K144^2)+(L144^2)+(M144^2)+(N144^2))) - SUM(J144:N144)^2),""))</f>
        <v/>
      </c>
      <c r="AF154" t="str">
        <f>IFERROR(CORREL(J144:N144,J154:N154),"")</f>
        <v/>
      </c>
      <c r="AZ154">
        <f t="shared" si="38"/>
        <v>0</v>
      </c>
      <c r="BA154" t="str">
        <f>IF(AZ154=1,IF(Q154="","",IF(Q154=N144,"Yes","No")),"")</f>
        <v/>
      </c>
      <c r="BB154" t="str">
        <f t="shared" si="39"/>
        <v/>
      </c>
      <c r="BC154" t="str">
        <f>IF(AZ154=1,IF(S154="","",IF(S154=N144,"Yes","No")),"")</f>
        <v/>
      </c>
      <c r="BD154" t="str">
        <f t="shared" si="40"/>
        <v/>
      </c>
      <c r="BE154" t="str">
        <f t="shared" si="41"/>
        <v/>
      </c>
      <c r="BF154" t="str">
        <f t="shared" si="42"/>
        <v>No</v>
      </c>
      <c r="BG154" t="str">
        <f t="shared" si="43"/>
        <v>No</v>
      </c>
      <c r="BH154" t="str">
        <f t="shared" si="44"/>
        <v/>
      </c>
    </row>
    <row r="155" spans="1:60" x14ac:dyDescent="0.3">
      <c r="B155" s="1">
        <v>0</v>
      </c>
      <c r="C155" s="1">
        <v>1</v>
      </c>
      <c r="I155" t="str">
        <f t="shared" si="21"/>
        <v>N/A</v>
      </c>
      <c r="J155">
        <f t="shared" si="22"/>
        <v>1</v>
      </c>
      <c r="K155" t="str">
        <f t="shared" si="23"/>
        <v>N/A</v>
      </c>
      <c r="L155" t="str">
        <f t="shared" si="24"/>
        <v>N/A</v>
      </c>
      <c r="M155" t="str">
        <f t="shared" si="25"/>
        <v>N/A</v>
      </c>
      <c r="N155" t="str">
        <f t="shared" si="26"/>
        <v>N/A</v>
      </c>
      <c r="P155">
        <f t="shared" si="27"/>
        <v>1</v>
      </c>
      <c r="Q155">
        <f>IFERROR(J144+MATCH(P155,J155:N155,0)-1,"")</f>
        <v>1</v>
      </c>
      <c r="R155">
        <f t="shared" si="28"/>
        <v>1</v>
      </c>
      <c r="S155">
        <f>IFERROR(J144+MATCH(R155,J155:N155,0)-1,"")</f>
        <v>1</v>
      </c>
      <c r="T155">
        <f t="shared" si="29"/>
        <v>1</v>
      </c>
      <c r="U155" t="str">
        <f t="shared" si="30"/>
        <v/>
      </c>
      <c r="V155" t="str">
        <f t="shared" si="31"/>
        <v/>
      </c>
      <c r="W155" t="str">
        <f t="shared" si="32"/>
        <v/>
      </c>
      <c r="X155" t="str">
        <f t="shared" si="33"/>
        <v/>
      </c>
      <c r="Y155" t="str">
        <f t="shared" si="34"/>
        <v/>
      </c>
      <c r="Z155" t="str">
        <f t="shared" si="35"/>
        <v/>
      </c>
      <c r="AA155">
        <f t="shared" si="36"/>
        <v>0</v>
      </c>
      <c r="AB155" t="str">
        <f>IFERROR(V144+MATCH(AA155,V155:Z155,0)-1,"")</f>
        <v/>
      </c>
      <c r="AC155" t="str">
        <f t="shared" si="37"/>
        <v/>
      </c>
      <c r="AE155" t="str">
        <f>IF(ISNUMBER(MATCH("N/A",J155:N155,0)),"",IFERROR((5 * SUMPRODUCT(J144:N144,J155:N155) - PRODUCT(SUM(J144:N144),SUM(J155:N155))) / ((5 * SUM((J144^2)+(K144^2)+(L144^2)+(M144^2)+(N144^2))) - SUM(J144:N144)^2),""))</f>
        <v/>
      </c>
      <c r="AF155" t="str">
        <f>IFERROR(CORREL(J144:N144,J155:N155),"")</f>
        <v/>
      </c>
      <c r="AZ155">
        <f t="shared" si="38"/>
        <v>0</v>
      </c>
      <c r="BA155" t="str">
        <f>IF(AZ155=1,IF(Q155="","",IF(Q155=N144,"Yes","No")),"")</f>
        <v/>
      </c>
      <c r="BB155" t="str">
        <f t="shared" si="39"/>
        <v/>
      </c>
      <c r="BC155" t="str">
        <f>IF(AZ155=1,IF(S155="","",IF(S155=N144,"Yes","No")),"")</f>
        <v/>
      </c>
      <c r="BD155" t="str">
        <f t="shared" si="40"/>
        <v/>
      </c>
      <c r="BE155" t="str">
        <f t="shared" si="41"/>
        <v/>
      </c>
      <c r="BF155" t="str">
        <f t="shared" si="42"/>
        <v>No</v>
      </c>
      <c r="BG155" t="str">
        <f t="shared" si="43"/>
        <v>No</v>
      </c>
      <c r="BH155" t="str">
        <f t="shared" si="44"/>
        <v/>
      </c>
    </row>
    <row r="156" spans="1:60" x14ac:dyDescent="0.3">
      <c r="A156" s="1">
        <v>0</v>
      </c>
      <c r="B156" t="s">
        <v>123</v>
      </c>
      <c r="C156" t="s">
        <v>4626</v>
      </c>
      <c r="I156" t="str">
        <f t="shared" ref="I156:I187" si="45">IF(AND(K156&gt; J156, L156&gt; K156, M156&gt; L156, N156&gt; M156), "pos_trend", IF(AND(K156&lt; J156, L156&lt; K156, M156&lt; L156, N156&lt; M156), "neg_trend", "N/A"))</f>
        <v>N/A</v>
      </c>
      <c r="J156">
        <f t="shared" si="22"/>
        <v>13900000000</v>
      </c>
      <c r="K156" t="str">
        <f t="shared" si="23"/>
        <v>N/A</v>
      </c>
      <c r="L156" t="str">
        <f t="shared" si="24"/>
        <v>N/A</v>
      </c>
      <c r="M156" t="str">
        <f t="shared" si="25"/>
        <v>N/A</v>
      </c>
      <c r="N156" t="str">
        <f t="shared" si="26"/>
        <v>N/A</v>
      </c>
      <c r="P156">
        <f t="shared" si="27"/>
        <v>13900000000</v>
      </c>
      <c r="Q156">
        <f>IFERROR(J144+MATCH(P156,J156:N156,0)-1,"")</f>
        <v>1</v>
      </c>
      <c r="R156">
        <f t="shared" si="28"/>
        <v>13900000000</v>
      </c>
      <c r="S156">
        <f>IFERROR(J144+MATCH(R156,J156:N156,0)-1,"")</f>
        <v>1</v>
      </c>
      <c r="T156">
        <f t="shared" si="29"/>
        <v>13900000000</v>
      </c>
      <c r="U156" t="str">
        <f t="shared" si="30"/>
        <v/>
      </c>
      <c r="V156" t="str">
        <f t="shared" si="31"/>
        <v/>
      </c>
      <c r="W156" t="str">
        <f t="shared" si="32"/>
        <v/>
      </c>
      <c r="X156" t="str">
        <f t="shared" si="33"/>
        <v/>
      </c>
      <c r="Y156" t="str">
        <f t="shared" si="34"/>
        <v/>
      </c>
      <c r="Z156" t="str">
        <f t="shared" si="35"/>
        <v/>
      </c>
      <c r="AA156">
        <f t="shared" si="36"/>
        <v>0</v>
      </c>
      <c r="AB156" t="str">
        <f>IFERROR(V144+MATCH(AA156,V156:Z156,0)-1,"")</f>
        <v/>
      </c>
      <c r="AC156" t="str">
        <f t="shared" si="37"/>
        <v/>
      </c>
      <c r="AE156" t="str">
        <f>IF(ISNUMBER(MATCH("N/A",J156:N156,0)),"",IFERROR((5 * SUMPRODUCT(J144:N144,J156:N156) - PRODUCT(SUM(J144:N144),SUM(J156:N156))) / ((5 * SUM((J144^2)+(K144^2)+(L144^2)+(M144^2)+(N144^2))) - SUM(J144:N144)^2),""))</f>
        <v/>
      </c>
      <c r="AF156" t="str">
        <f>IFERROR(CORREL(J144:N144,J156:N156),"")</f>
        <v/>
      </c>
      <c r="AZ156">
        <f t="shared" si="38"/>
        <v>0</v>
      </c>
      <c r="BA156" t="str">
        <f>IF(AZ156=1,IF(Q156="","",IF(Q156=N144,"Yes","No")),"")</f>
        <v/>
      </c>
      <c r="BB156" t="str">
        <f t="shared" si="39"/>
        <v/>
      </c>
      <c r="BC156" t="str">
        <f>IF(AZ156=1,IF(S156="","",IF(S156=N144,"Yes","No")),"")</f>
        <v/>
      </c>
      <c r="BD156" t="str">
        <f t="shared" si="40"/>
        <v/>
      </c>
      <c r="BE156" t="str">
        <f t="shared" si="41"/>
        <v/>
      </c>
      <c r="BF156" t="str">
        <f t="shared" si="42"/>
        <v>No</v>
      </c>
      <c r="BG156" t="str">
        <f t="shared" si="43"/>
        <v>No</v>
      </c>
      <c r="BH156" t="str">
        <f t="shared" si="44"/>
        <v/>
      </c>
    </row>
    <row r="157" spans="1:60" x14ac:dyDescent="0.3">
      <c r="A157" s="1">
        <v>1</v>
      </c>
      <c r="B157" t="s">
        <v>124</v>
      </c>
      <c r="P157">
        <f t="shared" si="27"/>
        <v>0</v>
      </c>
      <c r="Q157" t="str">
        <f>IFERROR(J144+MATCH(P157,J157:N157,0)-1,"")</f>
        <v/>
      </c>
      <c r="R157" t="str">
        <f t="shared" si="28"/>
        <v/>
      </c>
      <c r="S157" t="str">
        <f>IFERROR(J144+MATCH(R157,J157:N157,0)-1,"")</f>
        <v/>
      </c>
      <c r="T157" t="str">
        <f t="shared" si="29"/>
        <v/>
      </c>
      <c r="U157" t="str">
        <f t="shared" si="30"/>
        <v/>
      </c>
      <c r="V157" t="str">
        <f t="shared" si="31"/>
        <v/>
      </c>
      <c r="W157" t="str">
        <f t="shared" si="32"/>
        <v/>
      </c>
      <c r="X157" t="str">
        <f t="shared" si="33"/>
        <v/>
      </c>
      <c r="Y157" t="str">
        <f t="shared" si="34"/>
        <v/>
      </c>
      <c r="Z157" t="str">
        <f t="shared" si="35"/>
        <v/>
      </c>
      <c r="AA157">
        <f t="shared" si="36"/>
        <v>0</v>
      </c>
      <c r="AB157" t="str">
        <f>IFERROR(V144+MATCH(AA157,V157:Z157,0)-1,"")</f>
        <v/>
      </c>
      <c r="AC157" t="str">
        <f t="shared" si="37"/>
        <v/>
      </c>
      <c r="AE157" t="str">
        <f>IF(ISNUMBER(MATCH("N/A",J157:N157,0)),"",IFERROR((5 * SUMPRODUCT(J144:N144,J157:N157) - PRODUCT(SUM(J144:N144),SUM(J157:N157))) / ((5 * SUM((J144^2)+(K144^2)+(L144^2)+(M144^2)+(N144^2))) - SUM(J144:N144)^2),""))</f>
        <v/>
      </c>
      <c r="AF157" t="str">
        <f>IFERROR(CORREL(J144:N144,J157:N157),"")</f>
        <v/>
      </c>
      <c r="AZ157">
        <f t="shared" si="38"/>
        <v>0</v>
      </c>
      <c r="BA157" t="str">
        <f>IF(AZ157=1,IF(Q157="","",IF(Q157=N144,"Yes","No")),"")</f>
        <v/>
      </c>
      <c r="BB157" t="str">
        <f t="shared" si="39"/>
        <v/>
      </c>
      <c r="BC157" t="str">
        <f>IF(AZ157=1,IF(S157="","",IF(S157=N144,"Yes","No")),"")</f>
        <v/>
      </c>
      <c r="BD157" t="str">
        <f t="shared" si="40"/>
        <v/>
      </c>
      <c r="BE157" t="str">
        <f t="shared" si="41"/>
        <v/>
      </c>
      <c r="BF157" t="str">
        <f t="shared" si="42"/>
        <v>No</v>
      </c>
      <c r="BG157" t="str">
        <f t="shared" si="43"/>
        <v>No</v>
      </c>
      <c r="BH157" t="str">
        <f t="shared" si="44"/>
        <v/>
      </c>
    </row>
    <row r="158" spans="1:60" x14ac:dyDescent="0.3">
      <c r="A158" s="1">
        <v>2</v>
      </c>
      <c r="B158" t="s">
        <v>125</v>
      </c>
      <c r="C158" t="s">
        <v>4627</v>
      </c>
      <c r="I158" t="str">
        <f t="shared" ref="I158:I204" si="46">IF(AND(K158&gt; J158, L158&gt; K158, M158&gt; L158, N158&gt; M158), "pos_trend", IF(AND(K158&lt; J158, L158&lt; K158, M158&lt; L158, N158&lt; M158), "neg_trend", "N/A"))</f>
        <v>N/A</v>
      </c>
      <c r="J158">
        <f>IFERROR(IF(TRIM(C158)="-", "0", IF(RIGHT(C158,1)=")",IF(RIGHT(C158,2)="T)",-1000000000000*VALUE(MID(C158,2,LEN(C158)-3)),IF(RIGHT(C158,2)="M)",-1000000*VALUE(MID(C158,2,LEN(C158)-3)),IF(RIGHT(C158,2)="B)",-1000000000*VALUE(MID(C158,2,LEN(C158)-3)),IF(RIGHT(C158,2)="k)",-1000*VALUE(MID(C158,2,LEN(C158)-3)),VALUE(SUBSTITUTE(C158,",","")))))),IF(RIGHT(C158,1)="T",1000000000000*VALUE(LEFT(C158,LEN(C158)-1)),IF(RIGHT(C158,1)="M",1000000*VALUE(LEFT(C158,LEN(C158)-1)),IF(RIGHT(C158,1)="B",1000000000*VALUE(LEFT(C158,LEN(C158)-1)),IF(RIGHT(C158,1)="%",0.01*VALUE(LEFT(C158,LEN(C158)-1)),IF(RIGHT(C158,1)="k",1000*VALUE(LEFT(C158,LEN(C158)-1)),VALUE(SUBSTITUTE(C158,",",""))))))))),"N/A")</f>
        <v>55.03</v>
      </c>
      <c r="K158" t="str">
        <f>IFERROR(IF(TRIM(D158)="-", "0", IF(RIGHT(D158,1)=")",IF(RIGHT(D158,2)="T)",-1000000000000*VALUE(MID(D158,2,LEN(D158)-3)),IF(RIGHT(D158,2)="M)",-1000000*VALUE(MID(D158,2,LEN(D158)-3)),IF(RIGHT(D158,2)="B)",-1000000000*VALUE(MID(D158,2,LEN(D158)-3)),IF(RIGHT(D158,2)="k)",-1000*VALUE(MID(D158,2,LEN(D158)-3)),VALUE(SUBSTITUTE(D158,",","")))))),IF(RIGHT(D158,1)="T",1000000000000*VALUE(LEFT(D158,LEN(D158)-1)),IF(RIGHT(D158,1)="M",1000000*VALUE(LEFT(D158,LEN(D158)-1)),IF(RIGHT(D158,1)="B",1000000000*VALUE(LEFT(D158,LEN(D158)-1)),IF(RIGHT(D158,1)="%",0.01*VALUE(LEFT(D158,LEN(D158)-1)),IF(RIGHT(D158,1)="k",1000*VALUE(LEFT(D158,LEN(D158)-1)),VALUE(SUBSTITUTE(D158,",",""))))))))),"N/A")</f>
        <v>N/A</v>
      </c>
      <c r="L158" t="str">
        <f>IFERROR(IF(TRIM(E158)="-", "0", IF(RIGHT(E158,1)=")",IF(RIGHT(E158,2)="T)",-1000000000000*VALUE(MID(E158,2,LEN(E158)-3)),IF(RIGHT(E158,2)="M)",-1000000*VALUE(MID(E158,2,LEN(E158)-3)),IF(RIGHT(E158,2)="B)",-1000000000*VALUE(MID(E158,2,LEN(E158)-3)),IF(RIGHT(E158,2)="k)",-1000*VALUE(MID(E158,2,LEN(E158)-3)),VALUE(SUBSTITUTE(E158,",","")))))),IF(RIGHT(E158,1)="T",1000000000000*VALUE(LEFT(E158,LEN(E158)-1)),IF(RIGHT(E158,1)="M",1000000*VALUE(LEFT(E158,LEN(E158)-1)),IF(RIGHT(E158,1)="B",1000000000*VALUE(LEFT(E158,LEN(E158)-1)),IF(RIGHT(E158,1)="%",0.01*VALUE(LEFT(E158,LEN(E158)-1)),IF(RIGHT(E158,1)="k",1000*VALUE(LEFT(E158,LEN(E158)-1)),VALUE(SUBSTITUTE(E158,",",""))))))))),"N/A")</f>
        <v>N/A</v>
      </c>
      <c r="M158" t="str">
        <f>IFERROR(IF(TRIM(F158)="-", "0", IF(RIGHT(F158,1)=")",IF(RIGHT(F158,2)="T)",-1000000000000*VALUE(MID(F158,2,LEN(F158)-3)),IF(RIGHT(F158,2)="M)",-1000000*VALUE(MID(F158,2,LEN(F158)-3)),IF(RIGHT(F158,2)="B)",-1000000000*VALUE(MID(F158,2,LEN(F158)-3)),IF(RIGHT(F158,2)="k)",-1000*VALUE(MID(F158,2,LEN(F158)-3)),VALUE(SUBSTITUTE(F158,",","")))))),IF(RIGHT(F158,1)="T",1000000000000*VALUE(LEFT(F158,LEN(F158)-1)),IF(RIGHT(F158,1)="M",1000000*VALUE(LEFT(F158,LEN(F158)-1)),IF(RIGHT(F158,1)="B",1000000000*VALUE(LEFT(F158,LEN(F158)-1)),IF(RIGHT(F158,1)="%",0.01*VALUE(LEFT(F158,LEN(F158)-1)),IF(RIGHT(F158,1)="k",1000*VALUE(LEFT(F158,LEN(F158)-1)),VALUE(SUBSTITUTE(F158,",",""))))))))),"N/A")</f>
        <v>N/A</v>
      </c>
      <c r="N158" t="str">
        <f>IFERROR(IF(TRIM(G158)="-", "0", IF(RIGHT(G158,1)=")",IF(RIGHT(G158,2)="T)",-1000000000000*VALUE(MID(G158,2,LEN(G158)-3)),IF(RIGHT(G158,2)="M)",-1000000*VALUE(MID(G158,2,LEN(G158)-3)),IF(RIGHT(G158,2)="B)",-1000000000*VALUE(MID(G158,2,LEN(G158)-3)),IF(RIGHT(G158,2)="k)",-1000*VALUE(MID(G158,2,LEN(G158)-3)),VALUE(SUBSTITUTE(G158,",","")))))),IF(RIGHT(G158,1)="T",1000000000000*VALUE(LEFT(G158,LEN(G158)-1)),IF(RIGHT(G158,1)="M",1000000*VALUE(LEFT(G158,LEN(G158)-1)),IF(RIGHT(G158,1)="B",1000000000*VALUE(LEFT(G158,LEN(G158)-1)),IF(RIGHT(G158,1)="%",0.01*VALUE(LEFT(G158,LEN(G158)-1)),IF(RIGHT(G158,1)="k",1000*VALUE(LEFT(G158,LEN(G158)-1)),VALUE(SUBSTITUTE(G158,",",""))))))))),"N/A")</f>
        <v>N/A</v>
      </c>
      <c r="P158">
        <f t="shared" si="27"/>
        <v>55.03</v>
      </c>
      <c r="Q158">
        <f>IFERROR(J144+MATCH(P158,J158:N158,0)-1,"")</f>
        <v>1</v>
      </c>
      <c r="R158">
        <f t="shared" si="28"/>
        <v>55.03</v>
      </c>
      <c r="S158">
        <f>IFERROR(J144+MATCH(R158,J158:N158,0)-1,"")</f>
        <v>1</v>
      </c>
      <c r="T158">
        <f t="shared" si="29"/>
        <v>55.03</v>
      </c>
      <c r="U158" t="str">
        <f t="shared" si="30"/>
        <v/>
      </c>
      <c r="V158" t="str">
        <f t="shared" si="31"/>
        <v/>
      </c>
      <c r="W158" t="str">
        <f t="shared" si="32"/>
        <v/>
      </c>
      <c r="X158" t="str">
        <f t="shared" si="33"/>
        <v/>
      </c>
      <c r="Y158" t="str">
        <f t="shared" si="34"/>
        <v/>
      </c>
      <c r="Z158" t="str">
        <f t="shared" si="35"/>
        <v/>
      </c>
      <c r="AA158">
        <f t="shared" si="36"/>
        <v>0</v>
      </c>
      <c r="AB158" t="str">
        <f>IFERROR(V144+MATCH(AA158,V158:Z158,0)-1,"")</f>
        <v/>
      </c>
      <c r="AC158" t="str">
        <f t="shared" si="37"/>
        <v/>
      </c>
      <c r="AE158" t="str">
        <f>IF(ISNUMBER(MATCH("N/A",J158:N158,0)),"",IFERROR((5 * SUMPRODUCT(J144:N144,J158:N158) - PRODUCT(SUM(J144:N144),SUM(J158:N158))) / ((5 * SUM((J144^2)+(K144^2)+(L144^2)+(M144^2)+(N144^2))) - SUM(J144:N144)^2),""))</f>
        <v/>
      </c>
      <c r="AF158" t="str">
        <f>IFERROR(CORREL(J144:N144,J158:N158),"")</f>
        <v/>
      </c>
      <c r="AZ158">
        <f t="shared" si="38"/>
        <v>0</v>
      </c>
      <c r="BA158" t="str">
        <f>IF(AZ158=1,IF(Q158="","",IF(Q158=N144,"Yes","No")),"")</f>
        <v/>
      </c>
      <c r="BB158" t="str">
        <f t="shared" si="39"/>
        <v/>
      </c>
      <c r="BC158" t="str">
        <f>IF(AZ158=1,IF(S158="","",IF(S158=N144,"Yes","No")),"")</f>
        <v/>
      </c>
      <c r="BD158" t="str">
        <f t="shared" si="40"/>
        <v/>
      </c>
      <c r="BE158" t="str">
        <f t="shared" si="41"/>
        <v/>
      </c>
      <c r="BF158" t="str">
        <f t="shared" si="42"/>
        <v>No</v>
      </c>
      <c r="BG158" t="str">
        <f t="shared" si="43"/>
        <v>No</v>
      </c>
      <c r="BH158" t="str">
        <f t="shared" si="44"/>
        <v/>
      </c>
    </row>
    <row r="159" spans="1:60" x14ac:dyDescent="0.3">
      <c r="A159" s="1">
        <v>3</v>
      </c>
      <c r="B159" t="s">
        <v>126</v>
      </c>
      <c r="C159" t="s">
        <v>4628</v>
      </c>
      <c r="I159" t="str">
        <f t="shared" si="46"/>
        <v>N/A</v>
      </c>
      <c r="J159">
        <f t="shared" ref="J159:J204" si="47">IFERROR(IF(TRIM(C159)="-", "N/A", IF(RIGHT(C159,1)=")",IF(RIGHT(C159,2)="T)",-1000000000000*VALUE(MID(C159,2,LEN(C159)-3)),IF(RIGHT(C159,2)="M)",-1000000*VALUE(MID(C159,2,LEN(C159)-3)),IF(RIGHT(C159,2)="B)",-1000000000*VALUE(MID(C159,2,LEN(C159)-3)),IF(RIGHT(C159,2)="k)",-1000*VALUE(MID(C159,2,LEN(C159)-3)),VALUE(SUBSTITUTE(C159,",","")))))),IF(RIGHT(C159,1)="T",1000000000000*VALUE(LEFT(C159,LEN(C159)-1)),IF(RIGHT(C159,1)="M",1000000*VALUE(LEFT(C159,LEN(C159)-1)),IF(RIGHT(C159,1)="B",1000000000*VALUE(LEFT(C159,LEN(C159)-1)),IF(RIGHT(C159,1)="%",0.01*VALUE(LEFT(C159,LEN(C159)-1)),IF(RIGHT(C159,1)="k",1000*VALUE(LEFT(C159,LEN(C159)-1)),VALUE(SUBSTITUTE(C159,",",""))))))))),"N/A")</f>
        <v>31.51</v>
      </c>
      <c r="K159" t="str">
        <f t="shared" ref="K159:K204" si="48">IFERROR(IF(TRIM(D159)="-", "N/A", IF(RIGHT(D159,1)=")",IF(RIGHT(D159,2)="T)",-1000000000000*VALUE(MID(D159,2,LEN(D159)-3)),IF(RIGHT(D159,2)="M)",-1000000*VALUE(MID(D159,2,LEN(D159)-3)),IF(RIGHT(D159,2)="B)",-1000000000*VALUE(MID(D159,2,LEN(D159)-3)),IF(RIGHT(D159,2)="k)",-1000*VALUE(MID(D159,2,LEN(D159)-3)),VALUE(SUBSTITUTE(D159,",","")))))),IF(RIGHT(D159,1)="T",1000000000000*VALUE(LEFT(D159,LEN(D159)-1)),IF(RIGHT(D159,1)="M",1000000*VALUE(LEFT(D159,LEN(D159)-1)),IF(RIGHT(D159,1)="B",1000000000*VALUE(LEFT(D159,LEN(D159)-1)),IF(RIGHT(D159,1)="%",0.01*VALUE(LEFT(D159,LEN(D159)-1)),IF(RIGHT(D159,1)="k",1000*VALUE(LEFT(D159,LEN(D159)-1)),VALUE(SUBSTITUTE(D159,",",""))))))))),"N/A")</f>
        <v>N/A</v>
      </c>
      <c r="L159" t="str">
        <f t="shared" ref="L159:L204" si="49">IFERROR(IF(TRIM(E159)="-", "N/A", IF(RIGHT(E159,1)=")",IF(RIGHT(E159,2)="T)",-1000000000000*VALUE(MID(E159,2,LEN(E159)-3)),IF(RIGHT(E159,2)="M)",-1000000*VALUE(MID(E159,2,LEN(E159)-3)),IF(RIGHT(E159,2)="B)",-1000000000*VALUE(MID(E159,2,LEN(E159)-3)),IF(RIGHT(E159,2)="k)",-1000*VALUE(MID(E159,2,LEN(E159)-3)),VALUE(SUBSTITUTE(E159,",","")))))),IF(RIGHT(E159,1)="T",1000000000000*VALUE(LEFT(E159,LEN(E159)-1)),IF(RIGHT(E159,1)="M",1000000*VALUE(LEFT(E159,LEN(E159)-1)),IF(RIGHT(E159,1)="B",1000000000*VALUE(LEFT(E159,LEN(E159)-1)),IF(RIGHT(E159,1)="%",0.01*VALUE(LEFT(E159,LEN(E159)-1)),IF(RIGHT(E159,1)="k",1000*VALUE(LEFT(E159,LEN(E159)-1)),VALUE(SUBSTITUTE(E159,",",""))))))))),"N/A")</f>
        <v>N/A</v>
      </c>
      <c r="M159" t="str">
        <f t="shared" ref="M159:M204" si="50">IFERROR(IF(TRIM(F159)="-", "N/A", IF(RIGHT(F159,1)=")",IF(RIGHT(F159,2)="T)",-1000000000000*VALUE(MID(F159,2,LEN(F159)-3)),IF(RIGHT(F159,2)="M)",-1000000*VALUE(MID(F159,2,LEN(F159)-3)),IF(RIGHT(F159,2)="B)",-1000000000*VALUE(MID(F159,2,LEN(F159)-3)),IF(RIGHT(F159,2)="k)",-1000*VALUE(MID(F159,2,LEN(F159)-3)),VALUE(SUBSTITUTE(F159,",","")))))),IF(RIGHT(F159,1)="T",1000000000000*VALUE(LEFT(F159,LEN(F159)-1)),IF(RIGHT(F159,1)="M",1000000*VALUE(LEFT(F159,LEN(F159)-1)),IF(RIGHT(F159,1)="B",1000000000*VALUE(LEFT(F159,LEN(F159)-1)),IF(RIGHT(F159,1)="%",0.01*VALUE(LEFT(F159,LEN(F159)-1)),IF(RIGHT(F159,1)="k",1000*VALUE(LEFT(F159,LEN(F159)-1)),VALUE(SUBSTITUTE(F159,",",""))))))))),"N/A")</f>
        <v>N/A</v>
      </c>
      <c r="N159" t="str">
        <f t="shared" ref="N159:N204" si="51">IFERROR(IF(TRIM(G159)="-", "N/A", IF(RIGHT(G159,1)=")",IF(RIGHT(G159,2)="T)",-1000000000000*VALUE(MID(G159,2,LEN(G159)-3)),IF(RIGHT(G159,2)="M)",-1000000*VALUE(MID(G159,2,LEN(G159)-3)),IF(RIGHT(G159,2)="B)",-1000000000*VALUE(MID(G159,2,LEN(G159)-3)),IF(RIGHT(G159,2)="k)",-1000*VALUE(MID(G159,2,LEN(G159)-3)),VALUE(SUBSTITUTE(G159,",","")))))),IF(RIGHT(G159,1)="T",1000000000000*VALUE(LEFT(G159,LEN(G159)-1)),IF(RIGHT(G159,1)="M",1000000*VALUE(LEFT(G159,LEN(G159)-1)),IF(RIGHT(G159,1)="B",1000000000*VALUE(LEFT(G159,LEN(G159)-1)),IF(RIGHT(G159,1)="%",0.01*VALUE(LEFT(G159,LEN(G159)-1)),IF(RIGHT(G159,1)="k",1000*VALUE(LEFT(G159,LEN(G159)-1)),VALUE(SUBSTITUTE(G159,",",""))))))))),"N/A")</f>
        <v>N/A</v>
      </c>
      <c r="P159">
        <f t="shared" si="27"/>
        <v>31.51</v>
      </c>
      <c r="Q159">
        <f>IFERROR(J144+MATCH(P159,J159:N159,0)-1,"")</f>
        <v>1</v>
      </c>
      <c r="R159">
        <f t="shared" si="28"/>
        <v>31.51</v>
      </c>
      <c r="S159">
        <f>IFERROR(J144+MATCH(R159,J159:N159,0)-1,"")</f>
        <v>1</v>
      </c>
      <c r="T159">
        <f t="shared" si="29"/>
        <v>31.51</v>
      </c>
      <c r="U159" t="str">
        <f t="shared" si="30"/>
        <v/>
      </c>
      <c r="V159" t="str">
        <f t="shared" si="31"/>
        <v/>
      </c>
      <c r="W159" t="str">
        <f t="shared" si="32"/>
        <v/>
      </c>
      <c r="X159" t="str">
        <f t="shared" si="33"/>
        <v/>
      </c>
      <c r="Y159" t="str">
        <f t="shared" si="34"/>
        <v/>
      </c>
      <c r="Z159" t="str">
        <f t="shared" si="35"/>
        <v/>
      </c>
      <c r="AA159">
        <f t="shared" si="36"/>
        <v>0</v>
      </c>
      <c r="AB159" t="str">
        <f>IFERROR(V144+MATCH(AA159,V159:Z159,0)-1,"")</f>
        <v/>
      </c>
      <c r="AC159" t="str">
        <f t="shared" si="37"/>
        <v/>
      </c>
      <c r="AE159" t="str">
        <f>IF(ISNUMBER(MATCH("N/A",J159:N159,0)),"",IFERROR((5 * SUMPRODUCT(J144:N144,J159:N159) - PRODUCT(SUM(J144:N144),SUM(J159:N159))) / ((5 * SUM((J144^2)+(K144^2)+(L144^2)+(M144^2)+(N144^2))) - SUM(J144:N144)^2),""))</f>
        <v/>
      </c>
      <c r="AF159" t="str">
        <f>IFERROR(CORREL(J144:N144,J159:N159),"")</f>
        <v/>
      </c>
      <c r="AZ159">
        <f t="shared" si="38"/>
        <v>0</v>
      </c>
      <c r="BA159" t="str">
        <f>IF(AZ159=1,IF(Q159="","",IF(Q159=N144,"Yes","No")),"")</f>
        <v/>
      </c>
      <c r="BB159" t="str">
        <f t="shared" si="39"/>
        <v/>
      </c>
      <c r="BC159" t="str">
        <f>IF(AZ159=1,IF(S159="","",IF(S159=N144,"Yes","No")),"")</f>
        <v/>
      </c>
      <c r="BD159" t="str">
        <f t="shared" si="40"/>
        <v/>
      </c>
      <c r="BE159" t="str">
        <f t="shared" si="41"/>
        <v/>
      </c>
      <c r="BF159" t="str">
        <f t="shared" si="42"/>
        <v>No</v>
      </c>
      <c r="BG159" t="str">
        <f t="shared" si="43"/>
        <v>No</v>
      </c>
      <c r="BH159" t="str">
        <f t="shared" si="44"/>
        <v/>
      </c>
    </row>
    <row r="160" spans="1:60" x14ac:dyDescent="0.3">
      <c r="A160" s="1">
        <v>4</v>
      </c>
      <c r="B160" t="s">
        <v>128</v>
      </c>
      <c r="C160" t="s">
        <v>1236</v>
      </c>
      <c r="I160" t="str">
        <f t="shared" si="46"/>
        <v>N/A</v>
      </c>
      <c r="J160">
        <f t="shared" si="47"/>
        <v>0.71</v>
      </c>
      <c r="K160" t="str">
        <f t="shared" si="48"/>
        <v>N/A</v>
      </c>
      <c r="L160" t="str">
        <f t="shared" si="49"/>
        <v>N/A</v>
      </c>
      <c r="M160" t="str">
        <f t="shared" si="50"/>
        <v>N/A</v>
      </c>
      <c r="N160" t="str">
        <f t="shared" si="51"/>
        <v>N/A</v>
      </c>
      <c r="P160">
        <f t="shared" si="27"/>
        <v>0.71</v>
      </c>
      <c r="Q160">
        <f>IFERROR(J144+MATCH(P160,J160:N160,0)-1,"")</f>
        <v>1</v>
      </c>
      <c r="R160">
        <f t="shared" si="28"/>
        <v>0.71</v>
      </c>
      <c r="S160">
        <f>IFERROR(J144+MATCH(R160,J160:N160,0)-1,"")</f>
        <v>1</v>
      </c>
      <c r="T160">
        <f t="shared" si="29"/>
        <v>0.71</v>
      </c>
      <c r="U160" t="str">
        <f t="shared" si="30"/>
        <v/>
      </c>
      <c r="V160" t="str">
        <f t="shared" si="31"/>
        <v/>
      </c>
      <c r="W160" t="str">
        <f t="shared" si="32"/>
        <v/>
      </c>
      <c r="X160" t="str">
        <f t="shared" si="33"/>
        <v/>
      </c>
      <c r="Y160" t="str">
        <f t="shared" si="34"/>
        <v/>
      </c>
      <c r="Z160" t="str">
        <f t="shared" si="35"/>
        <v/>
      </c>
      <c r="AA160">
        <f t="shared" si="36"/>
        <v>0</v>
      </c>
      <c r="AB160" t="str">
        <f>IFERROR(V144+MATCH(AA160,V160:Z160,0)-1,"")</f>
        <v/>
      </c>
      <c r="AC160" t="str">
        <f t="shared" si="37"/>
        <v/>
      </c>
      <c r="AE160" t="str">
        <f>IF(ISNUMBER(MATCH("N/A",J160:N160,0)),"",IFERROR((5 * SUMPRODUCT(J144:N144,J160:N160) - PRODUCT(SUM(J144:N144),SUM(J160:N160))) / ((5 * SUM((J144^2)+(K144^2)+(L144^2)+(M144^2)+(N144^2))) - SUM(J144:N144)^2),""))</f>
        <v/>
      </c>
      <c r="AF160" t="str">
        <f>IFERROR(CORREL(J144:N144,J160:N160),"")</f>
        <v/>
      </c>
      <c r="AZ160">
        <f t="shared" si="38"/>
        <v>0</v>
      </c>
      <c r="BA160" t="str">
        <f>IF(AZ160=1,IF(Q160="","",IF(Q160=N144,"Yes","No")),"")</f>
        <v/>
      </c>
      <c r="BB160" t="str">
        <f t="shared" si="39"/>
        <v/>
      </c>
      <c r="BC160" t="str">
        <f>IF(AZ160=1,IF(S160="","",IF(S160=N144,"Yes","No")),"")</f>
        <v/>
      </c>
      <c r="BD160" t="str">
        <f t="shared" si="40"/>
        <v/>
      </c>
      <c r="BE160" t="str">
        <f t="shared" si="41"/>
        <v/>
      </c>
      <c r="BF160" t="str">
        <f t="shared" si="42"/>
        <v>No</v>
      </c>
      <c r="BG160" t="str">
        <f t="shared" si="43"/>
        <v>No</v>
      </c>
      <c r="BH160" t="str">
        <f t="shared" si="44"/>
        <v/>
      </c>
    </row>
    <row r="161" spans="1:60" x14ac:dyDescent="0.3">
      <c r="A161" s="1">
        <v>5</v>
      </c>
      <c r="B161" t="s">
        <v>130</v>
      </c>
      <c r="C161" t="s">
        <v>206</v>
      </c>
      <c r="I161" t="str">
        <f t="shared" si="46"/>
        <v>N/A</v>
      </c>
      <c r="J161">
        <f t="shared" si="47"/>
        <v>4.03</v>
      </c>
      <c r="K161" t="str">
        <f t="shared" si="48"/>
        <v>N/A</v>
      </c>
      <c r="L161" t="str">
        <f t="shared" si="49"/>
        <v>N/A</v>
      </c>
      <c r="M161" t="str">
        <f t="shared" si="50"/>
        <v>N/A</v>
      </c>
      <c r="N161" t="str">
        <f t="shared" si="51"/>
        <v>N/A</v>
      </c>
      <c r="P161">
        <f t="shared" si="27"/>
        <v>4.03</v>
      </c>
      <c r="Q161">
        <f>IFERROR(J144+MATCH(P161,J161:N161,0)-1,"")</f>
        <v>1</v>
      </c>
      <c r="R161">
        <f t="shared" si="28"/>
        <v>4.03</v>
      </c>
      <c r="S161">
        <f>IFERROR(J144+MATCH(R161,J161:N161,0)-1,"")</f>
        <v>1</v>
      </c>
      <c r="T161">
        <f t="shared" si="29"/>
        <v>4.03</v>
      </c>
      <c r="U161" t="str">
        <f t="shared" si="30"/>
        <v/>
      </c>
      <c r="V161" t="str">
        <f t="shared" si="31"/>
        <v/>
      </c>
      <c r="W161" t="str">
        <f t="shared" si="32"/>
        <v/>
      </c>
      <c r="X161" t="str">
        <f t="shared" si="33"/>
        <v/>
      </c>
      <c r="Y161" t="str">
        <f t="shared" si="34"/>
        <v/>
      </c>
      <c r="Z161" t="str">
        <f t="shared" si="35"/>
        <v/>
      </c>
      <c r="AA161">
        <f t="shared" si="36"/>
        <v>0</v>
      </c>
      <c r="AB161" t="str">
        <f>IFERROR(V144+MATCH(AA161,V161:Z161,0)-1,"")</f>
        <v/>
      </c>
      <c r="AC161" t="str">
        <f t="shared" si="37"/>
        <v/>
      </c>
      <c r="AE161" t="str">
        <f>IF(ISNUMBER(MATCH("N/A",J161:N161,0)),"",IFERROR((5 * SUMPRODUCT(J144:N144,J161:N161) - PRODUCT(SUM(J144:N144),SUM(J161:N161))) / ((5 * SUM((J144^2)+(K144^2)+(L144^2)+(M144^2)+(N144^2))) - SUM(J144:N144)^2),""))</f>
        <v/>
      </c>
      <c r="AF161" t="str">
        <f>IFERROR(CORREL(J144:N144,J161:N161),"")</f>
        <v/>
      </c>
      <c r="AZ161">
        <f t="shared" si="38"/>
        <v>0</v>
      </c>
      <c r="BA161" t="str">
        <f>IF(AZ161=1,IF(Q161="","",IF(Q161=N144,"Yes","No")),"")</f>
        <v/>
      </c>
      <c r="BB161" t="str">
        <f t="shared" si="39"/>
        <v/>
      </c>
      <c r="BC161" t="str">
        <f>IF(AZ161=1,IF(S161="","",IF(S161=N144,"Yes","No")),"")</f>
        <v/>
      </c>
      <c r="BD161" t="str">
        <f t="shared" si="40"/>
        <v/>
      </c>
      <c r="BE161" t="str">
        <f t="shared" si="41"/>
        <v/>
      </c>
      <c r="BF161" t="str">
        <f t="shared" si="42"/>
        <v>No</v>
      </c>
      <c r="BG161" t="str">
        <f t="shared" si="43"/>
        <v>No</v>
      </c>
      <c r="BH161" t="str">
        <f t="shared" si="44"/>
        <v/>
      </c>
    </row>
    <row r="162" spans="1:60" x14ac:dyDescent="0.3">
      <c r="A162" s="1">
        <v>6</v>
      </c>
      <c r="B162" t="s">
        <v>132</v>
      </c>
      <c r="C162" t="s">
        <v>4629</v>
      </c>
      <c r="I162" t="str">
        <f t="shared" si="46"/>
        <v>N/A</v>
      </c>
      <c r="J162">
        <f t="shared" si="47"/>
        <v>1.01</v>
      </c>
      <c r="K162" t="str">
        <f t="shared" si="48"/>
        <v>N/A</v>
      </c>
      <c r="L162" t="str">
        <f t="shared" si="49"/>
        <v>N/A</v>
      </c>
      <c r="M162" t="str">
        <f t="shared" si="50"/>
        <v>N/A</v>
      </c>
      <c r="N162" t="str">
        <f t="shared" si="51"/>
        <v>N/A</v>
      </c>
      <c r="P162">
        <f t="shared" si="27"/>
        <v>1.01</v>
      </c>
      <c r="Q162">
        <f>IFERROR(J144+MATCH(P162,J162:N162,0)-1,"")</f>
        <v>1</v>
      </c>
      <c r="R162">
        <f t="shared" si="28"/>
        <v>1.01</v>
      </c>
      <c r="S162">
        <f>IFERROR(J144+MATCH(R162,J162:N162,0)-1,"")</f>
        <v>1</v>
      </c>
      <c r="T162">
        <f t="shared" si="29"/>
        <v>1.01</v>
      </c>
      <c r="U162" t="str">
        <f t="shared" si="30"/>
        <v/>
      </c>
      <c r="V162" t="str">
        <f t="shared" si="31"/>
        <v/>
      </c>
      <c r="W162" t="str">
        <f t="shared" si="32"/>
        <v/>
      </c>
      <c r="X162" t="str">
        <f t="shared" si="33"/>
        <v/>
      </c>
      <c r="Y162" t="str">
        <f t="shared" si="34"/>
        <v/>
      </c>
      <c r="Z162" t="str">
        <f t="shared" si="35"/>
        <v/>
      </c>
      <c r="AA162">
        <f t="shared" si="36"/>
        <v>0</v>
      </c>
      <c r="AB162" t="str">
        <f>IFERROR(V144+MATCH(AA162,V162:Z162,0)-1,"")</f>
        <v/>
      </c>
      <c r="AC162" t="str">
        <f t="shared" si="37"/>
        <v/>
      </c>
      <c r="AE162" t="str">
        <f>IF(ISNUMBER(MATCH("N/A",J162:N162,0)),"",IFERROR((5 * SUMPRODUCT(J144:N144,J162:N162) - PRODUCT(SUM(J144:N144),SUM(J162:N162))) / ((5 * SUM((J144^2)+(K144^2)+(L144^2)+(M144^2)+(N144^2))) - SUM(J144:N144)^2),""))</f>
        <v/>
      </c>
      <c r="AF162" t="str">
        <f>IFERROR(CORREL(J144:N144,J162:N162),"")</f>
        <v/>
      </c>
      <c r="AZ162">
        <f t="shared" si="38"/>
        <v>0</v>
      </c>
      <c r="BA162" t="str">
        <f>IF(AZ162=1,IF(Q162="","",IF(Q162=N144,"Yes","No")),"")</f>
        <v/>
      </c>
      <c r="BB162" t="str">
        <f t="shared" si="39"/>
        <v/>
      </c>
      <c r="BC162" t="str">
        <f>IF(AZ162=1,IF(S162="","",IF(S162=N144,"Yes","No")),"")</f>
        <v/>
      </c>
      <c r="BD162" t="str">
        <f t="shared" si="40"/>
        <v/>
      </c>
      <c r="BE162" t="str">
        <f t="shared" si="41"/>
        <v/>
      </c>
      <c r="BF162" t="str">
        <f t="shared" si="42"/>
        <v>No</v>
      </c>
      <c r="BG162" t="str">
        <f t="shared" si="43"/>
        <v>No</v>
      </c>
      <c r="BH162" t="str">
        <f t="shared" si="44"/>
        <v/>
      </c>
    </row>
    <row r="163" spans="1:60" x14ac:dyDescent="0.3">
      <c r="A163" s="1">
        <v>7</v>
      </c>
      <c r="B163" t="s">
        <v>134</v>
      </c>
      <c r="I163" t="str">
        <f t="shared" si="46"/>
        <v>N/A</v>
      </c>
      <c r="J163" t="str">
        <f t="shared" si="47"/>
        <v>N/A</v>
      </c>
      <c r="K163" t="str">
        <f t="shared" si="48"/>
        <v>N/A</v>
      </c>
      <c r="L163" t="str">
        <f t="shared" si="49"/>
        <v>N/A</v>
      </c>
      <c r="M163" t="str">
        <f t="shared" si="50"/>
        <v>N/A</v>
      </c>
      <c r="N163" t="str">
        <f t="shared" si="51"/>
        <v>N/A</v>
      </c>
      <c r="P163">
        <f t="shared" si="27"/>
        <v>0</v>
      </c>
      <c r="Q163" t="str">
        <f>IFERROR(J144+MATCH(P163,J163:N163,0)-1,"")</f>
        <v/>
      </c>
      <c r="R163" t="str">
        <f t="shared" si="28"/>
        <v/>
      </c>
      <c r="S163" t="str">
        <f>IFERROR(J144+MATCH(R163,J163:N163,0)-1,"")</f>
        <v/>
      </c>
      <c r="T163" t="str">
        <f t="shared" si="29"/>
        <v/>
      </c>
      <c r="U163" t="str">
        <f t="shared" si="30"/>
        <v/>
      </c>
      <c r="V163" t="str">
        <f t="shared" si="31"/>
        <v/>
      </c>
      <c r="W163" t="str">
        <f t="shared" si="32"/>
        <v/>
      </c>
      <c r="X163" t="str">
        <f t="shared" si="33"/>
        <v/>
      </c>
      <c r="Y163" t="str">
        <f t="shared" si="34"/>
        <v/>
      </c>
      <c r="Z163" t="str">
        <f t="shared" si="35"/>
        <v/>
      </c>
      <c r="AA163">
        <f t="shared" si="36"/>
        <v>0</v>
      </c>
      <c r="AB163" t="str">
        <f>IFERROR(V144+MATCH(AA163,V163:Z163,0)-1,"")</f>
        <v/>
      </c>
      <c r="AC163" t="str">
        <f t="shared" si="37"/>
        <v/>
      </c>
      <c r="AE163" t="str">
        <f>IF(ISNUMBER(MATCH("N/A",J163:N163,0)),"",IFERROR((5 * SUMPRODUCT(J144:N144,J163:N163) - PRODUCT(SUM(J144:N144),SUM(J163:N163))) / ((5 * SUM((J144^2)+(K144^2)+(L144^2)+(M144^2)+(N144^2))) - SUM(J144:N144)^2),""))</f>
        <v/>
      </c>
      <c r="AF163" t="str">
        <f>IFERROR(CORREL(J144:N144,J163:N163),"")</f>
        <v/>
      </c>
      <c r="AZ163">
        <f t="shared" si="38"/>
        <v>0</v>
      </c>
      <c r="BA163" t="str">
        <f>IF(AZ163=1,IF(Q163="","",IF(Q163=N144,"Yes","No")),"")</f>
        <v/>
      </c>
      <c r="BB163" t="str">
        <f t="shared" si="39"/>
        <v/>
      </c>
      <c r="BC163" t="str">
        <f>IF(AZ163=1,IF(S163="","",IF(S163=N144,"Yes","No")),"")</f>
        <v/>
      </c>
      <c r="BD163" t="str">
        <f t="shared" si="40"/>
        <v/>
      </c>
      <c r="BE163" t="str">
        <f t="shared" si="41"/>
        <v/>
      </c>
      <c r="BF163" t="str">
        <f t="shared" si="42"/>
        <v>No</v>
      </c>
      <c r="BG163" t="str">
        <f t="shared" si="43"/>
        <v>No</v>
      </c>
      <c r="BH163" t="str">
        <f t="shared" si="44"/>
        <v/>
      </c>
    </row>
    <row r="164" spans="1:60" x14ac:dyDescent="0.3">
      <c r="A164" s="1">
        <v>8</v>
      </c>
      <c r="B164" t="s">
        <v>135</v>
      </c>
      <c r="I164" t="str">
        <f t="shared" si="46"/>
        <v>N/A</v>
      </c>
      <c r="J164" t="str">
        <f t="shared" si="47"/>
        <v>N/A</v>
      </c>
      <c r="K164" t="str">
        <f t="shared" si="48"/>
        <v>N/A</v>
      </c>
      <c r="L164" t="str">
        <f t="shared" si="49"/>
        <v>N/A</v>
      </c>
      <c r="M164" t="str">
        <f t="shared" si="50"/>
        <v>N/A</v>
      </c>
      <c r="N164" t="str">
        <f t="shared" si="51"/>
        <v>N/A</v>
      </c>
      <c r="P164">
        <f t="shared" si="27"/>
        <v>0</v>
      </c>
      <c r="Q164" t="str">
        <f>IFERROR(J144+MATCH(P164,J164:N164,0)-1,"")</f>
        <v/>
      </c>
      <c r="R164" t="str">
        <f t="shared" si="28"/>
        <v/>
      </c>
      <c r="S164" t="str">
        <f>IFERROR(J144+MATCH(R164,J164:N164,0)-1,"")</f>
        <v/>
      </c>
      <c r="T164" t="str">
        <f t="shared" si="29"/>
        <v/>
      </c>
      <c r="U164" t="str">
        <f t="shared" si="30"/>
        <v/>
      </c>
      <c r="V164" t="str">
        <f t="shared" si="31"/>
        <v/>
      </c>
      <c r="W164" t="str">
        <f t="shared" si="32"/>
        <v/>
      </c>
      <c r="X164" t="str">
        <f t="shared" si="33"/>
        <v/>
      </c>
      <c r="Y164" t="str">
        <f t="shared" si="34"/>
        <v/>
      </c>
      <c r="Z164" t="str">
        <f t="shared" si="35"/>
        <v/>
      </c>
      <c r="AA164">
        <f t="shared" si="36"/>
        <v>0</v>
      </c>
      <c r="AB164" t="str">
        <f>IFERROR(V144+MATCH(AA164,V164:Z164,0)-1,"")</f>
        <v/>
      </c>
      <c r="AC164" t="str">
        <f t="shared" si="37"/>
        <v/>
      </c>
      <c r="AE164" t="str">
        <f>IF(ISNUMBER(MATCH("N/A",J164:N164,0)),"",IFERROR((5 * SUMPRODUCT(J144:N144,J164:N164) - PRODUCT(SUM(J144:N144),SUM(J164:N164))) / ((5 * SUM((J144^2)+(K144^2)+(L144^2)+(M144^2)+(N144^2))) - SUM(J144:N144)^2),""))</f>
        <v/>
      </c>
      <c r="AF164" t="str">
        <f>IFERROR(CORREL(J144:N144,J164:N164),"")</f>
        <v/>
      </c>
      <c r="AZ164">
        <f t="shared" si="38"/>
        <v>0</v>
      </c>
      <c r="BA164" t="str">
        <f>IF(AZ164=1,IF(Q164="","",IF(Q164=N144,"Yes","No")),"")</f>
        <v/>
      </c>
      <c r="BB164" t="str">
        <f t="shared" si="39"/>
        <v/>
      </c>
      <c r="BC164" t="str">
        <f>IF(AZ164=1,IF(S164="","",IF(S164=N144,"Yes","No")),"")</f>
        <v/>
      </c>
      <c r="BD164" t="str">
        <f t="shared" si="40"/>
        <v/>
      </c>
      <c r="BE164" t="str">
        <f t="shared" si="41"/>
        <v/>
      </c>
      <c r="BF164" t="str">
        <f t="shared" si="42"/>
        <v>No</v>
      </c>
      <c r="BG164" t="str">
        <f t="shared" si="43"/>
        <v>No</v>
      </c>
      <c r="BH164" t="str">
        <f t="shared" si="44"/>
        <v/>
      </c>
    </row>
    <row r="165" spans="1:60" x14ac:dyDescent="0.3">
      <c r="I165" t="str">
        <f t="shared" si="46"/>
        <v>N/A</v>
      </c>
      <c r="J165" t="str">
        <f t="shared" si="47"/>
        <v>N/A</v>
      </c>
      <c r="K165" t="str">
        <f t="shared" si="48"/>
        <v>N/A</v>
      </c>
      <c r="L165" t="str">
        <f t="shared" si="49"/>
        <v>N/A</v>
      </c>
      <c r="M165" t="str">
        <f t="shared" si="50"/>
        <v>N/A</v>
      </c>
      <c r="N165" t="str">
        <f t="shared" si="51"/>
        <v>N/A</v>
      </c>
      <c r="P165">
        <f t="shared" si="27"/>
        <v>0</v>
      </c>
      <c r="Q165" t="str">
        <f>IFERROR(J144+MATCH(P165,J165:N165,0)-1,"")</f>
        <v/>
      </c>
      <c r="R165" t="str">
        <f t="shared" si="28"/>
        <v/>
      </c>
      <c r="S165" t="str">
        <f>IFERROR(J144+MATCH(R165,J165:N165,0)-1,"")</f>
        <v/>
      </c>
      <c r="T165" t="str">
        <f t="shared" si="29"/>
        <v/>
      </c>
      <c r="U165" t="str">
        <f t="shared" si="30"/>
        <v/>
      </c>
      <c r="V165" t="str">
        <f t="shared" si="31"/>
        <v/>
      </c>
      <c r="W165" t="str">
        <f t="shared" si="32"/>
        <v/>
      </c>
      <c r="X165" t="str">
        <f t="shared" si="33"/>
        <v/>
      </c>
      <c r="Y165" t="str">
        <f t="shared" si="34"/>
        <v/>
      </c>
      <c r="Z165" t="str">
        <f t="shared" si="35"/>
        <v/>
      </c>
      <c r="AA165">
        <f t="shared" si="36"/>
        <v>0</v>
      </c>
      <c r="AB165" t="str">
        <f>IFERROR(V144+MATCH(AA165,V165:Z165,0)-1,"")</f>
        <v/>
      </c>
      <c r="AC165" t="str">
        <f t="shared" si="37"/>
        <v/>
      </c>
      <c r="AE165" t="str">
        <f>IF(ISNUMBER(MATCH("N/A",J165:N165,0)),"",IFERROR((5 * SUMPRODUCT(J144:N144,J165:N165) - PRODUCT(SUM(J144:N144),SUM(J165:N165))) / ((5 * SUM((J144^2)+(K144^2)+(L144^2)+(M144^2)+(N144^2))) - SUM(J144:N144)^2),""))</f>
        <v/>
      </c>
      <c r="AF165" t="str">
        <f>IFERROR(CORREL(J144:N144,J165:N165),"")</f>
        <v/>
      </c>
      <c r="AZ165">
        <f t="shared" si="38"/>
        <v>0</v>
      </c>
      <c r="BA165" t="str">
        <f>IF(AZ165=1,IF(Q165="","",IF(Q165=N144,"Yes","No")),"")</f>
        <v/>
      </c>
      <c r="BB165" t="str">
        <f t="shared" si="39"/>
        <v/>
      </c>
      <c r="BC165" t="str">
        <f>IF(AZ165=1,IF(S165="","",IF(S165=N144,"Yes","No")),"")</f>
        <v/>
      </c>
      <c r="BD165" t="str">
        <f t="shared" si="40"/>
        <v/>
      </c>
      <c r="BE165" t="str">
        <f t="shared" si="41"/>
        <v/>
      </c>
      <c r="BF165" t="str">
        <f t="shared" si="42"/>
        <v>No</v>
      </c>
      <c r="BG165" t="str">
        <f t="shared" si="43"/>
        <v>No</v>
      </c>
      <c r="BH165" t="str">
        <f t="shared" si="44"/>
        <v/>
      </c>
    </row>
    <row r="166" spans="1:60" x14ac:dyDescent="0.3">
      <c r="I166" t="str">
        <f t="shared" si="46"/>
        <v>N/A</v>
      </c>
      <c r="J166" t="str">
        <f t="shared" si="47"/>
        <v>N/A</v>
      </c>
      <c r="K166" t="str">
        <f t="shared" si="48"/>
        <v>N/A</v>
      </c>
      <c r="L166" t="str">
        <f t="shared" si="49"/>
        <v>N/A</v>
      </c>
      <c r="M166" t="str">
        <f t="shared" si="50"/>
        <v>N/A</v>
      </c>
      <c r="N166" t="str">
        <f t="shared" si="51"/>
        <v>N/A</v>
      </c>
      <c r="P166">
        <f t="shared" si="27"/>
        <v>0</v>
      </c>
      <c r="Q166" t="str">
        <f>IFERROR(J144+MATCH(P166,J166:N166,0)-1,"")</f>
        <v/>
      </c>
      <c r="R166" t="str">
        <f t="shared" si="28"/>
        <v/>
      </c>
      <c r="S166" t="str">
        <f>IFERROR(J144+MATCH(R166,J166:N166,0)-1,"")</f>
        <v/>
      </c>
      <c r="T166" t="str">
        <f t="shared" si="29"/>
        <v/>
      </c>
      <c r="U166" t="str">
        <f t="shared" si="30"/>
        <v/>
      </c>
      <c r="V166" t="str">
        <f t="shared" si="31"/>
        <v/>
      </c>
      <c r="W166" t="str">
        <f t="shared" si="32"/>
        <v/>
      </c>
      <c r="X166" t="str">
        <f t="shared" si="33"/>
        <v/>
      </c>
      <c r="Y166" t="str">
        <f t="shared" si="34"/>
        <v/>
      </c>
      <c r="Z166" t="str">
        <f t="shared" si="35"/>
        <v/>
      </c>
      <c r="AA166">
        <f t="shared" si="36"/>
        <v>0</v>
      </c>
      <c r="AB166" t="str">
        <f>IFERROR(V144+MATCH(AA166,V166:Z166,0)-1,"")</f>
        <v/>
      </c>
      <c r="AC166" t="str">
        <f t="shared" si="37"/>
        <v/>
      </c>
      <c r="AE166" t="str">
        <f>IF(ISNUMBER(MATCH("N/A",J166:N166,0)),"",IFERROR((5 * SUMPRODUCT(J144:N144,J166:N166) - PRODUCT(SUM(J144:N144),SUM(J166:N166))) / ((5 * SUM((J144^2)+(K144^2)+(L144^2)+(M144^2)+(N144^2))) - SUM(J144:N144)^2),""))</f>
        <v/>
      </c>
      <c r="AF166" t="str">
        <f>IFERROR(CORREL(J144:N144,J166:N166),"")</f>
        <v/>
      </c>
      <c r="AZ166">
        <f t="shared" si="38"/>
        <v>0</v>
      </c>
      <c r="BA166" t="str">
        <f>IF(AZ166=1,IF(Q166="","",IF(Q166=N144,"Yes","No")),"")</f>
        <v/>
      </c>
      <c r="BB166" t="str">
        <f t="shared" si="39"/>
        <v/>
      </c>
      <c r="BC166" t="str">
        <f>IF(AZ166=1,IF(S166="","",IF(S166=N144,"Yes","No")),"")</f>
        <v/>
      </c>
      <c r="BD166" t="str">
        <f t="shared" si="40"/>
        <v/>
      </c>
      <c r="BE166" t="str">
        <f t="shared" si="41"/>
        <v/>
      </c>
      <c r="BF166" t="str">
        <f t="shared" si="42"/>
        <v>No</v>
      </c>
      <c r="BG166" t="str">
        <f t="shared" si="43"/>
        <v>No</v>
      </c>
      <c r="BH166" t="str">
        <f t="shared" si="44"/>
        <v/>
      </c>
    </row>
    <row r="167" spans="1:60" x14ac:dyDescent="0.3">
      <c r="I167" t="str">
        <f t="shared" si="46"/>
        <v>N/A</v>
      </c>
      <c r="J167" t="str">
        <f t="shared" si="47"/>
        <v>N/A</v>
      </c>
      <c r="K167" t="str">
        <f t="shared" si="48"/>
        <v>N/A</v>
      </c>
      <c r="L167" t="str">
        <f t="shared" si="49"/>
        <v>N/A</v>
      </c>
      <c r="M167" t="str">
        <f t="shared" si="50"/>
        <v>N/A</v>
      </c>
      <c r="N167" t="str">
        <f t="shared" si="51"/>
        <v>N/A</v>
      </c>
      <c r="P167">
        <f t="shared" si="27"/>
        <v>0</v>
      </c>
      <c r="Q167" t="str">
        <f>IFERROR(J144+MATCH(P167,J167:N167,0)-1,"")</f>
        <v/>
      </c>
      <c r="R167" t="str">
        <f t="shared" si="28"/>
        <v/>
      </c>
      <c r="S167" t="str">
        <f>IFERROR(J144+MATCH(R167,J167:N167,0)-1,"")</f>
        <v/>
      </c>
      <c r="T167" t="str">
        <f t="shared" si="29"/>
        <v/>
      </c>
      <c r="U167" t="str">
        <f t="shared" si="30"/>
        <v/>
      </c>
      <c r="V167" t="str">
        <f t="shared" si="31"/>
        <v/>
      </c>
      <c r="W167" t="str">
        <f t="shared" si="32"/>
        <v/>
      </c>
      <c r="X167" t="str">
        <f t="shared" si="33"/>
        <v/>
      </c>
      <c r="Y167" t="str">
        <f t="shared" si="34"/>
        <v/>
      </c>
      <c r="Z167" t="str">
        <f t="shared" si="35"/>
        <v/>
      </c>
      <c r="AA167">
        <f t="shared" si="36"/>
        <v>0</v>
      </c>
      <c r="AB167" t="str">
        <f>IFERROR(V144+MATCH(AA167,V167:Z167,0)-1,"")</f>
        <v/>
      </c>
      <c r="AC167" t="str">
        <f t="shared" si="37"/>
        <v/>
      </c>
      <c r="AE167" t="str">
        <f>IF(ISNUMBER(MATCH("N/A",J167:N167,0)),"",IFERROR((5 * SUMPRODUCT(J144:N144,J167:N167) - PRODUCT(SUM(J144:N144),SUM(J167:N167))) / ((5 * SUM((J144^2)+(K144^2)+(L144^2)+(M144^2)+(N144^2))) - SUM(J144:N144)^2),""))</f>
        <v/>
      </c>
      <c r="AF167" t="str">
        <f>IFERROR(CORREL(J144:N144,J167:N167),"")</f>
        <v/>
      </c>
      <c r="AZ167">
        <f t="shared" si="38"/>
        <v>0</v>
      </c>
      <c r="BA167" t="str">
        <f>IF(AZ167=1,IF(Q167="","",IF(Q167=N144,"Yes","No")),"")</f>
        <v/>
      </c>
      <c r="BB167" t="str">
        <f t="shared" si="39"/>
        <v/>
      </c>
      <c r="BC167" t="str">
        <f>IF(AZ167=1,IF(S167="","",IF(S167=N144,"Yes","No")),"")</f>
        <v/>
      </c>
      <c r="BD167" t="str">
        <f t="shared" si="40"/>
        <v/>
      </c>
      <c r="BE167" t="str">
        <f t="shared" si="41"/>
        <v/>
      </c>
      <c r="BF167" t="str">
        <f t="shared" si="42"/>
        <v>No</v>
      </c>
      <c r="BG167" t="str">
        <f t="shared" si="43"/>
        <v>No</v>
      </c>
      <c r="BH167" t="str">
        <f t="shared" si="44"/>
        <v/>
      </c>
    </row>
    <row r="168" spans="1:60" x14ac:dyDescent="0.3">
      <c r="I168" t="str">
        <f t="shared" si="46"/>
        <v>N/A</v>
      </c>
      <c r="J168" t="str">
        <f t="shared" si="47"/>
        <v>N/A</v>
      </c>
      <c r="K168" t="str">
        <f t="shared" si="48"/>
        <v>N/A</v>
      </c>
      <c r="L168" t="str">
        <f t="shared" si="49"/>
        <v>N/A</v>
      </c>
      <c r="M168" t="str">
        <f t="shared" si="50"/>
        <v>N/A</v>
      </c>
      <c r="N168" t="str">
        <f t="shared" si="51"/>
        <v>N/A</v>
      </c>
      <c r="P168">
        <f t="shared" si="27"/>
        <v>0</v>
      </c>
      <c r="Q168" t="str">
        <f>IFERROR(J144+MATCH(P168,J168:N168,0)-1,"")</f>
        <v/>
      </c>
      <c r="R168" t="str">
        <f t="shared" si="28"/>
        <v/>
      </c>
      <c r="S168" t="str">
        <f>IFERROR(J144+MATCH(R168,J168:N168,0)-1,"")</f>
        <v/>
      </c>
      <c r="T168" t="str">
        <f t="shared" si="29"/>
        <v/>
      </c>
      <c r="U168" t="str">
        <f t="shared" si="30"/>
        <v/>
      </c>
      <c r="V168" t="str">
        <f t="shared" si="31"/>
        <v/>
      </c>
      <c r="W168" t="str">
        <f t="shared" si="32"/>
        <v/>
      </c>
      <c r="X168" t="str">
        <f t="shared" si="33"/>
        <v/>
      </c>
      <c r="Y168" t="str">
        <f t="shared" si="34"/>
        <v/>
      </c>
      <c r="Z168" t="str">
        <f t="shared" si="35"/>
        <v/>
      </c>
      <c r="AA168">
        <f t="shared" si="36"/>
        <v>0</v>
      </c>
      <c r="AB168" t="str">
        <f>IFERROR(V144+MATCH(AA168,V168:Z168,0)-1,"")</f>
        <v/>
      </c>
      <c r="AC168" t="str">
        <f t="shared" si="37"/>
        <v/>
      </c>
      <c r="AE168" t="str">
        <f>IF(ISNUMBER(MATCH("N/A",J168:N168,0)),"",IFERROR((5 * SUMPRODUCT(J144:N144,J168:N168) - PRODUCT(SUM(J144:N144),SUM(J168:N168))) / ((5 * SUM((J144^2)+(K144^2)+(L144^2)+(M144^2)+(N144^2))) - SUM(J144:N144)^2),""))</f>
        <v/>
      </c>
      <c r="AF168" t="str">
        <f>IFERROR(CORREL(J144:N144,J168:N168),"")</f>
        <v/>
      </c>
      <c r="AZ168">
        <f t="shared" si="38"/>
        <v>0</v>
      </c>
      <c r="BA168" t="str">
        <f>IF(AZ168=1,IF(Q168="","",IF(Q168=N144,"Yes","No")),"")</f>
        <v/>
      </c>
      <c r="BB168" t="str">
        <f t="shared" si="39"/>
        <v/>
      </c>
      <c r="BC168" t="str">
        <f>IF(AZ168=1,IF(S168="","",IF(S168=N144,"Yes","No")),"")</f>
        <v/>
      </c>
      <c r="BD168" t="str">
        <f t="shared" si="40"/>
        <v/>
      </c>
      <c r="BE168" t="str">
        <f t="shared" si="41"/>
        <v/>
      </c>
      <c r="BF168" t="str">
        <f t="shared" si="42"/>
        <v>No</v>
      </c>
      <c r="BG168" t="str">
        <f t="shared" si="43"/>
        <v>No</v>
      </c>
      <c r="BH168" t="str">
        <f t="shared" si="44"/>
        <v/>
      </c>
    </row>
    <row r="169" spans="1:60" x14ac:dyDescent="0.3">
      <c r="I169" t="str">
        <f t="shared" si="46"/>
        <v>N/A</v>
      </c>
      <c r="J169" t="str">
        <f t="shared" si="47"/>
        <v>N/A</v>
      </c>
      <c r="K169" t="str">
        <f t="shared" si="48"/>
        <v>N/A</v>
      </c>
      <c r="L169" t="str">
        <f t="shared" si="49"/>
        <v>N/A</v>
      </c>
      <c r="M169" t="str">
        <f t="shared" si="50"/>
        <v>N/A</v>
      </c>
      <c r="N169" t="str">
        <f t="shared" si="51"/>
        <v>N/A</v>
      </c>
      <c r="P169">
        <f t="shared" si="27"/>
        <v>0</v>
      </c>
      <c r="Q169" t="str">
        <f>IFERROR(J144+MATCH(P169,J169:N169,0)-1,"")</f>
        <v/>
      </c>
      <c r="R169" t="str">
        <f t="shared" si="28"/>
        <v/>
      </c>
      <c r="S169" t="str">
        <f>IFERROR(J144+MATCH(R169,J169:N169,0)-1,"")</f>
        <v/>
      </c>
      <c r="T169" t="str">
        <f t="shared" si="29"/>
        <v/>
      </c>
      <c r="U169" t="str">
        <f t="shared" si="30"/>
        <v/>
      </c>
      <c r="V169" t="str">
        <f t="shared" si="31"/>
        <v/>
      </c>
      <c r="W169" t="str">
        <f t="shared" si="32"/>
        <v/>
      </c>
      <c r="X169" t="str">
        <f t="shared" si="33"/>
        <v/>
      </c>
      <c r="Y169" t="str">
        <f t="shared" si="34"/>
        <v/>
      </c>
      <c r="Z169" t="str">
        <f t="shared" si="35"/>
        <v/>
      </c>
      <c r="AA169">
        <f t="shared" si="36"/>
        <v>0</v>
      </c>
      <c r="AB169" t="str">
        <f>IFERROR(V144+MATCH(AA169,V169:Z169,0)-1,"")</f>
        <v/>
      </c>
      <c r="AC169" t="str">
        <f t="shared" si="37"/>
        <v/>
      </c>
      <c r="AE169" t="str">
        <f>IF(ISNUMBER(MATCH("N/A",J169:N169,0)),"",IFERROR((5 * SUMPRODUCT(J144:N144,J169:N169) - PRODUCT(SUM(J144:N144),SUM(J169:N169))) / ((5 * SUM((J144^2)+(K144^2)+(L144^2)+(M144^2)+(N144^2))) - SUM(J144:N144)^2),""))</f>
        <v/>
      </c>
      <c r="AF169" t="str">
        <f>IFERROR(CORREL(J144:N144,J169:N169),"")</f>
        <v/>
      </c>
      <c r="AZ169">
        <f t="shared" si="38"/>
        <v>0</v>
      </c>
      <c r="BA169" t="str">
        <f>IF(AZ169=1,IF(Q169="","",IF(Q169=N144,"Yes","No")),"")</f>
        <v/>
      </c>
      <c r="BB169" t="str">
        <f t="shared" si="39"/>
        <v/>
      </c>
      <c r="BC169" t="str">
        <f>IF(AZ169=1,IF(S169="","",IF(S169=N144,"Yes","No")),"")</f>
        <v/>
      </c>
      <c r="BD169" t="str">
        <f t="shared" si="40"/>
        <v/>
      </c>
      <c r="BE169" t="str">
        <f t="shared" si="41"/>
        <v/>
      </c>
      <c r="BF169" t="str">
        <f t="shared" si="42"/>
        <v>No</v>
      </c>
      <c r="BG169" t="str">
        <f t="shared" si="43"/>
        <v>No</v>
      </c>
      <c r="BH169" t="str">
        <f t="shared" si="44"/>
        <v/>
      </c>
    </row>
    <row r="170" spans="1:60" x14ac:dyDescent="0.3">
      <c r="I170" t="str">
        <f t="shared" si="46"/>
        <v>N/A</v>
      </c>
      <c r="J170" t="str">
        <f t="shared" si="47"/>
        <v>N/A</v>
      </c>
      <c r="K170" t="str">
        <f t="shared" si="48"/>
        <v>N/A</v>
      </c>
      <c r="L170" t="str">
        <f t="shared" si="49"/>
        <v>N/A</v>
      </c>
      <c r="M170" t="str">
        <f t="shared" si="50"/>
        <v>N/A</v>
      </c>
      <c r="N170" t="str">
        <f t="shared" si="51"/>
        <v>N/A</v>
      </c>
      <c r="P170">
        <f t="shared" si="27"/>
        <v>0</v>
      </c>
      <c r="Q170" t="str">
        <f>IFERROR(J144+MATCH(P170,J170:N170,0)-1,"")</f>
        <v/>
      </c>
      <c r="R170" t="str">
        <f t="shared" si="28"/>
        <v/>
      </c>
      <c r="S170" t="str">
        <f>IFERROR(J144+MATCH(R170,J170:N170,0)-1,"")</f>
        <v/>
      </c>
      <c r="T170" t="str">
        <f t="shared" si="29"/>
        <v/>
      </c>
      <c r="U170" t="str">
        <f t="shared" si="30"/>
        <v/>
      </c>
      <c r="V170" t="str">
        <f t="shared" si="31"/>
        <v/>
      </c>
      <c r="W170" t="str">
        <f t="shared" si="32"/>
        <v/>
      </c>
      <c r="X170" t="str">
        <f t="shared" si="33"/>
        <v/>
      </c>
      <c r="Y170" t="str">
        <f t="shared" si="34"/>
        <v/>
      </c>
      <c r="Z170" t="str">
        <f t="shared" si="35"/>
        <v/>
      </c>
      <c r="AA170">
        <f t="shared" si="36"/>
        <v>0</v>
      </c>
      <c r="AB170" t="str">
        <f>IFERROR(V144+MATCH(AA170,V170:Z170,0)-1,"")</f>
        <v/>
      </c>
      <c r="AC170" t="str">
        <f t="shared" si="37"/>
        <v/>
      </c>
      <c r="AE170" t="str">
        <f>IF(ISNUMBER(MATCH("N/A",J170:N170,0)),"",IFERROR((5 * SUMPRODUCT(J144:N144,J170:N170) - PRODUCT(SUM(J144:N144),SUM(J170:N170))) / ((5 * SUM((J144^2)+(K144^2)+(L144^2)+(M144^2)+(N144^2))) - SUM(J144:N144)^2),""))</f>
        <v/>
      </c>
      <c r="AF170" t="str">
        <f>IFERROR(CORREL(J144:N144,J170:N170),"")</f>
        <v/>
      </c>
      <c r="AZ170">
        <f t="shared" si="38"/>
        <v>0</v>
      </c>
      <c r="BA170" t="str">
        <f>IF(AZ170=1,IF(Q170="","",IF(Q170=N144,"Yes","No")),"")</f>
        <v/>
      </c>
      <c r="BB170" t="str">
        <f t="shared" si="39"/>
        <v/>
      </c>
      <c r="BC170" t="str">
        <f>IF(AZ170=1,IF(S170="","",IF(S170=N144,"Yes","No")),"")</f>
        <v/>
      </c>
      <c r="BD170" t="str">
        <f t="shared" si="40"/>
        <v/>
      </c>
      <c r="BE170" t="str">
        <f t="shared" si="41"/>
        <v/>
      </c>
      <c r="BF170" t="str">
        <f t="shared" si="42"/>
        <v>No</v>
      </c>
      <c r="BG170" t="str">
        <f t="shared" si="43"/>
        <v>No</v>
      </c>
      <c r="BH170" t="str">
        <f t="shared" si="44"/>
        <v/>
      </c>
    </row>
    <row r="171" spans="1:60" x14ac:dyDescent="0.3">
      <c r="I171" t="str">
        <f t="shared" si="46"/>
        <v>N/A</v>
      </c>
      <c r="J171" t="str">
        <f t="shared" si="47"/>
        <v>N/A</v>
      </c>
      <c r="K171" t="str">
        <f t="shared" si="48"/>
        <v>N/A</v>
      </c>
      <c r="L171" t="str">
        <f t="shared" si="49"/>
        <v>N/A</v>
      </c>
      <c r="M171" t="str">
        <f t="shared" si="50"/>
        <v>N/A</v>
      </c>
      <c r="N171" t="str">
        <f t="shared" si="51"/>
        <v>N/A</v>
      </c>
      <c r="P171">
        <f t="shared" si="27"/>
        <v>0</v>
      </c>
      <c r="Q171" t="str">
        <f>IFERROR(J144+MATCH(P171,J171:N171,0)-1,"")</f>
        <v/>
      </c>
      <c r="R171" t="str">
        <f t="shared" si="28"/>
        <v/>
      </c>
      <c r="S171" t="str">
        <f>IFERROR(J144+MATCH(R171,J171:N171,0)-1,"")</f>
        <v/>
      </c>
      <c r="T171" t="str">
        <f t="shared" si="29"/>
        <v/>
      </c>
      <c r="U171" t="str">
        <f t="shared" si="30"/>
        <v/>
      </c>
      <c r="V171" t="str">
        <f t="shared" si="31"/>
        <v/>
      </c>
      <c r="W171" t="str">
        <f t="shared" si="32"/>
        <v/>
      </c>
      <c r="X171" t="str">
        <f t="shared" si="33"/>
        <v/>
      </c>
      <c r="Y171" t="str">
        <f t="shared" si="34"/>
        <v/>
      </c>
      <c r="Z171" t="str">
        <f t="shared" si="35"/>
        <v/>
      </c>
      <c r="AA171">
        <f t="shared" si="36"/>
        <v>0</v>
      </c>
      <c r="AB171" t="str">
        <f>IFERROR(V144+MATCH(AA171,V171:Z171,0)-1,"")</f>
        <v/>
      </c>
      <c r="AC171" t="str">
        <f t="shared" si="37"/>
        <v/>
      </c>
      <c r="AE171" t="str">
        <f>IF(ISNUMBER(MATCH("N/A",J171:N171,0)),"",IFERROR((5 * SUMPRODUCT(J144:N144,J171:N171) - PRODUCT(SUM(J144:N144),SUM(J171:N171))) / ((5 * SUM((J144^2)+(K144^2)+(L144^2)+(M144^2)+(N144^2))) - SUM(J144:N144)^2),""))</f>
        <v/>
      </c>
      <c r="AF171" t="str">
        <f>IFERROR(CORREL(J144:N144,J171:N171),"")</f>
        <v/>
      </c>
      <c r="AZ171">
        <f t="shared" si="38"/>
        <v>0</v>
      </c>
      <c r="BA171" t="str">
        <f>IF(AZ171=1,IF(Q171="","",IF(Q171=N144,"Yes","No")),"")</f>
        <v/>
      </c>
      <c r="BB171" t="str">
        <f t="shared" si="39"/>
        <v/>
      </c>
      <c r="BC171" t="str">
        <f>IF(AZ171=1,IF(S171="","",IF(S171=N144,"Yes","No")),"")</f>
        <v/>
      </c>
      <c r="BD171" t="str">
        <f t="shared" si="40"/>
        <v/>
      </c>
      <c r="BE171" t="str">
        <f t="shared" si="41"/>
        <v/>
      </c>
      <c r="BF171" t="str">
        <f t="shared" si="42"/>
        <v>No</v>
      </c>
      <c r="BG171" t="str">
        <f t="shared" si="43"/>
        <v>No</v>
      </c>
      <c r="BH171" t="str">
        <f t="shared" si="44"/>
        <v/>
      </c>
    </row>
    <row r="172" spans="1:60" x14ac:dyDescent="0.3">
      <c r="I172" t="str">
        <f t="shared" si="46"/>
        <v>N/A</v>
      </c>
      <c r="J172" t="str">
        <f t="shared" si="47"/>
        <v>N/A</v>
      </c>
      <c r="K172" t="str">
        <f t="shared" si="48"/>
        <v>N/A</v>
      </c>
      <c r="L172" t="str">
        <f t="shared" si="49"/>
        <v>N/A</v>
      </c>
      <c r="M172" t="str">
        <f t="shared" si="50"/>
        <v>N/A</v>
      </c>
      <c r="N172" t="str">
        <f t="shared" si="51"/>
        <v>N/A</v>
      </c>
      <c r="P172">
        <f t="shared" si="27"/>
        <v>0</v>
      </c>
      <c r="Q172" t="str">
        <f>IFERROR(J144+MATCH(P172,J172:N172,0)-1,"")</f>
        <v/>
      </c>
      <c r="R172" t="str">
        <f t="shared" si="28"/>
        <v/>
      </c>
      <c r="S172" t="str">
        <f>IFERROR(J144+MATCH(R172,J172:N172,0)-1,"")</f>
        <v/>
      </c>
      <c r="T172" t="str">
        <f t="shared" si="29"/>
        <v/>
      </c>
      <c r="U172" t="str">
        <f t="shared" si="30"/>
        <v/>
      </c>
      <c r="V172" t="str">
        <f t="shared" si="31"/>
        <v/>
      </c>
      <c r="W172" t="str">
        <f t="shared" si="32"/>
        <v/>
      </c>
      <c r="X172" t="str">
        <f t="shared" si="33"/>
        <v/>
      </c>
      <c r="Y172" t="str">
        <f t="shared" si="34"/>
        <v/>
      </c>
      <c r="Z172" t="str">
        <f t="shared" si="35"/>
        <v/>
      </c>
      <c r="AA172">
        <f t="shared" si="36"/>
        <v>0</v>
      </c>
      <c r="AB172" t="str">
        <f>IFERROR(V144+MATCH(AA172,V172:Z172,0)-1,"")</f>
        <v/>
      </c>
      <c r="AC172" t="str">
        <f t="shared" si="37"/>
        <v/>
      </c>
      <c r="AE172" t="str">
        <f>IF(ISNUMBER(MATCH("N/A",J172:N172,0)),"",IFERROR((5 * SUMPRODUCT(J144:N144,J172:N172) - PRODUCT(SUM(J144:N144),SUM(J172:N172))) / ((5 * SUM((J144^2)+(K144^2)+(L144^2)+(M144^2)+(N144^2))) - SUM(J144:N144)^2),""))</f>
        <v/>
      </c>
      <c r="AF172" t="str">
        <f>IFERROR(CORREL(J144:N144,J172:N172),"")</f>
        <v/>
      </c>
      <c r="AZ172">
        <f t="shared" si="38"/>
        <v>0</v>
      </c>
      <c r="BA172" t="str">
        <f>IF(AZ172=1,IF(Q172="","",IF(Q172=N144,"Yes","No")),"")</f>
        <v/>
      </c>
      <c r="BB172" t="str">
        <f t="shared" si="39"/>
        <v/>
      </c>
      <c r="BC172" t="str">
        <f>IF(AZ172=1,IF(S172="","",IF(S172=N144,"Yes","No")),"")</f>
        <v/>
      </c>
      <c r="BD172" t="str">
        <f t="shared" si="40"/>
        <v/>
      </c>
      <c r="BE172" t="str">
        <f t="shared" si="41"/>
        <v/>
      </c>
      <c r="BF172" t="str">
        <f t="shared" si="42"/>
        <v>No</v>
      </c>
      <c r="BG172" t="str">
        <f t="shared" si="43"/>
        <v>No</v>
      </c>
      <c r="BH172" t="str">
        <f t="shared" si="44"/>
        <v/>
      </c>
    </row>
    <row r="173" spans="1:60" x14ac:dyDescent="0.3">
      <c r="I173" t="str">
        <f t="shared" si="46"/>
        <v>N/A</v>
      </c>
      <c r="J173" t="str">
        <f t="shared" si="47"/>
        <v>N/A</v>
      </c>
      <c r="K173" t="str">
        <f t="shared" si="48"/>
        <v>N/A</v>
      </c>
      <c r="L173" t="str">
        <f t="shared" si="49"/>
        <v>N/A</v>
      </c>
      <c r="M173" t="str">
        <f t="shared" si="50"/>
        <v>N/A</v>
      </c>
      <c r="N173" t="str">
        <f t="shared" si="51"/>
        <v>N/A</v>
      </c>
      <c r="P173">
        <f t="shared" si="27"/>
        <v>0</v>
      </c>
      <c r="Q173" t="str">
        <f>IFERROR(J144+MATCH(P173,J173:N173,0)-1,"")</f>
        <v/>
      </c>
      <c r="R173" t="str">
        <f t="shared" si="28"/>
        <v/>
      </c>
      <c r="S173" t="str">
        <f>IFERROR(J144+MATCH(R173,J173:N173,0)-1,"")</f>
        <v/>
      </c>
      <c r="T173" t="str">
        <f t="shared" si="29"/>
        <v/>
      </c>
      <c r="U173" t="str">
        <f t="shared" si="30"/>
        <v/>
      </c>
      <c r="V173" t="str">
        <f t="shared" si="31"/>
        <v/>
      </c>
      <c r="W173" t="str">
        <f t="shared" si="32"/>
        <v/>
      </c>
      <c r="X173" t="str">
        <f t="shared" si="33"/>
        <v/>
      </c>
      <c r="Y173" t="str">
        <f t="shared" si="34"/>
        <v/>
      </c>
      <c r="Z173" t="str">
        <f t="shared" si="35"/>
        <v/>
      </c>
      <c r="AA173">
        <f t="shared" si="36"/>
        <v>0</v>
      </c>
      <c r="AB173" t="str">
        <f>IFERROR(V144+MATCH(AA173,V173:Z173,0)-1,"")</f>
        <v/>
      </c>
      <c r="AC173" t="str">
        <f t="shared" si="37"/>
        <v/>
      </c>
      <c r="AE173" t="str">
        <f>IF(ISNUMBER(MATCH("N/A",J173:N173,0)),"",IFERROR((5 * SUMPRODUCT(J144:N144,J173:N173) - PRODUCT(SUM(J144:N144),SUM(J173:N173))) / ((5 * SUM((J144^2)+(K144^2)+(L144^2)+(M144^2)+(N144^2))) - SUM(J144:N144)^2),""))</f>
        <v/>
      </c>
      <c r="AF173" t="str">
        <f>IFERROR(CORREL(J144:N144,J173:N173),"")</f>
        <v/>
      </c>
      <c r="AZ173">
        <f t="shared" si="38"/>
        <v>0</v>
      </c>
      <c r="BA173" t="str">
        <f>IF(AZ173=1,IF(Q173="","",IF(Q173=N144,"Yes","No")),"")</f>
        <v/>
      </c>
      <c r="BB173" t="str">
        <f t="shared" si="39"/>
        <v/>
      </c>
      <c r="BC173" t="str">
        <f>IF(AZ173=1,IF(S173="","",IF(S173=N144,"Yes","No")),"")</f>
        <v/>
      </c>
      <c r="BD173" t="str">
        <f t="shared" si="40"/>
        <v/>
      </c>
      <c r="BE173" t="str">
        <f t="shared" si="41"/>
        <v/>
      </c>
      <c r="BF173" t="str">
        <f t="shared" si="42"/>
        <v>No</v>
      </c>
      <c r="BG173" t="str">
        <f t="shared" si="43"/>
        <v>No</v>
      </c>
      <c r="BH173" t="str">
        <f t="shared" si="44"/>
        <v/>
      </c>
    </row>
    <row r="174" spans="1:60" x14ac:dyDescent="0.3">
      <c r="I174" t="str">
        <f t="shared" si="46"/>
        <v>N/A</v>
      </c>
      <c r="J174" t="str">
        <f t="shared" si="47"/>
        <v>N/A</v>
      </c>
      <c r="K174" t="str">
        <f t="shared" si="48"/>
        <v>N/A</v>
      </c>
      <c r="L174" t="str">
        <f t="shared" si="49"/>
        <v>N/A</v>
      </c>
      <c r="M174" t="str">
        <f t="shared" si="50"/>
        <v>N/A</v>
      </c>
      <c r="N174" t="str">
        <f t="shared" si="51"/>
        <v>N/A</v>
      </c>
      <c r="P174">
        <f t="shared" si="27"/>
        <v>0</v>
      </c>
      <c r="Q174" t="str">
        <f>IFERROR(J144+MATCH(P174,J174:N174,0)-1,"")</f>
        <v/>
      </c>
      <c r="R174" t="str">
        <f t="shared" si="28"/>
        <v/>
      </c>
      <c r="S174" t="str">
        <f>IFERROR(J144+MATCH(R174,J174:N174,0)-1,"")</f>
        <v/>
      </c>
      <c r="T174" t="str">
        <f t="shared" si="29"/>
        <v/>
      </c>
      <c r="U174" t="str">
        <f t="shared" si="30"/>
        <v/>
      </c>
      <c r="V174" t="str">
        <f t="shared" si="31"/>
        <v/>
      </c>
      <c r="W174" t="str">
        <f t="shared" si="32"/>
        <v/>
      </c>
      <c r="X174" t="str">
        <f t="shared" si="33"/>
        <v/>
      </c>
      <c r="Y174" t="str">
        <f t="shared" si="34"/>
        <v/>
      </c>
      <c r="Z174" t="str">
        <f t="shared" si="35"/>
        <v/>
      </c>
      <c r="AA174">
        <f t="shared" si="36"/>
        <v>0</v>
      </c>
      <c r="AB174" t="str">
        <f>IFERROR(V144+MATCH(AA174,V174:Z174,0)-1,"")</f>
        <v/>
      </c>
      <c r="AC174" t="str">
        <f t="shared" si="37"/>
        <v/>
      </c>
      <c r="AE174" t="str">
        <f>IF(ISNUMBER(MATCH("N/A",J174:N174,0)),"",IFERROR((5 * SUMPRODUCT(J144:N144,J174:N174) - PRODUCT(SUM(J144:N144),SUM(J174:N174))) / ((5 * SUM((J144^2)+(K144^2)+(L144^2)+(M144^2)+(N144^2))) - SUM(J144:N144)^2),""))</f>
        <v/>
      </c>
      <c r="AF174" t="str">
        <f>IFERROR(CORREL(J144:N144,J174:N174),"")</f>
        <v/>
      </c>
      <c r="AZ174">
        <f t="shared" si="38"/>
        <v>0</v>
      </c>
      <c r="BA174" t="str">
        <f>IF(AZ174=1,IF(Q174="","",IF(Q174=N144,"Yes","No")),"")</f>
        <v/>
      </c>
      <c r="BB174" t="str">
        <f t="shared" si="39"/>
        <v/>
      </c>
      <c r="BC174" t="str">
        <f>IF(AZ174=1,IF(S174="","",IF(S174=N144,"Yes","No")),"")</f>
        <v/>
      </c>
      <c r="BD174" t="str">
        <f t="shared" si="40"/>
        <v/>
      </c>
      <c r="BE174" t="str">
        <f t="shared" si="41"/>
        <v/>
      </c>
      <c r="BF174" t="str">
        <f t="shared" si="42"/>
        <v>No</v>
      </c>
      <c r="BG174" t="str">
        <f t="shared" si="43"/>
        <v>No</v>
      </c>
      <c r="BH174" t="str">
        <f t="shared" si="44"/>
        <v/>
      </c>
    </row>
    <row r="175" spans="1:60" x14ac:dyDescent="0.3">
      <c r="I175" t="str">
        <f t="shared" si="46"/>
        <v>N/A</v>
      </c>
      <c r="J175" t="str">
        <f t="shared" si="47"/>
        <v>N/A</v>
      </c>
      <c r="K175" t="str">
        <f t="shared" si="48"/>
        <v>N/A</v>
      </c>
      <c r="L175" t="str">
        <f t="shared" si="49"/>
        <v>N/A</v>
      </c>
      <c r="M175" t="str">
        <f t="shared" si="50"/>
        <v>N/A</v>
      </c>
      <c r="N175" t="str">
        <f t="shared" si="51"/>
        <v>N/A</v>
      </c>
      <c r="P175">
        <f t="shared" si="27"/>
        <v>0</v>
      </c>
      <c r="Q175" t="str">
        <f>IFERROR(J144+MATCH(P175,J175:N175,0)-1,"")</f>
        <v/>
      </c>
      <c r="R175" t="str">
        <f t="shared" si="28"/>
        <v/>
      </c>
      <c r="S175" t="str">
        <f>IFERROR(J144+MATCH(R175,J175:N175,0)-1,"")</f>
        <v/>
      </c>
      <c r="T175" t="str">
        <f t="shared" si="29"/>
        <v/>
      </c>
      <c r="U175" t="str">
        <f t="shared" si="30"/>
        <v/>
      </c>
      <c r="V175" t="str">
        <f t="shared" si="31"/>
        <v/>
      </c>
      <c r="W175" t="str">
        <f t="shared" si="32"/>
        <v/>
      </c>
      <c r="X175" t="str">
        <f t="shared" si="33"/>
        <v/>
      </c>
      <c r="Y175" t="str">
        <f t="shared" si="34"/>
        <v/>
      </c>
      <c r="Z175" t="str">
        <f t="shared" si="35"/>
        <v/>
      </c>
      <c r="AA175">
        <f t="shared" si="36"/>
        <v>0</v>
      </c>
      <c r="AB175" t="str">
        <f>IFERROR(V144+MATCH(AA175,V175:Z175,0)-1,"")</f>
        <v/>
      </c>
      <c r="AC175" t="str">
        <f t="shared" si="37"/>
        <v/>
      </c>
      <c r="AE175" t="str">
        <f>IF(ISNUMBER(MATCH("N/A",J175:N175,0)),"",IFERROR((5 * SUMPRODUCT(J144:N144,J175:N175) - PRODUCT(SUM(J144:N144),SUM(J175:N175))) / ((5 * SUM((J144^2)+(K144^2)+(L144^2)+(M144^2)+(N144^2))) - SUM(J144:N144)^2),""))</f>
        <v/>
      </c>
      <c r="AF175" t="str">
        <f>IFERROR(CORREL(J144:N144,J175:N175),"")</f>
        <v/>
      </c>
      <c r="AZ175">
        <f t="shared" si="38"/>
        <v>0</v>
      </c>
      <c r="BA175" t="str">
        <f>IF(AZ175=1,IF(Q175="","",IF(Q175=N144,"Yes","No")),"")</f>
        <v/>
      </c>
      <c r="BB175" t="str">
        <f t="shared" si="39"/>
        <v/>
      </c>
      <c r="BC175" t="str">
        <f>IF(AZ175=1,IF(S175="","",IF(S175=N144,"Yes","No")),"")</f>
        <v/>
      </c>
      <c r="BD175" t="str">
        <f t="shared" si="40"/>
        <v/>
      </c>
      <c r="BE175" t="str">
        <f t="shared" si="41"/>
        <v/>
      </c>
      <c r="BF175" t="str">
        <f t="shared" si="42"/>
        <v>No</v>
      </c>
      <c r="BG175" t="str">
        <f t="shared" si="43"/>
        <v>No</v>
      </c>
      <c r="BH175" t="str">
        <f t="shared" si="44"/>
        <v/>
      </c>
    </row>
    <row r="176" spans="1:60" x14ac:dyDescent="0.3">
      <c r="I176" t="str">
        <f t="shared" si="46"/>
        <v>N/A</v>
      </c>
      <c r="J176" t="str">
        <f t="shared" si="47"/>
        <v>N/A</v>
      </c>
      <c r="K176" t="str">
        <f t="shared" si="48"/>
        <v>N/A</v>
      </c>
      <c r="L176" t="str">
        <f t="shared" si="49"/>
        <v>N/A</v>
      </c>
      <c r="M176" t="str">
        <f t="shared" si="50"/>
        <v>N/A</v>
      </c>
      <c r="N176" t="str">
        <f t="shared" si="51"/>
        <v>N/A</v>
      </c>
      <c r="P176">
        <f t="shared" si="27"/>
        <v>0</v>
      </c>
      <c r="Q176" t="str">
        <f>IFERROR(J144+MATCH(P176,J176:N176,0)-1,"")</f>
        <v/>
      </c>
      <c r="R176" t="str">
        <f t="shared" si="28"/>
        <v/>
      </c>
      <c r="S176" t="str">
        <f>IFERROR(J144+MATCH(R176,J176:N176,0)-1,"")</f>
        <v/>
      </c>
      <c r="T176" t="str">
        <f t="shared" si="29"/>
        <v/>
      </c>
      <c r="U176" t="str">
        <f t="shared" si="30"/>
        <v/>
      </c>
      <c r="V176" t="str">
        <f t="shared" si="31"/>
        <v/>
      </c>
      <c r="W176" t="str">
        <f t="shared" si="32"/>
        <v/>
      </c>
      <c r="X176" t="str">
        <f t="shared" si="33"/>
        <v/>
      </c>
      <c r="Y176" t="str">
        <f t="shared" si="34"/>
        <v/>
      </c>
      <c r="Z176" t="str">
        <f t="shared" si="35"/>
        <v/>
      </c>
      <c r="AA176">
        <f t="shared" si="36"/>
        <v>0</v>
      </c>
      <c r="AB176" t="str">
        <f>IFERROR(V144+MATCH(AA176,V176:Z176,0)-1,"")</f>
        <v/>
      </c>
      <c r="AC176" t="str">
        <f t="shared" si="37"/>
        <v/>
      </c>
      <c r="AE176" t="str">
        <f>IF(ISNUMBER(MATCH("N/A",J176:N176,0)),"",IFERROR((5 * SUMPRODUCT(J144:N144,J176:N176) - PRODUCT(SUM(J144:N144),SUM(J176:N176))) / ((5 * SUM((J144^2)+(K144^2)+(L144^2)+(M144^2)+(N144^2))) - SUM(J144:N144)^2),""))</f>
        <v/>
      </c>
      <c r="AF176" t="str">
        <f>IFERROR(CORREL(J144:N144,J176:N176),"")</f>
        <v/>
      </c>
      <c r="AZ176">
        <f t="shared" si="38"/>
        <v>0</v>
      </c>
      <c r="BA176" t="str">
        <f>IF(AZ176=1,IF(Q176="","",IF(Q176=N144,"Yes","No")),"")</f>
        <v/>
      </c>
      <c r="BB176" t="str">
        <f t="shared" si="39"/>
        <v/>
      </c>
      <c r="BC176" t="str">
        <f>IF(AZ176=1,IF(S176="","",IF(S176=N144,"Yes","No")),"")</f>
        <v/>
      </c>
      <c r="BD176" t="str">
        <f t="shared" si="40"/>
        <v/>
      </c>
      <c r="BE176" t="str">
        <f t="shared" si="41"/>
        <v/>
      </c>
      <c r="BF176" t="str">
        <f t="shared" si="42"/>
        <v>No</v>
      </c>
      <c r="BG176" t="str">
        <f t="shared" si="43"/>
        <v>No</v>
      </c>
      <c r="BH176" t="str">
        <f t="shared" si="44"/>
        <v/>
      </c>
    </row>
    <row r="177" spans="9:60" x14ac:dyDescent="0.3">
      <c r="I177" t="str">
        <f t="shared" si="46"/>
        <v>N/A</v>
      </c>
      <c r="J177" t="str">
        <f t="shared" si="47"/>
        <v>N/A</v>
      </c>
      <c r="K177" t="str">
        <f t="shared" si="48"/>
        <v>N/A</v>
      </c>
      <c r="L177" t="str">
        <f t="shared" si="49"/>
        <v>N/A</v>
      </c>
      <c r="M177" t="str">
        <f t="shared" si="50"/>
        <v>N/A</v>
      </c>
      <c r="N177" t="str">
        <f t="shared" si="51"/>
        <v>N/A</v>
      </c>
      <c r="P177">
        <f t="shared" si="27"/>
        <v>0</v>
      </c>
      <c r="Q177" t="str">
        <f>IFERROR(J144+MATCH(P177,J177:N177,0)-1,"")</f>
        <v/>
      </c>
      <c r="R177" t="str">
        <f t="shared" si="28"/>
        <v/>
      </c>
      <c r="S177" t="str">
        <f>IFERROR(J144+MATCH(R177,J177:N177,0)-1,"")</f>
        <v/>
      </c>
      <c r="T177" t="str">
        <f t="shared" si="29"/>
        <v/>
      </c>
      <c r="U177" t="str">
        <f t="shared" si="30"/>
        <v/>
      </c>
      <c r="V177" t="str">
        <f t="shared" si="31"/>
        <v/>
      </c>
      <c r="W177" t="str">
        <f t="shared" si="32"/>
        <v/>
      </c>
      <c r="X177" t="str">
        <f t="shared" si="33"/>
        <v/>
      </c>
      <c r="Y177" t="str">
        <f t="shared" si="34"/>
        <v/>
      </c>
      <c r="Z177" t="str">
        <f t="shared" si="35"/>
        <v/>
      </c>
      <c r="AA177">
        <f t="shared" si="36"/>
        <v>0</v>
      </c>
      <c r="AB177" t="str">
        <f>IFERROR(V144+MATCH(AA177,V177:Z177,0)-1,"")</f>
        <v/>
      </c>
      <c r="AC177" t="str">
        <f t="shared" si="37"/>
        <v/>
      </c>
      <c r="AE177" t="str">
        <f>IF(ISNUMBER(MATCH("N/A",J177:N177,0)),"",IFERROR((5 * SUMPRODUCT(J144:N144,J177:N177) - PRODUCT(SUM(J144:N144),SUM(J177:N177))) / ((5 * SUM((J144^2)+(K144^2)+(L144^2)+(M144^2)+(N144^2))) - SUM(J144:N144)^2),""))</f>
        <v/>
      </c>
      <c r="AF177" t="str">
        <f>IFERROR(CORREL(J144:N144,J177:N177),"")</f>
        <v/>
      </c>
      <c r="AZ177">
        <f t="shared" si="38"/>
        <v>0</v>
      </c>
      <c r="BA177" t="str">
        <f>IF(AZ177=1,IF(Q177="","",IF(Q177=N144,"Yes","No")),"")</f>
        <v/>
      </c>
      <c r="BB177" t="str">
        <f t="shared" si="39"/>
        <v/>
      </c>
      <c r="BC177" t="str">
        <f>IF(AZ177=1,IF(S177="","",IF(S177=N144,"Yes","No")),"")</f>
        <v/>
      </c>
      <c r="BD177" t="str">
        <f t="shared" si="40"/>
        <v/>
      </c>
      <c r="BE177" t="str">
        <f t="shared" si="41"/>
        <v/>
      </c>
      <c r="BF177" t="str">
        <f t="shared" si="42"/>
        <v>No</v>
      </c>
      <c r="BG177" t="str">
        <f t="shared" si="43"/>
        <v>No</v>
      </c>
      <c r="BH177" t="str">
        <f t="shared" si="44"/>
        <v/>
      </c>
    </row>
    <row r="178" spans="9:60" x14ac:dyDescent="0.3">
      <c r="I178" t="str">
        <f t="shared" si="46"/>
        <v>N/A</v>
      </c>
      <c r="J178" t="str">
        <f t="shared" si="47"/>
        <v>N/A</v>
      </c>
      <c r="K178" t="str">
        <f t="shared" si="48"/>
        <v>N/A</v>
      </c>
      <c r="L178" t="str">
        <f t="shared" si="49"/>
        <v>N/A</v>
      </c>
      <c r="M178" t="str">
        <f t="shared" si="50"/>
        <v>N/A</v>
      </c>
      <c r="N178" t="str">
        <f t="shared" si="51"/>
        <v>N/A</v>
      </c>
      <c r="P178">
        <f t="shared" si="27"/>
        <v>0</v>
      </c>
      <c r="Q178" t="str">
        <f>IFERROR(J144+MATCH(P178,J178:N178,0)-1,"")</f>
        <v/>
      </c>
      <c r="R178" t="str">
        <f t="shared" si="28"/>
        <v/>
      </c>
      <c r="S178" t="str">
        <f>IFERROR(J144+MATCH(R178,J178:N178,0)-1,"")</f>
        <v/>
      </c>
      <c r="T178" t="str">
        <f t="shared" si="29"/>
        <v/>
      </c>
      <c r="U178" t="str">
        <f t="shared" si="30"/>
        <v/>
      </c>
      <c r="V178" t="str">
        <f t="shared" si="31"/>
        <v/>
      </c>
      <c r="W178" t="str">
        <f t="shared" si="32"/>
        <v/>
      </c>
      <c r="X178" t="str">
        <f t="shared" si="33"/>
        <v/>
      </c>
      <c r="Y178" t="str">
        <f t="shared" si="34"/>
        <v/>
      </c>
      <c r="Z178" t="str">
        <f t="shared" si="35"/>
        <v/>
      </c>
      <c r="AA178">
        <f t="shared" si="36"/>
        <v>0</v>
      </c>
      <c r="AB178" t="str">
        <f>IFERROR(V144+MATCH(AA178,V178:Z178,0)-1,"")</f>
        <v/>
      </c>
      <c r="AC178" t="str">
        <f t="shared" si="37"/>
        <v/>
      </c>
      <c r="AE178" t="str">
        <f>IF(ISNUMBER(MATCH("N/A",J178:N178,0)),"",IFERROR((5 * SUMPRODUCT(J144:N144,J178:N178) - PRODUCT(SUM(J144:N144),SUM(J178:N178))) / ((5 * SUM((J144^2)+(K144^2)+(L144^2)+(M144^2)+(N144^2))) - SUM(J144:N144)^2),""))</f>
        <v/>
      </c>
      <c r="AF178" t="str">
        <f>IFERROR(CORREL(J144:N144,J178:N178),"")</f>
        <v/>
      </c>
      <c r="AZ178">
        <f t="shared" si="38"/>
        <v>0</v>
      </c>
      <c r="BA178" t="str">
        <f>IF(AZ178=1,IF(Q178="","",IF(Q178=N144,"Yes","No")),"")</f>
        <v/>
      </c>
      <c r="BB178" t="str">
        <f t="shared" si="39"/>
        <v/>
      </c>
      <c r="BC178" t="str">
        <f>IF(AZ178=1,IF(S178="","",IF(S178=N144,"Yes","No")),"")</f>
        <v/>
      </c>
      <c r="BD178" t="str">
        <f t="shared" si="40"/>
        <v/>
      </c>
      <c r="BE178" t="str">
        <f t="shared" si="41"/>
        <v/>
      </c>
      <c r="BF178" t="str">
        <f t="shared" si="42"/>
        <v>No</v>
      </c>
      <c r="BG178" t="str">
        <f t="shared" si="43"/>
        <v>No</v>
      </c>
      <c r="BH178" t="str">
        <f t="shared" si="44"/>
        <v/>
      </c>
    </row>
    <row r="179" spans="9:60" x14ac:dyDescent="0.3">
      <c r="I179" t="str">
        <f t="shared" si="46"/>
        <v>N/A</v>
      </c>
      <c r="J179" t="str">
        <f t="shared" si="47"/>
        <v>N/A</v>
      </c>
      <c r="K179" t="str">
        <f t="shared" si="48"/>
        <v>N/A</v>
      </c>
      <c r="L179" t="str">
        <f t="shared" si="49"/>
        <v>N/A</v>
      </c>
      <c r="M179" t="str">
        <f t="shared" si="50"/>
        <v>N/A</v>
      </c>
      <c r="N179" t="str">
        <f t="shared" si="51"/>
        <v>N/A</v>
      </c>
      <c r="P179">
        <f t="shared" si="27"/>
        <v>0</v>
      </c>
      <c r="Q179" t="str">
        <f>IFERROR(J144+MATCH(P179,J179:N179,0)-1,"")</f>
        <v/>
      </c>
      <c r="R179" t="str">
        <f t="shared" si="28"/>
        <v/>
      </c>
      <c r="S179" t="str">
        <f>IFERROR(J144+MATCH(R179,J179:N179,0)-1,"")</f>
        <v/>
      </c>
      <c r="T179" t="str">
        <f t="shared" si="29"/>
        <v/>
      </c>
      <c r="U179" t="str">
        <f t="shared" si="30"/>
        <v/>
      </c>
      <c r="V179" t="str">
        <f t="shared" si="31"/>
        <v/>
      </c>
      <c r="W179" t="str">
        <f t="shared" si="32"/>
        <v/>
      </c>
      <c r="X179" t="str">
        <f t="shared" si="33"/>
        <v/>
      </c>
      <c r="Y179" t="str">
        <f t="shared" si="34"/>
        <v/>
      </c>
      <c r="Z179" t="str">
        <f t="shared" si="35"/>
        <v/>
      </c>
      <c r="AA179">
        <f t="shared" si="36"/>
        <v>0</v>
      </c>
      <c r="AB179" t="str">
        <f>IFERROR(V144+MATCH(AA179,V179:Z179,0)-1,"")</f>
        <v/>
      </c>
      <c r="AC179" t="str">
        <f t="shared" si="37"/>
        <v/>
      </c>
      <c r="AE179" t="str">
        <f>IF(ISNUMBER(MATCH("N/A",J179:N179,0)),"",IFERROR((5 * SUMPRODUCT(J144:N144,J179:N179) - PRODUCT(SUM(J144:N144),SUM(J179:N179))) / ((5 * SUM((J144^2)+(K144^2)+(L144^2)+(M144^2)+(N144^2))) - SUM(J144:N144)^2),""))</f>
        <v/>
      </c>
      <c r="AF179" t="str">
        <f>IFERROR(CORREL(J144:N144,J179:N179),"")</f>
        <v/>
      </c>
      <c r="AZ179">
        <f t="shared" si="38"/>
        <v>0</v>
      </c>
      <c r="BA179" t="str">
        <f>IF(AZ179=1,IF(Q179="","",IF(Q179=N144,"Yes","No")),"")</f>
        <v/>
      </c>
      <c r="BB179" t="str">
        <f t="shared" si="39"/>
        <v/>
      </c>
      <c r="BC179" t="str">
        <f>IF(AZ179=1,IF(S179="","",IF(S179=N144,"Yes","No")),"")</f>
        <v/>
      </c>
      <c r="BD179" t="str">
        <f t="shared" si="40"/>
        <v/>
      </c>
      <c r="BE179" t="str">
        <f t="shared" si="41"/>
        <v/>
      </c>
      <c r="BF179" t="str">
        <f t="shared" si="42"/>
        <v>No</v>
      </c>
      <c r="BG179" t="str">
        <f t="shared" si="43"/>
        <v>No</v>
      </c>
      <c r="BH179" t="str">
        <f t="shared" si="44"/>
        <v/>
      </c>
    </row>
    <row r="180" spans="9:60" x14ac:dyDescent="0.3">
      <c r="I180" t="str">
        <f t="shared" si="46"/>
        <v>N/A</v>
      </c>
      <c r="J180" t="str">
        <f t="shared" si="47"/>
        <v>N/A</v>
      </c>
      <c r="K180" t="str">
        <f t="shared" si="48"/>
        <v>N/A</v>
      </c>
      <c r="L180" t="str">
        <f t="shared" si="49"/>
        <v>N/A</v>
      </c>
      <c r="M180" t="str">
        <f t="shared" si="50"/>
        <v>N/A</v>
      </c>
      <c r="N180" t="str">
        <f t="shared" si="51"/>
        <v>N/A</v>
      </c>
      <c r="P180">
        <f t="shared" si="27"/>
        <v>0</v>
      </c>
      <c r="Q180" t="str">
        <f>IFERROR(J144+MATCH(P180,J180:N180,0)-1,"")</f>
        <v/>
      </c>
      <c r="R180" t="str">
        <f t="shared" si="28"/>
        <v/>
      </c>
      <c r="S180" t="str">
        <f>IFERROR(J144+MATCH(R180,J180:N180,0)-1,"")</f>
        <v/>
      </c>
      <c r="T180" t="str">
        <f t="shared" si="29"/>
        <v/>
      </c>
      <c r="U180" t="str">
        <f t="shared" si="30"/>
        <v/>
      </c>
      <c r="V180" t="str">
        <f t="shared" si="31"/>
        <v/>
      </c>
      <c r="W180" t="str">
        <f t="shared" si="32"/>
        <v/>
      </c>
      <c r="X180" t="str">
        <f t="shared" si="33"/>
        <v/>
      </c>
      <c r="Y180" t="str">
        <f t="shared" si="34"/>
        <v/>
      </c>
      <c r="Z180" t="str">
        <f t="shared" si="35"/>
        <v/>
      </c>
      <c r="AA180">
        <f t="shared" si="36"/>
        <v>0</v>
      </c>
      <c r="AB180" t="str">
        <f>IFERROR(V144+MATCH(AA180,V180:Z180,0)-1,"")</f>
        <v/>
      </c>
      <c r="AC180" t="str">
        <f t="shared" si="37"/>
        <v/>
      </c>
      <c r="AE180" t="str">
        <f>IF(ISNUMBER(MATCH("N/A",J180:N180,0)),"",IFERROR((5 * SUMPRODUCT(J144:N144,J180:N180) - PRODUCT(SUM(J144:N144),SUM(J180:N180))) / ((5 * SUM((J144^2)+(K144^2)+(L144^2)+(M144^2)+(N144^2))) - SUM(J144:N144)^2),""))</f>
        <v/>
      </c>
      <c r="AF180" t="str">
        <f>IFERROR(CORREL(J144:N144,J180:N180),"")</f>
        <v/>
      </c>
      <c r="AZ180">
        <f t="shared" si="38"/>
        <v>0</v>
      </c>
      <c r="BA180" t="str">
        <f>IF(AZ180=1,IF(Q180="","",IF(Q180=N144,"Yes","No")),"")</f>
        <v/>
      </c>
      <c r="BB180" t="str">
        <f t="shared" si="39"/>
        <v/>
      </c>
      <c r="BC180" t="str">
        <f>IF(AZ180=1,IF(S180="","",IF(S180=N144,"Yes","No")),"")</f>
        <v/>
      </c>
      <c r="BD180" t="str">
        <f t="shared" si="40"/>
        <v/>
      </c>
      <c r="BE180" t="str">
        <f t="shared" si="41"/>
        <v/>
      </c>
      <c r="BF180" t="str">
        <f t="shared" si="42"/>
        <v>No</v>
      </c>
      <c r="BG180" t="str">
        <f t="shared" si="43"/>
        <v>No</v>
      </c>
      <c r="BH180" t="str">
        <f t="shared" si="44"/>
        <v/>
      </c>
    </row>
    <row r="181" spans="9:60" x14ac:dyDescent="0.3">
      <c r="I181" t="str">
        <f t="shared" si="46"/>
        <v>N/A</v>
      </c>
      <c r="J181" t="str">
        <f t="shared" si="47"/>
        <v>N/A</v>
      </c>
      <c r="K181" t="str">
        <f t="shared" si="48"/>
        <v>N/A</v>
      </c>
      <c r="L181" t="str">
        <f t="shared" si="49"/>
        <v>N/A</v>
      </c>
      <c r="M181" t="str">
        <f t="shared" si="50"/>
        <v>N/A</v>
      </c>
      <c r="N181" t="str">
        <f t="shared" si="51"/>
        <v>N/A</v>
      </c>
      <c r="P181">
        <f t="shared" si="27"/>
        <v>0</v>
      </c>
      <c r="Q181" t="str">
        <f>IFERROR(J144+MATCH(P181,J181:N181,0)-1,"")</f>
        <v/>
      </c>
      <c r="R181" t="str">
        <f t="shared" si="28"/>
        <v/>
      </c>
      <c r="S181" t="str">
        <f>IFERROR(J144+MATCH(R181,J181:N181,0)-1,"")</f>
        <v/>
      </c>
      <c r="T181" t="str">
        <f t="shared" si="29"/>
        <v/>
      </c>
      <c r="U181" t="str">
        <f t="shared" si="30"/>
        <v/>
      </c>
      <c r="V181" t="str">
        <f t="shared" si="31"/>
        <v/>
      </c>
      <c r="W181" t="str">
        <f t="shared" si="32"/>
        <v/>
      </c>
      <c r="X181" t="str">
        <f t="shared" si="33"/>
        <v/>
      </c>
      <c r="Y181" t="str">
        <f t="shared" si="34"/>
        <v/>
      </c>
      <c r="Z181" t="str">
        <f t="shared" si="35"/>
        <v/>
      </c>
      <c r="AA181">
        <f t="shared" si="36"/>
        <v>0</v>
      </c>
      <c r="AB181" t="str">
        <f>IFERROR(V144+MATCH(AA181,V181:Z181,0)-1,"")</f>
        <v/>
      </c>
      <c r="AC181" t="str">
        <f t="shared" si="37"/>
        <v/>
      </c>
      <c r="AE181" t="str">
        <f>IF(ISNUMBER(MATCH("N/A",J181:N181,0)),"",IFERROR((5 * SUMPRODUCT(J144:N144,J181:N181) - PRODUCT(SUM(J144:N144),SUM(J181:N181))) / ((5 * SUM((J144^2)+(K144^2)+(L144^2)+(M144^2)+(N144^2))) - SUM(J144:N144)^2),""))</f>
        <v/>
      </c>
      <c r="AF181" t="str">
        <f>IFERROR(CORREL(J144:N144,J181:N181),"")</f>
        <v/>
      </c>
      <c r="AZ181">
        <f t="shared" si="38"/>
        <v>0</v>
      </c>
      <c r="BA181" t="str">
        <f>IF(AZ181=1,IF(Q181="","",IF(Q181=N144,"Yes","No")),"")</f>
        <v/>
      </c>
      <c r="BB181" t="str">
        <f t="shared" si="39"/>
        <v/>
      </c>
      <c r="BC181" t="str">
        <f>IF(AZ181=1,IF(S181="","",IF(S181=N144,"Yes","No")),"")</f>
        <v/>
      </c>
      <c r="BD181" t="str">
        <f t="shared" si="40"/>
        <v/>
      </c>
      <c r="BE181" t="str">
        <f t="shared" si="41"/>
        <v/>
      </c>
      <c r="BF181" t="str">
        <f t="shared" si="42"/>
        <v>No</v>
      </c>
      <c r="BG181" t="str">
        <f t="shared" si="43"/>
        <v>No</v>
      </c>
      <c r="BH181" t="str">
        <f t="shared" si="44"/>
        <v/>
      </c>
    </row>
    <row r="182" spans="9:60" x14ac:dyDescent="0.3">
      <c r="I182" t="str">
        <f t="shared" si="46"/>
        <v>N/A</v>
      </c>
      <c r="J182" t="str">
        <f t="shared" si="47"/>
        <v>N/A</v>
      </c>
      <c r="K182" t="str">
        <f t="shared" si="48"/>
        <v>N/A</v>
      </c>
      <c r="L182" t="str">
        <f t="shared" si="49"/>
        <v>N/A</v>
      </c>
      <c r="M182" t="str">
        <f t="shared" si="50"/>
        <v>N/A</v>
      </c>
      <c r="N182" t="str">
        <f t="shared" si="51"/>
        <v>N/A</v>
      </c>
      <c r="P182">
        <f t="shared" si="27"/>
        <v>0</v>
      </c>
      <c r="Q182" t="str">
        <f>IFERROR(J144+MATCH(P182,J182:N182,0)-1,"")</f>
        <v/>
      </c>
      <c r="R182" t="str">
        <f t="shared" si="28"/>
        <v/>
      </c>
      <c r="S182" t="str">
        <f>IFERROR(J144+MATCH(R182,J182:N182,0)-1,"")</f>
        <v/>
      </c>
      <c r="T182" t="str">
        <f t="shared" si="29"/>
        <v/>
      </c>
      <c r="U182" t="str">
        <f t="shared" si="30"/>
        <v/>
      </c>
      <c r="V182" t="str">
        <f t="shared" si="31"/>
        <v/>
      </c>
      <c r="W182" t="str">
        <f t="shared" si="32"/>
        <v/>
      </c>
      <c r="X182" t="str">
        <f t="shared" si="33"/>
        <v/>
      </c>
      <c r="Y182" t="str">
        <f t="shared" si="34"/>
        <v/>
      </c>
      <c r="Z182" t="str">
        <f t="shared" si="35"/>
        <v/>
      </c>
      <c r="AA182">
        <f t="shared" si="36"/>
        <v>0</v>
      </c>
      <c r="AB182" t="str">
        <f>IFERROR(V144+MATCH(AA182,V182:Z182,0)-1,"")</f>
        <v/>
      </c>
      <c r="AC182" t="str">
        <f t="shared" si="37"/>
        <v/>
      </c>
      <c r="AE182" t="str">
        <f>IF(ISNUMBER(MATCH("N/A",J182:N182,0)),"",IFERROR((5 * SUMPRODUCT(J144:N144,J182:N182) - PRODUCT(SUM(J144:N144),SUM(J182:N182))) / ((5 * SUM((J144^2)+(K144^2)+(L144^2)+(M144^2)+(N144^2))) - SUM(J144:N144)^2),""))</f>
        <v/>
      </c>
      <c r="AF182" t="str">
        <f>IFERROR(CORREL(J144:N144,J182:N182),"")</f>
        <v/>
      </c>
      <c r="AZ182">
        <f t="shared" si="38"/>
        <v>0</v>
      </c>
      <c r="BA182" t="str">
        <f>IF(AZ182=1,IF(Q182="","",IF(Q182=N144,"Yes","No")),"")</f>
        <v/>
      </c>
      <c r="BB182" t="str">
        <f t="shared" si="39"/>
        <v/>
      </c>
      <c r="BC182" t="str">
        <f>IF(AZ182=1,IF(S182="","",IF(S182=N144,"Yes","No")),"")</f>
        <v/>
      </c>
      <c r="BD182" t="str">
        <f t="shared" si="40"/>
        <v/>
      </c>
      <c r="BE182" t="str">
        <f t="shared" si="41"/>
        <v/>
      </c>
      <c r="BF182" t="str">
        <f t="shared" si="42"/>
        <v>No</v>
      </c>
      <c r="BG182" t="str">
        <f t="shared" si="43"/>
        <v>No</v>
      </c>
      <c r="BH182" t="str">
        <f t="shared" si="44"/>
        <v/>
      </c>
    </row>
    <row r="183" spans="9:60" x14ac:dyDescent="0.3">
      <c r="I183" t="str">
        <f t="shared" si="46"/>
        <v>N/A</v>
      </c>
      <c r="J183" t="str">
        <f t="shared" si="47"/>
        <v>N/A</v>
      </c>
      <c r="K183" t="str">
        <f t="shared" si="48"/>
        <v>N/A</v>
      </c>
      <c r="L183" t="str">
        <f t="shared" si="49"/>
        <v>N/A</v>
      </c>
      <c r="M183" t="str">
        <f t="shared" si="50"/>
        <v>N/A</v>
      </c>
      <c r="N183" t="str">
        <f t="shared" si="51"/>
        <v>N/A</v>
      </c>
      <c r="P183">
        <f t="shared" si="27"/>
        <v>0</v>
      </c>
      <c r="Q183" t="str">
        <f>IFERROR(J144+MATCH(P183,J183:N183,0)-1,"")</f>
        <v/>
      </c>
      <c r="R183" t="str">
        <f t="shared" si="28"/>
        <v/>
      </c>
      <c r="S183" t="str">
        <f>IFERROR(J144+MATCH(R183,J183:N183,0)-1,"")</f>
        <v/>
      </c>
      <c r="T183" t="str">
        <f t="shared" si="29"/>
        <v/>
      </c>
      <c r="U183" t="str">
        <f t="shared" si="30"/>
        <v/>
      </c>
      <c r="V183" t="str">
        <f t="shared" si="31"/>
        <v/>
      </c>
      <c r="W183" t="str">
        <f t="shared" si="32"/>
        <v/>
      </c>
      <c r="X183" t="str">
        <f t="shared" si="33"/>
        <v/>
      </c>
      <c r="Y183" t="str">
        <f t="shared" si="34"/>
        <v/>
      </c>
      <c r="Z183" t="str">
        <f t="shared" si="35"/>
        <v/>
      </c>
      <c r="AA183">
        <f t="shared" si="36"/>
        <v>0</v>
      </c>
      <c r="AB183" t="str">
        <f>IFERROR(V144+MATCH(AA183,V183:Z183,0)-1,"")</f>
        <v/>
      </c>
      <c r="AC183" t="str">
        <f t="shared" si="37"/>
        <v/>
      </c>
      <c r="AE183" t="str">
        <f>IF(ISNUMBER(MATCH("N/A",J183:N183,0)),"",IFERROR((5 * SUMPRODUCT(J144:N144,J183:N183) - PRODUCT(SUM(J144:N144),SUM(J183:N183))) / ((5 * SUM((J144^2)+(K144^2)+(L144^2)+(M144^2)+(N144^2))) - SUM(J144:N144)^2),""))</f>
        <v/>
      </c>
      <c r="AF183" t="str">
        <f>IFERROR(CORREL(J144:N144,J183:N183),"")</f>
        <v/>
      </c>
      <c r="AZ183">
        <f t="shared" si="38"/>
        <v>0</v>
      </c>
      <c r="BA183" t="str">
        <f>IF(AZ183=1,IF(Q183="","",IF(Q183=N144,"Yes","No")),"")</f>
        <v/>
      </c>
      <c r="BB183" t="str">
        <f t="shared" si="39"/>
        <v/>
      </c>
      <c r="BC183" t="str">
        <f>IF(AZ183=1,IF(S183="","",IF(S183=N144,"Yes","No")),"")</f>
        <v/>
      </c>
      <c r="BD183" t="str">
        <f t="shared" si="40"/>
        <v/>
      </c>
      <c r="BE183" t="str">
        <f t="shared" si="41"/>
        <v/>
      </c>
      <c r="BF183" t="str">
        <f t="shared" si="42"/>
        <v>No</v>
      </c>
      <c r="BG183" t="str">
        <f t="shared" si="43"/>
        <v>No</v>
      </c>
      <c r="BH183" t="str">
        <f t="shared" si="44"/>
        <v/>
      </c>
    </row>
    <row r="184" spans="9:60" x14ac:dyDescent="0.3">
      <c r="I184" t="str">
        <f t="shared" si="46"/>
        <v>N/A</v>
      </c>
      <c r="J184" t="str">
        <f t="shared" si="47"/>
        <v>N/A</v>
      </c>
      <c r="K184" t="str">
        <f t="shared" si="48"/>
        <v>N/A</v>
      </c>
      <c r="L184" t="str">
        <f t="shared" si="49"/>
        <v>N/A</v>
      </c>
      <c r="M184" t="str">
        <f t="shared" si="50"/>
        <v>N/A</v>
      </c>
      <c r="N184" t="str">
        <f t="shared" si="51"/>
        <v>N/A</v>
      </c>
      <c r="P184">
        <f t="shared" si="27"/>
        <v>0</v>
      </c>
      <c r="Q184" t="str">
        <f>IFERROR(J144+MATCH(P184,J184:N184,0)-1,"")</f>
        <v/>
      </c>
      <c r="R184" t="str">
        <f t="shared" si="28"/>
        <v/>
      </c>
      <c r="S184" t="str">
        <f>IFERROR(J144+MATCH(R184,J184:N184,0)-1,"")</f>
        <v/>
      </c>
      <c r="T184" t="str">
        <f t="shared" si="29"/>
        <v/>
      </c>
      <c r="U184" t="str">
        <f t="shared" si="30"/>
        <v/>
      </c>
      <c r="V184" t="str">
        <f t="shared" si="31"/>
        <v/>
      </c>
      <c r="W184" t="str">
        <f t="shared" si="32"/>
        <v/>
      </c>
      <c r="X184" t="str">
        <f t="shared" si="33"/>
        <v/>
      </c>
      <c r="Y184" t="str">
        <f t="shared" si="34"/>
        <v/>
      </c>
      <c r="Z184" t="str">
        <f t="shared" si="35"/>
        <v/>
      </c>
      <c r="AA184">
        <f t="shared" si="36"/>
        <v>0</v>
      </c>
      <c r="AB184" t="str">
        <f>IFERROR(V144+MATCH(AA184,V184:Z184,0)-1,"")</f>
        <v/>
      </c>
      <c r="AC184" t="str">
        <f t="shared" si="37"/>
        <v/>
      </c>
      <c r="AE184" t="str">
        <f>IF(ISNUMBER(MATCH("N/A",J184:N184,0)),"",IFERROR((5 * SUMPRODUCT(J144:N144,J184:N184) - PRODUCT(SUM(J144:N144),SUM(J184:N184))) / ((5 * SUM((J144^2)+(K144^2)+(L144^2)+(M144^2)+(N144^2))) - SUM(J144:N144)^2),""))</f>
        <v/>
      </c>
      <c r="AF184" t="str">
        <f>IFERROR(CORREL(J144:N144,J184:N184),"")</f>
        <v/>
      </c>
      <c r="AZ184">
        <f t="shared" si="38"/>
        <v>0</v>
      </c>
      <c r="BA184" t="str">
        <f>IF(AZ184=1,IF(Q184="","",IF(Q184=N144,"Yes","No")),"")</f>
        <v/>
      </c>
      <c r="BB184" t="str">
        <f t="shared" si="39"/>
        <v/>
      </c>
      <c r="BC184" t="str">
        <f>IF(AZ184=1,IF(S184="","",IF(S184=N144,"Yes","No")),"")</f>
        <v/>
      </c>
      <c r="BD184" t="str">
        <f t="shared" si="40"/>
        <v/>
      </c>
      <c r="BE184" t="str">
        <f t="shared" si="41"/>
        <v/>
      </c>
      <c r="BF184" t="str">
        <f t="shared" si="42"/>
        <v>No</v>
      </c>
      <c r="BG184" t="str">
        <f t="shared" si="43"/>
        <v>No</v>
      </c>
      <c r="BH184" t="str">
        <f t="shared" si="44"/>
        <v/>
      </c>
    </row>
    <row r="185" spans="9:60" x14ac:dyDescent="0.3">
      <c r="I185" t="str">
        <f t="shared" si="46"/>
        <v>N/A</v>
      </c>
      <c r="J185" t="str">
        <f t="shared" si="47"/>
        <v>N/A</v>
      </c>
      <c r="K185" t="str">
        <f t="shared" si="48"/>
        <v>N/A</v>
      </c>
      <c r="L185" t="str">
        <f t="shared" si="49"/>
        <v>N/A</v>
      </c>
      <c r="M185" t="str">
        <f t="shared" si="50"/>
        <v>N/A</v>
      </c>
      <c r="N185" t="str">
        <f t="shared" si="51"/>
        <v>N/A</v>
      </c>
      <c r="P185">
        <f t="shared" si="27"/>
        <v>0</v>
      </c>
      <c r="Q185" t="str">
        <f>IFERROR(J144+MATCH(P185,J185:N185,0)-1,"")</f>
        <v/>
      </c>
      <c r="R185" t="str">
        <f t="shared" si="28"/>
        <v/>
      </c>
      <c r="S185" t="str">
        <f>IFERROR(J144+MATCH(R185,J185:N185,0)-1,"")</f>
        <v/>
      </c>
      <c r="T185" t="str">
        <f t="shared" si="29"/>
        <v/>
      </c>
      <c r="U185" t="str">
        <f t="shared" si="30"/>
        <v/>
      </c>
      <c r="V185" t="str">
        <f t="shared" si="31"/>
        <v/>
      </c>
      <c r="W185" t="str">
        <f t="shared" si="32"/>
        <v/>
      </c>
      <c r="X185" t="str">
        <f t="shared" si="33"/>
        <v/>
      </c>
      <c r="Y185" t="str">
        <f t="shared" si="34"/>
        <v/>
      </c>
      <c r="Z185" t="str">
        <f t="shared" si="35"/>
        <v/>
      </c>
      <c r="AA185">
        <f t="shared" si="36"/>
        <v>0</v>
      </c>
      <c r="AB185" t="str">
        <f>IFERROR(V144+MATCH(AA185,V185:Z185,0)-1,"")</f>
        <v/>
      </c>
      <c r="AC185" t="str">
        <f t="shared" si="37"/>
        <v/>
      </c>
      <c r="AE185" t="str">
        <f>IF(ISNUMBER(MATCH("N/A",J185:N185,0)),"",IFERROR((5 * SUMPRODUCT(J144:N144,J185:N185) - PRODUCT(SUM(J144:N144),SUM(J185:N185))) / ((5 * SUM((J144^2)+(K144^2)+(L144^2)+(M144^2)+(N144^2))) - SUM(J144:N144)^2),""))</f>
        <v/>
      </c>
      <c r="AF185" t="str">
        <f>IFERROR(CORREL(J144:N144,J185:N185),"")</f>
        <v/>
      </c>
      <c r="AZ185">
        <f t="shared" si="38"/>
        <v>0</v>
      </c>
      <c r="BA185" t="str">
        <f>IF(AZ185=1,IF(Q185="","",IF(Q185=N144,"Yes","No")),"")</f>
        <v/>
      </c>
      <c r="BB185" t="str">
        <f t="shared" si="39"/>
        <v/>
      </c>
      <c r="BC185" t="str">
        <f>IF(AZ185=1,IF(S185="","",IF(S185=N144,"Yes","No")),"")</f>
        <v/>
      </c>
      <c r="BD185" t="str">
        <f t="shared" si="40"/>
        <v/>
      </c>
      <c r="BE185" t="str">
        <f t="shared" si="41"/>
        <v/>
      </c>
      <c r="BF185" t="str">
        <f t="shared" si="42"/>
        <v>No</v>
      </c>
      <c r="BG185" t="str">
        <f t="shared" si="43"/>
        <v>No</v>
      </c>
      <c r="BH185" t="str">
        <f t="shared" si="44"/>
        <v/>
      </c>
    </row>
    <row r="186" spans="9:60" x14ac:dyDescent="0.3">
      <c r="I186" t="str">
        <f t="shared" si="46"/>
        <v>N/A</v>
      </c>
      <c r="J186" t="str">
        <f t="shared" si="47"/>
        <v>N/A</v>
      </c>
      <c r="K186" t="str">
        <f t="shared" si="48"/>
        <v>N/A</v>
      </c>
      <c r="L186" t="str">
        <f t="shared" si="49"/>
        <v>N/A</v>
      </c>
      <c r="M186" t="str">
        <f t="shared" si="50"/>
        <v>N/A</v>
      </c>
      <c r="N186" t="str">
        <f t="shared" si="51"/>
        <v>N/A</v>
      </c>
      <c r="P186">
        <f t="shared" si="27"/>
        <v>0</v>
      </c>
      <c r="Q186" t="str">
        <f>IFERROR(J144+MATCH(P186,J186:N186,0)-1,"")</f>
        <v/>
      </c>
      <c r="R186" t="str">
        <f t="shared" si="28"/>
        <v/>
      </c>
      <c r="S186" t="str">
        <f>IFERROR(J144+MATCH(R186,J186:N186,0)-1,"")</f>
        <v/>
      </c>
      <c r="T186" t="str">
        <f t="shared" si="29"/>
        <v/>
      </c>
      <c r="U186" t="str">
        <f t="shared" si="30"/>
        <v/>
      </c>
      <c r="V186" t="str">
        <f t="shared" si="31"/>
        <v/>
      </c>
      <c r="W186" t="str">
        <f t="shared" si="32"/>
        <v/>
      </c>
      <c r="X186" t="str">
        <f t="shared" si="33"/>
        <v/>
      </c>
      <c r="Y186" t="str">
        <f t="shared" si="34"/>
        <v/>
      </c>
      <c r="Z186" t="str">
        <f t="shared" si="35"/>
        <v/>
      </c>
      <c r="AA186">
        <f t="shared" si="36"/>
        <v>0</v>
      </c>
      <c r="AB186" t="str">
        <f>IFERROR(V144+MATCH(AA186,V186:Z186,0)-1,"")</f>
        <v/>
      </c>
      <c r="AC186" t="str">
        <f t="shared" si="37"/>
        <v/>
      </c>
      <c r="AE186" t="str">
        <f>IF(ISNUMBER(MATCH("N/A",J186:N186,0)),"",IFERROR((5 * SUMPRODUCT(J144:N144,J186:N186) - PRODUCT(SUM(J144:N144),SUM(J186:N186))) / ((5 * SUM((J144^2)+(K144^2)+(L144^2)+(M144^2)+(N144^2))) - SUM(J144:N144)^2),""))</f>
        <v/>
      </c>
      <c r="AF186" t="str">
        <f>IFERROR(CORREL(J144:N144,J186:N186),"")</f>
        <v/>
      </c>
      <c r="AZ186">
        <f t="shared" si="38"/>
        <v>0</v>
      </c>
      <c r="BA186" t="str">
        <f>IF(AZ186=1,IF(Q186="","",IF(Q186=N144,"Yes","No")),"")</f>
        <v/>
      </c>
      <c r="BB186" t="str">
        <f t="shared" si="39"/>
        <v/>
      </c>
      <c r="BC186" t="str">
        <f>IF(AZ186=1,IF(S186="","",IF(S186=N144,"Yes","No")),"")</f>
        <v/>
      </c>
      <c r="BD186" t="str">
        <f t="shared" si="40"/>
        <v/>
      </c>
      <c r="BE186" t="str">
        <f t="shared" si="41"/>
        <v/>
      </c>
      <c r="BF186" t="str">
        <f t="shared" si="42"/>
        <v>No</v>
      </c>
      <c r="BG186" t="str">
        <f t="shared" si="43"/>
        <v>No</v>
      </c>
      <c r="BH186" t="str">
        <f t="shared" si="44"/>
        <v/>
      </c>
    </row>
    <row r="187" spans="9:60" x14ac:dyDescent="0.3">
      <c r="I187" t="str">
        <f t="shared" si="46"/>
        <v>N/A</v>
      </c>
      <c r="J187" t="str">
        <f t="shared" si="47"/>
        <v>N/A</v>
      </c>
      <c r="K187" t="str">
        <f t="shared" si="48"/>
        <v>N/A</v>
      </c>
      <c r="L187" t="str">
        <f t="shared" si="49"/>
        <v>N/A</v>
      </c>
      <c r="M187" t="str">
        <f t="shared" si="50"/>
        <v>N/A</v>
      </c>
      <c r="N187" t="str">
        <f t="shared" si="51"/>
        <v>N/A</v>
      </c>
      <c r="P187">
        <f t="shared" si="27"/>
        <v>0</v>
      </c>
      <c r="Q187" t="str">
        <f>IFERROR(J144+MATCH(P187,J187:N187,0)-1,"")</f>
        <v/>
      </c>
      <c r="R187" t="str">
        <f t="shared" si="28"/>
        <v/>
      </c>
      <c r="S187" t="str">
        <f>IFERROR(J144+MATCH(R187,J187:N187,0)-1,"")</f>
        <v/>
      </c>
      <c r="T187" t="str">
        <f t="shared" si="29"/>
        <v/>
      </c>
      <c r="U187" t="str">
        <f t="shared" si="30"/>
        <v/>
      </c>
      <c r="V187" t="str">
        <f t="shared" si="31"/>
        <v/>
      </c>
      <c r="W187" t="str">
        <f t="shared" si="32"/>
        <v/>
      </c>
      <c r="X187" t="str">
        <f t="shared" si="33"/>
        <v/>
      </c>
      <c r="Y187" t="str">
        <f t="shared" si="34"/>
        <v/>
      </c>
      <c r="Z187" t="str">
        <f t="shared" si="35"/>
        <v/>
      </c>
      <c r="AA187">
        <f t="shared" si="36"/>
        <v>0</v>
      </c>
      <c r="AB187" t="str">
        <f>IFERROR(V144+MATCH(AA187,V187:Z187,0)-1,"")</f>
        <v/>
      </c>
      <c r="AC187" t="str">
        <f t="shared" si="37"/>
        <v/>
      </c>
      <c r="AE187" t="str">
        <f>IF(ISNUMBER(MATCH("N/A",J187:N187,0)),"",IFERROR((5 * SUMPRODUCT(J144:N144,J187:N187) - PRODUCT(SUM(J144:N144),SUM(J187:N187))) / ((5 * SUM((J144^2)+(K144^2)+(L144^2)+(M144^2)+(N144^2))) - SUM(J144:N144)^2),""))</f>
        <v/>
      </c>
      <c r="AF187" t="str">
        <f>IFERROR(CORREL(J144:N144,J187:N187),"")</f>
        <v/>
      </c>
      <c r="AZ187">
        <f t="shared" si="38"/>
        <v>0</v>
      </c>
      <c r="BA187" t="str">
        <f>IF(AZ187=1,IF(Q187="","",IF(Q187=N144,"Yes","No")),"")</f>
        <v/>
      </c>
      <c r="BB187" t="str">
        <f t="shared" si="39"/>
        <v/>
      </c>
      <c r="BC187" t="str">
        <f>IF(AZ187=1,IF(S187="","",IF(S187=N144,"Yes","No")),"")</f>
        <v/>
      </c>
      <c r="BD187" t="str">
        <f t="shared" si="40"/>
        <v/>
      </c>
      <c r="BE187" t="str">
        <f t="shared" si="41"/>
        <v/>
      </c>
      <c r="BF187" t="str">
        <f t="shared" si="42"/>
        <v>No</v>
      </c>
      <c r="BG187" t="str">
        <f t="shared" si="43"/>
        <v>No</v>
      </c>
      <c r="BH187" t="str">
        <f t="shared" si="44"/>
        <v/>
      </c>
    </row>
    <row r="188" spans="9:60" x14ac:dyDescent="0.3">
      <c r="I188" t="str">
        <f t="shared" si="46"/>
        <v>N/A</v>
      </c>
      <c r="J188" t="str">
        <f t="shared" si="47"/>
        <v>N/A</v>
      </c>
      <c r="K188" t="str">
        <f t="shared" si="48"/>
        <v>N/A</v>
      </c>
      <c r="L188" t="str">
        <f t="shared" si="49"/>
        <v>N/A</v>
      </c>
      <c r="M188" t="str">
        <f t="shared" si="50"/>
        <v>N/A</v>
      </c>
      <c r="N188" t="str">
        <f t="shared" si="51"/>
        <v>N/A</v>
      </c>
      <c r="P188">
        <f t="shared" si="27"/>
        <v>0</v>
      </c>
      <c r="Q188" t="str">
        <f>IFERROR(J144+MATCH(P188,J188:N188,0)-1,"")</f>
        <v/>
      </c>
      <c r="R188" t="str">
        <f t="shared" si="28"/>
        <v/>
      </c>
      <c r="S188" t="str">
        <f>IFERROR(J144+MATCH(R188,J188:N188,0)-1,"")</f>
        <v/>
      </c>
      <c r="T188" t="str">
        <f t="shared" si="29"/>
        <v/>
      </c>
      <c r="U188" t="str">
        <f t="shared" si="30"/>
        <v/>
      </c>
      <c r="V188" t="str">
        <f t="shared" si="31"/>
        <v/>
      </c>
      <c r="W188" t="str">
        <f t="shared" si="32"/>
        <v/>
      </c>
      <c r="X188" t="str">
        <f t="shared" si="33"/>
        <v/>
      </c>
      <c r="Y188" t="str">
        <f t="shared" si="34"/>
        <v/>
      </c>
      <c r="Z188" t="str">
        <f t="shared" si="35"/>
        <v/>
      </c>
      <c r="AA188">
        <f t="shared" si="36"/>
        <v>0</v>
      </c>
      <c r="AB188" t="str">
        <f>IFERROR(V144+MATCH(AA188,V188:Z188,0)-1,"")</f>
        <v/>
      </c>
      <c r="AC188" t="str">
        <f t="shared" si="37"/>
        <v/>
      </c>
      <c r="AE188" t="str">
        <f>IF(ISNUMBER(MATCH("N/A",J188:N188,0)),"",IFERROR((5 * SUMPRODUCT(J144:N144,J188:N188) - PRODUCT(SUM(J144:N144),SUM(J188:N188))) / ((5 * SUM((J144^2)+(K144^2)+(L144^2)+(M144^2)+(N144^2))) - SUM(J144:N144)^2),""))</f>
        <v/>
      </c>
      <c r="AF188" t="str">
        <f>IFERROR(CORREL(J144:N144,J188:N188),"")</f>
        <v/>
      </c>
      <c r="AZ188">
        <f t="shared" si="38"/>
        <v>0</v>
      </c>
      <c r="BA188" t="str">
        <f>IF(AZ188=1,IF(Q188="","",IF(Q188=N144,"Yes","No")),"")</f>
        <v/>
      </c>
      <c r="BB188" t="str">
        <f t="shared" si="39"/>
        <v/>
      </c>
      <c r="BC188" t="str">
        <f>IF(AZ188=1,IF(S188="","",IF(S188=N144,"Yes","No")),"")</f>
        <v/>
      </c>
      <c r="BD188" t="str">
        <f t="shared" si="40"/>
        <v/>
      </c>
      <c r="BE188" t="str">
        <f t="shared" si="41"/>
        <v/>
      </c>
      <c r="BF188" t="str">
        <f t="shared" si="42"/>
        <v>No</v>
      </c>
      <c r="BG188" t="str">
        <f t="shared" si="43"/>
        <v>No</v>
      </c>
      <c r="BH188" t="str">
        <f t="shared" si="44"/>
        <v/>
      </c>
    </row>
    <row r="189" spans="9:60" x14ac:dyDescent="0.3">
      <c r="I189" t="str">
        <f t="shared" si="46"/>
        <v>N/A</v>
      </c>
      <c r="J189" t="str">
        <f t="shared" si="47"/>
        <v>N/A</v>
      </c>
      <c r="K189" t="str">
        <f t="shared" si="48"/>
        <v>N/A</v>
      </c>
      <c r="L189" t="str">
        <f t="shared" si="49"/>
        <v>N/A</v>
      </c>
      <c r="M189" t="str">
        <f t="shared" si="50"/>
        <v>N/A</v>
      </c>
      <c r="N189" t="str">
        <f t="shared" si="51"/>
        <v>N/A</v>
      </c>
      <c r="P189">
        <f t="shared" si="27"/>
        <v>0</v>
      </c>
      <c r="Q189" t="str">
        <f>IFERROR(J144+MATCH(P189,J189:N189,0)-1,"")</f>
        <v/>
      </c>
      <c r="R189" t="str">
        <f t="shared" si="28"/>
        <v/>
      </c>
      <c r="S189" t="str">
        <f>IFERROR(J144+MATCH(R189,J189:N189,0)-1,"")</f>
        <v/>
      </c>
      <c r="T189" t="str">
        <f t="shared" si="29"/>
        <v/>
      </c>
      <c r="U189" t="str">
        <f t="shared" si="30"/>
        <v/>
      </c>
      <c r="V189" t="str">
        <f t="shared" si="31"/>
        <v/>
      </c>
      <c r="W189" t="str">
        <f t="shared" si="32"/>
        <v/>
      </c>
      <c r="X189" t="str">
        <f t="shared" si="33"/>
        <v/>
      </c>
      <c r="Y189" t="str">
        <f t="shared" si="34"/>
        <v/>
      </c>
      <c r="Z189" t="str">
        <f t="shared" si="35"/>
        <v/>
      </c>
      <c r="AA189">
        <f t="shared" si="36"/>
        <v>0</v>
      </c>
      <c r="AB189" t="str">
        <f>IFERROR(V144+MATCH(AA189,V189:Z189,0)-1,"")</f>
        <v/>
      </c>
      <c r="AC189" t="str">
        <f t="shared" si="37"/>
        <v/>
      </c>
      <c r="AE189" t="str">
        <f>IF(ISNUMBER(MATCH("N/A",J189:N189,0)),"",IFERROR((5 * SUMPRODUCT(J144:N144,J189:N189) - PRODUCT(SUM(J144:N144),SUM(J189:N189))) / ((5 * SUM((J144^2)+(K144^2)+(L144^2)+(M144^2)+(N144^2))) - SUM(J144:N144)^2),""))</f>
        <v/>
      </c>
      <c r="AF189" t="str">
        <f>IFERROR(CORREL(J144:N144,J189:N189),"")</f>
        <v/>
      </c>
      <c r="AZ189">
        <f t="shared" si="38"/>
        <v>0</v>
      </c>
      <c r="BA189" t="str">
        <f>IF(AZ189=1,IF(Q189="","",IF(Q189=N144,"Yes","No")),"")</f>
        <v/>
      </c>
      <c r="BB189" t="str">
        <f t="shared" si="39"/>
        <v/>
      </c>
      <c r="BC189" t="str">
        <f>IF(AZ189=1,IF(S189="","",IF(S189=N144,"Yes","No")),"")</f>
        <v/>
      </c>
      <c r="BD189" t="str">
        <f t="shared" si="40"/>
        <v/>
      </c>
      <c r="BE189" t="str">
        <f t="shared" si="41"/>
        <v/>
      </c>
      <c r="BF189" t="str">
        <f t="shared" si="42"/>
        <v>No</v>
      </c>
      <c r="BG189" t="str">
        <f t="shared" si="43"/>
        <v>No</v>
      </c>
      <c r="BH189" t="str">
        <f t="shared" si="44"/>
        <v/>
      </c>
    </row>
    <row r="190" spans="9:60" x14ac:dyDescent="0.3">
      <c r="I190" t="str">
        <f t="shared" si="46"/>
        <v>N/A</v>
      </c>
      <c r="J190" t="str">
        <f t="shared" si="47"/>
        <v>N/A</v>
      </c>
      <c r="K190" t="str">
        <f t="shared" si="48"/>
        <v>N/A</v>
      </c>
      <c r="L190" t="str">
        <f t="shared" si="49"/>
        <v>N/A</v>
      </c>
      <c r="M190" t="str">
        <f t="shared" si="50"/>
        <v>N/A</v>
      </c>
      <c r="N190" t="str">
        <f t="shared" si="51"/>
        <v>N/A</v>
      </c>
      <c r="P190">
        <f t="shared" si="27"/>
        <v>0</v>
      </c>
      <c r="Q190" t="str">
        <f>IFERROR(J144+MATCH(P190,J190:N190,0)-1,"")</f>
        <v/>
      </c>
      <c r="R190" t="str">
        <f t="shared" si="28"/>
        <v/>
      </c>
      <c r="S190" t="str">
        <f>IFERROR(J144+MATCH(R190,J190:N190,0)-1,"")</f>
        <v/>
      </c>
      <c r="T190" t="str">
        <f t="shared" si="29"/>
        <v/>
      </c>
      <c r="U190" t="str">
        <f t="shared" si="30"/>
        <v/>
      </c>
      <c r="V190" t="str">
        <f t="shared" si="31"/>
        <v/>
      </c>
      <c r="W190" t="str">
        <f t="shared" si="32"/>
        <v/>
      </c>
      <c r="X190" t="str">
        <f t="shared" si="33"/>
        <v/>
      </c>
      <c r="Y190" t="str">
        <f t="shared" si="34"/>
        <v/>
      </c>
      <c r="Z190" t="str">
        <f t="shared" si="35"/>
        <v/>
      </c>
      <c r="AA190">
        <f t="shared" si="36"/>
        <v>0</v>
      </c>
      <c r="AB190" t="str">
        <f>IFERROR(V144+MATCH(AA190,V190:Z190,0)-1,"")</f>
        <v/>
      </c>
      <c r="AC190" t="str">
        <f t="shared" si="37"/>
        <v/>
      </c>
      <c r="AE190" t="str">
        <f>IF(ISNUMBER(MATCH("N/A",J190:N190,0)),"",IFERROR((5 * SUMPRODUCT(J144:N144,J190:N190) - PRODUCT(SUM(J144:N144),SUM(J190:N190))) / ((5 * SUM((J144^2)+(K144^2)+(L144^2)+(M144^2)+(N144^2))) - SUM(J144:N144)^2),""))</f>
        <v/>
      </c>
      <c r="AF190" t="str">
        <f>IFERROR(CORREL(J144:N144,J190:N190),"")</f>
        <v/>
      </c>
      <c r="AZ190">
        <f t="shared" si="38"/>
        <v>0</v>
      </c>
      <c r="BA190" t="str">
        <f>IF(AZ190=1,IF(Q190="","",IF(Q190=N144,"Yes","No")),"")</f>
        <v/>
      </c>
      <c r="BB190" t="str">
        <f t="shared" si="39"/>
        <v/>
      </c>
      <c r="BC190" t="str">
        <f>IF(AZ190=1,IF(S190="","",IF(S190=N144,"Yes","No")),"")</f>
        <v/>
      </c>
      <c r="BD190" t="str">
        <f t="shared" si="40"/>
        <v/>
      </c>
      <c r="BE190" t="str">
        <f t="shared" si="41"/>
        <v/>
      </c>
      <c r="BF190" t="str">
        <f t="shared" si="42"/>
        <v>No</v>
      </c>
      <c r="BG190" t="str">
        <f t="shared" si="43"/>
        <v>No</v>
      </c>
      <c r="BH190" t="str">
        <f t="shared" si="44"/>
        <v/>
      </c>
    </row>
    <row r="191" spans="9:60" x14ac:dyDescent="0.3">
      <c r="I191" t="str">
        <f t="shared" si="46"/>
        <v>N/A</v>
      </c>
      <c r="J191" t="str">
        <f t="shared" si="47"/>
        <v>N/A</v>
      </c>
      <c r="K191" t="str">
        <f t="shared" si="48"/>
        <v>N/A</v>
      </c>
      <c r="L191" t="str">
        <f t="shared" si="49"/>
        <v>N/A</v>
      </c>
      <c r="M191" t="str">
        <f t="shared" si="50"/>
        <v>N/A</v>
      </c>
      <c r="N191" t="str">
        <f t="shared" si="51"/>
        <v>N/A</v>
      </c>
      <c r="P191">
        <f t="shared" si="27"/>
        <v>0</v>
      </c>
      <c r="Q191" t="str">
        <f>IFERROR(J144+MATCH(P191,J191:N191,0)-1,"")</f>
        <v/>
      </c>
      <c r="R191" t="str">
        <f t="shared" si="28"/>
        <v/>
      </c>
      <c r="S191" t="str">
        <f>IFERROR(J144+MATCH(R191,J191:N191,0)-1,"")</f>
        <v/>
      </c>
      <c r="T191" t="str">
        <f t="shared" si="29"/>
        <v/>
      </c>
      <c r="U191" t="str">
        <f t="shared" si="30"/>
        <v/>
      </c>
      <c r="V191" t="str">
        <f t="shared" si="31"/>
        <v/>
      </c>
      <c r="W191" t="str">
        <f t="shared" si="32"/>
        <v/>
      </c>
      <c r="X191" t="str">
        <f t="shared" si="33"/>
        <v/>
      </c>
      <c r="Y191" t="str">
        <f t="shared" si="34"/>
        <v/>
      </c>
      <c r="Z191" t="str">
        <f t="shared" si="35"/>
        <v/>
      </c>
      <c r="AA191">
        <f t="shared" si="36"/>
        <v>0</v>
      </c>
      <c r="AB191" t="str">
        <f>IFERROR(V144+MATCH(AA191,V191:Z191,0)-1,"")</f>
        <v/>
      </c>
      <c r="AC191" t="str">
        <f t="shared" si="37"/>
        <v/>
      </c>
      <c r="AE191" t="str">
        <f>IF(ISNUMBER(MATCH("N/A",J191:N191,0)),"",IFERROR((5 * SUMPRODUCT(J144:N144,J191:N191) - PRODUCT(SUM(J144:N144),SUM(J191:N191))) / ((5 * SUM((J144^2)+(K144^2)+(L144^2)+(M144^2)+(N144^2))) - SUM(J144:N144)^2),""))</f>
        <v/>
      </c>
      <c r="AF191" t="str">
        <f>IFERROR(CORREL(J144:N144,J191:N191),"")</f>
        <v/>
      </c>
      <c r="AZ191">
        <f t="shared" si="38"/>
        <v>0</v>
      </c>
      <c r="BA191" t="str">
        <f>IF(AZ191=1,IF(Q191="","",IF(Q191=N144,"Yes","No")),"")</f>
        <v/>
      </c>
      <c r="BB191" t="str">
        <f t="shared" si="39"/>
        <v/>
      </c>
      <c r="BC191" t="str">
        <f>IF(AZ191=1,IF(S191="","",IF(S191=N144,"Yes","No")),"")</f>
        <v/>
      </c>
      <c r="BD191" t="str">
        <f t="shared" si="40"/>
        <v/>
      </c>
      <c r="BE191" t="str">
        <f t="shared" si="41"/>
        <v/>
      </c>
      <c r="BF191" t="str">
        <f t="shared" si="42"/>
        <v>No</v>
      </c>
      <c r="BG191" t="str">
        <f t="shared" si="43"/>
        <v>No</v>
      </c>
      <c r="BH191" t="str">
        <f t="shared" si="44"/>
        <v/>
      </c>
    </row>
    <row r="192" spans="9:60" x14ac:dyDescent="0.3">
      <c r="I192" t="str">
        <f t="shared" si="46"/>
        <v>N/A</v>
      </c>
      <c r="J192" t="str">
        <f t="shared" si="47"/>
        <v>N/A</v>
      </c>
      <c r="K192" t="str">
        <f t="shared" si="48"/>
        <v>N/A</v>
      </c>
      <c r="L192" t="str">
        <f t="shared" si="49"/>
        <v>N/A</v>
      </c>
      <c r="M192" t="str">
        <f t="shared" si="50"/>
        <v>N/A</v>
      </c>
      <c r="N192" t="str">
        <f t="shared" si="51"/>
        <v>N/A</v>
      </c>
      <c r="P192">
        <f t="shared" si="27"/>
        <v>0</v>
      </c>
      <c r="Q192" t="str">
        <f>IFERROR(J144+MATCH(P192,J192:N192,0)-1,"")</f>
        <v/>
      </c>
      <c r="R192" t="str">
        <f t="shared" si="28"/>
        <v/>
      </c>
      <c r="S192" t="str">
        <f>IFERROR(J144+MATCH(R192,J192:N192,0)-1,"")</f>
        <v/>
      </c>
      <c r="T192" t="str">
        <f t="shared" si="29"/>
        <v/>
      </c>
      <c r="U192" t="str">
        <f t="shared" si="30"/>
        <v/>
      </c>
      <c r="V192" t="str">
        <f t="shared" si="31"/>
        <v/>
      </c>
      <c r="W192" t="str">
        <f t="shared" si="32"/>
        <v/>
      </c>
      <c r="X192" t="str">
        <f t="shared" si="33"/>
        <v/>
      </c>
      <c r="Y192" t="str">
        <f t="shared" si="34"/>
        <v/>
      </c>
      <c r="Z192" t="str">
        <f t="shared" si="35"/>
        <v/>
      </c>
      <c r="AA192">
        <f t="shared" si="36"/>
        <v>0</v>
      </c>
      <c r="AB192" t="str">
        <f>IFERROR(V144+MATCH(AA192,V192:Z192,0)-1,"")</f>
        <v/>
      </c>
      <c r="AC192" t="str">
        <f t="shared" si="37"/>
        <v/>
      </c>
      <c r="AE192" t="str">
        <f>IF(ISNUMBER(MATCH("N/A",J192:N192,0)),"",IFERROR((5 * SUMPRODUCT(J144:N144,J192:N192) - PRODUCT(SUM(J144:N144),SUM(J192:N192))) / ((5 * SUM((J144^2)+(K144^2)+(L144^2)+(M144^2)+(N144^2))) - SUM(J144:N144)^2),""))</f>
        <v/>
      </c>
      <c r="AF192" t="str">
        <f>IFERROR(CORREL(J144:N144,J192:N192),"")</f>
        <v/>
      </c>
      <c r="AZ192">
        <f t="shared" si="38"/>
        <v>0</v>
      </c>
      <c r="BA192" t="str">
        <f>IF(AZ192=1,IF(Q192="","",IF(Q192=N144,"Yes","No")),"")</f>
        <v/>
      </c>
      <c r="BB192" t="str">
        <f t="shared" si="39"/>
        <v/>
      </c>
      <c r="BC192" t="str">
        <f>IF(AZ192=1,IF(S192="","",IF(S192=N144,"Yes","No")),"")</f>
        <v/>
      </c>
      <c r="BD192" t="str">
        <f t="shared" si="40"/>
        <v/>
      </c>
      <c r="BE192" t="str">
        <f t="shared" si="41"/>
        <v/>
      </c>
      <c r="BF192" t="str">
        <f t="shared" si="42"/>
        <v>No</v>
      </c>
      <c r="BG192" t="str">
        <f t="shared" si="43"/>
        <v>No</v>
      </c>
      <c r="BH192" t="str">
        <f t="shared" si="44"/>
        <v/>
      </c>
    </row>
    <row r="193" spans="9:60" x14ac:dyDescent="0.3">
      <c r="I193" t="str">
        <f t="shared" si="46"/>
        <v>N/A</v>
      </c>
      <c r="J193" t="str">
        <f t="shared" si="47"/>
        <v>N/A</v>
      </c>
      <c r="K193" t="str">
        <f t="shared" si="48"/>
        <v>N/A</v>
      </c>
      <c r="L193" t="str">
        <f t="shared" si="49"/>
        <v>N/A</v>
      </c>
      <c r="M193" t="str">
        <f t="shared" si="50"/>
        <v>N/A</v>
      </c>
      <c r="N193" t="str">
        <f t="shared" si="51"/>
        <v>N/A</v>
      </c>
      <c r="P193">
        <f t="shared" si="27"/>
        <v>0</v>
      </c>
      <c r="Q193" t="str">
        <f>IFERROR(J144+MATCH(P193,J193:N193,0)-1,"")</f>
        <v/>
      </c>
      <c r="R193" t="str">
        <f t="shared" si="28"/>
        <v/>
      </c>
      <c r="S193" t="str">
        <f>IFERROR(J144+MATCH(R193,J193:N193,0)-1,"")</f>
        <v/>
      </c>
      <c r="T193" t="str">
        <f t="shared" si="29"/>
        <v/>
      </c>
      <c r="U193" t="str">
        <f t="shared" si="30"/>
        <v/>
      </c>
      <c r="V193" t="str">
        <f t="shared" si="31"/>
        <v/>
      </c>
      <c r="W193" t="str">
        <f t="shared" si="32"/>
        <v/>
      </c>
      <c r="X193" t="str">
        <f t="shared" si="33"/>
        <v/>
      </c>
      <c r="Y193" t="str">
        <f t="shared" si="34"/>
        <v/>
      </c>
      <c r="Z193" t="str">
        <f t="shared" si="35"/>
        <v/>
      </c>
      <c r="AA193">
        <f t="shared" si="36"/>
        <v>0</v>
      </c>
      <c r="AB193" t="str">
        <f>IFERROR(V144+MATCH(AA193,V193:Z193,0)-1,"")</f>
        <v/>
      </c>
      <c r="AC193" t="str">
        <f t="shared" si="37"/>
        <v/>
      </c>
      <c r="AE193" t="str">
        <f>IF(ISNUMBER(MATCH("N/A",J193:N193,0)),"",IFERROR((5 * SUMPRODUCT(J144:N144,J193:N193) - PRODUCT(SUM(J144:N144),SUM(J193:N193))) / ((5 * SUM((J144^2)+(K144^2)+(L144^2)+(M144^2)+(N144^2))) - SUM(J144:N144)^2),""))</f>
        <v/>
      </c>
      <c r="AF193" t="str">
        <f>IFERROR(CORREL(J144:N144,J193:N193),"")</f>
        <v/>
      </c>
      <c r="AZ193">
        <f t="shared" si="38"/>
        <v>0</v>
      </c>
      <c r="BA193" t="str">
        <f>IF(AZ193=1,IF(Q193="","",IF(Q193=N144,"Yes","No")),"")</f>
        <v/>
      </c>
      <c r="BB193" t="str">
        <f t="shared" si="39"/>
        <v/>
      </c>
      <c r="BC193" t="str">
        <f>IF(AZ193=1,IF(S193="","",IF(S193=N144,"Yes","No")),"")</f>
        <v/>
      </c>
      <c r="BD193" t="str">
        <f t="shared" si="40"/>
        <v/>
      </c>
      <c r="BE193" t="str">
        <f t="shared" si="41"/>
        <v/>
      </c>
      <c r="BF193" t="str">
        <f t="shared" si="42"/>
        <v>No</v>
      </c>
      <c r="BG193" t="str">
        <f t="shared" si="43"/>
        <v>No</v>
      </c>
      <c r="BH193" t="str">
        <f t="shared" si="44"/>
        <v/>
      </c>
    </row>
    <row r="194" spans="9:60" x14ac:dyDescent="0.3">
      <c r="I194" t="str">
        <f t="shared" si="46"/>
        <v>N/A</v>
      </c>
      <c r="J194" t="str">
        <f t="shared" si="47"/>
        <v>N/A</v>
      </c>
      <c r="K194" t="str">
        <f t="shared" si="48"/>
        <v>N/A</v>
      </c>
      <c r="L194" t="str">
        <f t="shared" si="49"/>
        <v>N/A</v>
      </c>
      <c r="M194" t="str">
        <f t="shared" si="50"/>
        <v>N/A</v>
      </c>
      <c r="N194" t="str">
        <f t="shared" si="51"/>
        <v>N/A</v>
      </c>
      <c r="P194">
        <f t="shared" si="27"/>
        <v>0</v>
      </c>
      <c r="Q194" t="str">
        <f>IFERROR(J144+MATCH(P194,J194:N194,0)-1,"")</f>
        <v/>
      </c>
      <c r="R194" t="str">
        <f t="shared" si="28"/>
        <v/>
      </c>
      <c r="S194" t="str">
        <f>IFERROR(J144+MATCH(R194,J194:N194,0)-1,"")</f>
        <v/>
      </c>
      <c r="T194" t="str">
        <f t="shared" si="29"/>
        <v/>
      </c>
      <c r="U194" t="str">
        <f t="shared" si="30"/>
        <v/>
      </c>
      <c r="V194" t="str">
        <f t="shared" si="31"/>
        <v/>
      </c>
      <c r="W194" t="str">
        <f t="shared" si="32"/>
        <v/>
      </c>
      <c r="X194" t="str">
        <f t="shared" si="33"/>
        <v/>
      </c>
      <c r="Y194" t="str">
        <f t="shared" si="34"/>
        <v/>
      </c>
      <c r="Z194" t="str">
        <f t="shared" si="35"/>
        <v/>
      </c>
      <c r="AA194">
        <f t="shared" si="36"/>
        <v>0</v>
      </c>
      <c r="AB194" t="str">
        <f>IFERROR(V144+MATCH(AA194,V194:Z194,0)-1,"")</f>
        <v/>
      </c>
      <c r="AC194" t="str">
        <f t="shared" si="37"/>
        <v/>
      </c>
      <c r="AE194" t="str">
        <f>IF(ISNUMBER(MATCH("N/A",J194:N194,0)),"",IFERROR((5 * SUMPRODUCT(J144:N144,J194:N194) - PRODUCT(SUM(J144:N144),SUM(J194:N194))) / ((5 * SUM((J144^2)+(K144^2)+(L144^2)+(M144^2)+(N144^2))) - SUM(J144:N144)^2),""))</f>
        <v/>
      </c>
      <c r="AF194" t="str">
        <f>IFERROR(CORREL(J144:N144,J194:N194),"")</f>
        <v/>
      </c>
      <c r="AZ194">
        <f t="shared" si="38"/>
        <v>0</v>
      </c>
      <c r="BA194" t="str">
        <f>IF(AZ194=1,IF(Q194="","",IF(Q194=N144,"Yes","No")),"")</f>
        <v/>
      </c>
      <c r="BB194" t="str">
        <f t="shared" si="39"/>
        <v/>
      </c>
      <c r="BC194" t="str">
        <f>IF(AZ194=1,IF(S194="","",IF(S194=N144,"Yes","No")),"")</f>
        <v/>
      </c>
      <c r="BD194" t="str">
        <f t="shared" si="40"/>
        <v/>
      </c>
      <c r="BE194" t="str">
        <f t="shared" si="41"/>
        <v/>
      </c>
      <c r="BF194" t="str">
        <f t="shared" si="42"/>
        <v>No</v>
      </c>
      <c r="BG194" t="str">
        <f t="shared" si="43"/>
        <v>No</v>
      </c>
      <c r="BH194" t="str">
        <f t="shared" si="44"/>
        <v/>
      </c>
    </row>
    <row r="195" spans="9:60" x14ac:dyDescent="0.3">
      <c r="I195" t="str">
        <f t="shared" si="46"/>
        <v>N/A</v>
      </c>
      <c r="J195" t="str">
        <f t="shared" si="47"/>
        <v>N/A</v>
      </c>
      <c r="K195" t="str">
        <f t="shared" si="48"/>
        <v>N/A</v>
      </c>
      <c r="L195" t="str">
        <f t="shared" si="49"/>
        <v>N/A</v>
      </c>
      <c r="M195" t="str">
        <f t="shared" si="50"/>
        <v>N/A</v>
      </c>
      <c r="N195" t="str">
        <f t="shared" si="51"/>
        <v>N/A</v>
      </c>
      <c r="P195">
        <f t="shared" si="27"/>
        <v>0</v>
      </c>
      <c r="Q195" t="str">
        <f>IFERROR(J144+MATCH(P195,J195:N195,0)-1,"")</f>
        <v/>
      </c>
      <c r="R195" t="str">
        <f t="shared" si="28"/>
        <v/>
      </c>
      <c r="S195" t="str">
        <f>IFERROR(J144+MATCH(R195,J195:N195,0)-1,"")</f>
        <v/>
      </c>
      <c r="T195" t="str">
        <f t="shared" si="29"/>
        <v/>
      </c>
      <c r="U195" t="str">
        <f t="shared" si="30"/>
        <v/>
      </c>
      <c r="V195" t="str">
        <f t="shared" si="31"/>
        <v/>
      </c>
      <c r="W195" t="str">
        <f t="shared" si="32"/>
        <v/>
      </c>
      <c r="X195" t="str">
        <f t="shared" si="33"/>
        <v/>
      </c>
      <c r="Y195" t="str">
        <f t="shared" si="34"/>
        <v/>
      </c>
      <c r="Z195" t="str">
        <f t="shared" si="35"/>
        <v/>
      </c>
      <c r="AA195">
        <f t="shared" si="36"/>
        <v>0</v>
      </c>
      <c r="AB195" t="str">
        <f>IFERROR(V144+MATCH(AA195,V195:Z195,0)-1,"")</f>
        <v/>
      </c>
      <c r="AC195" t="str">
        <f t="shared" si="37"/>
        <v/>
      </c>
      <c r="AE195" t="str">
        <f>IF(ISNUMBER(MATCH("N/A",J195:N195,0)),"",IFERROR((5 * SUMPRODUCT(J144:N144,J195:N195) - PRODUCT(SUM(J144:N144),SUM(J195:N195))) / ((5 * SUM((J144^2)+(K144^2)+(L144^2)+(M144^2)+(N144^2))) - SUM(J144:N144)^2),""))</f>
        <v/>
      </c>
      <c r="AF195" t="str">
        <f>IFERROR(CORREL(J144:N144,J195:N195),"")</f>
        <v/>
      </c>
      <c r="AZ195">
        <f t="shared" si="38"/>
        <v>0</v>
      </c>
      <c r="BA195" t="str">
        <f>IF(AZ195=1,IF(Q195="","",IF(Q195=N144,"Yes","No")),"")</f>
        <v/>
      </c>
      <c r="BB195" t="str">
        <f t="shared" si="39"/>
        <v/>
      </c>
      <c r="BC195" t="str">
        <f>IF(AZ195=1,IF(S195="","",IF(S195=N144,"Yes","No")),"")</f>
        <v/>
      </c>
      <c r="BD195" t="str">
        <f t="shared" si="40"/>
        <v/>
      </c>
      <c r="BE195" t="str">
        <f t="shared" si="41"/>
        <v/>
      </c>
      <c r="BF195" t="str">
        <f t="shared" si="42"/>
        <v>No</v>
      </c>
      <c r="BG195" t="str">
        <f t="shared" si="43"/>
        <v>No</v>
      </c>
      <c r="BH195" t="str">
        <f t="shared" si="44"/>
        <v/>
      </c>
    </row>
    <row r="196" spans="9:60" x14ac:dyDescent="0.3">
      <c r="I196" t="str">
        <f t="shared" si="46"/>
        <v>N/A</v>
      </c>
      <c r="J196" t="str">
        <f t="shared" si="47"/>
        <v>N/A</v>
      </c>
      <c r="K196" t="str">
        <f t="shared" si="48"/>
        <v>N/A</v>
      </c>
      <c r="L196" t="str">
        <f t="shared" si="49"/>
        <v>N/A</v>
      </c>
      <c r="M196" t="str">
        <f t="shared" si="50"/>
        <v>N/A</v>
      </c>
      <c r="N196" t="str">
        <f t="shared" si="51"/>
        <v>N/A</v>
      </c>
      <c r="P196">
        <f t="shared" si="27"/>
        <v>0</v>
      </c>
      <c r="Q196" t="str">
        <f>IFERROR(J144+MATCH(P196,J196:N196,0)-1,"")</f>
        <v/>
      </c>
      <c r="R196" t="str">
        <f t="shared" si="28"/>
        <v/>
      </c>
      <c r="S196" t="str">
        <f>IFERROR(J144+MATCH(R196,J196:N196,0)-1,"")</f>
        <v/>
      </c>
      <c r="T196" t="str">
        <f t="shared" si="29"/>
        <v/>
      </c>
      <c r="U196" t="str">
        <f t="shared" si="30"/>
        <v/>
      </c>
      <c r="V196" t="str">
        <f t="shared" si="31"/>
        <v/>
      </c>
      <c r="W196" t="str">
        <f t="shared" si="32"/>
        <v/>
      </c>
      <c r="X196" t="str">
        <f t="shared" si="33"/>
        <v/>
      </c>
      <c r="Y196" t="str">
        <f t="shared" si="34"/>
        <v/>
      </c>
      <c r="Z196" t="str">
        <f t="shared" si="35"/>
        <v/>
      </c>
      <c r="AA196">
        <f t="shared" si="36"/>
        <v>0</v>
      </c>
      <c r="AB196" t="str">
        <f>IFERROR(V144+MATCH(AA196,V196:Z196,0)-1,"")</f>
        <v/>
      </c>
      <c r="AC196" t="str">
        <f t="shared" si="37"/>
        <v/>
      </c>
      <c r="AE196" t="str">
        <f>IF(ISNUMBER(MATCH("N/A",J196:N196,0)),"",IFERROR((5 * SUMPRODUCT(J144:N144,J196:N196) - PRODUCT(SUM(J144:N144),SUM(J196:N196))) / ((5 * SUM((J144^2)+(K144^2)+(L144^2)+(M144^2)+(N144^2))) - SUM(J144:N144)^2),""))</f>
        <v/>
      </c>
      <c r="AF196" t="str">
        <f>IFERROR(CORREL(J144:N144,J196:N196),"")</f>
        <v/>
      </c>
      <c r="AZ196">
        <f t="shared" si="38"/>
        <v>0</v>
      </c>
      <c r="BA196" t="str">
        <f>IF(AZ196=1,IF(Q196="","",IF(Q196=N144,"Yes","No")),"")</f>
        <v/>
      </c>
      <c r="BB196" t="str">
        <f t="shared" si="39"/>
        <v/>
      </c>
      <c r="BC196" t="str">
        <f>IF(AZ196=1,IF(S196="","",IF(S196=N144,"Yes","No")),"")</f>
        <v/>
      </c>
      <c r="BD196" t="str">
        <f t="shared" si="40"/>
        <v/>
      </c>
      <c r="BE196" t="str">
        <f t="shared" si="41"/>
        <v/>
      </c>
      <c r="BF196" t="str">
        <f t="shared" si="42"/>
        <v>No</v>
      </c>
      <c r="BG196" t="str">
        <f t="shared" si="43"/>
        <v>No</v>
      </c>
      <c r="BH196" t="str">
        <f t="shared" si="44"/>
        <v/>
      </c>
    </row>
    <row r="197" spans="9:60" x14ac:dyDescent="0.3">
      <c r="I197" t="str">
        <f t="shared" si="46"/>
        <v>N/A</v>
      </c>
      <c r="J197" t="str">
        <f t="shared" si="47"/>
        <v>N/A</v>
      </c>
      <c r="K197" t="str">
        <f t="shared" si="48"/>
        <v>N/A</v>
      </c>
      <c r="L197" t="str">
        <f t="shared" si="49"/>
        <v>N/A</v>
      </c>
      <c r="M197" t="str">
        <f t="shared" si="50"/>
        <v>N/A</v>
      </c>
      <c r="N197" t="str">
        <f t="shared" si="51"/>
        <v>N/A</v>
      </c>
      <c r="P197">
        <f t="shared" si="27"/>
        <v>0</v>
      </c>
      <c r="Q197" t="str">
        <f>IFERROR(J144+MATCH(P197,J197:N197,0)-1,"")</f>
        <v/>
      </c>
      <c r="R197" t="str">
        <f t="shared" si="28"/>
        <v/>
      </c>
      <c r="S197" t="str">
        <f>IFERROR(J144+MATCH(R197,J197:N197,0)-1,"")</f>
        <v/>
      </c>
      <c r="T197" t="str">
        <f t="shared" si="29"/>
        <v/>
      </c>
      <c r="U197" t="str">
        <f t="shared" si="30"/>
        <v/>
      </c>
      <c r="V197" t="str">
        <f t="shared" si="31"/>
        <v/>
      </c>
      <c r="W197" t="str">
        <f t="shared" si="32"/>
        <v/>
      </c>
      <c r="X197" t="str">
        <f t="shared" si="33"/>
        <v/>
      </c>
      <c r="Y197" t="str">
        <f t="shared" si="34"/>
        <v/>
      </c>
      <c r="Z197" t="str">
        <f t="shared" si="35"/>
        <v/>
      </c>
      <c r="AA197">
        <f t="shared" si="36"/>
        <v>0</v>
      </c>
      <c r="AB197" t="str">
        <f>IFERROR(V144+MATCH(AA197,V197:Z197,0)-1,"")</f>
        <v/>
      </c>
      <c r="AC197" t="str">
        <f t="shared" si="37"/>
        <v/>
      </c>
      <c r="AE197" t="str">
        <f>IF(ISNUMBER(MATCH("N/A",J197:N197,0)),"",IFERROR((5 * SUMPRODUCT(J144:N144,J197:N197) - PRODUCT(SUM(J144:N144),SUM(J197:N197))) / ((5 * SUM((J144^2)+(K144^2)+(L144^2)+(M144^2)+(N144^2))) - SUM(J144:N144)^2),""))</f>
        <v/>
      </c>
      <c r="AF197" t="str">
        <f>IFERROR(CORREL(J144:N144,J197:N197),"")</f>
        <v/>
      </c>
      <c r="AZ197">
        <f t="shared" si="38"/>
        <v>0</v>
      </c>
      <c r="BA197" t="str">
        <f>IF(AZ197=1,IF(Q197="","",IF(Q197=N144,"Yes","No")),"")</f>
        <v/>
      </c>
      <c r="BB197" t="str">
        <f t="shared" si="39"/>
        <v/>
      </c>
      <c r="BC197" t="str">
        <f>IF(AZ197=1,IF(S197="","",IF(S197=N144,"Yes","No")),"")</f>
        <v/>
      </c>
      <c r="BD197" t="str">
        <f t="shared" si="40"/>
        <v/>
      </c>
      <c r="BE197" t="str">
        <f t="shared" si="41"/>
        <v/>
      </c>
      <c r="BF197" t="str">
        <f t="shared" si="42"/>
        <v>No</v>
      </c>
      <c r="BG197" t="str">
        <f t="shared" si="43"/>
        <v>No</v>
      </c>
      <c r="BH197" t="str">
        <f t="shared" si="44"/>
        <v/>
      </c>
    </row>
    <row r="198" spans="9:60" x14ac:dyDescent="0.3">
      <c r="I198" t="str">
        <f t="shared" si="46"/>
        <v>N/A</v>
      </c>
      <c r="J198" t="str">
        <f t="shared" si="47"/>
        <v>N/A</v>
      </c>
      <c r="K198" t="str">
        <f t="shared" si="48"/>
        <v>N/A</v>
      </c>
      <c r="L198" t="str">
        <f t="shared" si="49"/>
        <v>N/A</v>
      </c>
      <c r="M198" t="str">
        <f t="shared" si="50"/>
        <v>N/A</v>
      </c>
      <c r="N198" t="str">
        <f t="shared" si="51"/>
        <v>N/A</v>
      </c>
      <c r="P198">
        <f t="shared" si="27"/>
        <v>0</v>
      </c>
      <c r="Q198" t="str">
        <f>IFERROR(J144+MATCH(P198,J198:N198,0)-1,"")</f>
        <v/>
      </c>
      <c r="R198" t="str">
        <f t="shared" si="28"/>
        <v/>
      </c>
      <c r="S198" t="str">
        <f>IFERROR(J144+MATCH(R198,J198:N198,0)-1,"")</f>
        <v/>
      </c>
      <c r="T198" t="str">
        <f t="shared" si="29"/>
        <v/>
      </c>
      <c r="U198" t="str">
        <f t="shared" si="30"/>
        <v/>
      </c>
      <c r="V198" t="str">
        <f t="shared" si="31"/>
        <v/>
      </c>
      <c r="W198" t="str">
        <f t="shared" si="32"/>
        <v/>
      </c>
      <c r="X198" t="str">
        <f t="shared" si="33"/>
        <v/>
      </c>
      <c r="Y198" t="str">
        <f t="shared" si="34"/>
        <v/>
      </c>
      <c r="Z198" t="str">
        <f t="shared" si="35"/>
        <v/>
      </c>
      <c r="AA198">
        <f t="shared" si="36"/>
        <v>0</v>
      </c>
      <c r="AB198" t="str">
        <f>IFERROR(V144+MATCH(AA198,V198:Z198,0)-1,"")</f>
        <v/>
      </c>
      <c r="AC198" t="str">
        <f t="shared" si="37"/>
        <v/>
      </c>
      <c r="AE198" t="str">
        <f>IF(ISNUMBER(MATCH("N/A",J198:N198,0)),"",IFERROR((5 * SUMPRODUCT(J144:N144,J198:N198) - PRODUCT(SUM(J144:N144),SUM(J198:N198))) / ((5 * SUM((J144^2)+(K144^2)+(L144^2)+(M144^2)+(N144^2))) - SUM(J144:N144)^2),""))</f>
        <v/>
      </c>
      <c r="AF198" t="str">
        <f>IFERROR(CORREL(J144:N144,J198:N198),"")</f>
        <v/>
      </c>
      <c r="AZ198">
        <f t="shared" si="38"/>
        <v>0</v>
      </c>
      <c r="BA198" t="str">
        <f>IF(AZ198=1,IF(Q198="","",IF(Q198=N144,"Yes","No")),"")</f>
        <v/>
      </c>
      <c r="BB198" t="str">
        <f t="shared" si="39"/>
        <v/>
      </c>
      <c r="BC198" t="str">
        <f>IF(AZ198=1,IF(S198="","",IF(S198=N144,"Yes","No")),"")</f>
        <v/>
      </c>
      <c r="BD198" t="str">
        <f t="shared" si="40"/>
        <v/>
      </c>
      <c r="BE198" t="str">
        <f t="shared" si="41"/>
        <v/>
      </c>
      <c r="BF198" t="str">
        <f t="shared" si="42"/>
        <v>No</v>
      </c>
      <c r="BG198" t="str">
        <f t="shared" si="43"/>
        <v>No</v>
      </c>
      <c r="BH198" t="str">
        <f t="shared" si="44"/>
        <v/>
      </c>
    </row>
    <row r="199" spans="9:60" x14ac:dyDescent="0.3">
      <c r="I199" t="str">
        <f t="shared" si="46"/>
        <v>N/A</v>
      </c>
      <c r="J199" t="str">
        <f t="shared" si="47"/>
        <v>N/A</v>
      </c>
      <c r="K199" t="str">
        <f t="shared" si="48"/>
        <v>N/A</v>
      </c>
      <c r="L199" t="str">
        <f t="shared" si="49"/>
        <v>N/A</v>
      </c>
      <c r="M199" t="str">
        <f t="shared" si="50"/>
        <v>N/A</v>
      </c>
      <c r="N199" t="str">
        <f t="shared" si="51"/>
        <v>N/A</v>
      </c>
      <c r="P199">
        <f t="shared" si="27"/>
        <v>0</v>
      </c>
      <c r="Q199" t="str">
        <f>IFERROR(J144+MATCH(P199,J199:N199,0)-1,"")</f>
        <v/>
      </c>
      <c r="R199" t="str">
        <f t="shared" si="28"/>
        <v/>
      </c>
      <c r="S199" t="str">
        <f>IFERROR(J144+MATCH(R199,J199:N199,0)-1,"")</f>
        <v/>
      </c>
      <c r="T199" t="str">
        <f t="shared" si="29"/>
        <v/>
      </c>
      <c r="U199" t="str">
        <f t="shared" si="30"/>
        <v/>
      </c>
      <c r="V199" t="str">
        <f t="shared" si="31"/>
        <v/>
      </c>
      <c r="W199" t="str">
        <f t="shared" si="32"/>
        <v/>
      </c>
      <c r="X199" t="str">
        <f t="shared" si="33"/>
        <v/>
      </c>
      <c r="Y199" t="str">
        <f t="shared" si="34"/>
        <v/>
      </c>
      <c r="Z199" t="str">
        <f t="shared" si="35"/>
        <v/>
      </c>
      <c r="AA199">
        <f t="shared" si="36"/>
        <v>0</v>
      </c>
      <c r="AB199" t="str">
        <f>IFERROR(V144+MATCH(AA199,V199:Z199,0)-1,"")</f>
        <v/>
      </c>
      <c r="AC199" t="str">
        <f t="shared" si="37"/>
        <v/>
      </c>
      <c r="AE199" t="str">
        <f>IF(ISNUMBER(MATCH("N/A",J199:N199,0)),"",IFERROR((5 * SUMPRODUCT(J144:N144,J199:N199) - PRODUCT(SUM(J144:N144),SUM(J199:N199))) / ((5 * SUM((J144^2)+(K144^2)+(L144^2)+(M144^2)+(N144^2))) - SUM(J144:N144)^2),""))</f>
        <v/>
      </c>
      <c r="AF199" t="str">
        <f>IFERROR(CORREL(J144:N144,J199:N199),"")</f>
        <v/>
      </c>
      <c r="AZ199">
        <f t="shared" si="38"/>
        <v>0</v>
      </c>
      <c r="BA199" t="str">
        <f>IF(AZ199=1,IF(Q199="","",IF(Q199=N144,"Yes","No")),"")</f>
        <v/>
      </c>
      <c r="BB199" t="str">
        <f t="shared" si="39"/>
        <v/>
      </c>
      <c r="BC199" t="str">
        <f>IF(AZ199=1,IF(S199="","",IF(S199=N144,"Yes","No")),"")</f>
        <v/>
      </c>
      <c r="BD199" t="str">
        <f t="shared" si="40"/>
        <v/>
      </c>
      <c r="BE199" t="str">
        <f t="shared" si="41"/>
        <v/>
      </c>
      <c r="BF199" t="str">
        <f t="shared" si="42"/>
        <v>No</v>
      </c>
      <c r="BG199" t="str">
        <f t="shared" si="43"/>
        <v>No</v>
      </c>
      <c r="BH199" t="str">
        <f t="shared" si="44"/>
        <v/>
      </c>
    </row>
    <row r="200" spans="9:60" x14ac:dyDescent="0.3">
      <c r="I200" t="str">
        <f t="shared" si="46"/>
        <v>N/A</v>
      </c>
      <c r="J200" t="str">
        <f t="shared" si="47"/>
        <v>N/A</v>
      </c>
      <c r="K200" t="str">
        <f t="shared" si="48"/>
        <v>N/A</v>
      </c>
      <c r="L200" t="str">
        <f t="shared" si="49"/>
        <v>N/A</v>
      </c>
      <c r="M200" t="str">
        <f t="shared" si="50"/>
        <v>N/A</v>
      </c>
      <c r="N200" t="str">
        <f t="shared" si="51"/>
        <v>N/A</v>
      </c>
      <c r="P200">
        <f t="shared" si="27"/>
        <v>0</v>
      </c>
      <c r="Q200" t="str">
        <f>IFERROR(J144+MATCH(P200,J200:N200,0)-1,"")</f>
        <v/>
      </c>
      <c r="R200" t="str">
        <f t="shared" si="28"/>
        <v/>
      </c>
      <c r="S200" t="str">
        <f>IFERROR(J144+MATCH(R200,J200:N200,0)-1,"")</f>
        <v/>
      </c>
      <c r="T200" t="str">
        <f t="shared" si="29"/>
        <v/>
      </c>
      <c r="U200" t="str">
        <f t="shared" si="30"/>
        <v/>
      </c>
      <c r="V200" t="str">
        <f t="shared" si="31"/>
        <v/>
      </c>
      <c r="W200" t="str">
        <f t="shared" si="32"/>
        <v/>
      </c>
      <c r="X200" t="str">
        <f t="shared" si="33"/>
        <v/>
      </c>
      <c r="Y200" t="str">
        <f t="shared" si="34"/>
        <v/>
      </c>
      <c r="Z200" t="str">
        <f t="shared" si="35"/>
        <v/>
      </c>
      <c r="AA200">
        <f t="shared" si="36"/>
        <v>0</v>
      </c>
      <c r="AB200" t="str">
        <f>IFERROR(V144+MATCH(AA200,V200:Z200,0)-1,"")</f>
        <v/>
      </c>
      <c r="AC200" t="str">
        <f t="shared" si="37"/>
        <v/>
      </c>
      <c r="AE200" t="str">
        <f>IF(ISNUMBER(MATCH("N/A",J200:N200,0)),"",IFERROR((5 * SUMPRODUCT(J144:N144,J200:N200) - PRODUCT(SUM(J144:N144),SUM(J200:N200))) / ((5 * SUM((J144^2)+(K144^2)+(L144^2)+(M144^2)+(N144^2))) - SUM(J144:N144)^2),""))</f>
        <v/>
      </c>
      <c r="AF200" t="str">
        <f>IFERROR(CORREL(J144:N144,J200:N200),"")</f>
        <v/>
      </c>
      <c r="AZ200">
        <f t="shared" si="38"/>
        <v>0</v>
      </c>
      <c r="BA200" t="str">
        <f>IF(AZ200=1,IF(Q200="","",IF(Q200=N144,"Yes","No")),"")</f>
        <v/>
      </c>
      <c r="BB200" t="str">
        <f t="shared" si="39"/>
        <v/>
      </c>
      <c r="BC200" t="str">
        <f>IF(AZ200=1,IF(S200="","",IF(S200=N144,"Yes","No")),"")</f>
        <v/>
      </c>
      <c r="BD200" t="str">
        <f t="shared" si="40"/>
        <v/>
      </c>
      <c r="BE200" t="str">
        <f t="shared" si="41"/>
        <v/>
      </c>
      <c r="BF200" t="str">
        <f t="shared" si="42"/>
        <v>No</v>
      </c>
      <c r="BG200" t="str">
        <f t="shared" si="43"/>
        <v>No</v>
      </c>
      <c r="BH200" t="str">
        <f t="shared" si="44"/>
        <v/>
      </c>
    </row>
    <row r="201" spans="9:60" x14ac:dyDescent="0.3">
      <c r="I201" t="str">
        <f t="shared" si="46"/>
        <v>N/A</v>
      </c>
      <c r="J201" t="str">
        <f t="shared" si="47"/>
        <v>N/A</v>
      </c>
      <c r="K201" t="str">
        <f t="shared" si="48"/>
        <v>N/A</v>
      </c>
      <c r="L201" t="str">
        <f t="shared" si="49"/>
        <v>N/A</v>
      </c>
      <c r="M201" t="str">
        <f t="shared" si="50"/>
        <v>N/A</v>
      </c>
      <c r="N201" t="str">
        <f t="shared" si="51"/>
        <v>N/A</v>
      </c>
      <c r="P201">
        <f t="shared" si="27"/>
        <v>0</v>
      </c>
      <c r="Q201" t="str">
        <f>IFERROR(J144+MATCH(P201,J201:N201,0)-1,"")</f>
        <v/>
      </c>
      <c r="R201" t="str">
        <f t="shared" si="28"/>
        <v/>
      </c>
      <c r="S201" t="str">
        <f>IFERROR(J144+MATCH(R201,J201:N201,0)-1,"")</f>
        <v/>
      </c>
      <c r="T201" t="str">
        <f t="shared" si="29"/>
        <v/>
      </c>
      <c r="U201" t="str">
        <f t="shared" si="30"/>
        <v/>
      </c>
      <c r="V201" t="str">
        <f t="shared" si="31"/>
        <v/>
      </c>
      <c r="W201" t="str">
        <f t="shared" si="32"/>
        <v/>
      </c>
      <c r="X201" t="str">
        <f t="shared" si="33"/>
        <v/>
      </c>
      <c r="Y201" t="str">
        <f t="shared" si="34"/>
        <v/>
      </c>
      <c r="Z201" t="str">
        <f t="shared" si="35"/>
        <v/>
      </c>
      <c r="AA201">
        <f t="shared" si="36"/>
        <v>0</v>
      </c>
      <c r="AB201" t="str">
        <f>IFERROR(V144+MATCH(AA201,V201:Z201,0)-1,"")</f>
        <v/>
      </c>
      <c r="AC201" t="str">
        <f t="shared" si="37"/>
        <v/>
      </c>
      <c r="AE201" t="str">
        <f>IF(ISNUMBER(MATCH("N/A",J201:N201,0)),"",IFERROR((5 * SUMPRODUCT(J144:N144,J201:N201) - PRODUCT(SUM(J144:N144),SUM(J201:N201))) / ((5 * SUM((J144^2)+(K144^2)+(L144^2)+(M144^2)+(N144^2))) - SUM(J144:N144)^2),""))</f>
        <v/>
      </c>
      <c r="AF201" t="str">
        <f>IFERROR(CORREL(J144:N144,J201:N201),"")</f>
        <v/>
      </c>
      <c r="AZ201">
        <f t="shared" si="38"/>
        <v>0</v>
      </c>
      <c r="BA201" t="str">
        <f>IF(AZ201=1,IF(Q201="","",IF(Q201=N144,"Yes","No")),"")</f>
        <v/>
      </c>
      <c r="BB201" t="str">
        <f t="shared" si="39"/>
        <v/>
      </c>
      <c r="BC201" t="str">
        <f>IF(AZ201=1,IF(S201="","",IF(S201=N144,"Yes","No")),"")</f>
        <v/>
      </c>
      <c r="BD201" t="str">
        <f t="shared" si="40"/>
        <v/>
      </c>
      <c r="BE201" t="str">
        <f t="shared" si="41"/>
        <v/>
      </c>
      <c r="BF201" t="str">
        <f t="shared" si="42"/>
        <v>No</v>
      </c>
      <c r="BG201" t="str">
        <f t="shared" si="43"/>
        <v>No</v>
      </c>
      <c r="BH201" t="str">
        <f t="shared" si="44"/>
        <v/>
      </c>
    </row>
    <row r="202" spans="9:60" x14ac:dyDescent="0.3">
      <c r="I202" t="str">
        <f t="shared" si="46"/>
        <v>N/A</v>
      </c>
      <c r="J202" t="str">
        <f t="shared" si="47"/>
        <v>N/A</v>
      </c>
      <c r="K202" t="str">
        <f t="shared" si="48"/>
        <v>N/A</v>
      </c>
      <c r="L202" t="str">
        <f t="shared" si="49"/>
        <v>N/A</v>
      </c>
      <c r="M202" t="str">
        <f t="shared" si="50"/>
        <v>N/A</v>
      </c>
      <c r="N202" t="str">
        <f t="shared" si="51"/>
        <v>N/A</v>
      </c>
      <c r="P202">
        <f t="shared" si="27"/>
        <v>0</v>
      </c>
      <c r="Q202" t="str">
        <f>IFERROR(J144+MATCH(P202,J202:N202,0)-1,"")</f>
        <v/>
      </c>
      <c r="R202" t="str">
        <f t="shared" si="28"/>
        <v/>
      </c>
      <c r="S202" t="str">
        <f>IFERROR(J144+MATCH(R202,J202:N202,0)-1,"")</f>
        <v/>
      </c>
      <c r="T202" t="str">
        <f t="shared" si="29"/>
        <v/>
      </c>
      <c r="U202" t="str">
        <f t="shared" si="30"/>
        <v/>
      </c>
      <c r="V202" t="str">
        <f t="shared" si="31"/>
        <v/>
      </c>
      <c r="W202" t="str">
        <f t="shared" si="32"/>
        <v/>
      </c>
      <c r="X202" t="str">
        <f t="shared" si="33"/>
        <v/>
      </c>
      <c r="Y202" t="str">
        <f t="shared" si="34"/>
        <v/>
      </c>
      <c r="Z202" t="str">
        <f t="shared" si="35"/>
        <v/>
      </c>
      <c r="AA202">
        <f t="shared" si="36"/>
        <v>0</v>
      </c>
      <c r="AB202" t="str">
        <f>IFERROR(V144+MATCH(AA202,V202:Z202,0)-1,"")</f>
        <v/>
      </c>
      <c r="AC202" t="str">
        <f t="shared" si="37"/>
        <v/>
      </c>
      <c r="AE202" t="str">
        <f>IF(ISNUMBER(MATCH("N/A",J202:N202,0)),"",IFERROR((5 * SUMPRODUCT(J144:N144,J202:N202) - PRODUCT(SUM(J144:N144),SUM(J202:N202))) / ((5 * SUM((J144^2)+(K144^2)+(L144^2)+(M144^2)+(N144^2))) - SUM(J144:N144)^2),""))</f>
        <v/>
      </c>
      <c r="AF202" t="str">
        <f>IFERROR(CORREL(J144:N144,J202:N202),"")</f>
        <v/>
      </c>
      <c r="AZ202">
        <f t="shared" si="38"/>
        <v>0</v>
      </c>
      <c r="BA202" t="str">
        <f>IF(AZ202=1,IF(Q202="","",IF(Q202=N144,"Yes","No")),"")</f>
        <v/>
      </c>
      <c r="BB202" t="str">
        <f t="shared" si="39"/>
        <v/>
      </c>
      <c r="BC202" t="str">
        <f>IF(AZ202=1,IF(S202="","",IF(S202=N144,"Yes","No")),"")</f>
        <v/>
      </c>
      <c r="BD202" t="str">
        <f t="shared" si="40"/>
        <v/>
      </c>
      <c r="BE202" t="str">
        <f t="shared" si="41"/>
        <v/>
      </c>
      <c r="BF202" t="str">
        <f t="shared" si="42"/>
        <v>No</v>
      </c>
      <c r="BG202" t="str">
        <f t="shared" si="43"/>
        <v>No</v>
      </c>
      <c r="BH202" t="str">
        <f t="shared" si="44"/>
        <v/>
      </c>
    </row>
    <row r="203" spans="9:60" x14ac:dyDescent="0.3">
      <c r="I203" t="str">
        <f t="shared" si="46"/>
        <v>N/A</v>
      </c>
      <c r="J203" t="str">
        <f t="shared" si="47"/>
        <v>N/A</v>
      </c>
      <c r="K203" t="str">
        <f t="shared" si="48"/>
        <v>N/A</v>
      </c>
      <c r="L203" t="str">
        <f t="shared" si="49"/>
        <v>N/A</v>
      </c>
      <c r="M203" t="str">
        <f t="shared" si="50"/>
        <v>N/A</v>
      </c>
      <c r="N203" t="str">
        <f t="shared" si="51"/>
        <v>N/A</v>
      </c>
      <c r="P203">
        <f t="shared" si="27"/>
        <v>0</v>
      </c>
      <c r="Q203" t="str">
        <f>IFERROR(J144+MATCH(P203,J203:N203,0)-1,"")</f>
        <v/>
      </c>
      <c r="R203" t="str">
        <f t="shared" si="28"/>
        <v/>
      </c>
      <c r="S203" t="str">
        <f>IFERROR(J144+MATCH(R203,J203:N203,0)-1,"")</f>
        <v/>
      </c>
      <c r="T203" t="str">
        <f t="shared" si="29"/>
        <v/>
      </c>
      <c r="U203" t="str">
        <f t="shared" si="30"/>
        <v/>
      </c>
      <c r="V203" t="str">
        <f t="shared" si="31"/>
        <v/>
      </c>
      <c r="W203" t="str">
        <f t="shared" si="32"/>
        <v/>
      </c>
      <c r="X203" t="str">
        <f t="shared" si="33"/>
        <v/>
      </c>
      <c r="Y203" t="str">
        <f t="shared" si="34"/>
        <v/>
      </c>
      <c r="Z203" t="str">
        <f t="shared" si="35"/>
        <v/>
      </c>
      <c r="AA203">
        <f t="shared" si="36"/>
        <v>0</v>
      </c>
      <c r="AB203" t="str">
        <f>IFERROR(V144+MATCH(AA203,V203:Z203,0)-1,"")</f>
        <v/>
      </c>
      <c r="AC203" t="str">
        <f t="shared" si="37"/>
        <v/>
      </c>
      <c r="AE203" t="str">
        <f>IF(ISNUMBER(MATCH("N/A",J203:N203,0)),"",IFERROR((5 * SUMPRODUCT(J144:N144,J203:N203) - PRODUCT(SUM(J144:N144),SUM(J203:N203))) / ((5 * SUM((J144^2)+(K144^2)+(L144^2)+(M144^2)+(N144^2))) - SUM(J144:N144)^2),""))</f>
        <v/>
      </c>
      <c r="AF203" t="str">
        <f>IFERROR(CORREL(J144:N144,J203:N203),"")</f>
        <v/>
      </c>
      <c r="AZ203">
        <f t="shared" si="38"/>
        <v>0</v>
      </c>
      <c r="BA203" t="str">
        <f>IF(AZ203=1,IF(Q203="","",IF(Q203=N144,"Yes","No")),"")</f>
        <v/>
      </c>
      <c r="BB203" t="str">
        <f t="shared" si="39"/>
        <v/>
      </c>
      <c r="BC203" t="str">
        <f>IF(AZ203=1,IF(S203="","",IF(S203=N144,"Yes","No")),"")</f>
        <v/>
      </c>
      <c r="BD203" t="str">
        <f t="shared" si="40"/>
        <v/>
      </c>
      <c r="BE203" t="str">
        <f t="shared" si="41"/>
        <v/>
      </c>
      <c r="BF203" t="str">
        <f t="shared" si="42"/>
        <v>No</v>
      </c>
      <c r="BG203" t="str">
        <f t="shared" si="43"/>
        <v>No</v>
      </c>
      <c r="BH203" t="str">
        <f t="shared" si="44"/>
        <v/>
      </c>
    </row>
    <row r="204" spans="9:60" x14ac:dyDescent="0.3">
      <c r="I204" t="str">
        <f t="shared" si="46"/>
        <v>N/A</v>
      </c>
      <c r="J204" t="str">
        <f t="shared" si="47"/>
        <v>N/A</v>
      </c>
      <c r="K204" t="str">
        <f t="shared" si="48"/>
        <v>N/A</v>
      </c>
      <c r="L204" t="str">
        <f t="shared" si="49"/>
        <v>N/A</v>
      </c>
      <c r="M204" t="str">
        <f t="shared" si="50"/>
        <v>N/A</v>
      </c>
      <c r="N204" t="str">
        <f t="shared" si="51"/>
        <v>N/A</v>
      </c>
      <c r="P204">
        <f t="shared" si="27"/>
        <v>0</v>
      </c>
      <c r="Q204" t="str">
        <f>IFERROR(J144+MATCH(P204,J204:N204,0)-1,"")</f>
        <v/>
      </c>
      <c r="R204" t="str">
        <f t="shared" si="28"/>
        <v/>
      </c>
      <c r="S204" t="str">
        <f>IFERROR(J144+MATCH(R204,J204:N204,0)-1,"")</f>
        <v/>
      </c>
      <c r="T204" t="str">
        <f t="shared" si="29"/>
        <v/>
      </c>
      <c r="U204" t="str">
        <f t="shared" si="30"/>
        <v/>
      </c>
      <c r="V204" t="str">
        <f t="shared" si="31"/>
        <v/>
      </c>
      <c r="W204" t="str">
        <f t="shared" si="32"/>
        <v/>
      </c>
      <c r="X204" t="str">
        <f t="shared" si="33"/>
        <v/>
      </c>
      <c r="Y204" t="str">
        <f t="shared" si="34"/>
        <v/>
      </c>
      <c r="Z204" t="str">
        <f t="shared" si="35"/>
        <v/>
      </c>
      <c r="AA204">
        <f t="shared" si="36"/>
        <v>0</v>
      </c>
      <c r="AB204" t="str">
        <f>IFERROR(V144+MATCH(AA204,V204:Z204,0)-1,"")</f>
        <v/>
      </c>
      <c r="AC204" t="str">
        <f t="shared" si="37"/>
        <v/>
      </c>
      <c r="AE204" t="str">
        <f>IF(ISNUMBER(MATCH("N/A",J204:N204,0)),"",IFERROR((5 * SUMPRODUCT(J144:N144,J204:N204) - PRODUCT(SUM(J144:N144),SUM(J204:N204))) / ((5 * SUM((J144^2)+(K144^2)+(L144^2)+(M144^2)+(N144^2))) - SUM(J144:N144)^2),""))</f>
        <v/>
      </c>
      <c r="AF204" t="str">
        <f>IFERROR(CORREL(J144:N144,J204:N204),"")</f>
        <v/>
      </c>
      <c r="AZ204">
        <f t="shared" si="38"/>
        <v>0</v>
      </c>
      <c r="BA204" t="str">
        <f>IF(AZ204=1,IF(Q204="","",IF(Q204=N144,"Yes","No")),"")</f>
        <v/>
      </c>
      <c r="BB204" t="str">
        <f t="shared" si="39"/>
        <v/>
      </c>
      <c r="BC204" t="str">
        <f>IF(AZ204=1,IF(S204="","",IF(S204=N144,"Yes","No")),"")</f>
        <v/>
      </c>
      <c r="BD204" t="str">
        <f t="shared" si="40"/>
        <v/>
      </c>
      <c r="BE204" t="str">
        <f t="shared" si="41"/>
        <v/>
      </c>
      <c r="BF204" t="str">
        <f t="shared" si="42"/>
        <v>No</v>
      </c>
      <c r="BG204" t="str">
        <f t="shared" si="43"/>
        <v>No</v>
      </c>
      <c r="BH204" t="str">
        <f t="shared" si="44"/>
        <v/>
      </c>
    </row>
    <row r="205" spans="9:60" x14ac:dyDescent="0.3">
      <c r="P205">
        <f t="shared" si="27"/>
        <v>0</v>
      </c>
      <c r="Q205" t="str">
        <f>IFERROR(J144+MATCH(P205,J205:N205,0)-1,"")</f>
        <v/>
      </c>
      <c r="R205" t="str">
        <f t="shared" si="28"/>
        <v/>
      </c>
      <c r="S205" t="str">
        <f>IFERROR(J144+MATCH(R205,J205:N205,0)-1,"")</f>
        <v/>
      </c>
      <c r="T205" t="str">
        <f t="shared" si="29"/>
        <v/>
      </c>
      <c r="U205" t="str">
        <f t="shared" si="30"/>
        <v/>
      </c>
      <c r="V205" t="str">
        <f t="shared" si="31"/>
        <v/>
      </c>
      <c r="W205" t="str">
        <f t="shared" si="32"/>
        <v/>
      </c>
      <c r="X205" t="str">
        <f t="shared" si="33"/>
        <v/>
      </c>
      <c r="Y205" t="str">
        <f t="shared" si="34"/>
        <v/>
      </c>
      <c r="Z205" t="str">
        <f t="shared" si="35"/>
        <v/>
      </c>
      <c r="AA205">
        <f t="shared" si="36"/>
        <v>0</v>
      </c>
      <c r="AB205" t="str">
        <f>IFERROR(V144+MATCH(AA205,V205:Z205,0)-1,"")</f>
        <v/>
      </c>
      <c r="AC205" t="str">
        <f t="shared" si="37"/>
        <v/>
      </c>
      <c r="AE205" t="str">
        <f>IF(ISNUMBER(MATCH("N/A",J205:N205,0)),"",IFERROR((5 * SUMPRODUCT(J144:N144,J205:N205) - PRODUCT(SUM(J144:N144),SUM(J205:N205))) / ((5 * SUM((J144^2)+(K144^2)+(L144^2)+(M144^2)+(N144^2))) - SUM(J144:N144)^2),""))</f>
        <v/>
      </c>
      <c r="AF205" t="str">
        <f>IFERROR(CORREL(J144:N144,J205:N205),"")</f>
        <v/>
      </c>
      <c r="AZ205">
        <f t="shared" si="38"/>
        <v>0</v>
      </c>
      <c r="BA205" t="str">
        <f>IF(AZ205=1,IF(Q205="","",IF(Q205=N144,"Yes","No")),"")</f>
        <v/>
      </c>
      <c r="BB205" t="str">
        <f t="shared" si="39"/>
        <v/>
      </c>
      <c r="BC205" t="str">
        <f>IF(AZ205=1,IF(S205="","",IF(S205=N144,"Yes","No")),"")</f>
        <v/>
      </c>
      <c r="BD205" t="str">
        <f t="shared" si="40"/>
        <v/>
      </c>
      <c r="BE205" t="str">
        <f t="shared" si="41"/>
        <v/>
      </c>
      <c r="BF205" t="str">
        <f t="shared" si="42"/>
        <v>No</v>
      </c>
      <c r="BG205" t="str">
        <f t="shared" si="43"/>
        <v>No</v>
      </c>
      <c r="BH205" t="str">
        <f t="shared" si="44"/>
        <v/>
      </c>
    </row>
    <row r="206" spans="9:60" x14ac:dyDescent="0.3">
      <c r="I206" t="str">
        <f t="shared" ref="I206:I226" si="52">IF(AND(K206&gt; J206, L206&gt; K206, M206&gt; L206, N206&gt; M206), "pos_trend", IF(AND(K206&lt; J206, L206&lt; K206, M206&lt; L206, N206&lt; M206), "neg_trend", "N/A"))</f>
        <v>N/A</v>
      </c>
      <c r="J206" t="str">
        <f t="shared" ref="J206:J226" si="53">IFERROR(IF(TRIM(C206)="-", "N/A", IF(RIGHT(C206,1)=")",IF(RIGHT(C206,2)="T)",-1000000000000*VALUE(MID(C206,2,LEN(C206)-3)),IF(RIGHT(C206,2)="M)",-1000000*VALUE(MID(C206,2,LEN(C206)-3)),IF(RIGHT(C206,2)="B)",-1000000000*VALUE(MID(C206,2,LEN(C206)-3)),IF(RIGHT(C206,2)="k)",-1000*VALUE(MID(C206,2,LEN(C206)-3)),VALUE(SUBSTITUTE(C206,",","")))))),IF(RIGHT(C206,1)="T",1000000000000*VALUE(LEFT(C206,LEN(C206)-1)),IF(RIGHT(C206,1)="M",1000000*VALUE(LEFT(C206,LEN(C206)-1)),IF(RIGHT(C206,1)="B",1000000000*VALUE(LEFT(C206,LEN(C206)-1)),IF(RIGHT(C206,1)="%",0.01*VALUE(LEFT(C206,LEN(C206)-1)),IF(RIGHT(C206,1)="k",1000*VALUE(LEFT(C206,LEN(C206)-1)),VALUE(SUBSTITUTE(C206,",",""))))))))),"N/A")</f>
        <v>N/A</v>
      </c>
      <c r="K206" t="str">
        <f t="shared" ref="K206:K226" si="54">IFERROR(IF(TRIM(D206)="-", "N/A", IF(RIGHT(D206,1)=")",IF(RIGHT(D206,2)="T)",-1000000000000*VALUE(MID(D206,2,LEN(D206)-3)),IF(RIGHT(D206,2)="M)",-1000000*VALUE(MID(D206,2,LEN(D206)-3)),IF(RIGHT(D206,2)="B)",-1000000000*VALUE(MID(D206,2,LEN(D206)-3)),IF(RIGHT(D206,2)="k)",-1000*VALUE(MID(D206,2,LEN(D206)-3)),VALUE(SUBSTITUTE(D206,",","")))))),IF(RIGHT(D206,1)="T",1000000000000*VALUE(LEFT(D206,LEN(D206)-1)),IF(RIGHT(D206,1)="M",1000000*VALUE(LEFT(D206,LEN(D206)-1)),IF(RIGHT(D206,1)="B",1000000000*VALUE(LEFT(D206,LEN(D206)-1)),IF(RIGHT(D206,1)="%",0.01*VALUE(LEFT(D206,LEN(D206)-1)),IF(RIGHT(D206,1)="k",1000*VALUE(LEFT(D206,LEN(D206)-1)),VALUE(SUBSTITUTE(D206,",",""))))))))),"N/A")</f>
        <v>N/A</v>
      </c>
      <c r="L206" t="str">
        <f t="shared" ref="L206:L226" si="55">IFERROR(IF(TRIM(E206)="-", "N/A", IF(RIGHT(E206,1)=")",IF(RIGHT(E206,2)="T)",-1000000000000*VALUE(MID(E206,2,LEN(E206)-3)),IF(RIGHT(E206,2)="M)",-1000000*VALUE(MID(E206,2,LEN(E206)-3)),IF(RIGHT(E206,2)="B)",-1000000000*VALUE(MID(E206,2,LEN(E206)-3)),IF(RIGHT(E206,2)="k)",-1000*VALUE(MID(E206,2,LEN(E206)-3)),VALUE(SUBSTITUTE(E206,",","")))))),IF(RIGHT(E206,1)="T",1000000000000*VALUE(LEFT(E206,LEN(E206)-1)),IF(RIGHT(E206,1)="M",1000000*VALUE(LEFT(E206,LEN(E206)-1)),IF(RIGHT(E206,1)="B",1000000000*VALUE(LEFT(E206,LEN(E206)-1)),IF(RIGHT(E206,1)="%",0.01*VALUE(LEFT(E206,LEN(E206)-1)),IF(RIGHT(E206,1)="k",1000*VALUE(LEFT(E206,LEN(E206)-1)),VALUE(SUBSTITUTE(E206,",",""))))))))),"N/A")</f>
        <v>N/A</v>
      </c>
      <c r="M206" t="str">
        <f t="shared" ref="M206:M226" si="56">IFERROR(IF(TRIM(F206)="-", "N/A", IF(RIGHT(F206,1)=")",IF(RIGHT(F206,2)="T)",-1000000000000*VALUE(MID(F206,2,LEN(F206)-3)),IF(RIGHT(F206,2)="M)",-1000000*VALUE(MID(F206,2,LEN(F206)-3)),IF(RIGHT(F206,2)="B)",-1000000000*VALUE(MID(F206,2,LEN(F206)-3)),IF(RIGHT(F206,2)="k)",-1000*VALUE(MID(F206,2,LEN(F206)-3)),VALUE(SUBSTITUTE(F206,",","")))))),IF(RIGHT(F206,1)="T",1000000000000*VALUE(LEFT(F206,LEN(F206)-1)),IF(RIGHT(F206,1)="M",1000000*VALUE(LEFT(F206,LEN(F206)-1)),IF(RIGHT(F206,1)="B",1000000000*VALUE(LEFT(F206,LEN(F206)-1)),IF(RIGHT(F206,1)="%",0.01*VALUE(LEFT(F206,LEN(F206)-1)),IF(RIGHT(F206,1)="k",1000*VALUE(LEFT(F206,LEN(F206)-1)),VALUE(SUBSTITUTE(F206,",",""))))))))),"N/A")</f>
        <v>N/A</v>
      </c>
      <c r="N206" t="str">
        <f t="shared" ref="N206:N226" si="57">IFERROR(IF(TRIM(G206)="-", "N/A", IF(RIGHT(G206,1)=")",IF(RIGHT(G206,2)="T)",-1000000000000*VALUE(MID(G206,2,LEN(G206)-3)),IF(RIGHT(G206,2)="M)",-1000000*VALUE(MID(G206,2,LEN(G206)-3)),IF(RIGHT(G206,2)="B)",-1000000000*VALUE(MID(G206,2,LEN(G206)-3)),IF(RIGHT(G206,2)="k)",-1000*VALUE(MID(G206,2,LEN(G206)-3)),VALUE(SUBSTITUTE(G206,",","")))))),IF(RIGHT(G206,1)="T",1000000000000*VALUE(LEFT(G206,LEN(G206)-1)),IF(RIGHT(G206,1)="M",1000000*VALUE(LEFT(G206,LEN(G206)-1)),IF(RIGHT(G206,1)="B",1000000000*VALUE(LEFT(G206,LEN(G206)-1)),IF(RIGHT(G206,1)="%",0.01*VALUE(LEFT(G206,LEN(G206)-1)),IF(RIGHT(G206,1)="k",1000*VALUE(LEFT(G206,LEN(G206)-1)),VALUE(SUBSTITUTE(G206,",",""))))))))),"N/A")</f>
        <v>N/A</v>
      </c>
      <c r="P206">
        <f t="shared" si="27"/>
        <v>0</v>
      </c>
      <c r="Q206" t="str">
        <f>IFERROR(J144+MATCH(P206,J206:N206,0)-1,"")</f>
        <v/>
      </c>
      <c r="R206" t="str">
        <f t="shared" si="28"/>
        <v/>
      </c>
      <c r="S206" t="str">
        <f>IFERROR(J144+MATCH(R206,J206:N206,0)-1,"")</f>
        <v/>
      </c>
      <c r="T206" t="str">
        <f t="shared" si="29"/>
        <v/>
      </c>
      <c r="U206" t="str">
        <f t="shared" si="30"/>
        <v/>
      </c>
      <c r="V206" t="str">
        <f t="shared" si="31"/>
        <v/>
      </c>
      <c r="W206" t="str">
        <f t="shared" si="32"/>
        <v/>
      </c>
      <c r="X206" t="str">
        <f t="shared" si="33"/>
        <v/>
      </c>
      <c r="Y206" t="str">
        <f t="shared" si="34"/>
        <v/>
      </c>
      <c r="Z206" t="str">
        <f t="shared" si="35"/>
        <v/>
      </c>
      <c r="AA206">
        <f t="shared" si="36"/>
        <v>0</v>
      </c>
      <c r="AB206" t="str">
        <f>IFERROR(V144+MATCH(AA206,V206:Z206,0)-1,"")</f>
        <v/>
      </c>
      <c r="AC206" t="str">
        <f t="shared" si="37"/>
        <v/>
      </c>
      <c r="AE206" t="str">
        <f>IF(ISNUMBER(MATCH("N/A",J206:N206,0)),"",IFERROR((5 * SUMPRODUCT(J144:N144,J206:N206) - PRODUCT(SUM(J144:N144),SUM(J206:N206))) / ((5 * SUM((J144^2)+(K144^2)+(L144^2)+(M144^2)+(N144^2))) - SUM(J144:N144)^2),""))</f>
        <v/>
      </c>
      <c r="AF206" t="str">
        <f>IFERROR(CORREL(J144:N144,J206:N206),"")</f>
        <v/>
      </c>
      <c r="AZ206">
        <f t="shared" si="38"/>
        <v>0</v>
      </c>
      <c r="BA206" t="str">
        <f>IF(AZ206=1,IF(Q206="","",IF(Q206=N144,"Yes","No")),"")</f>
        <v/>
      </c>
      <c r="BB206" t="str">
        <f t="shared" si="39"/>
        <v/>
      </c>
      <c r="BC206" t="str">
        <f>IF(AZ206=1,IF(S206="","",IF(S206=N144,"Yes","No")),"")</f>
        <v/>
      </c>
      <c r="BD206" t="str">
        <f t="shared" si="40"/>
        <v/>
      </c>
      <c r="BE206" t="str">
        <f t="shared" si="41"/>
        <v/>
      </c>
      <c r="BF206" t="str">
        <f t="shared" si="42"/>
        <v>No</v>
      </c>
      <c r="BG206" t="str">
        <f t="shared" si="43"/>
        <v>No</v>
      </c>
      <c r="BH206" t="str">
        <f t="shared" si="44"/>
        <v/>
      </c>
    </row>
    <row r="207" spans="9:60" x14ac:dyDescent="0.3">
      <c r="I207" t="str">
        <f t="shared" si="52"/>
        <v>N/A</v>
      </c>
      <c r="J207" t="str">
        <f t="shared" si="53"/>
        <v>N/A</v>
      </c>
      <c r="K207" t="str">
        <f t="shared" si="54"/>
        <v>N/A</v>
      </c>
      <c r="L207" t="str">
        <f t="shared" si="55"/>
        <v>N/A</v>
      </c>
      <c r="M207" t="str">
        <f t="shared" si="56"/>
        <v>N/A</v>
      </c>
      <c r="N207" t="str">
        <f t="shared" si="57"/>
        <v>N/A</v>
      </c>
      <c r="P207">
        <f t="shared" si="27"/>
        <v>0</v>
      </c>
      <c r="Q207" t="str">
        <f>IFERROR(J144+MATCH(P207,J207:N207,0)-1,"")</f>
        <v/>
      </c>
      <c r="R207" t="str">
        <f t="shared" si="28"/>
        <v/>
      </c>
      <c r="S207" t="str">
        <f>IFERROR(J144+MATCH(R207,J207:N207,0)-1,"")</f>
        <v/>
      </c>
      <c r="T207" t="str">
        <f t="shared" si="29"/>
        <v/>
      </c>
      <c r="U207" t="str">
        <f t="shared" si="30"/>
        <v/>
      </c>
      <c r="V207" t="str">
        <f t="shared" si="31"/>
        <v/>
      </c>
      <c r="W207" t="str">
        <f t="shared" si="32"/>
        <v/>
      </c>
      <c r="X207" t="str">
        <f t="shared" si="33"/>
        <v/>
      </c>
      <c r="Y207" t="str">
        <f t="shared" si="34"/>
        <v/>
      </c>
      <c r="Z207" t="str">
        <f t="shared" si="35"/>
        <v/>
      </c>
      <c r="AA207">
        <f t="shared" si="36"/>
        <v>0</v>
      </c>
      <c r="AB207" t="str">
        <f>IFERROR(V144+MATCH(AA207,V207:Z207,0)-1,"")</f>
        <v/>
      </c>
      <c r="AC207" t="str">
        <f t="shared" si="37"/>
        <v/>
      </c>
      <c r="AE207" t="str">
        <f>IF(ISNUMBER(MATCH("N/A",J207:N207,0)),"",IFERROR((5 * SUMPRODUCT(J144:N144,J207:N207) - PRODUCT(SUM(J144:N144),SUM(J207:N207))) / ((5 * SUM((J144^2)+(K144^2)+(L144^2)+(M144^2)+(N144^2))) - SUM(J144:N144)^2),""))</f>
        <v/>
      </c>
      <c r="AF207" t="str">
        <f>IFERROR(CORREL(J144:N144,J207:N207),"")</f>
        <v/>
      </c>
      <c r="AZ207">
        <f t="shared" si="38"/>
        <v>0</v>
      </c>
      <c r="BA207" t="str">
        <f>IF(AZ207=1,IF(Q207="","",IF(Q207=N144,"Yes","No")),"")</f>
        <v/>
      </c>
      <c r="BB207" t="str">
        <f t="shared" si="39"/>
        <v/>
      </c>
      <c r="BC207" t="str">
        <f>IF(AZ207=1,IF(S207="","",IF(S207=N144,"Yes","No")),"")</f>
        <v/>
      </c>
      <c r="BD207" t="str">
        <f t="shared" si="40"/>
        <v/>
      </c>
      <c r="BE207" t="str">
        <f t="shared" si="41"/>
        <v/>
      </c>
      <c r="BF207" t="str">
        <f t="shared" si="42"/>
        <v>No</v>
      </c>
      <c r="BG207" t="str">
        <f t="shared" si="43"/>
        <v>No</v>
      </c>
      <c r="BH207" t="str">
        <f t="shared" si="44"/>
        <v/>
      </c>
    </row>
    <row r="208" spans="9:60" x14ac:dyDescent="0.3">
      <c r="I208" t="str">
        <f t="shared" si="52"/>
        <v>N/A</v>
      </c>
      <c r="J208" t="str">
        <f t="shared" si="53"/>
        <v>N/A</v>
      </c>
      <c r="K208" t="str">
        <f t="shared" si="54"/>
        <v>N/A</v>
      </c>
      <c r="L208" t="str">
        <f t="shared" si="55"/>
        <v>N/A</v>
      </c>
      <c r="M208" t="str">
        <f t="shared" si="56"/>
        <v>N/A</v>
      </c>
      <c r="N208" t="str">
        <f t="shared" si="57"/>
        <v>N/A</v>
      </c>
      <c r="P208">
        <f t="shared" si="27"/>
        <v>0</v>
      </c>
      <c r="Q208" t="str">
        <f>IFERROR(J144+MATCH(P208,J208:N208,0)-1,"")</f>
        <v/>
      </c>
      <c r="R208" t="str">
        <f t="shared" si="28"/>
        <v/>
      </c>
      <c r="S208" t="str">
        <f>IFERROR(J144+MATCH(R208,J208:N208,0)-1,"")</f>
        <v/>
      </c>
      <c r="T208" t="str">
        <f t="shared" si="29"/>
        <v/>
      </c>
      <c r="U208" t="str">
        <f t="shared" si="30"/>
        <v/>
      </c>
      <c r="V208" t="str">
        <f t="shared" si="31"/>
        <v/>
      </c>
      <c r="W208" t="str">
        <f t="shared" si="32"/>
        <v/>
      </c>
      <c r="X208" t="str">
        <f t="shared" si="33"/>
        <v/>
      </c>
      <c r="Y208" t="str">
        <f t="shared" si="34"/>
        <v/>
      </c>
      <c r="Z208" t="str">
        <f t="shared" si="35"/>
        <v/>
      </c>
      <c r="AA208">
        <f t="shared" si="36"/>
        <v>0</v>
      </c>
      <c r="AB208" t="str">
        <f>IFERROR(V144+MATCH(AA208,V208:Z208,0)-1,"")</f>
        <v/>
      </c>
      <c r="AC208" t="str">
        <f t="shared" si="37"/>
        <v/>
      </c>
      <c r="AE208" t="str">
        <f>IF(ISNUMBER(MATCH("N/A",J208:N208,0)),"",IFERROR((5 * SUMPRODUCT(J144:N144,J208:N208) - PRODUCT(SUM(J144:N144),SUM(J208:N208))) / ((5 * SUM((J144^2)+(K144^2)+(L144^2)+(M144^2)+(N144^2))) - SUM(J144:N144)^2),""))</f>
        <v/>
      </c>
      <c r="AF208" t="str">
        <f>IFERROR(CORREL(J144:N144,J208:N208),"")</f>
        <v/>
      </c>
      <c r="AZ208">
        <f t="shared" si="38"/>
        <v>0</v>
      </c>
      <c r="BA208" t="str">
        <f>IF(AZ208=1,IF(Q208="","",IF(Q208=N144,"Yes","No")),"")</f>
        <v/>
      </c>
      <c r="BB208" t="str">
        <f t="shared" si="39"/>
        <v/>
      </c>
      <c r="BC208" t="str">
        <f>IF(AZ208=1,IF(S208="","",IF(S208=N144,"Yes","No")),"")</f>
        <v/>
      </c>
      <c r="BD208" t="str">
        <f t="shared" si="40"/>
        <v/>
      </c>
      <c r="BE208" t="str">
        <f t="shared" si="41"/>
        <v/>
      </c>
      <c r="BF208" t="str">
        <f t="shared" si="42"/>
        <v>No</v>
      </c>
      <c r="BG208" t="str">
        <f t="shared" si="43"/>
        <v>No</v>
      </c>
      <c r="BH208" t="str">
        <f t="shared" si="44"/>
        <v/>
      </c>
    </row>
    <row r="209" spans="9:60" x14ac:dyDescent="0.3">
      <c r="I209" t="str">
        <f t="shared" si="52"/>
        <v>N/A</v>
      </c>
      <c r="J209" t="str">
        <f t="shared" si="53"/>
        <v>N/A</v>
      </c>
      <c r="K209" t="str">
        <f t="shared" si="54"/>
        <v>N/A</v>
      </c>
      <c r="L209" t="str">
        <f t="shared" si="55"/>
        <v>N/A</v>
      </c>
      <c r="M209" t="str">
        <f t="shared" si="56"/>
        <v>N/A</v>
      </c>
      <c r="N209" t="str">
        <f t="shared" si="57"/>
        <v>N/A</v>
      </c>
      <c r="P209">
        <f t="shared" ref="P209:P272" si="58">MAX(J209:N209)</f>
        <v>0</v>
      </c>
      <c r="Q209" t="str">
        <f>IFERROR(J144+MATCH(P209,J209:N209,0)-1,"")</f>
        <v/>
      </c>
      <c r="R209" t="str">
        <f t="shared" ref="R209:R272" si="59">IF(Q209="","",MIN(J209:N209))</f>
        <v/>
      </c>
      <c r="S209" t="str">
        <f>IFERROR(J144+MATCH(R209,J209:N209,0)-1,"")</f>
        <v/>
      </c>
      <c r="T209" t="str">
        <f t="shared" ref="T209:T272" si="60">IFERROR(AVERAGE(J209:N209),"")</f>
        <v/>
      </c>
      <c r="U209" t="str">
        <f t="shared" ref="U209:U272" si="61">IFERROR(STDEV(J209:N209),"")</f>
        <v/>
      </c>
      <c r="V209" t="str">
        <f t="shared" ref="V209:V272" si="62">IFERROR(IF(C209="-","",IF(ISBLANK(B209),"",IF(OR(ISNUMBER(FIND("Growth",B209)),ISNUMBER(FIND("Margin",B209))),"",(J209-T209)/U209))),"")</f>
        <v/>
      </c>
      <c r="W209" t="str">
        <f t="shared" ref="W209:W272" si="63">IFERROR(IF(OR(D209="-",ISBLANK(D209)),"",(K209-T209)/U209),"")</f>
        <v/>
      </c>
      <c r="X209" t="str">
        <f t="shared" ref="X209:X272" si="64">IFERROR(IF(OR(E209="-",ISBLANK(E209)),"",(L209-T209)/U209),"")</f>
        <v/>
      </c>
      <c r="Y209" t="str">
        <f t="shared" ref="Y209:Y272" si="65">IFERROR(IF(OR(F209="-",ISBLANK(F209)),"",(M209-T209)/U209),"")</f>
        <v/>
      </c>
      <c r="Z209" t="str">
        <f t="shared" ref="Z209:Z272" si="66">IFERROR(IF(OR(G209="-",ISBLANK(G209)),"",(N209-T209)/U209),"")</f>
        <v/>
      </c>
      <c r="AA209">
        <f t="shared" ref="AA209:AA272" si="67">IF(MAX(MAX(V209:Z209),ABS(MIN(V209:Z209)))=ABS(MIN(V209:Z209)),MIN(V209:Z209),MAX(V209:Z209))</f>
        <v>0</v>
      </c>
      <c r="AB209" t="str">
        <f>IFERROR(V144+MATCH(AA209,V209:Z209,0)-1,"")</f>
        <v/>
      </c>
      <c r="AC209" t="str">
        <f t="shared" ref="AC209:AC272" si="68">IF(AB209&lt;&gt;"",IF(S209=AB209,"Low",IF(AB209=Q209,"High","")),"")</f>
        <v/>
      </c>
      <c r="AE209" t="str">
        <f>IF(ISNUMBER(MATCH("N/A",J209:N209,0)),"",IFERROR((5 * SUMPRODUCT(J144:N144,J209:N209) - PRODUCT(SUM(J144:N144),SUM(J209:N209))) / ((5 * SUM((J144^2)+(K144^2)+(L144^2)+(M144^2)+(N144^2))) - SUM(J144:N144)^2),""))</f>
        <v/>
      </c>
      <c r="AF209" t="str">
        <f>IFERROR(CORREL(J144:N144,J209:N209),"")</f>
        <v/>
      </c>
      <c r="AZ209">
        <f t="shared" ref="AZ209:AZ272" si="69">IF(Q209=S209,0,1)</f>
        <v>0</v>
      </c>
      <c r="BA209" t="str">
        <f>IF(AZ209=1,IF(Q209="","",IF(Q209=N144,"Yes","No")),"")</f>
        <v/>
      </c>
      <c r="BB209" t="str">
        <f t="shared" ref="BB209:BB272" si="70">IF(BA209="Yes",P209,"")</f>
        <v/>
      </c>
      <c r="BC209" t="str">
        <f>IF(AZ209=1,IF(S209="","",IF(S209=N144,"Yes","No")),"")</f>
        <v/>
      </c>
      <c r="BD209" t="str">
        <f t="shared" ref="BD209:BD272" si="71">IF(BC209="Yes",R209,"")</f>
        <v/>
      </c>
      <c r="BE209" t="str">
        <f t="shared" ref="BE209:BE272" si="72">IFERROR(IF(SIGN(AE209)=1,"Increasing",IF(SIGN(AE209)=-1,"Decreasing","")),"")</f>
        <v/>
      </c>
      <c r="BF209" t="str">
        <f t="shared" ref="BF209:BF272" si="73">IF(OR(AND(BE209="Increasing",BA209="Yes"),AND(BE209="Decreasing",BC209="Yes")),"Yes","No")</f>
        <v>No</v>
      </c>
      <c r="BG209" t="str">
        <f t="shared" ref="BG209:BG272" si="74">IF(I209="pos_trend","Yes","No")</f>
        <v>No</v>
      </c>
      <c r="BH209" t="str">
        <f t="shared" ref="BH209:BH272" si="75">IF(AF209&lt;&gt;"",IF(ABS(AF209)&gt;0.8,"Yes","No"),"")</f>
        <v/>
      </c>
    </row>
    <row r="210" spans="9:60" x14ac:dyDescent="0.3">
      <c r="I210" t="str">
        <f t="shared" si="52"/>
        <v>N/A</v>
      </c>
      <c r="J210" t="str">
        <f t="shared" si="53"/>
        <v>N/A</v>
      </c>
      <c r="K210" t="str">
        <f t="shared" si="54"/>
        <v>N/A</v>
      </c>
      <c r="L210" t="str">
        <f t="shared" si="55"/>
        <v>N/A</v>
      </c>
      <c r="M210" t="str">
        <f t="shared" si="56"/>
        <v>N/A</v>
      </c>
      <c r="N210" t="str">
        <f t="shared" si="57"/>
        <v>N/A</v>
      </c>
      <c r="P210">
        <f t="shared" si="58"/>
        <v>0</v>
      </c>
      <c r="Q210" t="str">
        <f>IFERROR(J144+MATCH(P210,J210:N210,0)-1,"")</f>
        <v/>
      </c>
      <c r="R210" t="str">
        <f t="shared" si="59"/>
        <v/>
      </c>
      <c r="S210" t="str">
        <f>IFERROR(J144+MATCH(R210,J210:N210,0)-1,"")</f>
        <v/>
      </c>
      <c r="T210" t="str">
        <f t="shared" si="60"/>
        <v/>
      </c>
      <c r="U210" t="str">
        <f t="shared" si="61"/>
        <v/>
      </c>
      <c r="V210" t="str">
        <f t="shared" si="62"/>
        <v/>
      </c>
      <c r="W210" t="str">
        <f t="shared" si="63"/>
        <v/>
      </c>
      <c r="X210" t="str">
        <f t="shared" si="64"/>
        <v/>
      </c>
      <c r="Y210" t="str">
        <f t="shared" si="65"/>
        <v/>
      </c>
      <c r="Z210" t="str">
        <f t="shared" si="66"/>
        <v/>
      </c>
      <c r="AA210">
        <f t="shared" si="67"/>
        <v>0</v>
      </c>
      <c r="AB210" t="str">
        <f>IFERROR(V144+MATCH(AA210,V210:Z210,0)-1,"")</f>
        <v/>
      </c>
      <c r="AC210" t="str">
        <f t="shared" si="68"/>
        <v/>
      </c>
      <c r="AE210" t="str">
        <f>IF(ISNUMBER(MATCH("N/A",J210:N210,0)),"",IFERROR((5 * SUMPRODUCT(J144:N144,J210:N210) - PRODUCT(SUM(J144:N144),SUM(J210:N210))) / ((5 * SUM((J144^2)+(K144^2)+(L144^2)+(M144^2)+(N144^2))) - SUM(J144:N144)^2),""))</f>
        <v/>
      </c>
      <c r="AF210" t="str">
        <f>IFERROR(CORREL(J144:N144,J210:N210),"")</f>
        <v/>
      </c>
      <c r="AZ210">
        <f t="shared" si="69"/>
        <v>0</v>
      </c>
      <c r="BA210" t="str">
        <f>IF(AZ210=1,IF(Q210="","",IF(Q210=N144,"Yes","No")),"")</f>
        <v/>
      </c>
      <c r="BB210" t="str">
        <f t="shared" si="70"/>
        <v/>
      </c>
      <c r="BC210" t="str">
        <f>IF(AZ210=1,IF(S210="","",IF(S210=N144,"Yes","No")),"")</f>
        <v/>
      </c>
      <c r="BD210" t="str">
        <f t="shared" si="71"/>
        <v/>
      </c>
      <c r="BE210" t="str">
        <f t="shared" si="72"/>
        <v/>
      </c>
      <c r="BF210" t="str">
        <f t="shared" si="73"/>
        <v>No</v>
      </c>
      <c r="BG210" t="str">
        <f t="shared" si="74"/>
        <v>No</v>
      </c>
      <c r="BH210" t="str">
        <f t="shared" si="75"/>
        <v/>
      </c>
    </row>
    <row r="211" spans="9:60" x14ac:dyDescent="0.3">
      <c r="I211" t="str">
        <f t="shared" si="52"/>
        <v>N/A</v>
      </c>
      <c r="J211" t="str">
        <f t="shared" si="53"/>
        <v>N/A</v>
      </c>
      <c r="K211" t="str">
        <f t="shared" si="54"/>
        <v>N/A</v>
      </c>
      <c r="L211" t="str">
        <f t="shared" si="55"/>
        <v>N/A</v>
      </c>
      <c r="M211" t="str">
        <f t="shared" si="56"/>
        <v>N/A</v>
      </c>
      <c r="N211" t="str">
        <f t="shared" si="57"/>
        <v>N/A</v>
      </c>
      <c r="P211">
        <f t="shared" si="58"/>
        <v>0</v>
      </c>
      <c r="Q211" t="str">
        <f>IFERROR(J144+MATCH(P211,J211:N211,0)-1,"")</f>
        <v/>
      </c>
      <c r="R211" t="str">
        <f t="shared" si="59"/>
        <v/>
      </c>
      <c r="S211" t="str">
        <f>IFERROR(J144+MATCH(R211,J211:N211,0)-1,"")</f>
        <v/>
      </c>
      <c r="T211" t="str">
        <f t="shared" si="60"/>
        <v/>
      </c>
      <c r="U211" t="str">
        <f t="shared" si="61"/>
        <v/>
      </c>
      <c r="V211" t="str">
        <f t="shared" si="62"/>
        <v/>
      </c>
      <c r="W211" t="str">
        <f t="shared" si="63"/>
        <v/>
      </c>
      <c r="X211" t="str">
        <f t="shared" si="64"/>
        <v/>
      </c>
      <c r="Y211" t="str">
        <f t="shared" si="65"/>
        <v/>
      </c>
      <c r="Z211" t="str">
        <f t="shared" si="66"/>
        <v/>
      </c>
      <c r="AA211">
        <f t="shared" si="67"/>
        <v>0</v>
      </c>
      <c r="AB211" t="str">
        <f>IFERROR(V144+MATCH(AA211,V211:Z211,0)-1,"")</f>
        <v/>
      </c>
      <c r="AC211" t="str">
        <f t="shared" si="68"/>
        <v/>
      </c>
      <c r="AE211" t="str">
        <f>IF(ISNUMBER(MATCH("N/A",J211:N211,0)),"",IFERROR((5 * SUMPRODUCT(J144:N144,J211:N211) - PRODUCT(SUM(J144:N144),SUM(J211:N211))) / ((5 * SUM((J144^2)+(K144^2)+(L144^2)+(M144^2)+(N144^2))) - SUM(J144:N144)^2),""))</f>
        <v/>
      </c>
      <c r="AF211" t="str">
        <f>IFERROR(CORREL(J144:N144,J211:N211),"")</f>
        <v/>
      </c>
      <c r="AZ211">
        <f t="shared" si="69"/>
        <v>0</v>
      </c>
      <c r="BA211" t="str">
        <f>IF(AZ211=1,IF(Q211="","",IF(Q211=N144,"Yes","No")),"")</f>
        <v/>
      </c>
      <c r="BB211" t="str">
        <f t="shared" si="70"/>
        <v/>
      </c>
      <c r="BC211" t="str">
        <f>IF(AZ211=1,IF(S211="","",IF(S211=N144,"Yes","No")),"")</f>
        <v/>
      </c>
      <c r="BD211" t="str">
        <f t="shared" si="71"/>
        <v/>
      </c>
      <c r="BE211" t="str">
        <f t="shared" si="72"/>
        <v/>
      </c>
      <c r="BF211" t="str">
        <f t="shared" si="73"/>
        <v>No</v>
      </c>
      <c r="BG211" t="str">
        <f t="shared" si="74"/>
        <v>No</v>
      </c>
      <c r="BH211" t="str">
        <f t="shared" si="75"/>
        <v/>
      </c>
    </row>
    <row r="212" spans="9:60" x14ac:dyDescent="0.3">
      <c r="I212" t="str">
        <f t="shared" si="52"/>
        <v>N/A</v>
      </c>
      <c r="J212" t="str">
        <f t="shared" si="53"/>
        <v>N/A</v>
      </c>
      <c r="K212" t="str">
        <f t="shared" si="54"/>
        <v>N/A</v>
      </c>
      <c r="L212" t="str">
        <f t="shared" si="55"/>
        <v>N/A</v>
      </c>
      <c r="M212" t="str">
        <f t="shared" si="56"/>
        <v>N/A</v>
      </c>
      <c r="N212" t="str">
        <f t="shared" si="57"/>
        <v>N/A</v>
      </c>
      <c r="P212">
        <f t="shared" si="58"/>
        <v>0</v>
      </c>
      <c r="Q212" t="str">
        <f>IFERROR(J144+MATCH(P212,J212:N212,0)-1,"")</f>
        <v/>
      </c>
      <c r="R212" t="str">
        <f t="shared" si="59"/>
        <v/>
      </c>
      <c r="S212" t="str">
        <f>IFERROR(J144+MATCH(R212,J212:N212,0)-1,"")</f>
        <v/>
      </c>
      <c r="T212" t="str">
        <f t="shared" si="60"/>
        <v/>
      </c>
      <c r="U212" t="str">
        <f t="shared" si="61"/>
        <v/>
      </c>
      <c r="V212" t="str">
        <f t="shared" si="62"/>
        <v/>
      </c>
      <c r="W212" t="str">
        <f t="shared" si="63"/>
        <v/>
      </c>
      <c r="X212" t="str">
        <f t="shared" si="64"/>
        <v/>
      </c>
      <c r="Y212" t="str">
        <f t="shared" si="65"/>
        <v/>
      </c>
      <c r="Z212" t="str">
        <f t="shared" si="66"/>
        <v/>
      </c>
      <c r="AA212">
        <f t="shared" si="67"/>
        <v>0</v>
      </c>
      <c r="AB212" t="str">
        <f>IFERROR(V144+MATCH(AA212,V212:Z212,0)-1,"")</f>
        <v/>
      </c>
      <c r="AC212" t="str">
        <f t="shared" si="68"/>
        <v/>
      </c>
      <c r="AE212" t="str">
        <f>IF(ISNUMBER(MATCH("N/A",J212:N212,0)),"",IFERROR((5 * SUMPRODUCT(J144:N144,J212:N212) - PRODUCT(SUM(J144:N144),SUM(J212:N212))) / ((5 * SUM((J144^2)+(K144^2)+(L144^2)+(M144^2)+(N144^2))) - SUM(J144:N144)^2),""))</f>
        <v/>
      </c>
      <c r="AF212" t="str">
        <f>IFERROR(CORREL(J144:N144,J212:N212),"")</f>
        <v/>
      </c>
      <c r="AZ212">
        <f t="shared" si="69"/>
        <v>0</v>
      </c>
      <c r="BA212" t="str">
        <f>IF(AZ212=1,IF(Q212="","",IF(Q212=N144,"Yes","No")),"")</f>
        <v/>
      </c>
      <c r="BB212" t="str">
        <f t="shared" si="70"/>
        <v/>
      </c>
      <c r="BC212" t="str">
        <f>IF(AZ212=1,IF(S212="","",IF(S212=N144,"Yes","No")),"")</f>
        <v/>
      </c>
      <c r="BD212" t="str">
        <f t="shared" si="71"/>
        <v/>
      </c>
      <c r="BE212" t="str">
        <f t="shared" si="72"/>
        <v/>
      </c>
      <c r="BF212" t="str">
        <f t="shared" si="73"/>
        <v>No</v>
      </c>
      <c r="BG212" t="str">
        <f t="shared" si="74"/>
        <v>No</v>
      </c>
      <c r="BH212" t="str">
        <f t="shared" si="75"/>
        <v/>
      </c>
    </row>
    <row r="213" spans="9:60" x14ac:dyDescent="0.3">
      <c r="I213" t="str">
        <f t="shared" si="52"/>
        <v>N/A</v>
      </c>
      <c r="J213" t="str">
        <f t="shared" si="53"/>
        <v>N/A</v>
      </c>
      <c r="K213" t="str">
        <f t="shared" si="54"/>
        <v>N/A</v>
      </c>
      <c r="L213" t="str">
        <f t="shared" si="55"/>
        <v>N/A</v>
      </c>
      <c r="M213" t="str">
        <f t="shared" si="56"/>
        <v>N/A</v>
      </c>
      <c r="N213" t="str">
        <f t="shared" si="57"/>
        <v>N/A</v>
      </c>
      <c r="P213">
        <f t="shared" si="58"/>
        <v>0</v>
      </c>
      <c r="Q213" t="str">
        <f>IFERROR(J144+MATCH(P213,J213:N213,0)-1,"")</f>
        <v/>
      </c>
      <c r="R213" t="str">
        <f t="shared" si="59"/>
        <v/>
      </c>
      <c r="S213" t="str">
        <f>IFERROR(J144+MATCH(R213,J213:N213,0)-1,"")</f>
        <v/>
      </c>
      <c r="T213" t="str">
        <f t="shared" si="60"/>
        <v/>
      </c>
      <c r="U213" t="str">
        <f t="shared" si="61"/>
        <v/>
      </c>
      <c r="V213" t="str">
        <f t="shared" si="62"/>
        <v/>
      </c>
      <c r="W213" t="str">
        <f t="shared" si="63"/>
        <v/>
      </c>
      <c r="X213" t="str">
        <f t="shared" si="64"/>
        <v/>
      </c>
      <c r="Y213" t="str">
        <f t="shared" si="65"/>
        <v/>
      </c>
      <c r="Z213" t="str">
        <f t="shared" si="66"/>
        <v/>
      </c>
      <c r="AA213">
        <f t="shared" si="67"/>
        <v>0</v>
      </c>
      <c r="AB213" t="str">
        <f>IFERROR(V144+MATCH(AA213,V213:Z213,0)-1,"")</f>
        <v/>
      </c>
      <c r="AC213" t="str">
        <f t="shared" si="68"/>
        <v/>
      </c>
      <c r="AE213" t="str">
        <f>IF(ISNUMBER(MATCH("N/A",J213:N213,0)),"",IFERROR((5 * SUMPRODUCT(J144:N144,J213:N213) - PRODUCT(SUM(J144:N144),SUM(J213:N213))) / ((5 * SUM((J144^2)+(K144^2)+(L144^2)+(M144^2)+(N144^2))) - SUM(J144:N144)^2),""))</f>
        <v/>
      </c>
      <c r="AF213" t="str">
        <f>IFERROR(CORREL(J144:N144,J213:N213),"")</f>
        <v/>
      </c>
      <c r="AZ213">
        <f t="shared" si="69"/>
        <v>0</v>
      </c>
      <c r="BA213" t="str">
        <f>IF(AZ213=1,IF(Q213="","",IF(Q213=N144,"Yes","No")),"")</f>
        <v/>
      </c>
      <c r="BB213" t="str">
        <f t="shared" si="70"/>
        <v/>
      </c>
      <c r="BC213" t="str">
        <f>IF(AZ213=1,IF(S213="","",IF(S213=N144,"Yes","No")),"")</f>
        <v/>
      </c>
      <c r="BD213" t="str">
        <f t="shared" si="71"/>
        <v/>
      </c>
      <c r="BE213" t="str">
        <f t="shared" si="72"/>
        <v/>
      </c>
      <c r="BF213" t="str">
        <f t="shared" si="73"/>
        <v>No</v>
      </c>
      <c r="BG213" t="str">
        <f t="shared" si="74"/>
        <v>No</v>
      </c>
      <c r="BH213" t="str">
        <f t="shared" si="75"/>
        <v/>
      </c>
    </row>
    <row r="214" spans="9:60" x14ac:dyDescent="0.3">
      <c r="I214" t="str">
        <f t="shared" si="52"/>
        <v>N/A</v>
      </c>
      <c r="J214" t="str">
        <f t="shared" si="53"/>
        <v>N/A</v>
      </c>
      <c r="K214" t="str">
        <f t="shared" si="54"/>
        <v>N/A</v>
      </c>
      <c r="L214" t="str">
        <f t="shared" si="55"/>
        <v>N/A</v>
      </c>
      <c r="M214" t="str">
        <f t="shared" si="56"/>
        <v>N/A</v>
      </c>
      <c r="N214" t="str">
        <f t="shared" si="57"/>
        <v>N/A</v>
      </c>
      <c r="P214">
        <f t="shared" si="58"/>
        <v>0</v>
      </c>
      <c r="Q214" t="str">
        <f>IFERROR(J144+MATCH(P214,J214:N214,0)-1,"")</f>
        <v/>
      </c>
      <c r="R214" t="str">
        <f t="shared" si="59"/>
        <v/>
      </c>
      <c r="S214" t="str">
        <f>IFERROR(J144+MATCH(R214,J214:N214,0)-1,"")</f>
        <v/>
      </c>
      <c r="T214" t="str">
        <f t="shared" si="60"/>
        <v/>
      </c>
      <c r="U214" t="str">
        <f t="shared" si="61"/>
        <v/>
      </c>
      <c r="V214" t="str">
        <f t="shared" si="62"/>
        <v/>
      </c>
      <c r="W214" t="str">
        <f t="shared" si="63"/>
        <v/>
      </c>
      <c r="X214" t="str">
        <f t="shared" si="64"/>
        <v/>
      </c>
      <c r="Y214" t="str">
        <f t="shared" si="65"/>
        <v/>
      </c>
      <c r="Z214" t="str">
        <f t="shared" si="66"/>
        <v/>
      </c>
      <c r="AA214">
        <f t="shared" si="67"/>
        <v>0</v>
      </c>
      <c r="AB214" t="str">
        <f>IFERROR(V144+MATCH(AA214,V214:Z214,0)-1,"")</f>
        <v/>
      </c>
      <c r="AC214" t="str">
        <f t="shared" si="68"/>
        <v/>
      </c>
      <c r="AE214" t="str">
        <f>IF(ISNUMBER(MATCH("N/A",J214:N214,0)),"",IFERROR((5 * SUMPRODUCT(J144:N144,J214:N214) - PRODUCT(SUM(J144:N144),SUM(J214:N214))) / ((5 * SUM((J144^2)+(K144^2)+(L144^2)+(M144^2)+(N144^2))) - SUM(J144:N144)^2),""))</f>
        <v/>
      </c>
      <c r="AF214" t="str">
        <f>IFERROR(CORREL(J144:N144,J214:N214),"")</f>
        <v/>
      </c>
      <c r="AZ214">
        <f t="shared" si="69"/>
        <v>0</v>
      </c>
      <c r="BA214" t="str">
        <f>IF(AZ214=1,IF(Q214="","",IF(Q214=N144,"Yes","No")),"")</f>
        <v/>
      </c>
      <c r="BB214" t="str">
        <f t="shared" si="70"/>
        <v/>
      </c>
      <c r="BC214" t="str">
        <f>IF(AZ214=1,IF(S214="","",IF(S214=N144,"Yes","No")),"")</f>
        <v/>
      </c>
      <c r="BD214" t="str">
        <f t="shared" si="71"/>
        <v/>
      </c>
      <c r="BE214" t="str">
        <f t="shared" si="72"/>
        <v/>
      </c>
      <c r="BF214" t="str">
        <f t="shared" si="73"/>
        <v>No</v>
      </c>
      <c r="BG214" t="str">
        <f t="shared" si="74"/>
        <v>No</v>
      </c>
      <c r="BH214" t="str">
        <f t="shared" si="75"/>
        <v/>
      </c>
    </row>
    <row r="215" spans="9:60" x14ac:dyDescent="0.3">
      <c r="I215" t="str">
        <f t="shared" si="52"/>
        <v>N/A</v>
      </c>
      <c r="J215" t="str">
        <f t="shared" si="53"/>
        <v>N/A</v>
      </c>
      <c r="K215" t="str">
        <f t="shared" si="54"/>
        <v>N/A</v>
      </c>
      <c r="L215" t="str">
        <f t="shared" si="55"/>
        <v>N/A</v>
      </c>
      <c r="M215" t="str">
        <f t="shared" si="56"/>
        <v>N/A</v>
      </c>
      <c r="N215" t="str">
        <f t="shared" si="57"/>
        <v>N/A</v>
      </c>
      <c r="P215">
        <f t="shared" si="58"/>
        <v>0</v>
      </c>
      <c r="Q215" t="str">
        <f>IFERROR(J144+MATCH(P215,J215:N215,0)-1,"")</f>
        <v/>
      </c>
      <c r="R215" t="str">
        <f t="shared" si="59"/>
        <v/>
      </c>
      <c r="S215" t="str">
        <f>IFERROR(J144+MATCH(R215,J215:N215,0)-1,"")</f>
        <v/>
      </c>
      <c r="T215" t="str">
        <f t="shared" si="60"/>
        <v/>
      </c>
      <c r="U215" t="str">
        <f t="shared" si="61"/>
        <v/>
      </c>
      <c r="V215" t="str">
        <f t="shared" si="62"/>
        <v/>
      </c>
      <c r="W215" t="str">
        <f t="shared" si="63"/>
        <v/>
      </c>
      <c r="X215" t="str">
        <f t="shared" si="64"/>
        <v/>
      </c>
      <c r="Y215" t="str">
        <f t="shared" si="65"/>
        <v/>
      </c>
      <c r="Z215" t="str">
        <f t="shared" si="66"/>
        <v/>
      </c>
      <c r="AA215">
        <f t="shared" si="67"/>
        <v>0</v>
      </c>
      <c r="AB215" t="str">
        <f>IFERROR(V144+MATCH(AA215,V215:Z215,0)-1,"")</f>
        <v/>
      </c>
      <c r="AC215" t="str">
        <f t="shared" si="68"/>
        <v/>
      </c>
      <c r="AE215" t="str">
        <f>IF(ISNUMBER(MATCH("N/A",J215:N215,0)),"",IFERROR((5 * SUMPRODUCT(J144:N144,J215:N215) - PRODUCT(SUM(J144:N144),SUM(J215:N215))) / ((5 * SUM((J144^2)+(K144^2)+(L144^2)+(M144^2)+(N144^2))) - SUM(J144:N144)^2),""))</f>
        <v/>
      </c>
      <c r="AF215" t="str">
        <f>IFERROR(CORREL(J144:N144,J215:N215),"")</f>
        <v/>
      </c>
      <c r="AZ215">
        <f t="shared" si="69"/>
        <v>0</v>
      </c>
      <c r="BA215" t="str">
        <f>IF(AZ215=1,IF(Q215="","",IF(Q215=N144,"Yes","No")),"")</f>
        <v/>
      </c>
      <c r="BB215" t="str">
        <f t="shared" si="70"/>
        <v/>
      </c>
      <c r="BC215" t="str">
        <f>IF(AZ215=1,IF(S215="","",IF(S215=N144,"Yes","No")),"")</f>
        <v/>
      </c>
      <c r="BD215" t="str">
        <f t="shared" si="71"/>
        <v/>
      </c>
      <c r="BE215" t="str">
        <f t="shared" si="72"/>
        <v/>
      </c>
      <c r="BF215" t="str">
        <f t="shared" si="73"/>
        <v>No</v>
      </c>
      <c r="BG215" t="str">
        <f t="shared" si="74"/>
        <v>No</v>
      </c>
      <c r="BH215" t="str">
        <f t="shared" si="75"/>
        <v/>
      </c>
    </row>
    <row r="216" spans="9:60" x14ac:dyDescent="0.3">
      <c r="I216" t="str">
        <f t="shared" si="52"/>
        <v>N/A</v>
      </c>
      <c r="J216" t="str">
        <f t="shared" si="53"/>
        <v>N/A</v>
      </c>
      <c r="K216" t="str">
        <f t="shared" si="54"/>
        <v>N/A</v>
      </c>
      <c r="L216" t="str">
        <f t="shared" si="55"/>
        <v>N/A</v>
      </c>
      <c r="M216" t="str">
        <f t="shared" si="56"/>
        <v>N/A</v>
      </c>
      <c r="N216" t="str">
        <f t="shared" si="57"/>
        <v>N/A</v>
      </c>
      <c r="P216">
        <f t="shared" si="58"/>
        <v>0</v>
      </c>
      <c r="Q216" t="str">
        <f>IFERROR(J144+MATCH(P216,J216:N216,0)-1,"")</f>
        <v/>
      </c>
      <c r="R216" t="str">
        <f t="shared" si="59"/>
        <v/>
      </c>
      <c r="S216" t="str">
        <f>IFERROR(J144+MATCH(R216,J216:N216,0)-1,"")</f>
        <v/>
      </c>
      <c r="T216" t="str">
        <f t="shared" si="60"/>
        <v/>
      </c>
      <c r="U216" t="str">
        <f t="shared" si="61"/>
        <v/>
      </c>
      <c r="V216" t="str">
        <f t="shared" si="62"/>
        <v/>
      </c>
      <c r="W216" t="str">
        <f t="shared" si="63"/>
        <v/>
      </c>
      <c r="X216" t="str">
        <f t="shared" si="64"/>
        <v/>
      </c>
      <c r="Y216" t="str">
        <f t="shared" si="65"/>
        <v/>
      </c>
      <c r="Z216" t="str">
        <f t="shared" si="66"/>
        <v/>
      </c>
      <c r="AA216">
        <f t="shared" si="67"/>
        <v>0</v>
      </c>
      <c r="AB216" t="str">
        <f>IFERROR(V144+MATCH(AA216,V216:Z216,0)-1,"")</f>
        <v/>
      </c>
      <c r="AC216" t="str">
        <f t="shared" si="68"/>
        <v/>
      </c>
      <c r="AE216" t="str">
        <f>IF(ISNUMBER(MATCH("N/A",J216:N216,0)),"",IFERROR((5 * SUMPRODUCT(J144:N144,J216:N216) - PRODUCT(SUM(J144:N144),SUM(J216:N216))) / ((5 * SUM((J144^2)+(K144^2)+(L144^2)+(M144^2)+(N144^2))) - SUM(J144:N144)^2),""))</f>
        <v/>
      </c>
      <c r="AF216" t="str">
        <f>IFERROR(CORREL(J144:N144,J216:N216),"")</f>
        <v/>
      </c>
      <c r="AZ216">
        <f t="shared" si="69"/>
        <v>0</v>
      </c>
      <c r="BA216" t="str">
        <f>IF(AZ216=1,IF(Q216="","",IF(Q216=N144,"Yes","No")),"")</f>
        <v/>
      </c>
      <c r="BB216" t="str">
        <f t="shared" si="70"/>
        <v/>
      </c>
      <c r="BC216" t="str">
        <f>IF(AZ216=1,IF(S216="","",IF(S216=N144,"Yes","No")),"")</f>
        <v/>
      </c>
      <c r="BD216" t="str">
        <f t="shared" si="71"/>
        <v/>
      </c>
      <c r="BE216" t="str">
        <f t="shared" si="72"/>
        <v/>
      </c>
      <c r="BF216" t="str">
        <f t="shared" si="73"/>
        <v>No</v>
      </c>
      <c r="BG216" t="str">
        <f t="shared" si="74"/>
        <v>No</v>
      </c>
      <c r="BH216" t="str">
        <f t="shared" si="75"/>
        <v/>
      </c>
    </row>
    <row r="217" spans="9:60" x14ac:dyDescent="0.3">
      <c r="I217" t="str">
        <f t="shared" si="52"/>
        <v>N/A</v>
      </c>
      <c r="J217" t="str">
        <f t="shared" si="53"/>
        <v>N/A</v>
      </c>
      <c r="K217" t="str">
        <f t="shared" si="54"/>
        <v>N/A</v>
      </c>
      <c r="L217" t="str">
        <f t="shared" si="55"/>
        <v>N/A</v>
      </c>
      <c r="M217" t="str">
        <f t="shared" si="56"/>
        <v>N/A</v>
      </c>
      <c r="N217" t="str">
        <f t="shared" si="57"/>
        <v>N/A</v>
      </c>
      <c r="P217">
        <f t="shared" si="58"/>
        <v>0</v>
      </c>
      <c r="Q217" t="str">
        <f>IFERROR(J144+MATCH(P217,J217:N217,0)-1,"")</f>
        <v/>
      </c>
      <c r="R217" t="str">
        <f t="shared" si="59"/>
        <v/>
      </c>
      <c r="S217" t="str">
        <f>IFERROR(J144+MATCH(R217,J217:N217,0)-1,"")</f>
        <v/>
      </c>
      <c r="T217" t="str">
        <f t="shared" si="60"/>
        <v/>
      </c>
      <c r="U217" t="str">
        <f t="shared" si="61"/>
        <v/>
      </c>
      <c r="V217" t="str">
        <f t="shared" si="62"/>
        <v/>
      </c>
      <c r="W217" t="str">
        <f t="shared" si="63"/>
        <v/>
      </c>
      <c r="X217" t="str">
        <f t="shared" si="64"/>
        <v/>
      </c>
      <c r="Y217" t="str">
        <f t="shared" si="65"/>
        <v/>
      </c>
      <c r="Z217" t="str">
        <f t="shared" si="66"/>
        <v/>
      </c>
      <c r="AA217">
        <f t="shared" si="67"/>
        <v>0</v>
      </c>
      <c r="AB217" t="str">
        <f>IFERROR(V144+MATCH(AA217,V217:Z217,0)-1,"")</f>
        <v/>
      </c>
      <c r="AC217" t="str">
        <f t="shared" si="68"/>
        <v/>
      </c>
      <c r="AE217" t="str">
        <f>IF(ISNUMBER(MATCH("N/A",J217:N217,0)),"",IFERROR((5 * SUMPRODUCT(J144:N144,J217:N217) - PRODUCT(SUM(J144:N144),SUM(J217:N217))) / ((5 * SUM((J144^2)+(K144^2)+(L144^2)+(M144^2)+(N144^2))) - SUM(J144:N144)^2),""))</f>
        <v/>
      </c>
      <c r="AF217" t="str">
        <f>IFERROR(CORREL(J144:N144,J217:N217),"")</f>
        <v/>
      </c>
      <c r="AZ217">
        <f t="shared" si="69"/>
        <v>0</v>
      </c>
      <c r="BA217" t="str">
        <f>IF(AZ217=1,IF(Q217="","",IF(Q217=N144,"Yes","No")),"")</f>
        <v/>
      </c>
      <c r="BB217" t="str">
        <f t="shared" si="70"/>
        <v/>
      </c>
      <c r="BC217" t="str">
        <f>IF(AZ217=1,IF(S217="","",IF(S217=N144,"Yes","No")),"")</f>
        <v/>
      </c>
      <c r="BD217" t="str">
        <f t="shared" si="71"/>
        <v/>
      </c>
      <c r="BE217" t="str">
        <f t="shared" si="72"/>
        <v/>
      </c>
      <c r="BF217" t="str">
        <f t="shared" si="73"/>
        <v>No</v>
      </c>
      <c r="BG217" t="str">
        <f t="shared" si="74"/>
        <v>No</v>
      </c>
      <c r="BH217" t="str">
        <f t="shared" si="75"/>
        <v/>
      </c>
    </row>
    <row r="218" spans="9:60" x14ac:dyDescent="0.3">
      <c r="I218" t="str">
        <f t="shared" si="52"/>
        <v>N/A</v>
      </c>
      <c r="J218" t="str">
        <f t="shared" si="53"/>
        <v>N/A</v>
      </c>
      <c r="K218" t="str">
        <f t="shared" si="54"/>
        <v>N/A</v>
      </c>
      <c r="L218" t="str">
        <f t="shared" si="55"/>
        <v>N/A</v>
      </c>
      <c r="M218" t="str">
        <f t="shared" si="56"/>
        <v>N/A</v>
      </c>
      <c r="N218" t="str">
        <f t="shared" si="57"/>
        <v>N/A</v>
      </c>
      <c r="P218">
        <f t="shared" si="58"/>
        <v>0</v>
      </c>
      <c r="Q218" t="str">
        <f>IFERROR(J144+MATCH(P218,J218:N218,0)-1,"")</f>
        <v/>
      </c>
      <c r="R218" t="str">
        <f t="shared" si="59"/>
        <v/>
      </c>
      <c r="S218" t="str">
        <f>IFERROR(J144+MATCH(R218,J218:N218,0)-1,"")</f>
        <v/>
      </c>
      <c r="T218" t="str">
        <f t="shared" si="60"/>
        <v/>
      </c>
      <c r="U218" t="str">
        <f t="shared" si="61"/>
        <v/>
      </c>
      <c r="V218" t="str">
        <f t="shared" si="62"/>
        <v/>
      </c>
      <c r="W218" t="str">
        <f t="shared" si="63"/>
        <v/>
      </c>
      <c r="X218" t="str">
        <f t="shared" si="64"/>
        <v/>
      </c>
      <c r="Y218" t="str">
        <f t="shared" si="65"/>
        <v/>
      </c>
      <c r="Z218" t="str">
        <f t="shared" si="66"/>
        <v/>
      </c>
      <c r="AA218">
        <f t="shared" si="67"/>
        <v>0</v>
      </c>
      <c r="AB218" t="str">
        <f>IFERROR(V144+MATCH(AA218,V218:Z218,0)-1,"")</f>
        <v/>
      </c>
      <c r="AC218" t="str">
        <f t="shared" si="68"/>
        <v/>
      </c>
      <c r="AE218" t="str">
        <f>IF(ISNUMBER(MATCH("N/A",J218:N218,0)),"",IFERROR((5 * SUMPRODUCT(J144:N144,J218:N218) - PRODUCT(SUM(J144:N144),SUM(J218:N218))) / ((5 * SUM((J144^2)+(K144^2)+(L144^2)+(M144^2)+(N144^2))) - SUM(J144:N144)^2),""))</f>
        <v/>
      </c>
      <c r="AF218" t="str">
        <f>IFERROR(CORREL(J144:N144,J218:N218),"")</f>
        <v/>
      </c>
      <c r="AZ218">
        <f t="shared" si="69"/>
        <v>0</v>
      </c>
      <c r="BA218" t="str">
        <f>IF(AZ218=1,IF(Q218="","",IF(Q218=N144,"Yes","No")),"")</f>
        <v/>
      </c>
      <c r="BB218" t="str">
        <f t="shared" si="70"/>
        <v/>
      </c>
      <c r="BC218" t="str">
        <f>IF(AZ218=1,IF(S218="","",IF(S218=N144,"Yes","No")),"")</f>
        <v/>
      </c>
      <c r="BD218" t="str">
        <f t="shared" si="71"/>
        <v/>
      </c>
      <c r="BE218" t="str">
        <f t="shared" si="72"/>
        <v/>
      </c>
      <c r="BF218" t="str">
        <f t="shared" si="73"/>
        <v>No</v>
      </c>
      <c r="BG218" t="str">
        <f t="shared" si="74"/>
        <v>No</v>
      </c>
      <c r="BH218" t="str">
        <f t="shared" si="75"/>
        <v/>
      </c>
    </row>
    <row r="219" spans="9:60" x14ac:dyDescent="0.3">
      <c r="I219" t="str">
        <f t="shared" si="52"/>
        <v>N/A</v>
      </c>
      <c r="J219" t="str">
        <f t="shared" si="53"/>
        <v>N/A</v>
      </c>
      <c r="K219" t="str">
        <f t="shared" si="54"/>
        <v>N/A</v>
      </c>
      <c r="L219" t="str">
        <f t="shared" si="55"/>
        <v>N/A</v>
      </c>
      <c r="M219" t="str">
        <f t="shared" si="56"/>
        <v>N/A</v>
      </c>
      <c r="N219" t="str">
        <f t="shared" si="57"/>
        <v>N/A</v>
      </c>
      <c r="P219">
        <f t="shared" si="58"/>
        <v>0</v>
      </c>
      <c r="Q219" t="str">
        <f>IFERROR(J144+MATCH(P219,J219:N219,0)-1,"")</f>
        <v/>
      </c>
      <c r="R219" t="str">
        <f t="shared" si="59"/>
        <v/>
      </c>
      <c r="S219" t="str">
        <f>IFERROR(J144+MATCH(R219,J219:N219,0)-1,"")</f>
        <v/>
      </c>
      <c r="T219" t="str">
        <f t="shared" si="60"/>
        <v/>
      </c>
      <c r="U219" t="str">
        <f t="shared" si="61"/>
        <v/>
      </c>
      <c r="V219" t="str">
        <f t="shared" si="62"/>
        <v/>
      </c>
      <c r="W219" t="str">
        <f t="shared" si="63"/>
        <v/>
      </c>
      <c r="X219" t="str">
        <f t="shared" si="64"/>
        <v/>
      </c>
      <c r="Y219" t="str">
        <f t="shared" si="65"/>
        <v/>
      </c>
      <c r="Z219" t="str">
        <f t="shared" si="66"/>
        <v/>
      </c>
      <c r="AA219">
        <f t="shared" si="67"/>
        <v>0</v>
      </c>
      <c r="AB219" t="str">
        <f>IFERROR(V144+MATCH(AA219,V219:Z219,0)-1,"")</f>
        <v/>
      </c>
      <c r="AC219" t="str">
        <f t="shared" si="68"/>
        <v/>
      </c>
      <c r="AE219" t="str">
        <f>IF(ISNUMBER(MATCH("N/A",J219:N219,0)),"",IFERROR((5 * SUMPRODUCT(J144:N144,J219:N219) - PRODUCT(SUM(J144:N144),SUM(J219:N219))) / ((5 * SUM((J144^2)+(K144^2)+(L144^2)+(M144^2)+(N144^2))) - SUM(J144:N144)^2),""))</f>
        <v/>
      </c>
      <c r="AF219" t="str">
        <f>IFERROR(CORREL(J144:N144,J219:N219),"")</f>
        <v/>
      </c>
      <c r="AZ219">
        <f t="shared" si="69"/>
        <v>0</v>
      </c>
      <c r="BA219" t="str">
        <f>IF(AZ219=1,IF(Q219="","",IF(Q219=N144,"Yes","No")),"")</f>
        <v/>
      </c>
      <c r="BB219" t="str">
        <f t="shared" si="70"/>
        <v/>
      </c>
      <c r="BC219" t="str">
        <f>IF(AZ219=1,IF(S219="","",IF(S219=N144,"Yes","No")),"")</f>
        <v/>
      </c>
      <c r="BD219" t="str">
        <f t="shared" si="71"/>
        <v/>
      </c>
      <c r="BE219" t="str">
        <f t="shared" si="72"/>
        <v/>
      </c>
      <c r="BF219" t="str">
        <f t="shared" si="73"/>
        <v>No</v>
      </c>
      <c r="BG219" t="str">
        <f t="shared" si="74"/>
        <v>No</v>
      </c>
      <c r="BH219" t="str">
        <f t="shared" si="75"/>
        <v/>
      </c>
    </row>
    <row r="220" spans="9:60" x14ac:dyDescent="0.3">
      <c r="I220" t="str">
        <f t="shared" si="52"/>
        <v>N/A</v>
      </c>
      <c r="J220" t="str">
        <f t="shared" si="53"/>
        <v>N/A</v>
      </c>
      <c r="K220" t="str">
        <f t="shared" si="54"/>
        <v>N/A</v>
      </c>
      <c r="L220" t="str">
        <f t="shared" si="55"/>
        <v>N/A</v>
      </c>
      <c r="M220" t="str">
        <f t="shared" si="56"/>
        <v>N/A</v>
      </c>
      <c r="N220" t="str">
        <f t="shared" si="57"/>
        <v>N/A</v>
      </c>
      <c r="P220">
        <f t="shared" si="58"/>
        <v>0</v>
      </c>
      <c r="Q220" t="str">
        <f>IFERROR(J144+MATCH(P220,J220:N220,0)-1,"")</f>
        <v/>
      </c>
      <c r="R220" t="str">
        <f t="shared" si="59"/>
        <v/>
      </c>
      <c r="S220" t="str">
        <f>IFERROR(J144+MATCH(R220,J220:N220,0)-1,"")</f>
        <v/>
      </c>
      <c r="T220" t="str">
        <f t="shared" si="60"/>
        <v/>
      </c>
      <c r="U220" t="str">
        <f t="shared" si="61"/>
        <v/>
      </c>
      <c r="V220" t="str">
        <f t="shared" si="62"/>
        <v/>
      </c>
      <c r="W220" t="str">
        <f t="shared" si="63"/>
        <v/>
      </c>
      <c r="X220" t="str">
        <f t="shared" si="64"/>
        <v/>
      </c>
      <c r="Y220" t="str">
        <f t="shared" si="65"/>
        <v/>
      </c>
      <c r="Z220" t="str">
        <f t="shared" si="66"/>
        <v/>
      </c>
      <c r="AA220">
        <f t="shared" si="67"/>
        <v>0</v>
      </c>
      <c r="AB220" t="str">
        <f>IFERROR(V144+MATCH(AA220,V220:Z220,0)-1,"")</f>
        <v/>
      </c>
      <c r="AC220" t="str">
        <f t="shared" si="68"/>
        <v/>
      </c>
      <c r="AE220" t="str">
        <f>IF(ISNUMBER(MATCH("N/A",J220:N220,0)),"",IFERROR((5 * SUMPRODUCT(J144:N144,J220:N220) - PRODUCT(SUM(J144:N144),SUM(J220:N220))) / ((5 * SUM((J144^2)+(K144^2)+(L144^2)+(M144^2)+(N144^2))) - SUM(J144:N144)^2),""))</f>
        <v/>
      </c>
      <c r="AF220" t="str">
        <f>IFERROR(CORREL(J144:N144,J220:N220),"")</f>
        <v/>
      </c>
      <c r="AZ220">
        <f t="shared" si="69"/>
        <v>0</v>
      </c>
      <c r="BA220" t="str">
        <f>IF(AZ220=1,IF(Q220="","",IF(Q220=N144,"Yes","No")),"")</f>
        <v/>
      </c>
      <c r="BB220" t="str">
        <f t="shared" si="70"/>
        <v/>
      </c>
      <c r="BC220" t="str">
        <f>IF(AZ220=1,IF(S220="","",IF(S220=N144,"Yes","No")),"")</f>
        <v/>
      </c>
      <c r="BD220" t="str">
        <f t="shared" si="71"/>
        <v/>
      </c>
      <c r="BE220" t="str">
        <f t="shared" si="72"/>
        <v/>
      </c>
      <c r="BF220" t="str">
        <f t="shared" si="73"/>
        <v>No</v>
      </c>
      <c r="BG220" t="str">
        <f t="shared" si="74"/>
        <v>No</v>
      </c>
      <c r="BH220" t="str">
        <f t="shared" si="75"/>
        <v/>
      </c>
    </row>
    <row r="221" spans="9:60" x14ac:dyDescent="0.3">
      <c r="I221" t="str">
        <f t="shared" si="52"/>
        <v>N/A</v>
      </c>
      <c r="J221" t="str">
        <f t="shared" si="53"/>
        <v>N/A</v>
      </c>
      <c r="K221" t="str">
        <f t="shared" si="54"/>
        <v>N/A</v>
      </c>
      <c r="L221" t="str">
        <f t="shared" si="55"/>
        <v>N/A</v>
      </c>
      <c r="M221" t="str">
        <f t="shared" si="56"/>
        <v>N/A</v>
      </c>
      <c r="N221" t="str">
        <f t="shared" si="57"/>
        <v>N/A</v>
      </c>
      <c r="P221">
        <f t="shared" si="58"/>
        <v>0</v>
      </c>
      <c r="Q221" t="str">
        <f>IFERROR(J144+MATCH(P221,J221:N221,0)-1,"")</f>
        <v/>
      </c>
      <c r="R221" t="str">
        <f t="shared" si="59"/>
        <v/>
      </c>
      <c r="S221" t="str">
        <f>IFERROR(J144+MATCH(R221,J221:N221,0)-1,"")</f>
        <v/>
      </c>
      <c r="T221" t="str">
        <f t="shared" si="60"/>
        <v/>
      </c>
      <c r="U221" t="str">
        <f t="shared" si="61"/>
        <v/>
      </c>
      <c r="V221" t="str">
        <f t="shared" si="62"/>
        <v/>
      </c>
      <c r="W221" t="str">
        <f t="shared" si="63"/>
        <v/>
      </c>
      <c r="X221" t="str">
        <f t="shared" si="64"/>
        <v/>
      </c>
      <c r="Y221" t="str">
        <f t="shared" si="65"/>
        <v/>
      </c>
      <c r="Z221" t="str">
        <f t="shared" si="66"/>
        <v/>
      </c>
      <c r="AA221">
        <f t="shared" si="67"/>
        <v>0</v>
      </c>
      <c r="AB221" t="str">
        <f>IFERROR(V144+MATCH(AA221,V221:Z221,0)-1,"")</f>
        <v/>
      </c>
      <c r="AC221" t="str">
        <f t="shared" si="68"/>
        <v/>
      </c>
      <c r="AE221" t="str">
        <f>IF(ISNUMBER(MATCH("N/A",J221:N221,0)),"",IFERROR((5 * SUMPRODUCT(J144:N144,J221:N221) - PRODUCT(SUM(J144:N144),SUM(J221:N221))) / ((5 * SUM((J144^2)+(K144^2)+(L144^2)+(M144^2)+(N144^2))) - SUM(J144:N144)^2),""))</f>
        <v/>
      </c>
      <c r="AF221" t="str">
        <f>IFERROR(CORREL(J144:N144,J221:N221),"")</f>
        <v/>
      </c>
      <c r="AZ221">
        <f t="shared" si="69"/>
        <v>0</v>
      </c>
      <c r="BA221" t="str">
        <f>IF(AZ221=1,IF(Q221="","",IF(Q221=N144,"Yes","No")),"")</f>
        <v/>
      </c>
      <c r="BB221" t="str">
        <f t="shared" si="70"/>
        <v/>
      </c>
      <c r="BC221" t="str">
        <f>IF(AZ221=1,IF(S221="","",IF(S221=N144,"Yes","No")),"")</f>
        <v/>
      </c>
      <c r="BD221" t="str">
        <f t="shared" si="71"/>
        <v/>
      </c>
      <c r="BE221" t="str">
        <f t="shared" si="72"/>
        <v/>
      </c>
      <c r="BF221" t="str">
        <f t="shared" si="73"/>
        <v>No</v>
      </c>
      <c r="BG221" t="str">
        <f t="shared" si="74"/>
        <v>No</v>
      </c>
      <c r="BH221" t="str">
        <f t="shared" si="75"/>
        <v/>
      </c>
    </row>
    <row r="222" spans="9:60" x14ac:dyDescent="0.3">
      <c r="I222" t="str">
        <f t="shared" si="52"/>
        <v>N/A</v>
      </c>
      <c r="J222" t="str">
        <f t="shared" si="53"/>
        <v>N/A</v>
      </c>
      <c r="K222" t="str">
        <f t="shared" si="54"/>
        <v>N/A</v>
      </c>
      <c r="L222" t="str">
        <f t="shared" si="55"/>
        <v>N/A</v>
      </c>
      <c r="M222" t="str">
        <f t="shared" si="56"/>
        <v>N/A</v>
      </c>
      <c r="N222" t="str">
        <f t="shared" si="57"/>
        <v>N/A</v>
      </c>
      <c r="P222">
        <f t="shared" si="58"/>
        <v>0</v>
      </c>
      <c r="Q222" t="str">
        <f>IFERROR(J144+MATCH(P222,J222:N222,0)-1,"")</f>
        <v/>
      </c>
      <c r="R222" t="str">
        <f t="shared" si="59"/>
        <v/>
      </c>
      <c r="S222" t="str">
        <f>IFERROR(J144+MATCH(R222,J222:N222,0)-1,"")</f>
        <v/>
      </c>
      <c r="T222" t="str">
        <f t="shared" si="60"/>
        <v/>
      </c>
      <c r="U222" t="str">
        <f t="shared" si="61"/>
        <v/>
      </c>
      <c r="V222" t="str">
        <f t="shared" si="62"/>
        <v/>
      </c>
      <c r="W222" t="str">
        <f t="shared" si="63"/>
        <v/>
      </c>
      <c r="X222" t="str">
        <f t="shared" si="64"/>
        <v/>
      </c>
      <c r="Y222" t="str">
        <f t="shared" si="65"/>
        <v/>
      </c>
      <c r="Z222" t="str">
        <f t="shared" si="66"/>
        <v/>
      </c>
      <c r="AA222">
        <f t="shared" si="67"/>
        <v>0</v>
      </c>
      <c r="AB222" t="str">
        <f>IFERROR(V144+MATCH(AA222,V222:Z222,0)-1,"")</f>
        <v/>
      </c>
      <c r="AC222" t="str">
        <f t="shared" si="68"/>
        <v/>
      </c>
      <c r="AE222" t="str">
        <f>IF(ISNUMBER(MATCH("N/A",J222:N222,0)),"",IFERROR((5 * SUMPRODUCT(J144:N144,J222:N222) - PRODUCT(SUM(J144:N144),SUM(J222:N222))) / ((5 * SUM((J144^2)+(K144^2)+(L144^2)+(M144^2)+(N144^2))) - SUM(J144:N144)^2),""))</f>
        <v/>
      </c>
      <c r="AF222" t="str">
        <f>IFERROR(CORREL(J144:N144,J222:N222),"")</f>
        <v/>
      </c>
      <c r="AZ222">
        <f t="shared" si="69"/>
        <v>0</v>
      </c>
      <c r="BA222" t="str">
        <f>IF(AZ222=1,IF(Q222="","",IF(Q222=N144,"Yes","No")),"")</f>
        <v/>
      </c>
      <c r="BB222" t="str">
        <f t="shared" si="70"/>
        <v/>
      </c>
      <c r="BC222" t="str">
        <f>IF(AZ222=1,IF(S222="","",IF(S222=N144,"Yes","No")),"")</f>
        <v/>
      </c>
      <c r="BD222" t="str">
        <f t="shared" si="71"/>
        <v/>
      </c>
      <c r="BE222" t="str">
        <f t="shared" si="72"/>
        <v/>
      </c>
      <c r="BF222" t="str">
        <f t="shared" si="73"/>
        <v>No</v>
      </c>
      <c r="BG222" t="str">
        <f t="shared" si="74"/>
        <v>No</v>
      </c>
      <c r="BH222" t="str">
        <f t="shared" si="75"/>
        <v/>
      </c>
    </row>
    <row r="223" spans="9:60" x14ac:dyDescent="0.3">
      <c r="I223" t="str">
        <f t="shared" si="52"/>
        <v>N/A</v>
      </c>
      <c r="J223" t="str">
        <f t="shared" si="53"/>
        <v>N/A</v>
      </c>
      <c r="K223" t="str">
        <f t="shared" si="54"/>
        <v>N/A</v>
      </c>
      <c r="L223" t="str">
        <f t="shared" si="55"/>
        <v>N/A</v>
      </c>
      <c r="M223" t="str">
        <f t="shared" si="56"/>
        <v>N/A</v>
      </c>
      <c r="N223" t="str">
        <f t="shared" si="57"/>
        <v>N/A</v>
      </c>
      <c r="P223">
        <f t="shared" si="58"/>
        <v>0</v>
      </c>
      <c r="Q223" t="str">
        <f>IFERROR(J144+MATCH(P223,J223:N223,0)-1,"")</f>
        <v/>
      </c>
      <c r="R223" t="str">
        <f t="shared" si="59"/>
        <v/>
      </c>
      <c r="S223" t="str">
        <f>IFERROR(J144+MATCH(R223,J223:N223,0)-1,"")</f>
        <v/>
      </c>
      <c r="T223" t="str">
        <f t="shared" si="60"/>
        <v/>
      </c>
      <c r="U223" t="str">
        <f t="shared" si="61"/>
        <v/>
      </c>
      <c r="V223" t="str">
        <f t="shared" si="62"/>
        <v/>
      </c>
      <c r="W223" t="str">
        <f t="shared" si="63"/>
        <v/>
      </c>
      <c r="X223" t="str">
        <f t="shared" si="64"/>
        <v/>
      </c>
      <c r="Y223" t="str">
        <f t="shared" si="65"/>
        <v/>
      </c>
      <c r="Z223" t="str">
        <f t="shared" si="66"/>
        <v/>
      </c>
      <c r="AA223">
        <f t="shared" si="67"/>
        <v>0</v>
      </c>
      <c r="AB223" t="str">
        <f>IFERROR(V144+MATCH(AA223,V223:Z223,0)-1,"")</f>
        <v/>
      </c>
      <c r="AC223" t="str">
        <f t="shared" si="68"/>
        <v/>
      </c>
      <c r="AE223" t="str">
        <f>IF(ISNUMBER(MATCH("N/A",J223:N223,0)),"",IFERROR((5 * SUMPRODUCT(J144:N144,J223:N223) - PRODUCT(SUM(J144:N144),SUM(J223:N223))) / ((5 * SUM((J144^2)+(K144^2)+(L144^2)+(M144^2)+(N144^2))) - SUM(J144:N144)^2),""))</f>
        <v/>
      </c>
      <c r="AF223" t="str">
        <f>IFERROR(CORREL(J144:N144,J223:N223),"")</f>
        <v/>
      </c>
      <c r="AZ223">
        <f t="shared" si="69"/>
        <v>0</v>
      </c>
      <c r="BA223" t="str">
        <f>IF(AZ223=1,IF(Q223="","",IF(Q223=N144,"Yes","No")),"")</f>
        <v/>
      </c>
      <c r="BB223" t="str">
        <f t="shared" si="70"/>
        <v/>
      </c>
      <c r="BC223" t="str">
        <f>IF(AZ223=1,IF(S223="","",IF(S223=N144,"Yes","No")),"")</f>
        <v/>
      </c>
      <c r="BD223" t="str">
        <f t="shared" si="71"/>
        <v/>
      </c>
      <c r="BE223" t="str">
        <f t="shared" si="72"/>
        <v/>
      </c>
      <c r="BF223" t="str">
        <f t="shared" si="73"/>
        <v>No</v>
      </c>
      <c r="BG223" t="str">
        <f t="shared" si="74"/>
        <v>No</v>
      </c>
      <c r="BH223" t="str">
        <f t="shared" si="75"/>
        <v/>
      </c>
    </row>
    <row r="224" spans="9:60" x14ac:dyDescent="0.3">
      <c r="I224" t="str">
        <f t="shared" si="52"/>
        <v>N/A</v>
      </c>
      <c r="J224" t="str">
        <f t="shared" si="53"/>
        <v>N/A</v>
      </c>
      <c r="K224" t="str">
        <f t="shared" si="54"/>
        <v>N/A</v>
      </c>
      <c r="L224" t="str">
        <f t="shared" si="55"/>
        <v>N/A</v>
      </c>
      <c r="M224" t="str">
        <f t="shared" si="56"/>
        <v>N/A</v>
      </c>
      <c r="N224" t="str">
        <f t="shared" si="57"/>
        <v>N/A</v>
      </c>
      <c r="P224">
        <f t="shared" si="58"/>
        <v>0</v>
      </c>
      <c r="Q224" t="str">
        <f>IFERROR(J144+MATCH(P224,J224:N224,0)-1,"")</f>
        <v/>
      </c>
      <c r="R224" t="str">
        <f t="shared" si="59"/>
        <v/>
      </c>
      <c r="S224" t="str">
        <f>IFERROR(J144+MATCH(R224,J224:N224,0)-1,"")</f>
        <v/>
      </c>
      <c r="T224" t="str">
        <f t="shared" si="60"/>
        <v/>
      </c>
      <c r="U224" t="str">
        <f t="shared" si="61"/>
        <v/>
      </c>
      <c r="V224" t="str">
        <f t="shared" si="62"/>
        <v/>
      </c>
      <c r="W224" t="str">
        <f t="shared" si="63"/>
        <v/>
      </c>
      <c r="X224" t="str">
        <f t="shared" si="64"/>
        <v/>
      </c>
      <c r="Y224" t="str">
        <f t="shared" si="65"/>
        <v/>
      </c>
      <c r="Z224" t="str">
        <f t="shared" si="66"/>
        <v/>
      </c>
      <c r="AA224">
        <f t="shared" si="67"/>
        <v>0</v>
      </c>
      <c r="AB224" t="str">
        <f>IFERROR(V144+MATCH(AA224,V224:Z224,0)-1,"")</f>
        <v/>
      </c>
      <c r="AC224" t="str">
        <f t="shared" si="68"/>
        <v/>
      </c>
      <c r="AE224" t="str">
        <f>IF(ISNUMBER(MATCH("N/A",J224:N224,0)),"",IFERROR((5 * SUMPRODUCT(J144:N144,J224:N224) - PRODUCT(SUM(J144:N144),SUM(J224:N224))) / ((5 * SUM((J144^2)+(K144^2)+(L144^2)+(M144^2)+(N144^2))) - SUM(J144:N144)^2),""))</f>
        <v/>
      </c>
      <c r="AF224" t="str">
        <f>IFERROR(CORREL(J144:N144,J224:N224),"")</f>
        <v/>
      </c>
      <c r="AZ224">
        <f t="shared" si="69"/>
        <v>0</v>
      </c>
      <c r="BA224" t="str">
        <f>IF(AZ224=1,IF(Q224="","",IF(Q224=N144,"Yes","No")),"")</f>
        <v/>
      </c>
      <c r="BB224" t="str">
        <f t="shared" si="70"/>
        <v/>
      </c>
      <c r="BC224" t="str">
        <f>IF(AZ224=1,IF(S224="","",IF(S224=N144,"Yes","No")),"")</f>
        <v/>
      </c>
      <c r="BD224" t="str">
        <f t="shared" si="71"/>
        <v/>
      </c>
      <c r="BE224" t="str">
        <f t="shared" si="72"/>
        <v/>
      </c>
      <c r="BF224" t="str">
        <f t="shared" si="73"/>
        <v>No</v>
      </c>
      <c r="BG224" t="str">
        <f t="shared" si="74"/>
        <v>No</v>
      </c>
      <c r="BH224" t="str">
        <f t="shared" si="75"/>
        <v/>
      </c>
    </row>
    <row r="225" spans="9:60" x14ac:dyDescent="0.3">
      <c r="I225" t="str">
        <f t="shared" si="52"/>
        <v>N/A</v>
      </c>
      <c r="J225" t="str">
        <f t="shared" si="53"/>
        <v>N/A</v>
      </c>
      <c r="K225" t="str">
        <f t="shared" si="54"/>
        <v>N/A</v>
      </c>
      <c r="L225" t="str">
        <f t="shared" si="55"/>
        <v>N/A</v>
      </c>
      <c r="M225" t="str">
        <f t="shared" si="56"/>
        <v>N/A</v>
      </c>
      <c r="N225" t="str">
        <f t="shared" si="57"/>
        <v>N/A</v>
      </c>
      <c r="P225">
        <f t="shared" si="58"/>
        <v>0</v>
      </c>
      <c r="Q225" t="str">
        <f>IFERROR(J144+MATCH(P225,J225:N225,0)-1,"")</f>
        <v/>
      </c>
      <c r="R225" t="str">
        <f t="shared" si="59"/>
        <v/>
      </c>
      <c r="S225" t="str">
        <f>IFERROR(J144+MATCH(R225,J225:N225,0)-1,"")</f>
        <v/>
      </c>
      <c r="T225" t="str">
        <f t="shared" si="60"/>
        <v/>
      </c>
      <c r="U225" t="str">
        <f t="shared" si="61"/>
        <v/>
      </c>
      <c r="V225" t="str">
        <f t="shared" si="62"/>
        <v/>
      </c>
      <c r="W225" t="str">
        <f t="shared" si="63"/>
        <v/>
      </c>
      <c r="X225" t="str">
        <f t="shared" si="64"/>
        <v/>
      </c>
      <c r="Y225" t="str">
        <f t="shared" si="65"/>
        <v/>
      </c>
      <c r="Z225" t="str">
        <f t="shared" si="66"/>
        <v/>
      </c>
      <c r="AA225">
        <f t="shared" si="67"/>
        <v>0</v>
      </c>
      <c r="AB225" t="str">
        <f>IFERROR(V144+MATCH(AA225,V225:Z225,0)-1,"")</f>
        <v/>
      </c>
      <c r="AC225" t="str">
        <f t="shared" si="68"/>
        <v/>
      </c>
      <c r="AE225" t="str">
        <f>IF(ISNUMBER(MATCH("N/A",J225:N225,0)),"",IFERROR((5 * SUMPRODUCT(J144:N144,J225:N225) - PRODUCT(SUM(J144:N144),SUM(J225:N225))) / ((5 * SUM((J144^2)+(K144^2)+(L144^2)+(M144^2)+(N144^2))) - SUM(J144:N144)^2),""))</f>
        <v/>
      </c>
      <c r="AF225" t="str">
        <f>IFERROR(CORREL(J144:N144,J225:N225),"")</f>
        <v/>
      </c>
      <c r="AZ225">
        <f t="shared" si="69"/>
        <v>0</v>
      </c>
      <c r="BA225" t="str">
        <f>IF(AZ225=1,IF(Q225="","",IF(Q225=N144,"Yes","No")),"")</f>
        <v/>
      </c>
      <c r="BB225" t="str">
        <f t="shared" si="70"/>
        <v/>
      </c>
      <c r="BC225" t="str">
        <f>IF(AZ225=1,IF(S225="","",IF(S225=N144,"Yes","No")),"")</f>
        <v/>
      </c>
      <c r="BD225" t="str">
        <f t="shared" si="71"/>
        <v/>
      </c>
      <c r="BE225" t="str">
        <f t="shared" si="72"/>
        <v/>
      </c>
      <c r="BF225" t="str">
        <f t="shared" si="73"/>
        <v>No</v>
      </c>
      <c r="BG225" t="str">
        <f t="shared" si="74"/>
        <v>No</v>
      </c>
      <c r="BH225" t="str">
        <f t="shared" si="75"/>
        <v/>
      </c>
    </row>
    <row r="226" spans="9:60" x14ac:dyDescent="0.3">
      <c r="I226" t="str">
        <f t="shared" si="52"/>
        <v>N/A</v>
      </c>
      <c r="J226" t="str">
        <f t="shared" si="53"/>
        <v>N/A</v>
      </c>
      <c r="K226" t="str">
        <f t="shared" si="54"/>
        <v>N/A</v>
      </c>
      <c r="L226" t="str">
        <f t="shared" si="55"/>
        <v>N/A</v>
      </c>
      <c r="M226" t="str">
        <f t="shared" si="56"/>
        <v>N/A</v>
      </c>
      <c r="N226" t="str">
        <f t="shared" si="57"/>
        <v>N/A</v>
      </c>
      <c r="P226">
        <f t="shared" si="58"/>
        <v>0</v>
      </c>
      <c r="Q226" t="str">
        <f>IFERROR(J144+MATCH(P226,J226:N226,0)-1,"")</f>
        <v/>
      </c>
      <c r="R226" t="str">
        <f t="shared" si="59"/>
        <v/>
      </c>
      <c r="S226" t="str">
        <f>IFERROR(J144+MATCH(R226,J226:N226,0)-1,"")</f>
        <v/>
      </c>
      <c r="T226" t="str">
        <f t="shared" si="60"/>
        <v/>
      </c>
      <c r="U226" t="str">
        <f t="shared" si="61"/>
        <v/>
      </c>
      <c r="V226" t="str">
        <f t="shared" si="62"/>
        <v/>
      </c>
      <c r="W226" t="str">
        <f t="shared" si="63"/>
        <v/>
      </c>
      <c r="X226" t="str">
        <f t="shared" si="64"/>
        <v/>
      </c>
      <c r="Y226" t="str">
        <f t="shared" si="65"/>
        <v/>
      </c>
      <c r="Z226" t="str">
        <f t="shared" si="66"/>
        <v/>
      </c>
      <c r="AA226">
        <f t="shared" si="67"/>
        <v>0</v>
      </c>
      <c r="AB226" t="str">
        <f>IFERROR(V144+MATCH(AA226,V226:Z226,0)-1,"")</f>
        <v/>
      </c>
      <c r="AC226" t="str">
        <f t="shared" si="68"/>
        <v/>
      </c>
      <c r="AE226" t="str">
        <f>IF(ISNUMBER(MATCH("N/A",J226:N226,0)),"",IFERROR((5 * SUMPRODUCT(J144:N144,J226:N226) - PRODUCT(SUM(J144:N144),SUM(J226:N226))) / ((5 * SUM((J144^2)+(K144^2)+(L144^2)+(M144^2)+(N144^2))) - SUM(J144:N144)^2),""))</f>
        <v/>
      </c>
      <c r="AF226" t="str">
        <f>IFERROR(CORREL(J144:N144,J226:N226),"")</f>
        <v/>
      </c>
      <c r="AZ226">
        <f t="shared" si="69"/>
        <v>0</v>
      </c>
      <c r="BA226" t="str">
        <f>IF(AZ226=1,IF(Q226="","",IF(Q226=N144,"Yes","No")),"")</f>
        <v/>
      </c>
      <c r="BB226" t="str">
        <f t="shared" si="70"/>
        <v/>
      </c>
      <c r="BC226" t="str">
        <f>IF(AZ226=1,IF(S226="","",IF(S226=N144,"Yes","No")),"")</f>
        <v/>
      </c>
      <c r="BD226" t="str">
        <f t="shared" si="71"/>
        <v/>
      </c>
      <c r="BE226" t="str">
        <f t="shared" si="72"/>
        <v/>
      </c>
      <c r="BF226" t="str">
        <f t="shared" si="73"/>
        <v>No</v>
      </c>
      <c r="BG226" t="str">
        <f t="shared" si="74"/>
        <v>No</v>
      </c>
      <c r="BH226" t="str">
        <f t="shared" si="75"/>
        <v/>
      </c>
    </row>
    <row r="227" spans="9:60" x14ac:dyDescent="0.3">
      <c r="P227">
        <f t="shared" si="58"/>
        <v>0</v>
      </c>
      <c r="Q227" t="str">
        <f>IFERROR(J144+MATCH(P227,J227:N227,0)-1,"")</f>
        <v/>
      </c>
      <c r="R227" t="str">
        <f t="shared" si="59"/>
        <v/>
      </c>
      <c r="S227" t="str">
        <f>IFERROR(J144+MATCH(R227,J227:N227,0)-1,"")</f>
        <v/>
      </c>
      <c r="T227" t="str">
        <f t="shared" si="60"/>
        <v/>
      </c>
      <c r="U227" t="str">
        <f t="shared" si="61"/>
        <v/>
      </c>
      <c r="V227" t="str">
        <f t="shared" si="62"/>
        <v/>
      </c>
      <c r="W227" t="str">
        <f t="shared" si="63"/>
        <v/>
      </c>
      <c r="X227" t="str">
        <f t="shared" si="64"/>
        <v/>
      </c>
      <c r="Y227" t="str">
        <f t="shared" si="65"/>
        <v/>
      </c>
      <c r="Z227" t="str">
        <f t="shared" si="66"/>
        <v/>
      </c>
      <c r="AA227">
        <f t="shared" si="67"/>
        <v>0</v>
      </c>
      <c r="AB227" t="str">
        <f>IFERROR(V144+MATCH(AA227,V227:Z227,0)-1,"")</f>
        <v/>
      </c>
      <c r="AC227" t="str">
        <f t="shared" si="68"/>
        <v/>
      </c>
      <c r="AE227" t="str">
        <f>IF(ISNUMBER(MATCH("N/A",J227:N227,0)),"",IFERROR((5 * SUMPRODUCT(J144:N144,J227:N227) - PRODUCT(SUM(J144:N144),SUM(J227:N227))) / ((5 * SUM((J144^2)+(K144^2)+(L144^2)+(M144^2)+(N144^2))) - SUM(J144:N144)^2),""))</f>
        <v/>
      </c>
      <c r="AF227" t="str">
        <f>IFERROR(CORREL(J144:N144,J227:N227),"")</f>
        <v/>
      </c>
      <c r="AZ227">
        <f t="shared" si="69"/>
        <v>0</v>
      </c>
      <c r="BA227" t="str">
        <f>IF(AZ227=1,IF(Q227="","",IF(Q227=N144,"Yes","No")),"")</f>
        <v/>
      </c>
      <c r="BB227" t="str">
        <f t="shared" si="70"/>
        <v/>
      </c>
      <c r="BC227" t="str">
        <f>IF(AZ227=1,IF(S227="","",IF(S227=N144,"Yes","No")),"")</f>
        <v/>
      </c>
      <c r="BD227" t="str">
        <f t="shared" si="71"/>
        <v/>
      </c>
      <c r="BE227" t="str">
        <f t="shared" si="72"/>
        <v/>
      </c>
      <c r="BF227" t="str">
        <f t="shared" si="73"/>
        <v>No</v>
      </c>
      <c r="BG227" t="str">
        <f t="shared" si="74"/>
        <v>No</v>
      </c>
      <c r="BH227" t="str">
        <f t="shared" si="75"/>
        <v/>
      </c>
    </row>
    <row r="228" spans="9:60" x14ac:dyDescent="0.3">
      <c r="I228" t="str">
        <f t="shared" ref="I228:I245" si="76">IF(AND(K228&gt; J228, L228&gt; K228, M228&gt; L228, N228&gt; M228), "pos_trend", IF(AND(K228&lt; J228, L228&lt; K228, M228&lt; L228, N228&lt; M228), "neg_trend", "N/A"))</f>
        <v>N/A</v>
      </c>
      <c r="J228" t="str">
        <f t="shared" ref="J228:J245" si="77">IFERROR(IF(TRIM(C228)="-", "N/A", IF(RIGHT(C228,1)=")",IF(RIGHT(C228,2)="T)",-1000000000000*VALUE(MID(C228,2,LEN(C228)-3)),IF(RIGHT(C228,2)="M)",-1000000*VALUE(MID(C228,2,LEN(C228)-3)),IF(RIGHT(C228,2)="B)",-1000000000*VALUE(MID(C228,2,LEN(C228)-3)),IF(RIGHT(C228,2)="k)",-1000*VALUE(MID(C228,2,LEN(C228)-3)),VALUE(SUBSTITUTE(C228,",","")))))),IF(RIGHT(C228,1)="T",1000000000000*VALUE(LEFT(C228,LEN(C228)-1)),IF(RIGHT(C228,1)="M",1000000*VALUE(LEFT(C228,LEN(C228)-1)),IF(RIGHT(C228,1)="B",1000000000*VALUE(LEFT(C228,LEN(C228)-1)),IF(RIGHT(C228,1)="%",0.01*VALUE(LEFT(C228,LEN(C228)-1)),IF(RIGHT(C228,1)="k",1000*VALUE(LEFT(C228,LEN(C228)-1)),VALUE(SUBSTITUTE(C228,",",""))))))))),"N/A")</f>
        <v>N/A</v>
      </c>
      <c r="K228" t="str">
        <f t="shared" ref="K228:K245" si="78">IFERROR(IF(TRIM(D228)="-", "N/A", IF(RIGHT(D228,1)=")",IF(RIGHT(D228,2)="T)",-1000000000000*VALUE(MID(D228,2,LEN(D228)-3)),IF(RIGHT(D228,2)="M)",-1000000*VALUE(MID(D228,2,LEN(D228)-3)),IF(RIGHT(D228,2)="B)",-1000000000*VALUE(MID(D228,2,LEN(D228)-3)),IF(RIGHT(D228,2)="k)",-1000*VALUE(MID(D228,2,LEN(D228)-3)),VALUE(SUBSTITUTE(D228,",","")))))),IF(RIGHT(D228,1)="T",1000000000000*VALUE(LEFT(D228,LEN(D228)-1)),IF(RIGHT(D228,1)="M",1000000*VALUE(LEFT(D228,LEN(D228)-1)),IF(RIGHT(D228,1)="B",1000000000*VALUE(LEFT(D228,LEN(D228)-1)),IF(RIGHT(D228,1)="%",0.01*VALUE(LEFT(D228,LEN(D228)-1)),IF(RIGHT(D228,1)="k",1000*VALUE(LEFT(D228,LEN(D228)-1)),VALUE(SUBSTITUTE(D228,",",""))))))))),"N/A")</f>
        <v>N/A</v>
      </c>
      <c r="L228" t="str">
        <f t="shared" ref="L228:L245" si="79">IFERROR(IF(TRIM(E228)="-", "N/A", IF(RIGHT(E228,1)=")",IF(RIGHT(E228,2)="T)",-1000000000000*VALUE(MID(E228,2,LEN(E228)-3)),IF(RIGHT(E228,2)="M)",-1000000*VALUE(MID(E228,2,LEN(E228)-3)),IF(RIGHT(E228,2)="B)",-1000000000*VALUE(MID(E228,2,LEN(E228)-3)),IF(RIGHT(E228,2)="k)",-1000*VALUE(MID(E228,2,LEN(E228)-3)),VALUE(SUBSTITUTE(E228,",","")))))),IF(RIGHT(E228,1)="T",1000000000000*VALUE(LEFT(E228,LEN(E228)-1)),IF(RIGHT(E228,1)="M",1000000*VALUE(LEFT(E228,LEN(E228)-1)),IF(RIGHT(E228,1)="B",1000000000*VALUE(LEFT(E228,LEN(E228)-1)),IF(RIGHT(E228,1)="%",0.01*VALUE(LEFT(E228,LEN(E228)-1)),IF(RIGHT(E228,1)="k",1000*VALUE(LEFT(E228,LEN(E228)-1)),VALUE(SUBSTITUTE(E228,",",""))))))))),"N/A")</f>
        <v>N/A</v>
      </c>
      <c r="M228" t="str">
        <f t="shared" ref="M228:M245" si="80">IFERROR(IF(TRIM(F228)="-", "N/A", IF(RIGHT(F228,1)=")",IF(RIGHT(F228,2)="T)",-1000000000000*VALUE(MID(F228,2,LEN(F228)-3)),IF(RIGHT(F228,2)="M)",-1000000*VALUE(MID(F228,2,LEN(F228)-3)),IF(RIGHT(F228,2)="B)",-1000000000*VALUE(MID(F228,2,LEN(F228)-3)),IF(RIGHT(F228,2)="k)",-1000*VALUE(MID(F228,2,LEN(F228)-3)),VALUE(SUBSTITUTE(F228,",","")))))),IF(RIGHT(F228,1)="T",1000000000000*VALUE(LEFT(F228,LEN(F228)-1)),IF(RIGHT(F228,1)="M",1000000*VALUE(LEFT(F228,LEN(F228)-1)),IF(RIGHT(F228,1)="B",1000000000*VALUE(LEFT(F228,LEN(F228)-1)),IF(RIGHT(F228,1)="%",0.01*VALUE(LEFT(F228,LEN(F228)-1)),IF(RIGHT(F228,1)="k",1000*VALUE(LEFT(F228,LEN(F228)-1)),VALUE(SUBSTITUTE(F228,",",""))))))))),"N/A")</f>
        <v>N/A</v>
      </c>
      <c r="N228" t="str">
        <f t="shared" ref="N228:N245" si="81">IFERROR(IF(TRIM(G228)="-", "N/A", IF(RIGHT(G228,1)=")",IF(RIGHT(G228,2)="T)",-1000000000000*VALUE(MID(G228,2,LEN(G228)-3)),IF(RIGHT(G228,2)="M)",-1000000*VALUE(MID(G228,2,LEN(G228)-3)),IF(RIGHT(G228,2)="B)",-1000000000*VALUE(MID(G228,2,LEN(G228)-3)),IF(RIGHT(G228,2)="k)",-1000*VALUE(MID(G228,2,LEN(G228)-3)),VALUE(SUBSTITUTE(G228,",","")))))),IF(RIGHT(G228,1)="T",1000000000000*VALUE(LEFT(G228,LEN(G228)-1)),IF(RIGHT(G228,1)="M",1000000*VALUE(LEFT(G228,LEN(G228)-1)),IF(RIGHT(G228,1)="B",1000000000*VALUE(LEFT(G228,LEN(G228)-1)),IF(RIGHT(G228,1)="%",0.01*VALUE(LEFT(G228,LEN(G228)-1)),IF(RIGHT(G228,1)="k",1000*VALUE(LEFT(G228,LEN(G228)-1)),VALUE(SUBSTITUTE(G228,",",""))))))))),"N/A")</f>
        <v>N/A</v>
      </c>
      <c r="P228">
        <f t="shared" si="58"/>
        <v>0</v>
      </c>
      <c r="Q228" t="str">
        <f>IFERROR(J144+MATCH(P228,J228:N228,0)-1,"")</f>
        <v/>
      </c>
      <c r="R228" t="str">
        <f t="shared" si="59"/>
        <v/>
      </c>
      <c r="S228" t="str">
        <f>IFERROR(J144+MATCH(R228,J228:N228,0)-1,"")</f>
        <v/>
      </c>
      <c r="T228" t="str">
        <f t="shared" si="60"/>
        <v/>
      </c>
      <c r="U228" t="str">
        <f t="shared" si="61"/>
        <v/>
      </c>
      <c r="V228" t="str">
        <f t="shared" si="62"/>
        <v/>
      </c>
      <c r="W228" t="str">
        <f t="shared" si="63"/>
        <v/>
      </c>
      <c r="X228" t="str">
        <f t="shared" si="64"/>
        <v/>
      </c>
      <c r="Y228" t="str">
        <f t="shared" si="65"/>
        <v/>
      </c>
      <c r="Z228" t="str">
        <f t="shared" si="66"/>
        <v/>
      </c>
      <c r="AA228">
        <f t="shared" si="67"/>
        <v>0</v>
      </c>
      <c r="AB228" t="str">
        <f>IFERROR(V144+MATCH(AA228,V228:Z228,0)-1,"")</f>
        <v/>
      </c>
      <c r="AC228" t="str">
        <f t="shared" si="68"/>
        <v/>
      </c>
      <c r="AE228" t="str">
        <f>IF(ISNUMBER(MATCH("N/A",J228:N228,0)),"",IFERROR((5 * SUMPRODUCT(J144:N144,J228:N228) - PRODUCT(SUM(J144:N144),SUM(J228:N228))) / ((5 * SUM((J144^2)+(K144^2)+(L144^2)+(M144^2)+(N144^2))) - SUM(J144:N144)^2),""))</f>
        <v/>
      </c>
      <c r="AF228" t="str">
        <f>IFERROR(CORREL(J144:N144,J228:N228),"")</f>
        <v/>
      </c>
      <c r="AZ228">
        <f t="shared" si="69"/>
        <v>0</v>
      </c>
      <c r="BA228" t="str">
        <f>IF(AZ228=1,IF(Q228="","",IF(Q228=N144,"Yes","No")),"")</f>
        <v/>
      </c>
      <c r="BB228" t="str">
        <f t="shared" si="70"/>
        <v/>
      </c>
      <c r="BC228" t="str">
        <f>IF(AZ228=1,IF(S228="","",IF(S228=N144,"Yes","No")),"")</f>
        <v/>
      </c>
      <c r="BD228" t="str">
        <f t="shared" si="71"/>
        <v/>
      </c>
      <c r="BE228" t="str">
        <f t="shared" si="72"/>
        <v/>
      </c>
      <c r="BF228" t="str">
        <f t="shared" si="73"/>
        <v>No</v>
      </c>
      <c r="BG228" t="str">
        <f t="shared" si="74"/>
        <v>No</v>
      </c>
      <c r="BH228" t="str">
        <f t="shared" si="75"/>
        <v/>
      </c>
    </row>
    <row r="229" spans="9:60" x14ac:dyDescent="0.3">
      <c r="I229" t="str">
        <f t="shared" si="76"/>
        <v>N/A</v>
      </c>
      <c r="J229" t="str">
        <f t="shared" si="77"/>
        <v>N/A</v>
      </c>
      <c r="K229" t="str">
        <f t="shared" si="78"/>
        <v>N/A</v>
      </c>
      <c r="L229" t="str">
        <f t="shared" si="79"/>
        <v>N/A</v>
      </c>
      <c r="M229" t="str">
        <f t="shared" si="80"/>
        <v>N/A</v>
      </c>
      <c r="N229" t="str">
        <f t="shared" si="81"/>
        <v>N/A</v>
      </c>
      <c r="P229">
        <f t="shared" si="58"/>
        <v>0</v>
      </c>
      <c r="Q229" t="str">
        <f>IFERROR(J144+MATCH(P229,J229:N229,0)-1,"")</f>
        <v/>
      </c>
      <c r="R229" t="str">
        <f t="shared" si="59"/>
        <v/>
      </c>
      <c r="S229" t="str">
        <f>IFERROR(J144+MATCH(R229,J229:N229,0)-1,"")</f>
        <v/>
      </c>
      <c r="T229" t="str">
        <f t="shared" si="60"/>
        <v/>
      </c>
      <c r="U229" t="str">
        <f t="shared" si="61"/>
        <v/>
      </c>
      <c r="V229" t="str">
        <f t="shared" si="62"/>
        <v/>
      </c>
      <c r="W229" t="str">
        <f t="shared" si="63"/>
        <v/>
      </c>
      <c r="X229" t="str">
        <f t="shared" si="64"/>
        <v/>
      </c>
      <c r="Y229" t="str">
        <f t="shared" si="65"/>
        <v/>
      </c>
      <c r="Z229" t="str">
        <f t="shared" si="66"/>
        <v/>
      </c>
      <c r="AA229">
        <f t="shared" si="67"/>
        <v>0</v>
      </c>
      <c r="AB229" t="str">
        <f>IFERROR(V144+MATCH(AA229,V229:Z229,0)-1,"")</f>
        <v/>
      </c>
      <c r="AC229" t="str">
        <f t="shared" si="68"/>
        <v/>
      </c>
      <c r="AE229" t="str">
        <f>IF(ISNUMBER(MATCH("N/A",J229:N229,0)),"",IFERROR((5 * SUMPRODUCT(J144:N144,J229:N229) - PRODUCT(SUM(J144:N144),SUM(J229:N229))) / ((5 * SUM((J144^2)+(K144^2)+(L144^2)+(M144^2)+(N144^2))) - SUM(J144:N144)^2),""))</f>
        <v/>
      </c>
      <c r="AF229" t="str">
        <f>IFERROR(CORREL(J144:N144,J229:N229),"")</f>
        <v/>
      </c>
      <c r="AZ229">
        <f t="shared" si="69"/>
        <v>0</v>
      </c>
      <c r="BA229" t="str">
        <f>IF(AZ229=1,IF(Q229="","",IF(Q229=N144,"Yes","No")),"")</f>
        <v/>
      </c>
      <c r="BB229" t="str">
        <f t="shared" si="70"/>
        <v/>
      </c>
      <c r="BC229" t="str">
        <f>IF(AZ229=1,IF(S229="","",IF(S229=N144,"Yes","No")),"")</f>
        <v/>
      </c>
      <c r="BD229" t="str">
        <f t="shared" si="71"/>
        <v/>
      </c>
      <c r="BE229" t="str">
        <f t="shared" si="72"/>
        <v/>
      </c>
      <c r="BF229" t="str">
        <f t="shared" si="73"/>
        <v>No</v>
      </c>
      <c r="BG229" t="str">
        <f t="shared" si="74"/>
        <v>No</v>
      </c>
      <c r="BH229" t="str">
        <f t="shared" si="75"/>
        <v/>
      </c>
    </row>
    <row r="230" spans="9:60" x14ac:dyDescent="0.3">
      <c r="I230" t="str">
        <f t="shared" si="76"/>
        <v>N/A</v>
      </c>
      <c r="J230" t="str">
        <f t="shared" si="77"/>
        <v>N/A</v>
      </c>
      <c r="K230" t="str">
        <f t="shared" si="78"/>
        <v>N/A</v>
      </c>
      <c r="L230" t="str">
        <f t="shared" si="79"/>
        <v>N/A</v>
      </c>
      <c r="M230" t="str">
        <f t="shared" si="80"/>
        <v>N/A</v>
      </c>
      <c r="N230" t="str">
        <f t="shared" si="81"/>
        <v>N/A</v>
      </c>
      <c r="P230">
        <f t="shared" si="58"/>
        <v>0</v>
      </c>
      <c r="Q230" t="str">
        <f>IFERROR(J144+MATCH(P230,J230:N230,0)-1,"")</f>
        <v/>
      </c>
      <c r="R230" t="str">
        <f t="shared" si="59"/>
        <v/>
      </c>
      <c r="S230" t="str">
        <f>IFERROR(J144+MATCH(R230,J230:N230,0)-1,"")</f>
        <v/>
      </c>
      <c r="T230" t="str">
        <f t="shared" si="60"/>
        <v/>
      </c>
      <c r="U230" t="str">
        <f t="shared" si="61"/>
        <v/>
      </c>
      <c r="V230" t="str">
        <f t="shared" si="62"/>
        <v/>
      </c>
      <c r="W230" t="str">
        <f t="shared" si="63"/>
        <v/>
      </c>
      <c r="X230" t="str">
        <f t="shared" si="64"/>
        <v/>
      </c>
      <c r="Y230" t="str">
        <f t="shared" si="65"/>
        <v/>
      </c>
      <c r="Z230" t="str">
        <f t="shared" si="66"/>
        <v/>
      </c>
      <c r="AA230">
        <f t="shared" si="67"/>
        <v>0</v>
      </c>
      <c r="AB230" t="str">
        <f>IFERROR(V144+MATCH(AA230,V230:Z230,0)-1,"")</f>
        <v/>
      </c>
      <c r="AC230" t="str">
        <f t="shared" si="68"/>
        <v/>
      </c>
      <c r="AE230" t="str">
        <f>IF(ISNUMBER(MATCH("N/A",J230:N230,0)),"",IFERROR((5 * SUMPRODUCT(J144:N144,J230:N230) - PRODUCT(SUM(J144:N144),SUM(J230:N230))) / ((5 * SUM((J144^2)+(K144^2)+(L144^2)+(M144^2)+(N144^2))) - SUM(J144:N144)^2),""))</f>
        <v/>
      </c>
      <c r="AF230" t="str">
        <f>IFERROR(CORREL(J144:N144,J230:N230),"")</f>
        <v/>
      </c>
      <c r="AZ230">
        <f t="shared" si="69"/>
        <v>0</v>
      </c>
      <c r="BA230" t="str">
        <f>IF(AZ230=1,IF(Q230="","",IF(Q230=N144,"Yes","No")),"")</f>
        <v/>
      </c>
      <c r="BB230" t="str">
        <f t="shared" si="70"/>
        <v/>
      </c>
      <c r="BC230" t="str">
        <f>IF(AZ230=1,IF(S230="","",IF(S230=N144,"Yes","No")),"")</f>
        <v/>
      </c>
      <c r="BD230" t="str">
        <f t="shared" si="71"/>
        <v/>
      </c>
      <c r="BE230" t="str">
        <f t="shared" si="72"/>
        <v/>
      </c>
      <c r="BF230" t="str">
        <f t="shared" si="73"/>
        <v>No</v>
      </c>
      <c r="BG230" t="str">
        <f t="shared" si="74"/>
        <v>No</v>
      </c>
      <c r="BH230" t="str">
        <f t="shared" si="75"/>
        <v/>
      </c>
    </row>
    <row r="231" spans="9:60" x14ac:dyDescent="0.3">
      <c r="I231" t="str">
        <f t="shared" si="76"/>
        <v>N/A</v>
      </c>
      <c r="J231" t="str">
        <f t="shared" si="77"/>
        <v>N/A</v>
      </c>
      <c r="K231" t="str">
        <f t="shared" si="78"/>
        <v>N/A</v>
      </c>
      <c r="L231" t="str">
        <f t="shared" si="79"/>
        <v>N/A</v>
      </c>
      <c r="M231" t="str">
        <f t="shared" si="80"/>
        <v>N/A</v>
      </c>
      <c r="N231" t="str">
        <f t="shared" si="81"/>
        <v>N/A</v>
      </c>
      <c r="P231">
        <f t="shared" si="58"/>
        <v>0</v>
      </c>
      <c r="Q231" t="str">
        <f>IFERROR(J144+MATCH(P231,J231:N231,0)-1,"")</f>
        <v/>
      </c>
      <c r="R231" t="str">
        <f t="shared" si="59"/>
        <v/>
      </c>
      <c r="S231" t="str">
        <f>IFERROR(J144+MATCH(R231,J231:N231,0)-1,"")</f>
        <v/>
      </c>
      <c r="T231" t="str">
        <f t="shared" si="60"/>
        <v/>
      </c>
      <c r="U231" t="str">
        <f t="shared" si="61"/>
        <v/>
      </c>
      <c r="V231" t="str">
        <f t="shared" si="62"/>
        <v/>
      </c>
      <c r="W231" t="str">
        <f t="shared" si="63"/>
        <v/>
      </c>
      <c r="X231" t="str">
        <f t="shared" si="64"/>
        <v/>
      </c>
      <c r="Y231" t="str">
        <f t="shared" si="65"/>
        <v/>
      </c>
      <c r="Z231" t="str">
        <f t="shared" si="66"/>
        <v/>
      </c>
      <c r="AA231">
        <f t="shared" si="67"/>
        <v>0</v>
      </c>
      <c r="AB231" t="str">
        <f>IFERROR(V144+MATCH(AA231,V231:Z231,0)-1,"")</f>
        <v/>
      </c>
      <c r="AC231" t="str">
        <f t="shared" si="68"/>
        <v/>
      </c>
      <c r="AE231" t="str">
        <f>IF(ISNUMBER(MATCH("N/A",J231:N231,0)),"",IFERROR((5 * SUMPRODUCT(J144:N144,J231:N231) - PRODUCT(SUM(J144:N144),SUM(J231:N231))) / ((5 * SUM((J144^2)+(K144^2)+(L144^2)+(M144^2)+(N144^2))) - SUM(J144:N144)^2),""))</f>
        <v/>
      </c>
      <c r="AF231" t="str">
        <f>IFERROR(CORREL(J144:N144,J231:N231),"")</f>
        <v/>
      </c>
      <c r="AZ231">
        <f t="shared" si="69"/>
        <v>0</v>
      </c>
      <c r="BA231" t="str">
        <f>IF(AZ231=1,IF(Q231="","",IF(Q231=N144,"Yes","No")),"")</f>
        <v/>
      </c>
      <c r="BB231" t="str">
        <f t="shared" si="70"/>
        <v/>
      </c>
      <c r="BC231" t="str">
        <f>IF(AZ231=1,IF(S231="","",IF(S231=N144,"Yes","No")),"")</f>
        <v/>
      </c>
      <c r="BD231" t="str">
        <f t="shared" si="71"/>
        <v/>
      </c>
      <c r="BE231" t="str">
        <f t="shared" si="72"/>
        <v/>
      </c>
      <c r="BF231" t="str">
        <f t="shared" si="73"/>
        <v>No</v>
      </c>
      <c r="BG231" t="str">
        <f t="shared" si="74"/>
        <v>No</v>
      </c>
      <c r="BH231" t="str">
        <f t="shared" si="75"/>
        <v/>
      </c>
    </row>
    <row r="232" spans="9:60" x14ac:dyDescent="0.3">
      <c r="I232" t="str">
        <f t="shared" si="76"/>
        <v>N/A</v>
      </c>
      <c r="J232" t="str">
        <f t="shared" si="77"/>
        <v>N/A</v>
      </c>
      <c r="K232" t="str">
        <f t="shared" si="78"/>
        <v>N/A</v>
      </c>
      <c r="L232" t="str">
        <f t="shared" si="79"/>
        <v>N/A</v>
      </c>
      <c r="M232" t="str">
        <f t="shared" si="80"/>
        <v>N/A</v>
      </c>
      <c r="N232" t="str">
        <f t="shared" si="81"/>
        <v>N/A</v>
      </c>
      <c r="P232">
        <f t="shared" si="58"/>
        <v>0</v>
      </c>
      <c r="Q232" t="str">
        <f>IFERROR(J144+MATCH(P232,J232:N232,0)-1,"")</f>
        <v/>
      </c>
      <c r="R232" t="str">
        <f t="shared" si="59"/>
        <v/>
      </c>
      <c r="S232" t="str">
        <f>IFERROR(J144+MATCH(R232,J232:N232,0)-1,"")</f>
        <v/>
      </c>
      <c r="T232" t="str">
        <f t="shared" si="60"/>
        <v/>
      </c>
      <c r="U232" t="str">
        <f t="shared" si="61"/>
        <v/>
      </c>
      <c r="V232" t="str">
        <f t="shared" si="62"/>
        <v/>
      </c>
      <c r="W232" t="str">
        <f t="shared" si="63"/>
        <v/>
      </c>
      <c r="X232" t="str">
        <f t="shared" si="64"/>
        <v/>
      </c>
      <c r="Y232" t="str">
        <f t="shared" si="65"/>
        <v/>
      </c>
      <c r="Z232" t="str">
        <f t="shared" si="66"/>
        <v/>
      </c>
      <c r="AA232">
        <f t="shared" si="67"/>
        <v>0</v>
      </c>
      <c r="AB232" t="str">
        <f>IFERROR(V144+MATCH(AA232,V232:Z232,0)-1,"")</f>
        <v/>
      </c>
      <c r="AC232" t="str">
        <f t="shared" si="68"/>
        <v/>
      </c>
      <c r="AE232" t="str">
        <f>IF(ISNUMBER(MATCH("N/A",J232:N232,0)),"",IFERROR((5 * SUMPRODUCT(J144:N144,J232:N232) - PRODUCT(SUM(J144:N144),SUM(J232:N232))) / ((5 * SUM((J144^2)+(K144^2)+(L144^2)+(M144^2)+(N144^2))) - SUM(J144:N144)^2),""))</f>
        <v/>
      </c>
      <c r="AF232" t="str">
        <f>IFERROR(CORREL(J144:N144,J232:N232),"")</f>
        <v/>
      </c>
      <c r="AZ232">
        <f t="shared" si="69"/>
        <v>0</v>
      </c>
      <c r="BA232" t="str">
        <f>IF(AZ232=1,IF(Q232="","",IF(Q232=N144,"Yes","No")),"")</f>
        <v/>
      </c>
      <c r="BB232" t="str">
        <f t="shared" si="70"/>
        <v/>
      </c>
      <c r="BC232" t="str">
        <f>IF(AZ232=1,IF(S232="","",IF(S232=N144,"Yes","No")),"")</f>
        <v/>
      </c>
      <c r="BD232" t="str">
        <f t="shared" si="71"/>
        <v/>
      </c>
      <c r="BE232" t="str">
        <f t="shared" si="72"/>
        <v/>
      </c>
      <c r="BF232" t="str">
        <f t="shared" si="73"/>
        <v>No</v>
      </c>
      <c r="BG232" t="str">
        <f t="shared" si="74"/>
        <v>No</v>
      </c>
      <c r="BH232" t="str">
        <f t="shared" si="75"/>
        <v/>
      </c>
    </row>
    <row r="233" spans="9:60" x14ac:dyDescent="0.3">
      <c r="I233" t="str">
        <f t="shared" si="76"/>
        <v>N/A</v>
      </c>
      <c r="J233" t="str">
        <f t="shared" si="77"/>
        <v>N/A</v>
      </c>
      <c r="K233" t="str">
        <f t="shared" si="78"/>
        <v>N/A</v>
      </c>
      <c r="L233" t="str">
        <f t="shared" si="79"/>
        <v>N/A</v>
      </c>
      <c r="M233" t="str">
        <f t="shared" si="80"/>
        <v>N/A</v>
      </c>
      <c r="N233" t="str">
        <f t="shared" si="81"/>
        <v>N/A</v>
      </c>
      <c r="P233">
        <f t="shared" si="58"/>
        <v>0</v>
      </c>
      <c r="Q233" t="str">
        <f>IFERROR(J144+MATCH(P233,J233:N233,0)-1,"")</f>
        <v/>
      </c>
      <c r="R233" t="str">
        <f t="shared" si="59"/>
        <v/>
      </c>
      <c r="S233" t="str">
        <f>IFERROR(J144+MATCH(R233,J233:N233,0)-1,"")</f>
        <v/>
      </c>
      <c r="T233" t="str">
        <f t="shared" si="60"/>
        <v/>
      </c>
      <c r="U233" t="str">
        <f t="shared" si="61"/>
        <v/>
      </c>
      <c r="V233" t="str">
        <f t="shared" si="62"/>
        <v/>
      </c>
      <c r="W233" t="str">
        <f t="shared" si="63"/>
        <v/>
      </c>
      <c r="X233" t="str">
        <f t="shared" si="64"/>
        <v/>
      </c>
      <c r="Y233" t="str">
        <f t="shared" si="65"/>
        <v/>
      </c>
      <c r="Z233" t="str">
        <f t="shared" si="66"/>
        <v/>
      </c>
      <c r="AA233">
        <f t="shared" si="67"/>
        <v>0</v>
      </c>
      <c r="AB233" t="str">
        <f>IFERROR(V144+MATCH(AA233,V233:Z233,0)-1,"")</f>
        <v/>
      </c>
      <c r="AC233" t="str">
        <f t="shared" si="68"/>
        <v/>
      </c>
      <c r="AE233" t="str">
        <f>IF(ISNUMBER(MATCH("N/A",J233:N233,0)),"",IFERROR((5 * SUMPRODUCT(J144:N144,J233:N233) - PRODUCT(SUM(J144:N144),SUM(J233:N233))) / ((5 * SUM((J144^2)+(K144^2)+(L144^2)+(M144^2)+(N144^2))) - SUM(J144:N144)^2),""))</f>
        <v/>
      </c>
      <c r="AF233" t="str">
        <f>IFERROR(CORREL(J144:N144,J233:N233),"")</f>
        <v/>
      </c>
      <c r="AZ233">
        <f t="shared" si="69"/>
        <v>0</v>
      </c>
      <c r="BA233" t="str">
        <f>IF(AZ233=1,IF(Q233="","",IF(Q233=N144,"Yes","No")),"")</f>
        <v/>
      </c>
      <c r="BB233" t="str">
        <f t="shared" si="70"/>
        <v/>
      </c>
      <c r="BC233" t="str">
        <f>IF(AZ233=1,IF(S233="","",IF(S233=N144,"Yes","No")),"")</f>
        <v/>
      </c>
      <c r="BD233" t="str">
        <f t="shared" si="71"/>
        <v/>
      </c>
      <c r="BE233" t="str">
        <f t="shared" si="72"/>
        <v/>
      </c>
      <c r="BF233" t="str">
        <f t="shared" si="73"/>
        <v>No</v>
      </c>
      <c r="BG233" t="str">
        <f t="shared" si="74"/>
        <v>No</v>
      </c>
      <c r="BH233" t="str">
        <f t="shared" si="75"/>
        <v/>
      </c>
    </row>
    <row r="234" spans="9:60" x14ac:dyDescent="0.3">
      <c r="I234" t="str">
        <f t="shared" si="76"/>
        <v>N/A</v>
      </c>
      <c r="J234" t="str">
        <f t="shared" si="77"/>
        <v>N/A</v>
      </c>
      <c r="K234" t="str">
        <f t="shared" si="78"/>
        <v>N/A</v>
      </c>
      <c r="L234" t="str">
        <f t="shared" si="79"/>
        <v>N/A</v>
      </c>
      <c r="M234" t="str">
        <f t="shared" si="80"/>
        <v>N/A</v>
      </c>
      <c r="N234" t="str">
        <f t="shared" si="81"/>
        <v>N/A</v>
      </c>
      <c r="P234">
        <f t="shared" si="58"/>
        <v>0</v>
      </c>
      <c r="Q234" t="str">
        <f>IFERROR(J144+MATCH(P234,J234:N234,0)-1,"")</f>
        <v/>
      </c>
      <c r="R234" t="str">
        <f t="shared" si="59"/>
        <v/>
      </c>
      <c r="S234" t="str">
        <f>IFERROR(J144+MATCH(R234,J234:N234,0)-1,"")</f>
        <v/>
      </c>
      <c r="T234" t="str">
        <f t="shared" si="60"/>
        <v/>
      </c>
      <c r="U234" t="str">
        <f t="shared" si="61"/>
        <v/>
      </c>
      <c r="V234" t="str">
        <f t="shared" si="62"/>
        <v/>
      </c>
      <c r="W234" t="str">
        <f t="shared" si="63"/>
        <v/>
      </c>
      <c r="X234" t="str">
        <f t="shared" si="64"/>
        <v/>
      </c>
      <c r="Y234" t="str">
        <f t="shared" si="65"/>
        <v/>
      </c>
      <c r="Z234" t="str">
        <f t="shared" si="66"/>
        <v/>
      </c>
      <c r="AA234">
        <f t="shared" si="67"/>
        <v>0</v>
      </c>
      <c r="AB234" t="str">
        <f>IFERROR(V144+MATCH(AA234,V234:Z234,0)-1,"")</f>
        <v/>
      </c>
      <c r="AC234" t="str">
        <f t="shared" si="68"/>
        <v/>
      </c>
      <c r="AE234" t="str">
        <f>IF(ISNUMBER(MATCH("N/A",J234:N234,0)),"",IFERROR((5 * SUMPRODUCT(J144:N144,J234:N234) - PRODUCT(SUM(J144:N144),SUM(J234:N234))) / ((5 * SUM((J144^2)+(K144^2)+(L144^2)+(M144^2)+(N144^2))) - SUM(J144:N144)^2),""))</f>
        <v/>
      </c>
      <c r="AF234" t="str">
        <f>IFERROR(CORREL(J144:N144,J234:N234),"")</f>
        <v/>
      </c>
      <c r="AZ234">
        <f t="shared" si="69"/>
        <v>0</v>
      </c>
      <c r="BA234" t="str">
        <f>IF(AZ234=1,IF(Q234="","",IF(Q234=N144,"Yes","No")),"")</f>
        <v/>
      </c>
      <c r="BB234" t="str">
        <f t="shared" si="70"/>
        <v/>
      </c>
      <c r="BC234" t="str">
        <f>IF(AZ234=1,IF(S234="","",IF(S234=N144,"Yes","No")),"")</f>
        <v/>
      </c>
      <c r="BD234" t="str">
        <f t="shared" si="71"/>
        <v/>
      </c>
      <c r="BE234" t="str">
        <f t="shared" si="72"/>
        <v/>
      </c>
      <c r="BF234" t="str">
        <f t="shared" si="73"/>
        <v>No</v>
      </c>
      <c r="BG234" t="str">
        <f t="shared" si="74"/>
        <v>No</v>
      </c>
      <c r="BH234" t="str">
        <f t="shared" si="75"/>
        <v/>
      </c>
    </row>
    <row r="235" spans="9:60" x14ac:dyDescent="0.3">
      <c r="I235" t="str">
        <f t="shared" si="76"/>
        <v>N/A</v>
      </c>
      <c r="J235" t="str">
        <f t="shared" si="77"/>
        <v>N/A</v>
      </c>
      <c r="K235" t="str">
        <f t="shared" si="78"/>
        <v>N/A</v>
      </c>
      <c r="L235" t="str">
        <f t="shared" si="79"/>
        <v>N/A</v>
      </c>
      <c r="M235" t="str">
        <f t="shared" si="80"/>
        <v>N/A</v>
      </c>
      <c r="N235" t="str">
        <f t="shared" si="81"/>
        <v>N/A</v>
      </c>
      <c r="P235">
        <f t="shared" si="58"/>
        <v>0</v>
      </c>
      <c r="Q235" t="str">
        <f>IFERROR(J144+MATCH(P235,J235:N235,0)-1,"")</f>
        <v/>
      </c>
      <c r="R235" t="str">
        <f t="shared" si="59"/>
        <v/>
      </c>
      <c r="S235" t="str">
        <f>IFERROR(J144+MATCH(R235,J235:N235,0)-1,"")</f>
        <v/>
      </c>
      <c r="T235" t="str">
        <f t="shared" si="60"/>
        <v/>
      </c>
      <c r="U235" t="str">
        <f t="shared" si="61"/>
        <v/>
      </c>
      <c r="V235" t="str">
        <f t="shared" si="62"/>
        <v/>
      </c>
      <c r="W235" t="str">
        <f t="shared" si="63"/>
        <v/>
      </c>
      <c r="X235" t="str">
        <f t="shared" si="64"/>
        <v/>
      </c>
      <c r="Y235" t="str">
        <f t="shared" si="65"/>
        <v/>
      </c>
      <c r="Z235" t="str">
        <f t="shared" si="66"/>
        <v/>
      </c>
      <c r="AA235">
        <f t="shared" si="67"/>
        <v>0</v>
      </c>
      <c r="AB235" t="str">
        <f>IFERROR(V144+MATCH(AA235,V235:Z235,0)-1,"")</f>
        <v/>
      </c>
      <c r="AC235" t="str">
        <f t="shared" si="68"/>
        <v/>
      </c>
      <c r="AE235" t="str">
        <f>IF(ISNUMBER(MATCH("N/A",J235:N235,0)),"",IFERROR((5 * SUMPRODUCT(J144:N144,J235:N235) - PRODUCT(SUM(J144:N144),SUM(J235:N235))) / ((5 * SUM((J144^2)+(K144^2)+(L144^2)+(M144^2)+(N144^2))) - SUM(J144:N144)^2),""))</f>
        <v/>
      </c>
      <c r="AF235" t="str">
        <f>IFERROR(CORREL(J144:N144,J235:N235),"")</f>
        <v/>
      </c>
      <c r="AZ235">
        <f t="shared" si="69"/>
        <v>0</v>
      </c>
      <c r="BA235" t="str">
        <f>IF(AZ235=1,IF(Q235="","",IF(Q235=N144,"Yes","No")),"")</f>
        <v/>
      </c>
      <c r="BB235" t="str">
        <f t="shared" si="70"/>
        <v/>
      </c>
      <c r="BC235" t="str">
        <f>IF(AZ235=1,IF(S235="","",IF(S235=N144,"Yes","No")),"")</f>
        <v/>
      </c>
      <c r="BD235" t="str">
        <f t="shared" si="71"/>
        <v/>
      </c>
      <c r="BE235" t="str">
        <f t="shared" si="72"/>
        <v/>
      </c>
      <c r="BF235" t="str">
        <f t="shared" si="73"/>
        <v>No</v>
      </c>
      <c r="BG235" t="str">
        <f t="shared" si="74"/>
        <v>No</v>
      </c>
      <c r="BH235" t="str">
        <f t="shared" si="75"/>
        <v/>
      </c>
    </row>
    <row r="236" spans="9:60" x14ac:dyDescent="0.3">
      <c r="I236" t="str">
        <f t="shared" si="76"/>
        <v>N/A</v>
      </c>
      <c r="J236" t="str">
        <f t="shared" si="77"/>
        <v>N/A</v>
      </c>
      <c r="K236" t="str">
        <f t="shared" si="78"/>
        <v>N/A</v>
      </c>
      <c r="L236" t="str">
        <f t="shared" si="79"/>
        <v>N/A</v>
      </c>
      <c r="M236" t="str">
        <f t="shared" si="80"/>
        <v>N/A</v>
      </c>
      <c r="N236" t="str">
        <f t="shared" si="81"/>
        <v>N/A</v>
      </c>
      <c r="P236">
        <f t="shared" si="58"/>
        <v>0</v>
      </c>
      <c r="Q236" t="str">
        <f>IFERROR(J144+MATCH(P236,J236:N236,0)-1,"")</f>
        <v/>
      </c>
      <c r="R236" t="str">
        <f t="shared" si="59"/>
        <v/>
      </c>
      <c r="S236" t="str">
        <f>IFERROR(J144+MATCH(R236,J236:N236,0)-1,"")</f>
        <v/>
      </c>
      <c r="T236" t="str">
        <f t="shared" si="60"/>
        <v/>
      </c>
      <c r="U236" t="str">
        <f t="shared" si="61"/>
        <v/>
      </c>
      <c r="V236" t="str">
        <f t="shared" si="62"/>
        <v/>
      </c>
      <c r="W236" t="str">
        <f t="shared" si="63"/>
        <v/>
      </c>
      <c r="X236" t="str">
        <f t="shared" si="64"/>
        <v/>
      </c>
      <c r="Y236" t="str">
        <f t="shared" si="65"/>
        <v/>
      </c>
      <c r="Z236" t="str">
        <f t="shared" si="66"/>
        <v/>
      </c>
      <c r="AA236">
        <f t="shared" si="67"/>
        <v>0</v>
      </c>
      <c r="AB236" t="str">
        <f>IFERROR(V144+MATCH(AA236,V236:Z236,0)-1,"")</f>
        <v/>
      </c>
      <c r="AC236" t="str">
        <f t="shared" si="68"/>
        <v/>
      </c>
      <c r="AE236" t="str">
        <f>IF(ISNUMBER(MATCH("N/A",J236:N236,0)),"",IFERROR((5 * SUMPRODUCT(J144:N144,J236:N236) - PRODUCT(SUM(J144:N144),SUM(J236:N236))) / ((5 * SUM((J144^2)+(K144^2)+(L144^2)+(M144^2)+(N144^2))) - SUM(J144:N144)^2),""))</f>
        <v/>
      </c>
      <c r="AF236" t="str">
        <f>IFERROR(CORREL(J144:N144,J236:N236),"")</f>
        <v/>
      </c>
      <c r="AZ236">
        <f t="shared" si="69"/>
        <v>0</v>
      </c>
      <c r="BA236" t="str">
        <f>IF(AZ236=1,IF(Q236="","",IF(Q236=N144,"Yes","No")),"")</f>
        <v/>
      </c>
      <c r="BB236" t="str">
        <f t="shared" si="70"/>
        <v/>
      </c>
      <c r="BC236" t="str">
        <f>IF(AZ236=1,IF(S236="","",IF(S236=N144,"Yes","No")),"")</f>
        <v/>
      </c>
      <c r="BD236" t="str">
        <f t="shared" si="71"/>
        <v/>
      </c>
      <c r="BE236" t="str">
        <f t="shared" si="72"/>
        <v/>
      </c>
      <c r="BF236" t="str">
        <f t="shared" si="73"/>
        <v>No</v>
      </c>
      <c r="BG236" t="str">
        <f t="shared" si="74"/>
        <v>No</v>
      </c>
      <c r="BH236" t="str">
        <f t="shared" si="75"/>
        <v/>
      </c>
    </row>
    <row r="237" spans="9:60" x14ac:dyDescent="0.3">
      <c r="I237" t="str">
        <f t="shared" si="76"/>
        <v>N/A</v>
      </c>
      <c r="J237" t="str">
        <f t="shared" si="77"/>
        <v>N/A</v>
      </c>
      <c r="K237" t="str">
        <f t="shared" si="78"/>
        <v>N/A</v>
      </c>
      <c r="L237" t="str">
        <f t="shared" si="79"/>
        <v>N/A</v>
      </c>
      <c r="M237" t="str">
        <f t="shared" si="80"/>
        <v>N/A</v>
      </c>
      <c r="N237" t="str">
        <f t="shared" si="81"/>
        <v>N/A</v>
      </c>
      <c r="P237">
        <f t="shared" si="58"/>
        <v>0</v>
      </c>
      <c r="Q237" t="str">
        <f>IFERROR(J144+MATCH(P237,J237:N237,0)-1,"")</f>
        <v/>
      </c>
      <c r="R237" t="str">
        <f t="shared" si="59"/>
        <v/>
      </c>
      <c r="S237" t="str">
        <f>IFERROR(J144+MATCH(R237,J237:N237,0)-1,"")</f>
        <v/>
      </c>
      <c r="T237" t="str">
        <f t="shared" si="60"/>
        <v/>
      </c>
      <c r="U237" t="str">
        <f t="shared" si="61"/>
        <v/>
      </c>
      <c r="V237" t="str">
        <f t="shared" si="62"/>
        <v/>
      </c>
      <c r="W237" t="str">
        <f t="shared" si="63"/>
        <v/>
      </c>
      <c r="X237" t="str">
        <f t="shared" si="64"/>
        <v/>
      </c>
      <c r="Y237" t="str">
        <f t="shared" si="65"/>
        <v/>
      </c>
      <c r="Z237" t="str">
        <f t="shared" si="66"/>
        <v/>
      </c>
      <c r="AA237">
        <f t="shared" si="67"/>
        <v>0</v>
      </c>
      <c r="AB237" t="str">
        <f>IFERROR(V144+MATCH(AA237,V237:Z237,0)-1,"")</f>
        <v/>
      </c>
      <c r="AC237" t="str">
        <f t="shared" si="68"/>
        <v/>
      </c>
      <c r="AE237" t="str">
        <f>IF(ISNUMBER(MATCH("N/A",J237:N237,0)),"",IFERROR((5 * SUMPRODUCT(J144:N144,J237:N237) - PRODUCT(SUM(J144:N144),SUM(J237:N237))) / ((5 * SUM((J144^2)+(K144^2)+(L144^2)+(M144^2)+(N144^2))) - SUM(J144:N144)^2),""))</f>
        <v/>
      </c>
      <c r="AF237" t="str">
        <f>IFERROR(CORREL(J144:N144,J237:N237),"")</f>
        <v/>
      </c>
      <c r="AZ237">
        <f t="shared" si="69"/>
        <v>0</v>
      </c>
      <c r="BA237" t="str">
        <f>IF(AZ237=1,IF(Q237="","",IF(Q237=N144,"Yes","No")),"")</f>
        <v/>
      </c>
      <c r="BB237" t="str">
        <f t="shared" si="70"/>
        <v/>
      </c>
      <c r="BC237" t="str">
        <f>IF(AZ237=1,IF(S237="","",IF(S237=N144,"Yes","No")),"")</f>
        <v/>
      </c>
      <c r="BD237" t="str">
        <f t="shared" si="71"/>
        <v/>
      </c>
      <c r="BE237" t="str">
        <f t="shared" si="72"/>
        <v/>
      </c>
      <c r="BF237" t="str">
        <f t="shared" si="73"/>
        <v>No</v>
      </c>
      <c r="BG237" t="str">
        <f t="shared" si="74"/>
        <v>No</v>
      </c>
      <c r="BH237" t="str">
        <f t="shared" si="75"/>
        <v/>
      </c>
    </row>
    <row r="238" spans="9:60" x14ac:dyDescent="0.3">
      <c r="I238" t="str">
        <f t="shared" si="76"/>
        <v>N/A</v>
      </c>
      <c r="J238" t="str">
        <f t="shared" si="77"/>
        <v>N/A</v>
      </c>
      <c r="K238" t="str">
        <f t="shared" si="78"/>
        <v>N/A</v>
      </c>
      <c r="L238" t="str">
        <f t="shared" si="79"/>
        <v>N/A</v>
      </c>
      <c r="M238" t="str">
        <f t="shared" si="80"/>
        <v>N/A</v>
      </c>
      <c r="N238" t="str">
        <f t="shared" si="81"/>
        <v>N/A</v>
      </c>
      <c r="P238">
        <f t="shared" si="58"/>
        <v>0</v>
      </c>
      <c r="Q238" t="str">
        <f>IFERROR(J144+MATCH(P238,J238:N238,0)-1,"")</f>
        <v/>
      </c>
      <c r="R238" t="str">
        <f t="shared" si="59"/>
        <v/>
      </c>
      <c r="S238" t="str">
        <f>IFERROR(J144+MATCH(R238,J238:N238,0)-1,"")</f>
        <v/>
      </c>
      <c r="T238" t="str">
        <f t="shared" si="60"/>
        <v/>
      </c>
      <c r="U238" t="str">
        <f t="shared" si="61"/>
        <v/>
      </c>
      <c r="V238" t="str">
        <f t="shared" si="62"/>
        <v/>
      </c>
      <c r="W238" t="str">
        <f t="shared" si="63"/>
        <v/>
      </c>
      <c r="X238" t="str">
        <f t="shared" si="64"/>
        <v/>
      </c>
      <c r="Y238" t="str">
        <f t="shared" si="65"/>
        <v/>
      </c>
      <c r="Z238" t="str">
        <f t="shared" si="66"/>
        <v/>
      </c>
      <c r="AA238">
        <f t="shared" si="67"/>
        <v>0</v>
      </c>
      <c r="AB238" t="str">
        <f>IFERROR(V144+MATCH(AA238,V238:Z238,0)-1,"")</f>
        <v/>
      </c>
      <c r="AC238" t="str">
        <f t="shared" si="68"/>
        <v/>
      </c>
      <c r="AE238" t="str">
        <f>IF(ISNUMBER(MATCH("N/A",J238:N238,0)),"",IFERROR((5 * SUMPRODUCT(J144:N144,J238:N238) - PRODUCT(SUM(J144:N144),SUM(J238:N238))) / ((5 * SUM((J144^2)+(K144^2)+(L144^2)+(M144^2)+(N144^2))) - SUM(J144:N144)^2),""))</f>
        <v/>
      </c>
      <c r="AF238" t="str">
        <f>IFERROR(CORREL(J144:N144,J238:N238),"")</f>
        <v/>
      </c>
      <c r="AZ238">
        <f t="shared" si="69"/>
        <v>0</v>
      </c>
      <c r="BA238" t="str">
        <f>IF(AZ238=1,IF(Q238="","",IF(Q238=N144,"Yes","No")),"")</f>
        <v/>
      </c>
      <c r="BB238" t="str">
        <f t="shared" si="70"/>
        <v/>
      </c>
      <c r="BC238" t="str">
        <f>IF(AZ238=1,IF(S238="","",IF(S238=N144,"Yes","No")),"")</f>
        <v/>
      </c>
      <c r="BD238" t="str">
        <f t="shared" si="71"/>
        <v/>
      </c>
      <c r="BE238" t="str">
        <f t="shared" si="72"/>
        <v/>
      </c>
      <c r="BF238" t="str">
        <f t="shared" si="73"/>
        <v>No</v>
      </c>
      <c r="BG238" t="str">
        <f t="shared" si="74"/>
        <v>No</v>
      </c>
      <c r="BH238" t="str">
        <f t="shared" si="75"/>
        <v/>
      </c>
    </row>
    <row r="239" spans="9:60" x14ac:dyDescent="0.3">
      <c r="I239" t="str">
        <f t="shared" si="76"/>
        <v>N/A</v>
      </c>
      <c r="J239" t="str">
        <f t="shared" si="77"/>
        <v>N/A</v>
      </c>
      <c r="K239" t="str">
        <f t="shared" si="78"/>
        <v>N/A</v>
      </c>
      <c r="L239" t="str">
        <f t="shared" si="79"/>
        <v>N/A</v>
      </c>
      <c r="M239" t="str">
        <f t="shared" si="80"/>
        <v>N/A</v>
      </c>
      <c r="N239" t="str">
        <f t="shared" si="81"/>
        <v>N/A</v>
      </c>
      <c r="P239">
        <f t="shared" si="58"/>
        <v>0</v>
      </c>
      <c r="Q239" t="str">
        <f>IFERROR(J144+MATCH(P239,J239:N239,0)-1,"")</f>
        <v/>
      </c>
      <c r="R239" t="str">
        <f t="shared" si="59"/>
        <v/>
      </c>
      <c r="S239" t="str">
        <f>IFERROR(J144+MATCH(R239,J239:N239,0)-1,"")</f>
        <v/>
      </c>
      <c r="T239" t="str">
        <f t="shared" si="60"/>
        <v/>
      </c>
      <c r="U239" t="str">
        <f t="shared" si="61"/>
        <v/>
      </c>
      <c r="V239" t="str">
        <f t="shared" si="62"/>
        <v/>
      </c>
      <c r="W239" t="str">
        <f t="shared" si="63"/>
        <v/>
      </c>
      <c r="X239" t="str">
        <f t="shared" si="64"/>
        <v/>
      </c>
      <c r="Y239" t="str">
        <f t="shared" si="65"/>
        <v/>
      </c>
      <c r="Z239" t="str">
        <f t="shared" si="66"/>
        <v/>
      </c>
      <c r="AA239">
        <f t="shared" si="67"/>
        <v>0</v>
      </c>
      <c r="AB239" t="str">
        <f>IFERROR(V144+MATCH(AA239,V239:Z239,0)-1,"")</f>
        <v/>
      </c>
      <c r="AC239" t="str">
        <f t="shared" si="68"/>
        <v/>
      </c>
      <c r="AE239" t="str">
        <f>IF(ISNUMBER(MATCH("N/A",J239:N239,0)),"",IFERROR((5 * SUMPRODUCT(J144:N144,J239:N239) - PRODUCT(SUM(J144:N144),SUM(J239:N239))) / ((5 * SUM((J144^2)+(K144^2)+(L144^2)+(M144^2)+(N144^2))) - SUM(J144:N144)^2),""))</f>
        <v/>
      </c>
      <c r="AF239" t="str">
        <f>IFERROR(CORREL(J144:N144,J239:N239),"")</f>
        <v/>
      </c>
      <c r="AZ239">
        <f t="shared" si="69"/>
        <v>0</v>
      </c>
      <c r="BA239" t="str">
        <f>IF(AZ239=1,IF(Q239="","",IF(Q239=N144,"Yes","No")),"")</f>
        <v/>
      </c>
      <c r="BB239" t="str">
        <f t="shared" si="70"/>
        <v/>
      </c>
      <c r="BC239" t="str">
        <f>IF(AZ239=1,IF(S239="","",IF(S239=N144,"Yes","No")),"")</f>
        <v/>
      </c>
      <c r="BD239" t="str">
        <f t="shared" si="71"/>
        <v/>
      </c>
      <c r="BE239" t="str">
        <f t="shared" si="72"/>
        <v/>
      </c>
      <c r="BF239" t="str">
        <f t="shared" si="73"/>
        <v>No</v>
      </c>
      <c r="BG239" t="str">
        <f t="shared" si="74"/>
        <v>No</v>
      </c>
      <c r="BH239" t="str">
        <f t="shared" si="75"/>
        <v/>
      </c>
    </row>
    <row r="240" spans="9:60" x14ac:dyDescent="0.3">
      <c r="I240" t="str">
        <f t="shared" si="76"/>
        <v>N/A</v>
      </c>
      <c r="J240" t="str">
        <f t="shared" si="77"/>
        <v>N/A</v>
      </c>
      <c r="K240" t="str">
        <f t="shared" si="78"/>
        <v>N/A</v>
      </c>
      <c r="L240" t="str">
        <f t="shared" si="79"/>
        <v>N/A</v>
      </c>
      <c r="M240" t="str">
        <f t="shared" si="80"/>
        <v>N/A</v>
      </c>
      <c r="N240" t="str">
        <f t="shared" si="81"/>
        <v>N/A</v>
      </c>
      <c r="P240">
        <f t="shared" si="58"/>
        <v>0</v>
      </c>
      <c r="Q240" t="str">
        <f>IFERROR(J144+MATCH(P240,J240:N240,0)-1,"")</f>
        <v/>
      </c>
      <c r="R240" t="str">
        <f t="shared" si="59"/>
        <v/>
      </c>
      <c r="S240" t="str">
        <f>IFERROR(J144+MATCH(R240,J240:N240,0)-1,"")</f>
        <v/>
      </c>
      <c r="T240" t="str">
        <f t="shared" si="60"/>
        <v/>
      </c>
      <c r="U240" t="str">
        <f t="shared" si="61"/>
        <v/>
      </c>
      <c r="V240" t="str">
        <f t="shared" si="62"/>
        <v/>
      </c>
      <c r="W240" t="str">
        <f t="shared" si="63"/>
        <v/>
      </c>
      <c r="X240" t="str">
        <f t="shared" si="64"/>
        <v/>
      </c>
      <c r="Y240" t="str">
        <f t="shared" si="65"/>
        <v/>
      </c>
      <c r="Z240" t="str">
        <f t="shared" si="66"/>
        <v/>
      </c>
      <c r="AA240">
        <f t="shared" si="67"/>
        <v>0</v>
      </c>
      <c r="AB240" t="str">
        <f>IFERROR(V144+MATCH(AA240,V240:Z240,0)-1,"")</f>
        <v/>
      </c>
      <c r="AC240" t="str">
        <f t="shared" si="68"/>
        <v/>
      </c>
      <c r="AE240" t="str">
        <f>IF(ISNUMBER(MATCH("N/A",J240:N240,0)),"",IFERROR((5 * SUMPRODUCT(J144:N144,J240:N240) - PRODUCT(SUM(J144:N144),SUM(J240:N240))) / ((5 * SUM((J144^2)+(K144^2)+(L144^2)+(M144^2)+(N144^2))) - SUM(J144:N144)^2),""))</f>
        <v/>
      </c>
      <c r="AF240" t="str">
        <f>IFERROR(CORREL(J144:N144,J240:N240),"")</f>
        <v/>
      </c>
      <c r="AZ240">
        <f t="shared" si="69"/>
        <v>0</v>
      </c>
      <c r="BA240" t="str">
        <f>IF(AZ240=1,IF(Q240="","",IF(Q240=N144,"Yes","No")),"")</f>
        <v/>
      </c>
      <c r="BB240" t="str">
        <f t="shared" si="70"/>
        <v/>
      </c>
      <c r="BC240" t="str">
        <f>IF(AZ240=1,IF(S240="","",IF(S240=N144,"Yes","No")),"")</f>
        <v/>
      </c>
      <c r="BD240" t="str">
        <f t="shared" si="71"/>
        <v/>
      </c>
      <c r="BE240" t="str">
        <f t="shared" si="72"/>
        <v/>
      </c>
      <c r="BF240" t="str">
        <f t="shared" si="73"/>
        <v>No</v>
      </c>
      <c r="BG240" t="str">
        <f t="shared" si="74"/>
        <v>No</v>
      </c>
      <c r="BH240" t="str">
        <f t="shared" si="75"/>
        <v/>
      </c>
    </row>
    <row r="241" spans="9:60" x14ac:dyDescent="0.3">
      <c r="I241" t="str">
        <f t="shared" si="76"/>
        <v>N/A</v>
      </c>
      <c r="J241" t="str">
        <f t="shared" si="77"/>
        <v>N/A</v>
      </c>
      <c r="K241" t="str">
        <f t="shared" si="78"/>
        <v>N/A</v>
      </c>
      <c r="L241" t="str">
        <f t="shared" si="79"/>
        <v>N/A</v>
      </c>
      <c r="M241" t="str">
        <f t="shared" si="80"/>
        <v>N/A</v>
      </c>
      <c r="N241" t="str">
        <f t="shared" si="81"/>
        <v>N/A</v>
      </c>
      <c r="P241">
        <f t="shared" si="58"/>
        <v>0</v>
      </c>
      <c r="Q241" t="str">
        <f>IFERROR(J144+MATCH(P241,J241:N241,0)-1,"")</f>
        <v/>
      </c>
      <c r="R241" t="str">
        <f t="shared" si="59"/>
        <v/>
      </c>
      <c r="S241" t="str">
        <f>IFERROR(J144+MATCH(R241,J241:N241,0)-1,"")</f>
        <v/>
      </c>
      <c r="T241" t="str">
        <f t="shared" si="60"/>
        <v/>
      </c>
      <c r="U241" t="str">
        <f t="shared" si="61"/>
        <v/>
      </c>
      <c r="V241" t="str">
        <f t="shared" si="62"/>
        <v/>
      </c>
      <c r="W241" t="str">
        <f t="shared" si="63"/>
        <v/>
      </c>
      <c r="X241" t="str">
        <f t="shared" si="64"/>
        <v/>
      </c>
      <c r="Y241" t="str">
        <f t="shared" si="65"/>
        <v/>
      </c>
      <c r="Z241" t="str">
        <f t="shared" si="66"/>
        <v/>
      </c>
      <c r="AA241">
        <f t="shared" si="67"/>
        <v>0</v>
      </c>
      <c r="AB241" t="str">
        <f>IFERROR(V144+MATCH(AA241,V241:Z241,0)-1,"")</f>
        <v/>
      </c>
      <c r="AC241" t="str">
        <f t="shared" si="68"/>
        <v/>
      </c>
      <c r="AE241" t="str">
        <f>IF(ISNUMBER(MATCH("N/A",J241:N241,0)),"",IFERROR((5 * SUMPRODUCT(J144:N144,J241:N241) - PRODUCT(SUM(J144:N144),SUM(J241:N241))) / ((5 * SUM((J144^2)+(K144^2)+(L144^2)+(M144^2)+(N144^2))) - SUM(J144:N144)^2),""))</f>
        <v/>
      </c>
      <c r="AF241" t="str">
        <f>IFERROR(CORREL(J144:N144,J241:N241),"")</f>
        <v/>
      </c>
      <c r="AZ241">
        <f t="shared" si="69"/>
        <v>0</v>
      </c>
      <c r="BA241" t="str">
        <f>IF(AZ241=1,IF(Q241="","",IF(Q241=N144,"Yes","No")),"")</f>
        <v/>
      </c>
      <c r="BB241" t="str">
        <f t="shared" si="70"/>
        <v/>
      </c>
      <c r="BC241" t="str">
        <f>IF(AZ241=1,IF(S241="","",IF(S241=N144,"Yes","No")),"")</f>
        <v/>
      </c>
      <c r="BD241" t="str">
        <f t="shared" si="71"/>
        <v/>
      </c>
      <c r="BE241" t="str">
        <f t="shared" si="72"/>
        <v/>
      </c>
      <c r="BF241" t="str">
        <f t="shared" si="73"/>
        <v>No</v>
      </c>
      <c r="BG241" t="str">
        <f t="shared" si="74"/>
        <v>No</v>
      </c>
      <c r="BH241" t="str">
        <f t="shared" si="75"/>
        <v/>
      </c>
    </row>
    <row r="242" spans="9:60" x14ac:dyDescent="0.3">
      <c r="I242" t="str">
        <f t="shared" si="76"/>
        <v>N/A</v>
      </c>
      <c r="J242" t="str">
        <f t="shared" si="77"/>
        <v>N/A</v>
      </c>
      <c r="K242" t="str">
        <f t="shared" si="78"/>
        <v>N/A</v>
      </c>
      <c r="L242" t="str">
        <f t="shared" si="79"/>
        <v>N/A</v>
      </c>
      <c r="M242" t="str">
        <f t="shared" si="80"/>
        <v>N/A</v>
      </c>
      <c r="N242" t="str">
        <f t="shared" si="81"/>
        <v>N/A</v>
      </c>
      <c r="P242">
        <f t="shared" si="58"/>
        <v>0</v>
      </c>
      <c r="Q242" t="str">
        <f>IFERROR(J144+MATCH(P242,J242:N242,0)-1,"")</f>
        <v/>
      </c>
      <c r="R242" t="str">
        <f t="shared" si="59"/>
        <v/>
      </c>
      <c r="S242" t="str">
        <f>IFERROR(J144+MATCH(R242,J242:N242,0)-1,"")</f>
        <v/>
      </c>
      <c r="T242" t="str">
        <f t="shared" si="60"/>
        <v/>
      </c>
      <c r="U242" t="str">
        <f t="shared" si="61"/>
        <v/>
      </c>
      <c r="V242" t="str">
        <f t="shared" si="62"/>
        <v/>
      </c>
      <c r="W242" t="str">
        <f t="shared" si="63"/>
        <v/>
      </c>
      <c r="X242" t="str">
        <f t="shared" si="64"/>
        <v/>
      </c>
      <c r="Y242" t="str">
        <f t="shared" si="65"/>
        <v/>
      </c>
      <c r="Z242" t="str">
        <f t="shared" si="66"/>
        <v/>
      </c>
      <c r="AA242">
        <f t="shared" si="67"/>
        <v>0</v>
      </c>
      <c r="AB242" t="str">
        <f>IFERROR(V144+MATCH(AA242,V242:Z242,0)-1,"")</f>
        <v/>
      </c>
      <c r="AC242" t="str">
        <f t="shared" si="68"/>
        <v/>
      </c>
      <c r="AE242" t="str">
        <f>IF(ISNUMBER(MATCH("N/A",J242:N242,0)),"",IFERROR((5 * SUMPRODUCT(J144:N144,J242:N242) - PRODUCT(SUM(J144:N144),SUM(J242:N242))) / ((5 * SUM((J144^2)+(K144^2)+(L144^2)+(M144^2)+(N144^2))) - SUM(J144:N144)^2),""))</f>
        <v/>
      </c>
      <c r="AF242" t="str">
        <f>IFERROR(CORREL(J144:N144,J242:N242),"")</f>
        <v/>
      </c>
      <c r="AZ242">
        <f t="shared" si="69"/>
        <v>0</v>
      </c>
      <c r="BA242" t="str">
        <f>IF(AZ242=1,IF(Q242="","",IF(Q242=N144,"Yes","No")),"")</f>
        <v/>
      </c>
      <c r="BB242" t="str">
        <f t="shared" si="70"/>
        <v/>
      </c>
      <c r="BC242" t="str">
        <f>IF(AZ242=1,IF(S242="","",IF(S242=N144,"Yes","No")),"")</f>
        <v/>
      </c>
      <c r="BD242" t="str">
        <f t="shared" si="71"/>
        <v/>
      </c>
      <c r="BE242" t="str">
        <f t="shared" si="72"/>
        <v/>
      </c>
      <c r="BF242" t="str">
        <f t="shared" si="73"/>
        <v>No</v>
      </c>
      <c r="BG242" t="str">
        <f t="shared" si="74"/>
        <v>No</v>
      </c>
      <c r="BH242" t="str">
        <f t="shared" si="75"/>
        <v/>
      </c>
    </row>
    <row r="243" spans="9:60" x14ac:dyDescent="0.3">
      <c r="I243" t="str">
        <f t="shared" si="76"/>
        <v>N/A</v>
      </c>
      <c r="J243" t="str">
        <f t="shared" si="77"/>
        <v>N/A</v>
      </c>
      <c r="K243" t="str">
        <f t="shared" si="78"/>
        <v>N/A</v>
      </c>
      <c r="L243" t="str">
        <f t="shared" si="79"/>
        <v>N/A</v>
      </c>
      <c r="M243" t="str">
        <f t="shared" si="80"/>
        <v>N/A</v>
      </c>
      <c r="N243" t="str">
        <f t="shared" si="81"/>
        <v>N/A</v>
      </c>
      <c r="P243">
        <f t="shared" si="58"/>
        <v>0</v>
      </c>
      <c r="Q243" t="str">
        <f>IFERROR(J144+MATCH(P243,J243:N243,0)-1,"")</f>
        <v/>
      </c>
      <c r="R243" t="str">
        <f t="shared" si="59"/>
        <v/>
      </c>
      <c r="S243" t="str">
        <f>IFERROR(J144+MATCH(R243,J243:N243,0)-1,"")</f>
        <v/>
      </c>
      <c r="T243" t="str">
        <f t="shared" si="60"/>
        <v/>
      </c>
      <c r="U243" t="str">
        <f t="shared" si="61"/>
        <v/>
      </c>
      <c r="V243" t="str">
        <f t="shared" si="62"/>
        <v/>
      </c>
      <c r="W243" t="str">
        <f t="shared" si="63"/>
        <v/>
      </c>
      <c r="X243" t="str">
        <f t="shared" si="64"/>
        <v/>
      </c>
      <c r="Y243" t="str">
        <f t="shared" si="65"/>
        <v/>
      </c>
      <c r="Z243" t="str">
        <f t="shared" si="66"/>
        <v/>
      </c>
      <c r="AA243">
        <f t="shared" si="67"/>
        <v>0</v>
      </c>
      <c r="AB243" t="str">
        <f>IFERROR(V144+MATCH(AA243,V243:Z243,0)-1,"")</f>
        <v/>
      </c>
      <c r="AC243" t="str">
        <f t="shared" si="68"/>
        <v/>
      </c>
      <c r="AE243" t="str">
        <f>IF(ISNUMBER(MATCH("N/A",J243:N243,0)),"",IFERROR((5 * SUMPRODUCT(J144:N144,J243:N243) - PRODUCT(SUM(J144:N144),SUM(J243:N243))) / ((5 * SUM((J144^2)+(K144^2)+(L144^2)+(M144^2)+(N144^2))) - SUM(J144:N144)^2),""))</f>
        <v/>
      </c>
      <c r="AF243" t="str">
        <f>IFERROR(CORREL(J144:N144,J243:N243),"")</f>
        <v/>
      </c>
      <c r="AZ243">
        <f t="shared" si="69"/>
        <v>0</v>
      </c>
      <c r="BA243" t="str">
        <f>IF(AZ243=1,IF(Q243="","",IF(Q243=N144,"Yes","No")),"")</f>
        <v/>
      </c>
      <c r="BB243" t="str">
        <f t="shared" si="70"/>
        <v/>
      </c>
      <c r="BC243" t="str">
        <f>IF(AZ243=1,IF(S243="","",IF(S243=N144,"Yes","No")),"")</f>
        <v/>
      </c>
      <c r="BD243" t="str">
        <f t="shared" si="71"/>
        <v/>
      </c>
      <c r="BE243" t="str">
        <f t="shared" si="72"/>
        <v/>
      </c>
      <c r="BF243" t="str">
        <f t="shared" si="73"/>
        <v>No</v>
      </c>
      <c r="BG243" t="str">
        <f t="shared" si="74"/>
        <v>No</v>
      </c>
      <c r="BH243" t="str">
        <f t="shared" si="75"/>
        <v/>
      </c>
    </row>
    <row r="244" spans="9:60" x14ac:dyDescent="0.3">
      <c r="I244" t="str">
        <f t="shared" si="76"/>
        <v>N/A</v>
      </c>
      <c r="J244" t="str">
        <f t="shared" si="77"/>
        <v>N/A</v>
      </c>
      <c r="K244" t="str">
        <f t="shared" si="78"/>
        <v>N/A</v>
      </c>
      <c r="L244" t="str">
        <f t="shared" si="79"/>
        <v>N/A</v>
      </c>
      <c r="M244" t="str">
        <f t="shared" si="80"/>
        <v>N/A</v>
      </c>
      <c r="N244" t="str">
        <f t="shared" si="81"/>
        <v>N/A</v>
      </c>
      <c r="P244">
        <f t="shared" si="58"/>
        <v>0</v>
      </c>
      <c r="Q244" t="str">
        <f>IFERROR(J144+MATCH(P244,J244:N244,0)-1,"")</f>
        <v/>
      </c>
      <c r="R244" t="str">
        <f t="shared" si="59"/>
        <v/>
      </c>
      <c r="S244" t="str">
        <f>IFERROR(J144+MATCH(R244,J244:N244,0)-1,"")</f>
        <v/>
      </c>
      <c r="T244" t="str">
        <f t="shared" si="60"/>
        <v/>
      </c>
      <c r="U244" t="str">
        <f t="shared" si="61"/>
        <v/>
      </c>
      <c r="V244" t="str">
        <f t="shared" si="62"/>
        <v/>
      </c>
      <c r="W244" t="str">
        <f t="shared" si="63"/>
        <v/>
      </c>
      <c r="X244" t="str">
        <f t="shared" si="64"/>
        <v/>
      </c>
      <c r="Y244" t="str">
        <f t="shared" si="65"/>
        <v/>
      </c>
      <c r="Z244" t="str">
        <f t="shared" si="66"/>
        <v/>
      </c>
      <c r="AA244">
        <f t="shared" si="67"/>
        <v>0</v>
      </c>
      <c r="AB244" t="str">
        <f>IFERROR(V144+MATCH(AA244,V244:Z244,0)-1,"")</f>
        <v/>
      </c>
      <c r="AC244" t="str">
        <f t="shared" si="68"/>
        <v/>
      </c>
      <c r="AE244" t="str">
        <f>IF(ISNUMBER(MATCH("N/A",J244:N244,0)),"",IFERROR((5 * SUMPRODUCT(J144:N144,J244:N244) - PRODUCT(SUM(J144:N144),SUM(J244:N244))) / ((5 * SUM((J144^2)+(K144^2)+(L144^2)+(M144^2)+(N144^2))) - SUM(J144:N144)^2),""))</f>
        <v/>
      </c>
      <c r="AF244" t="str">
        <f>IFERROR(CORREL(J144:N144,J244:N244),"")</f>
        <v/>
      </c>
      <c r="AZ244">
        <f t="shared" si="69"/>
        <v>0</v>
      </c>
      <c r="BA244" t="str">
        <f>IF(AZ244=1,IF(Q244="","",IF(Q244=N144,"Yes","No")),"")</f>
        <v/>
      </c>
      <c r="BB244" t="str">
        <f t="shared" si="70"/>
        <v/>
      </c>
      <c r="BC244" t="str">
        <f>IF(AZ244=1,IF(S244="","",IF(S244=N144,"Yes","No")),"")</f>
        <v/>
      </c>
      <c r="BD244" t="str">
        <f t="shared" si="71"/>
        <v/>
      </c>
      <c r="BE244" t="str">
        <f t="shared" si="72"/>
        <v/>
      </c>
      <c r="BF244" t="str">
        <f t="shared" si="73"/>
        <v>No</v>
      </c>
      <c r="BG244" t="str">
        <f t="shared" si="74"/>
        <v>No</v>
      </c>
      <c r="BH244" t="str">
        <f t="shared" si="75"/>
        <v/>
      </c>
    </row>
    <row r="245" spans="9:60" x14ac:dyDescent="0.3">
      <c r="I245" t="str">
        <f t="shared" si="76"/>
        <v>N/A</v>
      </c>
      <c r="J245" t="str">
        <f t="shared" si="77"/>
        <v>N/A</v>
      </c>
      <c r="K245" t="str">
        <f t="shared" si="78"/>
        <v>N/A</v>
      </c>
      <c r="L245" t="str">
        <f t="shared" si="79"/>
        <v>N/A</v>
      </c>
      <c r="M245" t="str">
        <f t="shared" si="80"/>
        <v>N/A</v>
      </c>
      <c r="N245" t="str">
        <f t="shared" si="81"/>
        <v>N/A</v>
      </c>
      <c r="P245">
        <f t="shared" si="58"/>
        <v>0</v>
      </c>
      <c r="Q245" t="str">
        <f>IFERROR(J144+MATCH(P245,J245:N245,0)-1,"")</f>
        <v/>
      </c>
      <c r="R245" t="str">
        <f t="shared" si="59"/>
        <v/>
      </c>
      <c r="S245" t="str">
        <f>IFERROR(J144+MATCH(R245,J245:N245,0)-1,"")</f>
        <v/>
      </c>
      <c r="T245" t="str">
        <f t="shared" si="60"/>
        <v/>
      </c>
      <c r="U245" t="str">
        <f t="shared" si="61"/>
        <v/>
      </c>
      <c r="V245" t="str">
        <f t="shared" si="62"/>
        <v/>
      </c>
      <c r="W245" t="str">
        <f t="shared" si="63"/>
        <v/>
      </c>
      <c r="X245" t="str">
        <f t="shared" si="64"/>
        <v/>
      </c>
      <c r="Y245" t="str">
        <f t="shared" si="65"/>
        <v/>
      </c>
      <c r="Z245" t="str">
        <f t="shared" si="66"/>
        <v/>
      </c>
      <c r="AA245">
        <f t="shared" si="67"/>
        <v>0</v>
      </c>
      <c r="AB245" t="str">
        <f>IFERROR(V144+MATCH(AA245,V245:Z245,0)-1,"")</f>
        <v/>
      </c>
      <c r="AC245" t="str">
        <f t="shared" si="68"/>
        <v/>
      </c>
      <c r="AE245" t="str">
        <f>IF(ISNUMBER(MATCH("N/A",J245:N245,0)),"",IFERROR((5 * SUMPRODUCT(J144:N144,J245:N245) - PRODUCT(SUM(J144:N144),SUM(J245:N245))) / ((5 * SUM((J144^2)+(K144^2)+(L144^2)+(M144^2)+(N144^2))) - SUM(J144:N144)^2),""))</f>
        <v/>
      </c>
      <c r="AF245" t="str">
        <f>IFERROR(CORREL(J144:N144,J245:N245),"")</f>
        <v/>
      </c>
      <c r="AZ245">
        <f t="shared" si="69"/>
        <v>0</v>
      </c>
      <c r="BA245" t="str">
        <f>IF(AZ245=1,IF(Q245="","",IF(Q245=N144,"Yes","No")),"")</f>
        <v/>
      </c>
      <c r="BB245" t="str">
        <f t="shared" si="70"/>
        <v/>
      </c>
      <c r="BC245" t="str">
        <f>IF(AZ245=1,IF(S245="","",IF(S245=N144,"Yes","No")),"")</f>
        <v/>
      </c>
      <c r="BD245" t="str">
        <f t="shared" si="71"/>
        <v/>
      </c>
      <c r="BE245" t="str">
        <f t="shared" si="72"/>
        <v/>
      </c>
      <c r="BF245" t="str">
        <f t="shared" si="73"/>
        <v>No</v>
      </c>
      <c r="BG245" t="str">
        <f t="shared" si="74"/>
        <v>No</v>
      </c>
      <c r="BH245" t="str">
        <f t="shared" si="75"/>
        <v/>
      </c>
    </row>
    <row r="246" spans="9:60" x14ac:dyDescent="0.3">
      <c r="P246">
        <f t="shared" si="58"/>
        <v>0</v>
      </c>
      <c r="Q246" t="str">
        <f>IFERROR(J144+MATCH(P246,J246:N246,0)-1,"")</f>
        <v/>
      </c>
      <c r="R246" t="str">
        <f t="shared" si="59"/>
        <v/>
      </c>
      <c r="S246" t="str">
        <f>IFERROR(J144+MATCH(R246,J246:N246,0)-1,"")</f>
        <v/>
      </c>
      <c r="T246" t="str">
        <f t="shared" si="60"/>
        <v/>
      </c>
      <c r="U246" t="str">
        <f t="shared" si="61"/>
        <v/>
      </c>
      <c r="V246" t="str">
        <f t="shared" si="62"/>
        <v/>
      </c>
      <c r="W246" t="str">
        <f t="shared" si="63"/>
        <v/>
      </c>
      <c r="X246" t="str">
        <f t="shared" si="64"/>
        <v/>
      </c>
      <c r="Y246" t="str">
        <f t="shared" si="65"/>
        <v/>
      </c>
      <c r="Z246" t="str">
        <f t="shared" si="66"/>
        <v/>
      </c>
      <c r="AA246">
        <f t="shared" si="67"/>
        <v>0</v>
      </c>
      <c r="AB246" t="str">
        <f>IFERROR(V144+MATCH(AA246,V246:Z246,0)-1,"")</f>
        <v/>
      </c>
      <c r="AC246" t="str">
        <f t="shared" si="68"/>
        <v/>
      </c>
      <c r="AE246" t="str">
        <f>IF(ISNUMBER(MATCH("N/A",J246:N246,0)),"",IFERROR((5 * SUMPRODUCT(J144:N144,J246:N246) - PRODUCT(SUM(J144:N144),SUM(J246:N246))) / ((5 * SUM((J144^2)+(K144^2)+(L144^2)+(M144^2)+(N144^2))) - SUM(J144:N144)^2),""))</f>
        <v/>
      </c>
      <c r="AF246" t="str">
        <f>IFERROR(CORREL(J144:N144,J246:N246),"")</f>
        <v/>
      </c>
      <c r="AZ246">
        <f t="shared" si="69"/>
        <v>0</v>
      </c>
      <c r="BA246" t="str">
        <f>IF(AZ246=1,IF(Q246="","",IF(Q246=N144,"Yes","No")),"")</f>
        <v/>
      </c>
      <c r="BB246" t="str">
        <f t="shared" si="70"/>
        <v/>
      </c>
      <c r="BC246" t="str">
        <f>IF(AZ246=1,IF(S246="","",IF(S246=N144,"Yes","No")),"")</f>
        <v/>
      </c>
      <c r="BD246" t="str">
        <f t="shared" si="71"/>
        <v/>
      </c>
      <c r="BE246" t="str">
        <f t="shared" si="72"/>
        <v/>
      </c>
      <c r="BF246" t="str">
        <f t="shared" si="73"/>
        <v>No</v>
      </c>
      <c r="BG246" t="str">
        <f t="shared" si="74"/>
        <v>No</v>
      </c>
      <c r="BH246" t="str">
        <f t="shared" si="75"/>
        <v/>
      </c>
    </row>
    <row r="247" spans="9:60" x14ac:dyDescent="0.3">
      <c r="I247" t="str">
        <f t="shared" ref="I247:I270" si="82">IF(AND(K247&gt; J247, L247&gt; K247, M247&gt; L247, N247&gt; M247), "pos_trend", IF(AND(K247&lt; J247, L247&lt; K247, M247&lt; L247, N247&lt; M247), "neg_trend", "N/A"))</f>
        <v>N/A</v>
      </c>
      <c r="J247" t="str">
        <f t="shared" ref="J247:J270" si="83">IFERROR(IF(TRIM(C247)="-", "N/A", IF(RIGHT(C247,1)=")",IF(RIGHT(C247,2)="T)",-1000000000000*VALUE(MID(C247,2,LEN(C247)-3)),IF(RIGHT(C247,2)="M)",-1000000*VALUE(MID(C247,2,LEN(C247)-3)),IF(RIGHT(C247,2)="B)",-1000000000*VALUE(MID(C247,2,LEN(C247)-3)),IF(RIGHT(C247,2)="k)",-1000*VALUE(MID(C247,2,LEN(C247)-3)),VALUE(SUBSTITUTE(C247,",","")))))),IF(RIGHT(C247,1)="T",1000000000000*VALUE(LEFT(C247,LEN(C247)-1)),IF(RIGHT(C247,1)="M",1000000*VALUE(LEFT(C247,LEN(C247)-1)),IF(RIGHT(C247,1)="B",1000000000*VALUE(LEFT(C247,LEN(C247)-1)),IF(RIGHT(C247,1)="%",0.01*VALUE(LEFT(C247,LEN(C247)-1)),IF(RIGHT(C247,1)="k",1000*VALUE(LEFT(C247,LEN(C247)-1)),VALUE(SUBSTITUTE(C247,",",""))))))))),"N/A")</f>
        <v>N/A</v>
      </c>
      <c r="K247" t="str">
        <f t="shared" ref="K247:K270" si="84">IFERROR(IF(TRIM(D247)="-", "N/A", IF(RIGHT(D247,1)=")",IF(RIGHT(D247,2)="T)",-1000000000000*VALUE(MID(D247,2,LEN(D247)-3)),IF(RIGHT(D247,2)="M)",-1000000*VALUE(MID(D247,2,LEN(D247)-3)),IF(RIGHT(D247,2)="B)",-1000000000*VALUE(MID(D247,2,LEN(D247)-3)),IF(RIGHT(D247,2)="k)",-1000*VALUE(MID(D247,2,LEN(D247)-3)),VALUE(SUBSTITUTE(D247,",","")))))),IF(RIGHT(D247,1)="T",1000000000000*VALUE(LEFT(D247,LEN(D247)-1)),IF(RIGHT(D247,1)="M",1000000*VALUE(LEFT(D247,LEN(D247)-1)),IF(RIGHT(D247,1)="B",1000000000*VALUE(LEFT(D247,LEN(D247)-1)),IF(RIGHT(D247,1)="%",0.01*VALUE(LEFT(D247,LEN(D247)-1)),IF(RIGHT(D247,1)="k",1000*VALUE(LEFT(D247,LEN(D247)-1)),VALUE(SUBSTITUTE(D247,",",""))))))))),"N/A")</f>
        <v>N/A</v>
      </c>
      <c r="L247" t="str">
        <f t="shared" ref="L247:L270" si="85">IFERROR(IF(TRIM(E247)="-", "N/A", IF(RIGHT(E247,1)=")",IF(RIGHT(E247,2)="T)",-1000000000000*VALUE(MID(E247,2,LEN(E247)-3)),IF(RIGHT(E247,2)="M)",-1000000*VALUE(MID(E247,2,LEN(E247)-3)),IF(RIGHT(E247,2)="B)",-1000000000*VALUE(MID(E247,2,LEN(E247)-3)),IF(RIGHT(E247,2)="k)",-1000*VALUE(MID(E247,2,LEN(E247)-3)),VALUE(SUBSTITUTE(E247,",","")))))),IF(RIGHT(E247,1)="T",1000000000000*VALUE(LEFT(E247,LEN(E247)-1)),IF(RIGHT(E247,1)="M",1000000*VALUE(LEFT(E247,LEN(E247)-1)),IF(RIGHT(E247,1)="B",1000000000*VALUE(LEFT(E247,LEN(E247)-1)),IF(RIGHT(E247,1)="%",0.01*VALUE(LEFT(E247,LEN(E247)-1)),IF(RIGHT(E247,1)="k",1000*VALUE(LEFT(E247,LEN(E247)-1)),VALUE(SUBSTITUTE(E247,",",""))))))))),"N/A")</f>
        <v>N/A</v>
      </c>
      <c r="M247" t="str">
        <f t="shared" ref="M247:M270" si="86">IFERROR(IF(TRIM(F247)="-", "N/A", IF(RIGHT(F247,1)=")",IF(RIGHT(F247,2)="T)",-1000000000000*VALUE(MID(F247,2,LEN(F247)-3)),IF(RIGHT(F247,2)="M)",-1000000*VALUE(MID(F247,2,LEN(F247)-3)),IF(RIGHT(F247,2)="B)",-1000000000*VALUE(MID(F247,2,LEN(F247)-3)),IF(RIGHT(F247,2)="k)",-1000*VALUE(MID(F247,2,LEN(F247)-3)),VALUE(SUBSTITUTE(F247,",","")))))),IF(RIGHT(F247,1)="T",1000000000000*VALUE(LEFT(F247,LEN(F247)-1)),IF(RIGHT(F247,1)="M",1000000*VALUE(LEFT(F247,LEN(F247)-1)),IF(RIGHT(F247,1)="B",1000000000*VALUE(LEFT(F247,LEN(F247)-1)),IF(RIGHT(F247,1)="%",0.01*VALUE(LEFT(F247,LEN(F247)-1)),IF(RIGHT(F247,1)="k",1000*VALUE(LEFT(F247,LEN(F247)-1)),VALUE(SUBSTITUTE(F247,",",""))))))))),"N/A")</f>
        <v>N/A</v>
      </c>
      <c r="N247" t="str">
        <f t="shared" ref="N247:N270" si="87">IFERROR(IF(TRIM(G247)="-", "N/A", IF(RIGHT(G247,1)=")",IF(RIGHT(G247,2)="T)",-1000000000000*VALUE(MID(G247,2,LEN(G247)-3)),IF(RIGHT(G247,2)="M)",-1000000*VALUE(MID(G247,2,LEN(G247)-3)),IF(RIGHT(G247,2)="B)",-1000000000*VALUE(MID(G247,2,LEN(G247)-3)),IF(RIGHT(G247,2)="k)",-1000*VALUE(MID(G247,2,LEN(G247)-3)),VALUE(SUBSTITUTE(G247,",","")))))),IF(RIGHT(G247,1)="T",1000000000000*VALUE(LEFT(G247,LEN(G247)-1)),IF(RIGHT(G247,1)="M",1000000*VALUE(LEFT(G247,LEN(G247)-1)),IF(RIGHT(G247,1)="B",1000000000*VALUE(LEFT(G247,LEN(G247)-1)),IF(RIGHT(G247,1)="%",0.01*VALUE(LEFT(G247,LEN(G247)-1)),IF(RIGHT(G247,1)="k",1000*VALUE(LEFT(G247,LEN(G247)-1)),VALUE(SUBSTITUTE(G247,",",""))))))))),"N/A")</f>
        <v>N/A</v>
      </c>
      <c r="P247">
        <f t="shared" si="58"/>
        <v>0</v>
      </c>
      <c r="Q247" t="str">
        <f>IFERROR(J144+MATCH(P247,J247:N247,0)-1,"")</f>
        <v/>
      </c>
      <c r="R247" t="str">
        <f t="shared" si="59"/>
        <v/>
      </c>
      <c r="S247" t="str">
        <f>IFERROR(J144+MATCH(R247,J247:N247,0)-1,"")</f>
        <v/>
      </c>
      <c r="T247" t="str">
        <f t="shared" si="60"/>
        <v/>
      </c>
      <c r="U247" t="str">
        <f t="shared" si="61"/>
        <v/>
      </c>
      <c r="V247" t="str">
        <f t="shared" si="62"/>
        <v/>
      </c>
      <c r="W247" t="str">
        <f t="shared" si="63"/>
        <v/>
      </c>
      <c r="X247" t="str">
        <f t="shared" si="64"/>
        <v/>
      </c>
      <c r="Y247" t="str">
        <f t="shared" si="65"/>
        <v/>
      </c>
      <c r="Z247" t="str">
        <f t="shared" si="66"/>
        <v/>
      </c>
      <c r="AA247">
        <f t="shared" si="67"/>
        <v>0</v>
      </c>
      <c r="AB247" t="str">
        <f>IFERROR(V144+MATCH(AA247,V247:Z247,0)-1,"")</f>
        <v/>
      </c>
      <c r="AC247" t="str">
        <f t="shared" si="68"/>
        <v/>
      </c>
      <c r="AE247" t="str">
        <f>IF(ISNUMBER(MATCH("N/A",J247:N247,0)),"",IFERROR((5 * SUMPRODUCT(J144:N144,J247:N247) - PRODUCT(SUM(J144:N144),SUM(J247:N247))) / ((5 * SUM((J144^2)+(K144^2)+(L144^2)+(M144^2)+(N144^2))) - SUM(J144:N144)^2),""))</f>
        <v/>
      </c>
      <c r="AF247" t="str">
        <f>IFERROR(CORREL(J144:N144,J247:N247),"")</f>
        <v/>
      </c>
      <c r="AZ247">
        <f t="shared" si="69"/>
        <v>0</v>
      </c>
      <c r="BA247" t="str">
        <f>IF(AZ247=1,IF(Q247="","",IF(Q247=N144,"Yes","No")),"")</f>
        <v/>
      </c>
      <c r="BB247" t="str">
        <f t="shared" si="70"/>
        <v/>
      </c>
      <c r="BC247" t="str">
        <f>IF(AZ247=1,IF(S247="","",IF(S247=N144,"Yes","No")),"")</f>
        <v/>
      </c>
      <c r="BD247" t="str">
        <f t="shared" si="71"/>
        <v/>
      </c>
      <c r="BE247" t="str">
        <f t="shared" si="72"/>
        <v/>
      </c>
      <c r="BF247" t="str">
        <f t="shared" si="73"/>
        <v>No</v>
      </c>
      <c r="BG247" t="str">
        <f t="shared" si="74"/>
        <v>No</v>
      </c>
      <c r="BH247" t="str">
        <f t="shared" si="75"/>
        <v/>
      </c>
    </row>
    <row r="248" spans="9:60" x14ac:dyDescent="0.3">
      <c r="I248" t="str">
        <f t="shared" si="82"/>
        <v>N/A</v>
      </c>
      <c r="J248" t="str">
        <f t="shared" si="83"/>
        <v>N/A</v>
      </c>
      <c r="K248" t="str">
        <f t="shared" si="84"/>
        <v>N/A</v>
      </c>
      <c r="L248" t="str">
        <f t="shared" si="85"/>
        <v>N/A</v>
      </c>
      <c r="M248" t="str">
        <f t="shared" si="86"/>
        <v>N/A</v>
      </c>
      <c r="N248" t="str">
        <f t="shared" si="87"/>
        <v>N/A</v>
      </c>
      <c r="P248">
        <f t="shared" si="58"/>
        <v>0</v>
      </c>
      <c r="Q248" t="str">
        <f>IFERROR(J144+MATCH(P248,J248:N248,0)-1,"")</f>
        <v/>
      </c>
      <c r="R248" t="str">
        <f t="shared" si="59"/>
        <v/>
      </c>
      <c r="S248" t="str">
        <f>IFERROR(J144+MATCH(R248,J248:N248,0)-1,"")</f>
        <v/>
      </c>
      <c r="T248" t="str">
        <f t="shared" si="60"/>
        <v/>
      </c>
      <c r="U248" t="str">
        <f t="shared" si="61"/>
        <v/>
      </c>
      <c r="V248" t="str">
        <f t="shared" si="62"/>
        <v/>
      </c>
      <c r="W248" t="str">
        <f t="shared" si="63"/>
        <v/>
      </c>
      <c r="X248" t="str">
        <f t="shared" si="64"/>
        <v/>
      </c>
      <c r="Y248" t="str">
        <f t="shared" si="65"/>
        <v/>
      </c>
      <c r="Z248" t="str">
        <f t="shared" si="66"/>
        <v/>
      </c>
      <c r="AA248">
        <f t="shared" si="67"/>
        <v>0</v>
      </c>
      <c r="AB248" t="str">
        <f>IFERROR(V144+MATCH(AA248,V248:Z248,0)-1,"")</f>
        <v/>
      </c>
      <c r="AC248" t="str">
        <f t="shared" si="68"/>
        <v/>
      </c>
      <c r="AE248" t="str">
        <f>IF(ISNUMBER(MATCH("N/A",J248:N248,0)),"",IFERROR((5 * SUMPRODUCT(J144:N144,J248:N248) - PRODUCT(SUM(J144:N144),SUM(J248:N248))) / ((5 * SUM((J144^2)+(K144^2)+(L144^2)+(M144^2)+(N144^2))) - SUM(J144:N144)^2),""))</f>
        <v/>
      </c>
      <c r="AF248" t="str">
        <f>IFERROR(CORREL(J144:N144,J248:N248),"")</f>
        <v/>
      </c>
      <c r="AZ248">
        <f t="shared" si="69"/>
        <v>0</v>
      </c>
      <c r="BA248" t="str">
        <f>IF(AZ248=1,IF(Q248="","",IF(Q248=N144,"Yes","No")),"")</f>
        <v/>
      </c>
      <c r="BB248" t="str">
        <f t="shared" si="70"/>
        <v/>
      </c>
      <c r="BC248" t="str">
        <f>IF(AZ248=1,IF(S248="","",IF(S248=N144,"Yes","No")),"")</f>
        <v/>
      </c>
      <c r="BD248" t="str">
        <f t="shared" si="71"/>
        <v/>
      </c>
      <c r="BE248" t="str">
        <f t="shared" si="72"/>
        <v/>
      </c>
      <c r="BF248" t="str">
        <f t="shared" si="73"/>
        <v>No</v>
      </c>
      <c r="BG248" t="str">
        <f t="shared" si="74"/>
        <v>No</v>
      </c>
      <c r="BH248" t="str">
        <f t="shared" si="75"/>
        <v/>
      </c>
    </row>
    <row r="249" spans="9:60" x14ac:dyDescent="0.3">
      <c r="I249" t="str">
        <f t="shared" si="82"/>
        <v>N/A</v>
      </c>
      <c r="J249" t="str">
        <f t="shared" si="83"/>
        <v>N/A</v>
      </c>
      <c r="K249" t="str">
        <f t="shared" si="84"/>
        <v>N/A</v>
      </c>
      <c r="L249" t="str">
        <f t="shared" si="85"/>
        <v>N/A</v>
      </c>
      <c r="M249" t="str">
        <f t="shared" si="86"/>
        <v>N/A</v>
      </c>
      <c r="N249" t="str">
        <f t="shared" si="87"/>
        <v>N/A</v>
      </c>
      <c r="P249">
        <f t="shared" si="58"/>
        <v>0</v>
      </c>
      <c r="Q249" t="str">
        <f>IFERROR(J144+MATCH(P249,J249:N249,0)-1,"")</f>
        <v/>
      </c>
      <c r="R249" t="str">
        <f t="shared" si="59"/>
        <v/>
      </c>
      <c r="S249" t="str">
        <f>IFERROR(J144+MATCH(R249,J249:N249,0)-1,"")</f>
        <v/>
      </c>
      <c r="T249" t="str">
        <f t="shared" si="60"/>
        <v/>
      </c>
      <c r="U249" t="str">
        <f t="shared" si="61"/>
        <v/>
      </c>
      <c r="V249" t="str">
        <f t="shared" si="62"/>
        <v/>
      </c>
      <c r="W249" t="str">
        <f t="shared" si="63"/>
        <v/>
      </c>
      <c r="X249" t="str">
        <f t="shared" si="64"/>
        <v/>
      </c>
      <c r="Y249" t="str">
        <f t="shared" si="65"/>
        <v/>
      </c>
      <c r="Z249" t="str">
        <f t="shared" si="66"/>
        <v/>
      </c>
      <c r="AA249">
        <f t="shared" si="67"/>
        <v>0</v>
      </c>
      <c r="AB249" t="str">
        <f>IFERROR(V144+MATCH(AA249,V249:Z249,0)-1,"")</f>
        <v/>
      </c>
      <c r="AC249" t="str">
        <f t="shared" si="68"/>
        <v/>
      </c>
      <c r="AE249" t="str">
        <f>IF(ISNUMBER(MATCH("N/A",J249:N249,0)),"",IFERROR((5 * SUMPRODUCT(J144:N144,J249:N249) - PRODUCT(SUM(J144:N144),SUM(J249:N249))) / ((5 * SUM((J144^2)+(K144^2)+(L144^2)+(M144^2)+(N144^2))) - SUM(J144:N144)^2),""))</f>
        <v/>
      </c>
      <c r="AF249" t="str">
        <f>IFERROR(CORREL(J144:N144,J249:N249),"")</f>
        <v/>
      </c>
      <c r="AZ249">
        <f t="shared" si="69"/>
        <v>0</v>
      </c>
      <c r="BA249" t="str">
        <f>IF(AZ249=1,IF(Q249="","",IF(Q249=N144,"Yes","No")),"")</f>
        <v/>
      </c>
      <c r="BB249" t="str">
        <f t="shared" si="70"/>
        <v/>
      </c>
      <c r="BC249" t="str">
        <f>IF(AZ249=1,IF(S249="","",IF(S249=N144,"Yes","No")),"")</f>
        <v/>
      </c>
      <c r="BD249" t="str">
        <f t="shared" si="71"/>
        <v/>
      </c>
      <c r="BE249" t="str">
        <f t="shared" si="72"/>
        <v/>
      </c>
      <c r="BF249" t="str">
        <f t="shared" si="73"/>
        <v>No</v>
      </c>
      <c r="BG249" t="str">
        <f t="shared" si="74"/>
        <v>No</v>
      </c>
      <c r="BH249" t="str">
        <f t="shared" si="75"/>
        <v/>
      </c>
    </row>
    <row r="250" spans="9:60" x14ac:dyDescent="0.3">
      <c r="I250" t="str">
        <f t="shared" si="82"/>
        <v>N/A</v>
      </c>
      <c r="J250" t="str">
        <f t="shared" si="83"/>
        <v>N/A</v>
      </c>
      <c r="K250" t="str">
        <f t="shared" si="84"/>
        <v>N/A</v>
      </c>
      <c r="L250" t="str">
        <f t="shared" si="85"/>
        <v>N/A</v>
      </c>
      <c r="M250" t="str">
        <f t="shared" si="86"/>
        <v>N/A</v>
      </c>
      <c r="N250" t="str">
        <f t="shared" si="87"/>
        <v>N/A</v>
      </c>
      <c r="P250">
        <f t="shared" si="58"/>
        <v>0</v>
      </c>
      <c r="Q250" t="str">
        <f>IFERROR(J144+MATCH(P250,J250:N250,0)-1,"")</f>
        <v/>
      </c>
      <c r="R250" t="str">
        <f t="shared" si="59"/>
        <v/>
      </c>
      <c r="S250" t="str">
        <f>IFERROR(J144+MATCH(R250,J250:N250,0)-1,"")</f>
        <v/>
      </c>
      <c r="T250" t="str">
        <f t="shared" si="60"/>
        <v/>
      </c>
      <c r="U250" t="str">
        <f t="shared" si="61"/>
        <v/>
      </c>
      <c r="V250" t="str">
        <f t="shared" si="62"/>
        <v/>
      </c>
      <c r="W250" t="str">
        <f t="shared" si="63"/>
        <v/>
      </c>
      <c r="X250" t="str">
        <f t="shared" si="64"/>
        <v/>
      </c>
      <c r="Y250" t="str">
        <f t="shared" si="65"/>
        <v/>
      </c>
      <c r="Z250" t="str">
        <f t="shared" si="66"/>
        <v/>
      </c>
      <c r="AA250">
        <f t="shared" si="67"/>
        <v>0</v>
      </c>
      <c r="AB250" t="str">
        <f>IFERROR(V144+MATCH(AA250,V250:Z250,0)-1,"")</f>
        <v/>
      </c>
      <c r="AC250" t="str">
        <f t="shared" si="68"/>
        <v/>
      </c>
      <c r="AE250" t="str">
        <f>IF(ISNUMBER(MATCH("N/A",J250:N250,0)),"",IFERROR((5 * SUMPRODUCT(J144:N144,J250:N250) - PRODUCT(SUM(J144:N144),SUM(J250:N250))) / ((5 * SUM((J144^2)+(K144^2)+(L144^2)+(M144^2)+(N144^2))) - SUM(J144:N144)^2),""))</f>
        <v/>
      </c>
      <c r="AF250" t="str">
        <f>IFERROR(CORREL(J144:N144,J250:N250),"")</f>
        <v/>
      </c>
      <c r="AZ250">
        <f t="shared" si="69"/>
        <v>0</v>
      </c>
      <c r="BA250" t="str">
        <f>IF(AZ250=1,IF(Q250="","",IF(Q250=N144,"Yes","No")),"")</f>
        <v/>
      </c>
      <c r="BB250" t="str">
        <f t="shared" si="70"/>
        <v/>
      </c>
      <c r="BC250" t="str">
        <f>IF(AZ250=1,IF(S250="","",IF(S250=N144,"Yes","No")),"")</f>
        <v/>
      </c>
      <c r="BD250" t="str">
        <f t="shared" si="71"/>
        <v/>
      </c>
      <c r="BE250" t="str">
        <f t="shared" si="72"/>
        <v/>
      </c>
      <c r="BF250" t="str">
        <f t="shared" si="73"/>
        <v>No</v>
      </c>
      <c r="BG250" t="str">
        <f t="shared" si="74"/>
        <v>No</v>
      </c>
      <c r="BH250" t="str">
        <f t="shared" si="75"/>
        <v/>
      </c>
    </row>
    <row r="251" spans="9:60" x14ac:dyDescent="0.3">
      <c r="I251" t="str">
        <f t="shared" si="82"/>
        <v>N/A</v>
      </c>
      <c r="J251" t="str">
        <f t="shared" si="83"/>
        <v>N/A</v>
      </c>
      <c r="K251" t="str">
        <f t="shared" si="84"/>
        <v>N/A</v>
      </c>
      <c r="L251" t="str">
        <f t="shared" si="85"/>
        <v>N/A</v>
      </c>
      <c r="M251" t="str">
        <f t="shared" si="86"/>
        <v>N/A</v>
      </c>
      <c r="N251" t="str">
        <f t="shared" si="87"/>
        <v>N/A</v>
      </c>
      <c r="P251">
        <f t="shared" si="58"/>
        <v>0</v>
      </c>
      <c r="Q251" t="str">
        <f>IFERROR(J144+MATCH(P251,J251:N251,0)-1,"")</f>
        <v/>
      </c>
      <c r="R251" t="str">
        <f t="shared" si="59"/>
        <v/>
      </c>
      <c r="S251" t="str">
        <f>IFERROR(J144+MATCH(R251,J251:N251,0)-1,"")</f>
        <v/>
      </c>
      <c r="T251" t="str">
        <f t="shared" si="60"/>
        <v/>
      </c>
      <c r="U251" t="str">
        <f t="shared" si="61"/>
        <v/>
      </c>
      <c r="V251" t="str">
        <f t="shared" si="62"/>
        <v/>
      </c>
      <c r="W251" t="str">
        <f t="shared" si="63"/>
        <v/>
      </c>
      <c r="X251" t="str">
        <f t="shared" si="64"/>
        <v/>
      </c>
      <c r="Y251" t="str">
        <f t="shared" si="65"/>
        <v/>
      </c>
      <c r="Z251" t="str">
        <f t="shared" si="66"/>
        <v/>
      </c>
      <c r="AA251">
        <f t="shared" si="67"/>
        <v>0</v>
      </c>
      <c r="AB251" t="str">
        <f>IFERROR(V144+MATCH(AA251,V251:Z251,0)-1,"")</f>
        <v/>
      </c>
      <c r="AC251" t="str">
        <f t="shared" si="68"/>
        <v/>
      </c>
      <c r="AE251" t="str">
        <f>IF(ISNUMBER(MATCH("N/A",J251:N251,0)),"",IFERROR((5 * SUMPRODUCT(J144:N144,J251:N251) - PRODUCT(SUM(J144:N144),SUM(J251:N251))) / ((5 * SUM((J144^2)+(K144^2)+(L144^2)+(M144^2)+(N144^2))) - SUM(J144:N144)^2),""))</f>
        <v/>
      </c>
      <c r="AF251" t="str">
        <f>IFERROR(CORREL(J144:N144,J251:N251),"")</f>
        <v/>
      </c>
      <c r="AZ251">
        <f t="shared" si="69"/>
        <v>0</v>
      </c>
      <c r="BA251" t="str">
        <f>IF(AZ251=1,IF(Q251="","",IF(Q251=N144,"Yes","No")),"")</f>
        <v/>
      </c>
      <c r="BB251" t="str">
        <f t="shared" si="70"/>
        <v/>
      </c>
      <c r="BC251" t="str">
        <f>IF(AZ251=1,IF(S251="","",IF(S251=N144,"Yes","No")),"")</f>
        <v/>
      </c>
      <c r="BD251" t="str">
        <f t="shared" si="71"/>
        <v/>
      </c>
      <c r="BE251" t="str">
        <f t="shared" si="72"/>
        <v/>
      </c>
      <c r="BF251" t="str">
        <f t="shared" si="73"/>
        <v>No</v>
      </c>
      <c r="BG251" t="str">
        <f t="shared" si="74"/>
        <v>No</v>
      </c>
      <c r="BH251" t="str">
        <f t="shared" si="75"/>
        <v/>
      </c>
    </row>
    <row r="252" spans="9:60" x14ac:dyDescent="0.3">
      <c r="I252" t="str">
        <f t="shared" si="82"/>
        <v>N/A</v>
      </c>
      <c r="J252" t="str">
        <f t="shared" si="83"/>
        <v>N/A</v>
      </c>
      <c r="K252" t="str">
        <f t="shared" si="84"/>
        <v>N/A</v>
      </c>
      <c r="L252" t="str">
        <f t="shared" si="85"/>
        <v>N/A</v>
      </c>
      <c r="M252" t="str">
        <f t="shared" si="86"/>
        <v>N/A</v>
      </c>
      <c r="N252" t="str">
        <f t="shared" si="87"/>
        <v>N/A</v>
      </c>
      <c r="P252">
        <f t="shared" si="58"/>
        <v>0</v>
      </c>
      <c r="Q252" t="str">
        <f>IFERROR(J144+MATCH(P252,J252:N252,0)-1,"")</f>
        <v/>
      </c>
      <c r="R252" t="str">
        <f t="shared" si="59"/>
        <v/>
      </c>
      <c r="S252" t="str">
        <f>IFERROR(J144+MATCH(R252,J252:N252,0)-1,"")</f>
        <v/>
      </c>
      <c r="T252" t="str">
        <f t="shared" si="60"/>
        <v/>
      </c>
      <c r="U252" t="str">
        <f t="shared" si="61"/>
        <v/>
      </c>
      <c r="V252" t="str">
        <f t="shared" si="62"/>
        <v/>
      </c>
      <c r="W252" t="str">
        <f t="shared" si="63"/>
        <v/>
      </c>
      <c r="X252" t="str">
        <f t="shared" si="64"/>
        <v/>
      </c>
      <c r="Y252" t="str">
        <f t="shared" si="65"/>
        <v/>
      </c>
      <c r="Z252" t="str">
        <f t="shared" si="66"/>
        <v/>
      </c>
      <c r="AA252">
        <f t="shared" si="67"/>
        <v>0</v>
      </c>
      <c r="AB252" t="str">
        <f>IFERROR(V144+MATCH(AA252,V252:Z252,0)-1,"")</f>
        <v/>
      </c>
      <c r="AC252" t="str">
        <f t="shared" si="68"/>
        <v/>
      </c>
      <c r="AE252" t="str">
        <f>IF(ISNUMBER(MATCH("N/A",J252:N252,0)),"",IFERROR((5 * SUMPRODUCT(J144:N144,J252:N252) - PRODUCT(SUM(J144:N144),SUM(J252:N252))) / ((5 * SUM((J144^2)+(K144^2)+(L144^2)+(M144^2)+(N144^2))) - SUM(J144:N144)^2),""))</f>
        <v/>
      </c>
      <c r="AF252" t="str">
        <f>IFERROR(CORREL(J144:N144,J252:N252),"")</f>
        <v/>
      </c>
      <c r="AZ252">
        <f t="shared" si="69"/>
        <v>0</v>
      </c>
      <c r="BA252" t="str">
        <f>IF(AZ252=1,IF(Q252="","",IF(Q252=N144,"Yes","No")),"")</f>
        <v/>
      </c>
      <c r="BB252" t="str">
        <f t="shared" si="70"/>
        <v/>
      </c>
      <c r="BC252" t="str">
        <f>IF(AZ252=1,IF(S252="","",IF(S252=N144,"Yes","No")),"")</f>
        <v/>
      </c>
      <c r="BD252" t="str">
        <f t="shared" si="71"/>
        <v/>
      </c>
      <c r="BE252" t="str">
        <f t="shared" si="72"/>
        <v/>
      </c>
      <c r="BF252" t="str">
        <f t="shared" si="73"/>
        <v>No</v>
      </c>
      <c r="BG252" t="str">
        <f t="shared" si="74"/>
        <v>No</v>
      </c>
      <c r="BH252" t="str">
        <f t="shared" si="75"/>
        <v/>
      </c>
    </row>
    <row r="253" spans="9:60" x14ac:dyDescent="0.3">
      <c r="I253" t="str">
        <f t="shared" si="82"/>
        <v>N/A</v>
      </c>
      <c r="J253" t="str">
        <f t="shared" si="83"/>
        <v>N/A</v>
      </c>
      <c r="K253" t="str">
        <f t="shared" si="84"/>
        <v>N/A</v>
      </c>
      <c r="L253" t="str">
        <f t="shared" si="85"/>
        <v>N/A</v>
      </c>
      <c r="M253" t="str">
        <f t="shared" si="86"/>
        <v>N/A</v>
      </c>
      <c r="N253" t="str">
        <f t="shared" si="87"/>
        <v>N/A</v>
      </c>
      <c r="P253">
        <f t="shared" si="58"/>
        <v>0</v>
      </c>
      <c r="Q253" t="str">
        <f>IFERROR(J144+MATCH(P253,J253:N253,0)-1,"")</f>
        <v/>
      </c>
      <c r="R253" t="str">
        <f t="shared" si="59"/>
        <v/>
      </c>
      <c r="S253" t="str">
        <f>IFERROR(J144+MATCH(R253,J253:N253,0)-1,"")</f>
        <v/>
      </c>
      <c r="T253" t="str">
        <f t="shared" si="60"/>
        <v/>
      </c>
      <c r="U253" t="str">
        <f t="shared" si="61"/>
        <v/>
      </c>
      <c r="V253" t="str">
        <f t="shared" si="62"/>
        <v/>
      </c>
      <c r="W253" t="str">
        <f t="shared" si="63"/>
        <v/>
      </c>
      <c r="X253" t="str">
        <f t="shared" si="64"/>
        <v/>
      </c>
      <c r="Y253" t="str">
        <f t="shared" si="65"/>
        <v/>
      </c>
      <c r="Z253" t="str">
        <f t="shared" si="66"/>
        <v/>
      </c>
      <c r="AA253">
        <f t="shared" si="67"/>
        <v>0</v>
      </c>
      <c r="AB253" t="str">
        <f>IFERROR(V144+MATCH(AA253,V253:Z253,0)-1,"")</f>
        <v/>
      </c>
      <c r="AC253" t="str">
        <f t="shared" si="68"/>
        <v/>
      </c>
      <c r="AE253" t="str">
        <f>IF(ISNUMBER(MATCH("N/A",J253:N253,0)),"",IFERROR((5 * SUMPRODUCT(J144:N144,J253:N253) - PRODUCT(SUM(J144:N144),SUM(J253:N253))) / ((5 * SUM((J144^2)+(K144^2)+(L144^2)+(M144^2)+(N144^2))) - SUM(J144:N144)^2),""))</f>
        <v/>
      </c>
      <c r="AF253" t="str">
        <f>IFERROR(CORREL(J144:N144,J253:N253),"")</f>
        <v/>
      </c>
      <c r="AZ253">
        <f t="shared" si="69"/>
        <v>0</v>
      </c>
      <c r="BA253" t="str">
        <f>IF(AZ253=1,IF(Q253="","",IF(Q253=N144,"Yes","No")),"")</f>
        <v/>
      </c>
      <c r="BB253" t="str">
        <f t="shared" si="70"/>
        <v/>
      </c>
      <c r="BC253" t="str">
        <f>IF(AZ253=1,IF(S253="","",IF(S253=N144,"Yes","No")),"")</f>
        <v/>
      </c>
      <c r="BD253" t="str">
        <f t="shared" si="71"/>
        <v/>
      </c>
      <c r="BE253" t="str">
        <f t="shared" si="72"/>
        <v/>
      </c>
      <c r="BF253" t="str">
        <f t="shared" si="73"/>
        <v>No</v>
      </c>
      <c r="BG253" t="str">
        <f t="shared" si="74"/>
        <v>No</v>
      </c>
      <c r="BH253" t="str">
        <f t="shared" si="75"/>
        <v/>
      </c>
    </row>
    <row r="254" spans="9:60" x14ac:dyDescent="0.3">
      <c r="I254" t="str">
        <f t="shared" si="82"/>
        <v>N/A</v>
      </c>
      <c r="J254" t="str">
        <f t="shared" si="83"/>
        <v>N/A</v>
      </c>
      <c r="K254" t="str">
        <f t="shared" si="84"/>
        <v>N/A</v>
      </c>
      <c r="L254" t="str">
        <f t="shared" si="85"/>
        <v>N/A</v>
      </c>
      <c r="M254" t="str">
        <f t="shared" si="86"/>
        <v>N/A</v>
      </c>
      <c r="N254" t="str">
        <f t="shared" si="87"/>
        <v>N/A</v>
      </c>
      <c r="P254">
        <f t="shared" si="58"/>
        <v>0</v>
      </c>
      <c r="Q254" t="str">
        <f>IFERROR(J144+MATCH(P254,J254:N254,0)-1,"")</f>
        <v/>
      </c>
      <c r="R254" t="str">
        <f t="shared" si="59"/>
        <v/>
      </c>
      <c r="S254" t="str">
        <f>IFERROR(J144+MATCH(R254,J254:N254,0)-1,"")</f>
        <v/>
      </c>
      <c r="T254" t="str">
        <f t="shared" si="60"/>
        <v/>
      </c>
      <c r="U254" t="str">
        <f t="shared" si="61"/>
        <v/>
      </c>
      <c r="V254" t="str">
        <f t="shared" si="62"/>
        <v/>
      </c>
      <c r="W254" t="str">
        <f t="shared" si="63"/>
        <v/>
      </c>
      <c r="X254" t="str">
        <f t="shared" si="64"/>
        <v/>
      </c>
      <c r="Y254" t="str">
        <f t="shared" si="65"/>
        <v/>
      </c>
      <c r="Z254" t="str">
        <f t="shared" si="66"/>
        <v/>
      </c>
      <c r="AA254">
        <f t="shared" si="67"/>
        <v>0</v>
      </c>
      <c r="AB254" t="str">
        <f>IFERROR(V144+MATCH(AA254,V254:Z254,0)-1,"")</f>
        <v/>
      </c>
      <c r="AC254" t="str">
        <f t="shared" si="68"/>
        <v/>
      </c>
      <c r="AE254" t="str">
        <f>IF(ISNUMBER(MATCH("N/A",J254:N254,0)),"",IFERROR((5 * SUMPRODUCT(J144:N144,J254:N254) - PRODUCT(SUM(J144:N144),SUM(J254:N254))) / ((5 * SUM((J144^2)+(K144^2)+(L144^2)+(M144^2)+(N144^2))) - SUM(J144:N144)^2),""))</f>
        <v/>
      </c>
      <c r="AF254" t="str">
        <f>IFERROR(CORREL(J144:N144,J254:N254),"")</f>
        <v/>
      </c>
      <c r="AZ254">
        <f t="shared" si="69"/>
        <v>0</v>
      </c>
      <c r="BA254" t="str">
        <f>IF(AZ254=1,IF(Q254="","",IF(Q254=N144,"Yes","No")),"")</f>
        <v/>
      </c>
      <c r="BB254" t="str">
        <f t="shared" si="70"/>
        <v/>
      </c>
      <c r="BC254" t="str">
        <f>IF(AZ254=1,IF(S254="","",IF(S254=N144,"Yes","No")),"")</f>
        <v/>
      </c>
      <c r="BD254" t="str">
        <f t="shared" si="71"/>
        <v/>
      </c>
      <c r="BE254" t="str">
        <f t="shared" si="72"/>
        <v/>
      </c>
      <c r="BF254" t="str">
        <f t="shared" si="73"/>
        <v>No</v>
      </c>
      <c r="BG254" t="str">
        <f t="shared" si="74"/>
        <v>No</v>
      </c>
      <c r="BH254" t="str">
        <f t="shared" si="75"/>
        <v/>
      </c>
    </row>
    <row r="255" spans="9:60" x14ac:dyDescent="0.3">
      <c r="I255" t="str">
        <f t="shared" si="82"/>
        <v>N/A</v>
      </c>
      <c r="J255" t="str">
        <f t="shared" si="83"/>
        <v>N/A</v>
      </c>
      <c r="K255" t="str">
        <f t="shared" si="84"/>
        <v>N/A</v>
      </c>
      <c r="L255" t="str">
        <f t="shared" si="85"/>
        <v>N/A</v>
      </c>
      <c r="M255" t="str">
        <f t="shared" si="86"/>
        <v>N/A</v>
      </c>
      <c r="N255" t="str">
        <f t="shared" si="87"/>
        <v>N/A</v>
      </c>
      <c r="P255">
        <f t="shared" si="58"/>
        <v>0</v>
      </c>
      <c r="Q255" t="str">
        <f>IFERROR(J144+MATCH(P255,J255:N255,0)-1,"")</f>
        <v/>
      </c>
      <c r="R255" t="str">
        <f t="shared" si="59"/>
        <v/>
      </c>
      <c r="S255" t="str">
        <f>IFERROR(J144+MATCH(R255,J255:N255,0)-1,"")</f>
        <v/>
      </c>
      <c r="T255" t="str">
        <f t="shared" si="60"/>
        <v/>
      </c>
      <c r="U255" t="str">
        <f t="shared" si="61"/>
        <v/>
      </c>
      <c r="V255" t="str">
        <f t="shared" si="62"/>
        <v/>
      </c>
      <c r="W255" t="str">
        <f t="shared" si="63"/>
        <v/>
      </c>
      <c r="X255" t="str">
        <f t="shared" si="64"/>
        <v/>
      </c>
      <c r="Y255" t="str">
        <f t="shared" si="65"/>
        <v/>
      </c>
      <c r="Z255" t="str">
        <f t="shared" si="66"/>
        <v/>
      </c>
      <c r="AA255">
        <f t="shared" si="67"/>
        <v>0</v>
      </c>
      <c r="AB255" t="str">
        <f>IFERROR(V144+MATCH(AA255,V255:Z255,0)-1,"")</f>
        <v/>
      </c>
      <c r="AC255" t="str">
        <f t="shared" si="68"/>
        <v/>
      </c>
      <c r="AE255" t="str">
        <f>IF(ISNUMBER(MATCH("N/A",J255:N255,0)),"",IFERROR((5 * SUMPRODUCT(J144:N144,J255:N255) - PRODUCT(SUM(J144:N144),SUM(J255:N255))) / ((5 * SUM((J144^2)+(K144^2)+(L144^2)+(M144^2)+(N144^2))) - SUM(J144:N144)^2),""))</f>
        <v/>
      </c>
      <c r="AF255" t="str">
        <f>IFERROR(CORREL(J144:N144,J255:N255),"")</f>
        <v/>
      </c>
      <c r="AZ255">
        <f t="shared" si="69"/>
        <v>0</v>
      </c>
      <c r="BA255" t="str">
        <f>IF(AZ255=1,IF(Q255="","",IF(Q255=N144,"Yes","No")),"")</f>
        <v/>
      </c>
      <c r="BB255" t="str">
        <f t="shared" si="70"/>
        <v/>
      </c>
      <c r="BC255" t="str">
        <f>IF(AZ255=1,IF(S255="","",IF(S255=N144,"Yes","No")),"")</f>
        <v/>
      </c>
      <c r="BD255" t="str">
        <f t="shared" si="71"/>
        <v/>
      </c>
      <c r="BE255" t="str">
        <f t="shared" si="72"/>
        <v/>
      </c>
      <c r="BF255" t="str">
        <f t="shared" si="73"/>
        <v>No</v>
      </c>
      <c r="BG255" t="str">
        <f t="shared" si="74"/>
        <v>No</v>
      </c>
      <c r="BH255" t="str">
        <f t="shared" si="75"/>
        <v/>
      </c>
    </row>
    <row r="256" spans="9:60" x14ac:dyDescent="0.3">
      <c r="I256" t="str">
        <f t="shared" si="82"/>
        <v>N/A</v>
      </c>
      <c r="J256" t="str">
        <f t="shared" si="83"/>
        <v>N/A</v>
      </c>
      <c r="K256" t="str">
        <f t="shared" si="84"/>
        <v>N/A</v>
      </c>
      <c r="L256" t="str">
        <f t="shared" si="85"/>
        <v>N/A</v>
      </c>
      <c r="M256" t="str">
        <f t="shared" si="86"/>
        <v>N/A</v>
      </c>
      <c r="N256" t="str">
        <f t="shared" si="87"/>
        <v>N/A</v>
      </c>
      <c r="P256">
        <f t="shared" si="58"/>
        <v>0</v>
      </c>
      <c r="Q256" t="str">
        <f>IFERROR(J144+MATCH(P256,J256:N256,0)-1,"")</f>
        <v/>
      </c>
      <c r="R256" t="str">
        <f t="shared" si="59"/>
        <v/>
      </c>
      <c r="S256" t="str">
        <f>IFERROR(J144+MATCH(R256,J256:N256,0)-1,"")</f>
        <v/>
      </c>
      <c r="T256" t="str">
        <f t="shared" si="60"/>
        <v/>
      </c>
      <c r="U256" t="str">
        <f t="shared" si="61"/>
        <v/>
      </c>
      <c r="V256" t="str">
        <f t="shared" si="62"/>
        <v/>
      </c>
      <c r="W256" t="str">
        <f t="shared" si="63"/>
        <v/>
      </c>
      <c r="X256" t="str">
        <f t="shared" si="64"/>
        <v/>
      </c>
      <c r="Y256" t="str">
        <f t="shared" si="65"/>
        <v/>
      </c>
      <c r="Z256" t="str">
        <f t="shared" si="66"/>
        <v/>
      </c>
      <c r="AA256">
        <f t="shared" si="67"/>
        <v>0</v>
      </c>
      <c r="AB256" t="str">
        <f>IFERROR(V144+MATCH(AA256,V256:Z256,0)-1,"")</f>
        <v/>
      </c>
      <c r="AC256" t="str">
        <f t="shared" si="68"/>
        <v/>
      </c>
      <c r="AE256" t="str">
        <f>IF(ISNUMBER(MATCH("N/A",J256:N256,0)),"",IFERROR((5 * SUMPRODUCT(J144:N144,J256:N256) - PRODUCT(SUM(J144:N144),SUM(J256:N256))) / ((5 * SUM((J144^2)+(K144^2)+(L144^2)+(M144^2)+(N144^2))) - SUM(J144:N144)^2),""))</f>
        <v/>
      </c>
      <c r="AF256" t="str">
        <f>IFERROR(CORREL(J144:N144,J256:N256),"")</f>
        <v/>
      </c>
      <c r="AZ256">
        <f t="shared" si="69"/>
        <v>0</v>
      </c>
      <c r="BA256" t="str">
        <f>IF(AZ256=1,IF(Q256="","",IF(Q256=N144,"Yes","No")),"")</f>
        <v/>
      </c>
      <c r="BB256" t="str">
        <f t="shared" si="70"/>
        <v/>
      </c>
      <c r="BC256" t="str">
        <f>IF(AZ256=1,IF(S256="","",IF(S256=N144,"Yes","No")),"")</f>
        <v/>
      </c>
      <c r="BD256" t="str">
        <f t="shared" si="71"/>
        <v/>
      </c>
      <c r="BE256" t="str">
        <f t="shared" si="72"/>
        <v/>
      </c>
      <c r="BF256" t="str">
        <f t="shared" si="73"/>
        <v>No</v>
      </c>
      <c r="BG256" t="str">
        <f t="shared" si="74"/>
        <v>No</v>
      </c>
      <c r="BH256" t="str">
        <f t="shared" si="75"/>
        <v/>
      </c>
    </row>
    <row r="257" spans="9:60" x14ac:dyDescent="0.3">
      <c r="I257" t="str">
        <f t="shared" si="82"/>
        <v>N/A</v>
      </c>
      <c r="J257" t="str">
        <f t="shared" si="83"/>
        <v>N/A</v>
      </c>
      <c r="K257" t="str">
        <f t="shared" si="84"/>
        <v>N/A</v>
      </c>
      <c r="L257" t="str">
        <f t="shared" si="85"/>
        <v>N/A</v>
      </c>
      <c r="M257" t="str">
        <f t="shared" si="86"/>
        <v>N/A</v>
      </c>
      <c r="N257" t="str">
        <f t="shared" si="87"/>
        <v>N/A</v>
      </c>
      <c r="P257">
        <f t="shared" si="58"/>
        <v>0</v>
      </c>
      <c r="Q257" t="str">
        <f>IFERROR(J144+MATCH(P257,J257:N257,0)-1,"")</f>
        <v/>
      </c>
      <c r="R257" t="str">
        <f t="shared" si="59"/>
        <v/>
      </c>
      <c r="S257" t="str">
        <f>IFERROR(J144+MATCH(R257,J257:N257,0)-1,"")</f>
        <v/>
      </c>
      <c r="T257" t="str">
        <f t="shared" si="60"/>
        <v/>
      </c>
      <c r="U257" t="str">
        <f t="shared" si="61"/>
        <v/>
      </c>
      <c r="V257" t="str">
        <f t="shared" si="62"/>
        <v/>
      </c>
      <c r="W257" t="str">
        <f t="shared" si="63"/>
        <v/>
      </c>
      <c r="X257" t="str">
        <f t="shared" si="64"/>
        <v/>
      </c>
      <c r="Y257" t="str">
        <f t="shared" si="65"/>
        <v/>
      </c>
      <c r="Z257" t="str">
        <f t="shared" si="66"/>
        <v/>
      </c>
      <c r="AA257">
        <f t="shared" si="67"/>
        <v>0</v>
      </c>
      <c r="AB257" t="str">
        <f>IFERROR(V144+MATCH(AA257,V257:Z257,0)-1,"")</f>
        <v/>
      </c>
      <c r="AC257" t="str">
        <f t="shared" si="68"/>
        <v/>
      </c>
      <c r="AE257" t="str">
        <f>IF(ISNUMBER(MATCH("N/A",J257:N257,0)),"",IFERROR((5 * SUMPRODUCT(J144:N144,J257:N257) - PRODUCT(SUM(J144:N144),SUM(J257:N257))) / ((5 * SUM((J144^2)+(K144^2)+(L144^2)+(M144^2)+(N144^2))) - SUM(J144:N144)^2),""))</f>
        <v/>
      </c>
      <c r="AF257" t="str">
        <f>IFERROR(CORREL(J144:N144,J257:N257),"")</f>
        <v/>
      </c>
      <c r="AZ257">
        <f t="shared" si="69"/>
        <v>0</v>
      </c>
      <c r="BA257" t="str">
        <f>IF(AZ257=1,IF(Q257="","",IF(Q257=N144,"Yes","No")),"")</f>
        <v/>
      </c>
      <c r="BB257" t="str">
        <f t="shared" si="70"/>
        <v/>
      </c>
      <c r="BC257" t="str">
        <f>IF(AZ257=1,IF(S257="","",IF(S257=N144,"Yes","No")),"")</f>
        <v/>
      </c>
      <c r="BD257" t="str">
        <f t="shared" si="71"/>
        <v/>
      </c>
      <c r="BE257" t="str">
        <f t="shared" si="72"/>
        <v/>
      </c>
      <c r="BF257" t="str">
        <f t="shared" si="73"/>
        <v>No</v>
      </c>
      <c r="BG257" t="str">
        <f t="shared" si="74"/>
        <v>No</v>
      </c>
      <c r="BH257" t="str">
        <f t="shared" si="75"/>
        <v/>
      </c>
    </row>
    <row r="258" spans="9:60" x14ac:dyDescent="0.3">
      <c r="I258" t="str">
        <f t="shared" si="82"/>
        <v>N/A</v>
      </c>
      <c r="J258" t="str">
        <f t="shared" si="83"/>
        <v>N/A</v>
      </c>
      <c r="K258" t="str">
        <f t="shared" si="84"/>
        <v>N/A</v>
      </c>
      <c r="L258" t="str">
        <f t="shared" si="85"/>
        <v>N/A</v>
      </c>
      <c r="M258" t="str">
        <f t="shared" si="86"/>
        <v>N/A</v>
      </c>
      <c r="N258" t="str">
        <f t="shared" si="87"/>
        <v>N/A</v>
      </c>
      <c r="P258">
        <f t="shared" si="58"/>
        <v>0</v>
      </c>
      <c r="Q258" t="str">
        <f>IFERROR(J144+MATCH(P258,J258:N258,0)-1,"")</f>
        <v/>
      </c>
      <c r="R258" t="str">
        <f t="shared" si="59"/>
        <v/>
      </c>
      <c r="S258" t="str">
        <f>IFERROR(J144+MATCH(R258,J258:N258,0)-1,"")</f>
        <v/>
      </c>
      <c r="T258" t="str">
        <f t="shared" si="60"/>
        <v/>
      </c>
      <c r="U258" t="str">
        <f t="shared" si="61"/>
        <v/>
      </c>
      <c r="V258" t="str">
        <f t="shared" si="62"/>
        <v/>
      </c>
      <c r="W258" t="str">
        <f t="shared" si="63"/>
        <v/>
      </c>
      <c r="X258" t="str">
        <f t="shared" si="64"/>
        <v/>
      </c>
      <c r="Y258" t="str">
        <f t="shared" si="65"/>
        <v/>
      </c>
      <c r="Z258" t="str">
        <f t="shared" si="66"/>
        <v/>
      </c>
      <c r="AA258">
        <f t="shared" si="67"/>
        <v>0</v>
      </c>
      <c r="AB258" t="str">
        <f>IFERROR(V144+MATCH(AA258,V258:Z258,0)-1,"")</f>
        <v/>
      </c>
      <c r="AC258" t="str">
        <f t="shared" si="68"/>
        <v/>
      </c>
      <c r="AE258" t="str">
        <f>IF(ISNUMBER(MATCH("N/A",J258:N258,0)),"",IFERROR((5 * SUMPRODUCT(J144:N144,J258:N258) - PRODUCT(SUM(J144:N144),SUM(J258:N258))) / ((5 * SUM((J144^2)+(K144^2)+(L144^2)+(M144^2)+(N144^2))) - SUM(J144:N144)^2),""))</f>
        <v/>
      </c>
      <c r="AF258" t="str">
        <f>IFERROR(CORREL(J144:N144,J258:N258),"")</f>
        <v/>
      </c>
      <c r="AZ258">
        <f t="shared" si="69"/>
        <v>0</v>
      </c>
      <c r="BA258" t="str">
        <f>IF(AZ258=1,IF(Q258="","",IF(Q258=N144,"Yes","No")),"")</f>
        <v/>
      </c>
      <c r="BB258" t="str">
        <f t="shared" si="70"/>
        <v/>
      </c>
      <c r="BC258" t="str">
        <f>IF(AZ258=1,IF(S258="","",IF(S258=N144,"Yes","No")),"")</f>
        <v/>
      </c>
      <c r="BD258" t="str">
        <f t="shared" si="71"/>
        <v/>
      </c>
      <c r="BE258" t="str">
        <f t="shared" si="72"/>
        <v/>
      </c>
      <c r="BF258" t="str">
        <f t="shared" si="73"/>
        <v>No</v>
      </c>
      <c r="BG258" t="str">
        <f t="shared" si="74"/>
        <v>No</v>
      </c>
      <c r="BH258" t="str">
        <f t="shared" si="75"/>
        <v/>
      </c>
    </row>
    <row r="259" spans="9:60" x14ac:dyDescent="0.3">
      <c r="I259" t="str">
        <f t="shared" si="82"/>
        <v>N/A</v>
      </c>
      <c r="J259" t="str">
        <f t="shared" si="83"/>
        <v>N/A</v>
      </c>
      <c r="K259" t="str">
        <f t="shared" si="84"/>
        <v>N/A</v>
      </c>
      <c r="L259" t="str">
        <f t="shared" si="85"/>
        <v>N/A</v>
      </c>
      <c r="M259" t="str">
        <f t="shared" si="86"/>
        <v>N/A</v>
      </c>
      <c r="N259" t="str">
        <f t="shared" si="87"/>
        <v>N/A</v>
      </c>
      <c r="P259">
        <f t="shared" si="58"/>
        <v>0</v>
      </c>
      <c r="Q259" t="str">
        <f>IFERROR(J144+MATCH(P259,J259:N259,0)-1,"")</f>
        <v/>
      </c>
      <c r="R259" t="str">
        <f t="shared" si="59"/>
        <v/>
      </c>
      <c r="S259" t="str">
        <f>IFERROR(J144+MATCH(R259,J259:N259,0)-1,"")</f>
        <v/>
      </c>
      <c r="T259" t="str">
        <f t="shared" si="60"/>
        <v/>
      </c>
      <c r="U259" t="str">
        <f t="shared" si="61"/>
        <v/>
      </c>
      <c r="V259" t="str">
        <f t="shared" si="62"/>
        <v/>
      </c>
      <c r="W259" t="str">
        <f t="shared" si="63"/>
        <v/>
      </c>
      <c r="X259" t="str">
        <f t="shared" si="64"/>
        <v/>
      </c>
      <c r="Y259" t="str">
        <f t="shared" si="65"/>
        <v/>
      </c>
      <c r="Z259" t="str">
        <f t="shared" si="66"/>
        <v/>
      </c>
      <c r="AA259">
        <f t="shared" si="67"/>
        <v>0</v>
      </c>
      <c r="AB259" t="str">
        <f>IFERROR(V144+MATCH(AA259,V259:Z259,0)-1,"")</f>
        <v/>
      </c>
      <c r="AC259" t="str">
        <f t="shared" si="68"/>
        <v/>
      </c>
      <c r="AE259" t="str">
        <f>IF(ISNUMBER(MATCH("N/A",J259:N259,0)),"",IFERROR((5 * SUMPRODUCT(J144:N144,J259:N259) - PRODUCT(SUM(J144:N144),SUM(J259:N259))) / ((5 * SUM((J144^2)+(K144^2)+(L144^2)+(M144^2)+(N144^2))) - SUM(J144:N144)^2),""))</f>
        <v/>
      </c>
      <c r="AF259" t="str">
        <f>IFERROR(CORREL(J144:N144,J259:N259),"")</f>
        <v/>
      </c>
      <c r="AZ259">
        <f t="shared" si="69"/>
        <v>0</v>
      </c>
      <c r="BA259" t="str">
        <f>IF(AZ259=1,IF(Q259="","",IF(Q259=N144,"Yes","No")),"")</f>
        <v/>
      </c>
      <c r="BB259" t="str">
        <f t="shared" si="70"/>
        <v/>
      </c>
      <c r="BC259" t="str">
        <f>IF(AZ259=1,IF(S259="","",IF(S259=N144,"Yes","No")),"")</f>
        <v/>
      </c>
      <c r="BD259" t="str">
        <f t="shared" si="71"/>
        <v/>
      </c>
      <c r="BE259" t="str">
        <f t="shared" si="72"/>
        <v/>
      </c>
      <c r="BF259" t="str">
        <f t="shared" si="73"/>
        <v>No</v>
      </c>
      <c r="BG259" t="str">
        <f t="shared" si="74"/>
        <v>No</v>
      </c>
      <c r="BH259" t="str">
        <f t="shared" si="75"/>
        <v/>
      </c>
    </row>
    <row r="260" spans="9:60" x14ac:dyDescent="0.3">
      <c r="I260" t="str">
        <f t="shared" si="82"/>
        <v>N/A</v>
      </c>
      <c r="J260" t="str">
        <f t="shared" si="83"/>
        <v>N/A</v>
      </c>
      <c r="K260" t="str">
        <f t="shared" si="84"/>
        <v>N/A</v>
      </c>
      <c r="L260" t="str">
        <f t="shared" si="85"/>
        <v>N/A</v>
      </c>
      <c r="M260" t="str">
        <f t="shared" si="86"/>
        <v>N/A</v>
      </c>
      <c r="N260" t="str">
        <f t="shared" si="87"/>
        <v>N/A</v>
      </c>
      <c r="P260">
        <f t="shared" si="58"/>
        <v>0</v>
      </c>
      <c r="Q260" t="str">
        <f>IFERROR(J144+MATCH(P260,J260:N260,0)-1,"")</f>
        <v/>
      </c>
      <c r="R260" t="str">
        <f t="shared" si="59"/>
        <v/>
      </c>
      <c r="S260" t="str">
        <f>IFERROR(J144+MATCH(R260,J260:N260,0)-1,"")</f>
        <v/>
      </c>
      <c r="T260" t="str">
        <f t="shared" si="60"/>
        <v/>
      </c>
      <c r="U260" t="str">
        <f t="shared" si="61"/>
        <v/>
      </c>
      <c r="V260" t="str">
        <f t="shared" si="62"/>
        <v/>
      </c>
      <c r="W260" t="str">
        <f t="shared" si="63"/>
        <v/>
      </c>
      <c r="X260" t="str">
        <f t="shared" si="64"/>
        <v/>
      </c>
      <c r="Y260" t="str">
        <f t="shared" si="65"/>
        <v/>
      </c>
      <c r="Z260" t="str">
        <f t="shared" si="66"/>
        <v/>
      </c>
      <c r="AA260">
        <f t="shared" si="67"/>
        <v>0</v>
      </c>
      <c r="AB260" t="str">
        <f>IFERROR(V144+MATCH(AA260,V260:Z260,0)-1,"")</f>
        <v/>
      </c>
      <c r="AC260" t="str">
        <f t="shared" si="68"/>
        <v/>
      </c>
      <c r="AE260" t="str">
        <f>IF(ISNUMBER(MATCH("N/A",J260:N260,0)),"",IFERROR((5 * SUMPRODUCT(J144:N144,J260:N260) - PRODUCT(SUM(J144:N144),SUM(J260:N260))) / ((5 * SUM((J144^2)+(K144^2)+(L144^2)+(M144^2)+(N144^2))) - SUM(J144:N144)^2),""))</f>
        <v/>
      </c>
      <c r="AF260" t="str">
        <f>IFERROR(CORREL(J144:N144,J260:N260),"")</f>
        <v/>
      </c>
      <c r="AZ260">
        <f t="shared" si="69"/>
        <v>0</v>
      </c>
      <c r="BA260" t="str">
        <f>IF(AZ260=1,IF(Q260="","",IF(Q260=N144,"Yes","No")),"")</f>
        <v/>
      </c>
      <c r="BB260" t="str">
        <f t="shared" si="70"/>
        <v/>
      </c>
      <c r="BC260" t="str">
        <f>IF(AZ260=1,IF(S260="","",IF(S260=N144,"Yes","No")),"")</f>
        <v/>
      </c>
      <c r="BD260" t="str">
        <f t="shared" si="71"/>
        <v/>
      </c>
      <c r="BE260" t="str">
        <f t="shared" si="72"/>
        <v/>
      </c>
      <c r="BF260" t="str">
        <f t="shared" si="73"/>
        <v>No</v>
      </c>
      <c r="BG260" t="str">
        <f t="shared" si="74"/>
        <v>No</v>
      </c>
      <c r="BH260" t="str">
        <f t="shared" si="75"/>
        <v/>
      </c>
    </row>
    <row r="261" spans="9:60" x14ac:dyDescent="0.3">
      <c r="I261" t="str">
        <f t="shared" si="82"/>
        <v>N/A</v>
      </c>
      <c r="J261" t="str">
        <f t="shared" si="83"/>
        <v>N/A</v>
      </c>
      <c r="K261" t="str">
        <f t="shared" si="84"/>
        <v>N/A</v>
      </c>
      <c r="L261" t="str">
        <f t="shared" si="85"/>
        <v>N/A</v>
      </c>
      <c r="M261" t="str">
        <f t="shared" si="86"/>
        <v>N/A</v>
      </c>
      <c r="N261" t="str">
        <f t="shared" si="87"/>
        <v>N/A</v>
      </c>
      <c r="P261">
        <f t="shared" si="58"/>
        <v>0</v>
      </c>
      <c r="Q261" t="str">
        <f>IFERROR(J144+MATCH(P261,J261:N261,0)-1,"")</f>
        <v/>
      </c>
      <c r="R261" t="str">
        <f t="shared" si="59"/>
        <v/>
      </c>
      <c r="S261" t="str">
        <f>IFERROR(J144+MATCH(R261,J261:N261,0)-1,"")</f>
        <v/>
      </c>
      <c r="T261" t="str">
        <f t="shared" si="60"/>
        <v/>
      </c>
      <c r="U261" t="str">
        <f t="shared" si="61"/>
        <v/>
      </c>
      <c r="V261" t="str">
        <f t="shared" si="62"/>
        <v/>
      </c>
      <c r="W261" t="str">
        <f t="shared" si="63"/>
        <v/>
      </c>
      <c r="X261" t="str">
        <f t="shared" si="64"/>
        <v/>
      </c>
      <c r="Y261" t="str">
        <f t="shared" si="65"/>
        <v/>
      </c>
      <c r="Z261" t="str">
        <f t="shared" si="66"/>
        <v/>
      </c>
      <c r="AA261">
        <f t="shared" si="67"/>
        <v>0</v>
      </c>
      <c r="AB261" t="str">
        <f>IFERROR(V144+MATCH(AA261,V261:Z261,0)-1,"")</f>
        <v/>
      </c>
      <c r="AC261" t="str">
        <f t="shared" si="68"/>
        <v/>
      </c>
      <c r="AE261" t="str">
        <f>IF(ISNUMBER(MATCH("N/A",J261:N261,0)),"",IFERROR((5 * SUMPRODUCT(J144:N144,J261:N261) - PRODUCT(SUM(J144:N144),SUM(J261:N261))) / ((5 * SUM((J144^2)+(K144^2)+(L144^2)+(M144^2)+(N144^2))) - SUM(J144:N144)^2),""))</f>
        <v/>
      </c>
      <c r="AF261" t="str">
        <f>IFERROR(CORREL(J144:N144,J261:N261),"")</f>
        <v/>
      </c>
      <c r="AZ261">
        <f t="shared" si="69"/>
        <v>0</v>
      </c>
      <c r="BA261" t="str">
        <f>IF(AZ261=1,IF(Q261="","",IF(Q261=N144,"Yes","No")),"")</f>
        <v/>
      </c>
      <c r="BB261" t="str">
        <f t="shared" si="70"/>
        <v/>
      </c>
      <c r="BC261" t="str">
        <f>IF(AZ261=1,IF(S261="","",IF(S261=N144,"Yes","No")),"")</f>
        <v/>
      </c>
      <c r="BD261" t="str">
        <f t="shared" si="71"/>
        <v/>
      </c>
      <c r="BE261" t="str">
        <f t="shared" si="72"/>
        <v/>
      </c>
      <c r="BF261" t="str">
        <f t="shared" si="73"/>
        <v>No</v>
      </c>
      <c r="BG261" t="str">
        <f t="shared" si="74"/>
        <v>No</v>
      </c>
      <c r="BH261" t="str">
        <f t="shared" si="75"/>
        <v/>
      </c>
    </row>
    <row r="262" spans="9:60" x14ac:dyDescent="0.3">
      <c r="I262" t="str">
        <f t="shared" si="82"/>
        <v>N/A</v>
      </c>
      <c r="J262" t="str">
        <f t="shared" si="83"/>
        <v>N/A</v>
      </c>
      <c r="K262" t="str">
        <f t="shared" si="84"/>
        <v>N/A</v>
      </c>
      <c r="L262" t="str">
        <f t="shared" si="85"/>
        <v>N/A</v>
      </c>
      <c r="M262" t="str">
        <f t="shared" si="86"/>
        <v>N/A</v>
      </c>
      <c r="N262" t="str">
        <f t="shared" si="87"/>
        <v>N/A</v>
      </c>
      <c r="P262">
        <f t="shared" si="58"/>
        <v>0</v>
      </c>
      <c r="Q262" t="str">
        <f>IFERROR(J144+MATCH(P262,J262:N262,0)-1,"")</f>
        <v/>
      </c>
      <c r="R262" t="str">
        <f t="shared" si="59"/>
        <v/>
      </c>
      <c r="S262" t="str">
        <f>IFERROR(J144+MATCH(R262,J262:N262,0)-1,"")</f>
        <v/>
      </c>
      <c r="T262" t="str">
        <f t="shared" si="60"/>
        <v/>
      </c>
      <c r="U262" t="str">
        <f t="shared" si="61"/>
        <v/>
      </c>
      <c r="V262" t="str">
        <f t="shared" si="62"/>
        <v/>
      </c>
      <c r="W262" t="str">
        <f t="shared" si="63"/>
        <v/>
      </c>
      <c r="X262" t="str">
        <f t="shared" si="64"/>
        <v/>
      </c>
      <c r="Y262" t="str">
        <f t="shared" si="65"/>
        <v/>
      </c>
      <c r="Z262" t="str">
        <f t="shared" si="66"/>
        <v/>
      </c>
      <c r="AA262">
        <f t="shared" si="67"/>
        <v>0</v>
      </c>
      <c r="AB262" t="str">
        <f>IFERROR(V144+MATCH(AA262,V262:Z262,0)-1,"")</f>
        <v/>
      </c>
      <c r="AC262" t="str">
        <f t="shared" si="68"/>
        <v/>
      </c>
      <c r="AE262" t="str">
        <f>IF(ISNUMBER(MATCH("N/A",J262:N262,0)),"",IFERROR((5 * SUMPRODUCT(J144:N144,J262:N262) - PRODUCT(SUM(J144:N144),SUM(J262:N262))) / ((5 * SUM((J144^2)+(K144^2)+(L144^2)+(M144^2)+(N144^2))) - SUM(J144:N144)^2),""))</f>
        <v/>
      </c>
      <c r="AF262" t="str">
        <f>IFERROR(CORREL(J144:N144,J262:N262),"")</f>
        <v/>
      </c>
      <c r="AZ262">
        <f t="shared" si="69"/>
        <v>0</v>
      </c>
      <c r="BA262" t="str">
        <f>IF(AZ262=1,IF(Q262="","",IF(Q262=N144,"Yes","No")),"")</f>
        <v/>
      </c>
      <c r="BB262" t="str">
        <f t="shared" si="70"/>
        <v/>
      </c>
      <c r="BC262" t="str">
        <f>IF(AZ262=1,IF(S262="","",IF(S262=N144,"Yes","No")),"")</f>
        <v/>
      </c>
      <c r="BD262" t="str">
        <f t="shared" si="71"/>
        <v/>
      </c>
      <c r="BE262" t="str">
        <f t="shared" si="72"/>
        <v/>
      </c>
      <c r="BF262" t="str">
        <f t="shared" si="73"/>
        <v>No</v>
      </c>
      <c r="BG262" t="str">
        <f t="shared" si="74"/>
        <v>No</v>
      </c>
      <c r="BH262" t="str">
        <f t="shared" si="75"/>
        <v/>
      </c>
    </row>
    <row r="263" spans="9:60" x14ac:dyDescent="0.3">
      <c r="I263" t="str">
        <f t="shared" si="82"/>
        <v>N/A</v>
      </c>
      <c r="J263" t="str">
        <f t="shared" si="83"/>
        <v>N/A</v>
      </c>
      <c r="K263" t="str">
        <f t="shared" si="84"/>
        <v>N/A</v>
      </c>
      <c r="L263" t="str">
        <f t="shared" si="85"/>
        <v>N/A</v>
      </c>
      <c r="M263" t="str">
        <f t="shared" si="86"/>
        <v>N/A</v>
      </c>
      <c r="N263" t="str">
        <f t="shared" si="87"/>
        <v>N/A</v>
      </c>
      <c r="P263">
        <f t="shared" si="58"/>
        <v>0</v>
      </c>
      <c r="Q263" t="str">
        <f>IFERROR(J144+MATCH(P263,J263:N263,0)-1,"")</f>
        <v/>
      </c>
      <c r="R263" t="str">
        <f t="shared" si="59"/>
        <v/>
      </c>
      <c r="S263" t="str">
        <f>IFERROR(J144+MATCH(R263,J263:N263,0)-1,"")</f>
        <v/>
      </c>
      <c r="T263" t="str">
        <f t="shared" si="60"/>
        <v/>
      </c>
      <c r="U263" t="str">
        <f t="shared" si="61"/>
        <v/>
      </c>
      <c r="V263" t="str">
        <f t="shared" si="62"/>
        <v/>
      </c>
      <c r="W263" t="str">
        <f t="shared" si="63"/>
        <v/>
      </c>
      <c r="X263" t="str">
        <f t="shared" si="64"/>
        <v/>
      </c>
      <c r="Y263" t="str">
        <f t="shared" si="65"/>
        <v/>
      </c>
      <c r="Z263" t="str">
        <f t="shared" si="66"/>
        <v/>
      </c>
      <c r="AA263">
        <f t="shared" si="67"/>
        <v>0</v>
      </c>
      <c r="AB263" t="str">
        <f>IFERROR(V144+MATCH(AA263,V263:Z263,0)-1,"")</f>
        <v/>
      </c>
      <c r="AC263" t="str">
        <f t="shared" si="68"/>
        <v/>
      </c>
      <c r="AE263" t="str">
        <f>IF(ISNUMBER(MATCH("N/A",J263:N263,0)),"",IFERROR((5 * SUMPRODUCT(J144:N144,J263:N263) - PRODUCT(SUM(J144:N144),SUM(J263:N263))) / ((5 * SUM((J144^2)+(K144^2)+(L144^2)+(M144^2)+(N144^2))) - SUM(J144:N144)^2),""))</f>
        <v/>
      </c>
      <c r="AF263" t="str">
        <f>IFERROR(CORREL(J144:N144,J263:N263),"")</f>
        <v/>
      </c>
      <c r="AZ263">
        <f t="shared" si="69"/>
        <v>0</v>
      </c>
      <c r="BA263" t="str">
        <f>IF(AZ263=1,IF(Q263="","",IF(Q263=N144,"Yes","No")),"")</f>
        <v/>
      </c>
      <c r="BB263" t="str">
        <f t="shared" si="70"/>
        <v/>
      </c>
      <c r="BC263" t="str">
        <f>IF(AZ263=1,IF(S263="","",IF(S263=N144,"Yes","No")),"")</f>
        <v/>
      </c>
      <c r="BD263" t="str">
        <f t="shared" si="71"/>
        <v/>
      </c>
      <c r="BE263" t="str">
        <f t="shared" si="72"/>
        <v/>
      </c>
      <c r="BF263" t="str">
        <f t="shared" si="73"/>
        <v>No</v>
      </c>
      <c r="BG263" t="str">
        <f t="shared" si="74"/>
        <v>No</v>
      </c>
      <c r="BH263" t="str">
        <f t="shared" si="75"/>
        <v/>
      </c>
    </row>
    <row r="264" spans="9:60" x14ac:dyDescent="0.3">
      <c r="I264" t="str">
        <f t="shared" si="82"/>
        <v>N/A</v>
      </c>
      <c r="J264" t="str">
        <f t="shared" si="83"/>
        <v>N/A</v>
      </c>
      <c r="K264" t="str">
        <f t="shared" si="84"/>
        <v>N/A</v>
      </c>
      <c r="L264" t="str">
        <f t="shared" si="85"/>
        <v>N/A</v>
      </c>
      <c r="M264" t="str">
        <f t="shared" si="86"/>
        <v>N/A</v>
      </c>
      <c r="N264" t="str">
        <f t="shared" si="87"/>
        <v>N/A</v>
      </c>
      <c r="P264">
        <f t="shared" si="58"/>
        <v>0</v>
      </c>
      <c r="Q264" t="str">
        <f>IFERROR(J144+MATCH(P264,J264:N264,0)-1,"")</f>
        <v/>
      </c>
      <c r="R264" t="str">
        <f t="shared" si="59"/>
        <v/>
      </c>
      <c r="S264" t="str">
        <f>IFERROR(J144+MATCH(R264,J264:N264,0)-1,"")</f>
        <v/>
      </c>
      <c r="T264" t="str">
        <f t="shared" si="60"/>
        <v/>
      </c>
      <c r="U264" t="str">
        <f t="shared" si="61"/>
        <v/>
      </c>
      <c r="V264" t="str">
        <f t="shared" si="62"/>
        <v/>
      </c>
      <c r="W264" t="str">
        <f t="shared" si="63"/>
        <v/>
      </c>
      <c r="X264" t="str">
        <f t="shared" si="64"/>
        <v/>
      </c>
      <c r="Y264" t="str">
        <f t="shared" si="65"/>
        <v/>
      </c>
      <c r="Z264" t="str">
        <f t="shared" si="66"/>
        <v/>
      </c>
      <c r="AA264">
        <f t="shared" si="67"/>
        <v>0</v>
      </c>
      <c r="AB264" t="str">
        <f>IFERROR(V144+MATCH(AA264,V264:Z264,0)-1,"")</f>
        <v/>
      </c>
      <c r="AC264" t="str">
        <f t="shared" si="68"/>
        <v/>
      </c>
      <c r="AE264" t="str">
        <f>IF(ISNUMBER(MATCH("N/A",J264:N264,0)),"",IFERROR((5 * SUMPRODUCT(J144:N144,J264:N264) - PRODUCT(SUM(J144:N144),SUM(J264:N264))) / ((5 * SUM((J144^2)+(K144^2)+(L144^2)+(M144^2)+(N144^2))) - SUM(J144:N144)^2),""))</f>
        <v/>
      </c>
      <c r="AF264" t="str">
        <f>IFERROR(CORREL(J144:N144,J264:N264),"")</f>
        <v/>
      </c>
      <c r="AZ264">
        <f t="shared" si="69"/>
        <v>0</v>
      </c>
      <c r="BA264" t="str">
        <f>IF(AZ264=1,IF(Q264="","",IF(Q264=N144,"Yes","No")),"")</f>
        <v/>
      </c>
      <c r="BB264" t="str">
        <f t="shared" si="70"/>
        <v/>
      </c>
      <c r="BC264" t="str">
        <f>IF(AZ264=1,IF(S264="","",IF(S264=N144,"Yes","No")),"")</f>
        <v/>
      </c>
      <c r="BD264" t="str">
        <f t="shared" si="71"/>
        <v/>
      </c>
      <c r="BE264" t="str">
        <f t="shared" si="72"/>
        <v/>
      </c>
      <c r="BF264" t="str">
        <f t="shared" si="73"/>
        <v>No</v>
      </c>
      <c r="BG264" t="str">
        <f t="shared" si="74"/>
        <v>No</v>
      </c>
      <c r="BH264" t="str">
        <f t="shared" si="75"/>
        <v/>
      </c>
    </row>
    <row r="265" spans="9:60" x14ac:dyDescent="0.3">
      <c r="I265" t="str">
        <f t="shared" si="82"/>
        <v>N/A</v>
      </c>
      <c r="J265" t="str">
        <f t="shared" si="83"/>
        <v>N/A</v>
      </c>
      <c r="K265" t="str">
        <f t="shared" si="84"/>
        <v>N/A</v>
      </c>
      <c r="L265" t="str">
        <f t="shared" si="85"/>
        <v>N/A</v>
      </c>
      <c r="M265" t="str">
        <f t="shared" si="86"/>
        <v>N/A</v>
      </c>
      <c r="N265" t="str">
        <f t="shared" si="87"/>
        <v>N/A</v>
      </c>
      <c r="P265">
        <f t="shared" si="58"/>
        <v>0</v>
      </c>
      <c r="Q265" t="str">
        <f>IFERROR(J144+MATCH(P265,J265:N265,0)-1,"")</f>
        <v/>
      </c>
      <c r="R265" t="str">
        <f t="shared" si="59"/>
        <v/>
      </c>
      <c r="S265" t="str">
        <f>IFERROR(J144+MATCH(R265,J265:N265,0)-1,"")</f>
        <v/>
      </c>
      <c r="T265" t="str">
        <f t="shared" si="60"/>
        <v/>
      </c>
      <c r="U265" t="str">
        <f t="shared" si="61"/>
        <v/>
      </c>
      <c r="V265" t="str">
        <f t="shared" si="62"/>
        <v/>
      </c>
      <c r="W265" t="str">
        <f t="shared" si="63"/>
        <v/>
      </c>
      <c r="X265" t="str">
        <f t="shared" si="64"/>
        <v/>
      </c>
      <c r="Y265" t="str">
        <f t="shared" si="65"/>
        <v/>
      </c>
      <c r="Z265" t="str">
        <f t="shared" si="66"/>
        <v/>
      </c>
      <c r="AA265">
        <f t="shared" si="67"/>
        <v>0</v>
      </c>
      <c r="AB265" t="str">
        <f>IFERROR(V144+MATCH(AA265,V265:Z265,0)-1,"")</f>
        <v/>
      </c>
      <c r="AC265" t="str">
        <f t="shared" si="68"/>
        <v/>
      </c>
      <c r="AE265" t="str">
        <f>IF(ISNUMBER(MATCH("N/A",J265:N265,0)),"",IFERROR((5 * SUMPRODUCT(J144:N144,J265:N265) - PRODUCT(SUM(J144:N144),SUM(J265:N265))) / ((5 * SUM((J144^2)+(K144^2)+(L144^2)+(M144^2)+(N144^2))) - SUM(J144:N144)^2),""))</f>
        <v/>
      </c>
      <c r="AF265" t="str">
        <f>IFERROR(CORREL(J144:N144,J265:N265),"")</f>
        <v/>
      </c>
      <c r="AZ265">
        <f t="shared" si="69"/>
        <v>0</v>
      </c>
      <c r="BA265" t="str">
        <f>IF(AZ265=1,IF(Q265="","",IF(Q265=N144,"Yes","No")),"")</f>
        <v/>
      </c>
      <c r="BB265" t="str">
        <f t="shared" si="70"/>
        <v/>
      </c>
      <c r="BC265" t="str">
        <f>IF(AZ265=1,IF(S265="","",IF(S265=N144,"Yes","No")),"")</f>
        <v/>
      </c>
      <c r="BD265" t="str">
        <f t="shared" si="71"/>
        <v/>
      </c>
      <c r="BE265" t="str">
        <f t="shared" si="72"/>
        <v/>
      </c>
      <c r="BF265" t="str">
        <f t="shared" si="73"/>
        <v>No</v>
      </c>
      <c r="BG265" t="str">
        <f t="shared" si="74"/>
        <v>No</v>
      </c>
      <c r="BH265" t="str">
        <f t="shared" si="75"/>
        <v/>
      </c>
    </row>
    <row r="266" spans="9:60" x14ac:dyDescent="0.3">
      <c r="I266" t="str">
        <f t="shared" si="82"/>
        <v>N/A</v>
      </c>
      <c r="J266" t="str">
        <f t="shared" si="83"/>
        <v>N/A</v>
      </c>
      <c r="K266" t="str">
        <f t="shared" si="84"/>
        <v>N/A</v>
      </c>
      <c r="L266" t="str">
        <f t="shared" si="85"/>
        <v>N/A</v>
      </c>
      <c r="M266" t="str">
        <f t="shared" si="86"/>
        <v>N/A</v>
      </c>
      <c r="N266" t="str">
        <f t="shared" si="87"/>
        <v>N/A</v>
      </c>
      <c r="P266">
        <f t="shared" si="58"/>
        <v>0</v>
      </c>
      <c r="Q266" t="str">
        <f>IFERROR(J144+MATCH(P266,J266:N266,0)-1,"")</f>
        <v/>
      </c>
      <c r="R266" t="str">
        <f t="shared" si="59"/>
        <v/>
      </c>
      <c r="S266" t="str">
        <f>IFERROR(J144+MATCH(R266,J266:N266,0)-1,"")</f>
        <v/>
      </c>
      <c r="T266" t="str">
        <f t="shared" si="60"/>
        <v/>
      </c>
      <c r="U266" t="str">
        <f t="shared" si="61"/>
        <v/>
      </c>
      <c r="V266" t="str">
        <f t="shared" si="62"/>
        <v/>
      </c>
      <c r="W266" t="str">
        <f t="shared" si="63"/>
        <v/>
      </c>
      <c r="X266" t="str">
        <f t="shared" si="64"/>
        <v/>
      </c>
      <c r="Y266" t="str">
        <f t="shared" si="65"/>
        <v/>
      </c>
      <c r="Z266" t="str">
        <f t="shared" si="66"/>
        <v/>
      </c>
      <c r="AA266">
        <f t="shared" si="67"/>
        <v>0</v>
      </c>
      <c r="AB266" t="str">
        <f>IFERROR(V144+MATCH(AA266,V266:Z266,0)-1,"")</f>
        <v/>
      </c>
      <c r="AC266" t="str">
        <f t="shared" si="68"/>
        <v/>
      </c>
      <c r="AE266" t="str">
        <f>IF(ISNUMBER(MATCH("N/A",J266:N266,0)),"",IFERROR((5 * SUMPRODUCT(J144:N144,J266:N266) - PRODUCT(SUM(J144:N144),SUM(J266:N266))) / ((5 * SUM((J144^2)+(K144^2)+(L144^2)+(M144^2)+(N144^2))) - SUM(J144:N144)^2),""))</f>
        <v/>
      </c>
      <c r="AF266" t="str">
        <f>IFERROR(CORREL(J144:N144,J266:N266),"")</f>
        <v/>
      </c>
      <c r="AZ266">
        <f t="shared" si="69"/>
        <v>0</v>
      </c>
      <c r="BA266" t="str">
        <f>IF(AZ266=1,IF(Q266="","",IF(Q266=N144,"Yes","No")),"")</f>
        <v/>
      </c>
      <c r="BB266" t="str">
        <f t="shared" si="70"/>
        <v/>
      </c>
      <c r="BC266" t="str">
        <f>IF(AZ266=1,IF(S266="","",IF(S266=N144,"Yes","No")),"")</f>
        <v/>
      </c>
      <c r="BD266" t="str">
        <f t="shared" si="71"/>
        <v/>
      </c>
      <c r="BE266" t="str">
        <f t="shared" si="72"/>
        <v/>
      </c>
      <c r="BF266" t="str">
        <f t="shared" si="73"/>
        <v>No</v>
      </c>
      <c r="BG266" t="str">
        <f t="shared" si="74"/>
        <v>No</v>
      </c>
      <c r="BH266" t="str">
        <f t="shared" si="75"/>
        <v/>
      </c>
    </row>
    <row r="267" spans="9:60" x14ac:dyDescent="0.3">
      <c r="I267" t="str">
        <f t="shared" si="82"/>
        <v>N/A</v>
      </c>
      <c r="J267" t="str">
        <f t="shared" si="83"/>
        <v>N/A</v>
      </c>
      <c r="K267" t="str">
        <f t="shared" si="84"/>
        <v>N/A</v>
      </c>
      <c r="L267" t="str">
        <f t="shared" si="85"/>
        <v>N/A</v>
      </c>
      <c r="M267" t="str">
        <f t="shared" si="86"/>
        <v>N/A</v>
      </c>
      <c r="N267" t="str">
        <f t="shared" si="87"/>
        <v>N/A</v>
      </c>
      <c r="P267">
        <f t="shared" si="58"/>
        <v>0</v>
      </c>
      <c r="Q267" t="str">
        <f>IFERROR(J144+MATCH(P267,J267:N267,0)-1,"")</f>
        <v/>
      </c>
      <c r="R267" t="str">
        <f t="shared" si="59"/>
        <v/>
      </c>
      <c r="S267" t="str">
        <f>IFERROR(J144+MATCH(R267,J267:N267,0)-1,"")</f>
        <v/>
      </c>
      <c r="T267" t="str">
        <f t="shared" si="60"/>
        <v/>
      </c>
      <c r="U267" t="str">
        <f t="shared" si="61"/>
        <v/>
      </c>
      <c r="V267" t="str">
        <f t="shared" si="62"/>
        <v/>
      </c>
      <c r="W267" t="str">
        <f t="shared" si="63"/>
        <v/>
      </c>
      <c r="X267" t="str">
        <f t="shared" si="64"/>
        <v/>
      </c>
      <c r="Y267" t="str">
        <f t="shared" si="65"/>
        <v/>
      </c>
      <c r="Z267" t="str">
        <f t="shared" si="66"/>
        <v/>
      </c>
      <c r="AA267">
        <f t="shared" si="67"/>
        <v>0</v>
      </c>
      <c r="AB267" t="str">
        <f>IFERROR(V144+MATCH(AA267,V267:Z267,0)-1,"")</f>
        <v/>
      </c>
      <c r="AC267" t="str">
        <f t="shared" si="68"/>
        <v/>
      </c>
      <c r="AE267" t="str">
        <f>IF(ISNUMBER(MATCH("N/A",J267:N267,0)),"",IFERROR((5 * SUMPRODUCT(J144:N144,J267:N267) - PRODUCT(SUM(J144:N144),SUM(J267:N267))) / ((5 * SUM((J144^2)+(K144^2)+(L144^2)+(M144^2)+(N144^2))) - SUM(J144:N144)^2),""))</f>
        <v/>
      </c>
      <c r="AF267" t="str">
        <f>IFERROR(CORREL(J144:N144,J267:N267),"")</f>
        <v/>
      </c>
      <c r="AZ267">
        <f t="shared" si="69"/>
        <v>0</v>
      </c>
      <c r="BA267" t="str">
        <f>IF(AZ267=1,IF(Q267="","",IF(Q267=N144,"Yes","No")),"")</f>
        <v/>
      </c>
      <c r="BB267" t="str">
        <f t="shared" si="70"/>
        <v/>
      </c>
      <c r="BC267" t="str">
        <f>IF(AZ267=1,IF(S267="","",IF(S267=N144,"Yes","No")),"")</f>
        <v/>
      </c>
      <c r="BD267" t="str">
        <f t="shared" si="71"/>
        <v/>
      </c>
      <c r="BE267" t="str">
        <f t="shared" si="72"/>
        <v/>
      </c>
      <c r="BF267" t="str">
        <f t="shared" si="73"/>
        <v>No</v>
      </c>
      <c r="BG267" t="str">
        <f t="shared" si="74"/>
        <v>No</v>
      </c>
      <c r="BH267" t="str">
        <f t="shared" si="75"/>
        <v/>
      </c>
    </row>
    <row r="268" spans="9:60" x14ac:dyDescent="0.3">
      <c r="I268" t="str">
        <f t="shared" si="82"/>
        <v>N/A</v>
      </c>
      <c r="J268" t="str">
        <f t="shared" si="83"/>
        <v>N/A</v>
      </c>
      <c r="K268" t="str">
        <f t="shared" si="84"/>
        <v>N/A</v>
      </c>
      <c r="L268" t="str">
        <f t="shared" si="85"/>
        <v>N/A</v>
      </c>
      <c r="M268" t="str">
        <f t="shared" si="86"/>
        <v>N/A</v>
      </c>
      <c r="N268" t="str">
        <f t="shared" si="87"/>
        <v>N/A</v>
      </c>
      <c r="P268">
        <f t="shared" si="58"/>
        <v>0</v>
      </c>
      <c r="Q268" t="str">
        <f>IFERROR(J144+MATCH(P268,J268:N268,0)-1,"")</f>
        <v/>
      </c>
      <c r="R268" t="str">
        <f t="shared" si="59"/>
        <v/>
      </c>
      <c r="S268" t="str">
        <f>IFERROR(J144+MATCH(R268,J268:N268,0)-1,"")</f>
        <v/>
      </c>
      <c r="T268" t="str">
        <f t="shared" si="60"/>
        <v/>
      </c>
      <c r="U268" t="str">
        <f t="shared" si="61"/>
        <v/>
      </c>
      <c r="V268" t="str">
        <f t="shared" si="62"/>
        <v/>
      </c>
      <c r="W268" t="str">
        <f t="shared" si="63"/>
        <v/>
      </c>
      <c r="X268" t="str">
        <f t="shared" si="64"/>
        <v/>
      </c>
      <c r="Y268" t="str">
        <f t="shared" si="65"/>
        <v/>
      </c>
      <c r="Z268" t="str">
        <f t="shared" si="66"/>
        <v/>
      </c>
      <c r="AA268">
        <f t="shared" si="67"/>
        <v>0</v>
      </c>
      <c r="AB268" t="str">
        <f>IFERROR(V144+MATCH(AA268,V268:Z268,0)-1,"")</f>
        <v/>
      </c>
      <c r="AC268" t="str">
        <f t="shared" si="68"/>
        <v/>
      </c>
      <c r="AE268" t="str">
        <f>IF(ISNUMBER(MATCH("N/A",J268:N268,0)),"",IFERROR((5 * SUMPRODUCT(J144:N144,J268:N268) - PRODUCT(SUM(J144:N144),SUM(J268:N268))) / ((5 * SUM((J144^2)+(K144^2)+(L144^2)+(M144^2)+(N144^2))) - SUM(J144:N144)^2),""))</f>
        <v/>
      </c>
      <c r="AF268" t="str">
        <f>IFERROR(CORREL(J144:N144,J268:N268),"")</f>
        <v/>
      </c>
      <c r="AZ268">
        <f t="shared" si="69"/>
        <v>0</v>
      </c>
      <c r="BA268" t="str">
        <f>IF(AZ268=1,IF(Q268="","",IF(Q268=N144,"Yes","No")),"")</f>
        <v/>
      </c>
      <c r="BB268" t="str">
        <f t="shared" si="70"/>
        <v/>
      </c>
      <c r="BC268" t="str">
        <f>IF(AZ268=1,IF(S268="","",IF(S268=N144,"Yes","No")),"")</f>
        <v/>
      </c>
      <c r="BD268" t="str">
        <f t="shared" si="71"/>
        <v/>
      </c>
      <c r="BE268" t="str">
        <f t="shared" si="72"/>
        <v/>
      </c>
      <c r="BF268" t="str">
        <f t="shared" si="73"/>
        <v>No</v>
      </c>
      <c r="BG268" t="str">
        <f t="shared" si="74"/>
        <v>No</v>
      </c>
      <c r="BH268" t="str">
        <f t="shared" si="75"/>
        <v/>
      </c>
    </row>
    <row r="269" spans="9:60" x14ac:dyDescent="0.3">
      <c r="I269" t="str">
        <f t="shared" si="82"/>
        <v>N/A</v>
      </c>
      <c r="J269" t="str">
        <f t="shared" si="83"/>
        <v>N/A</v>
      </c>
      <c r="K269" t="str">
        <f t="shared" si="84"/>
        <v>N/A</v>
      </c>
      <c r="L269" t="str">
        <f t="shared" si="85"/>
        <v>N/A</v>
      </c>
      <c r="M269" t="str">
        <f t="shared" si="86"/>
        <v>N/A</v>
      </c>
      <c r="N269" t="str">
        <f t="shared" si="87"/>
        <v>N/A</v>
      </c>
      <c r="P269">
        <f t="shared" si="58"/>
        <v>0</v>
      </c>
      <c r="Q269" t="str">
        <f>IFERROR(J144+MATCH(P269,J269:N269,0)-1,"")</f>
        <v/>
      </c>
      <c r="R269" t="str">
        <f t="shared" si="59"/>
        <v/>
      </c>
      <c r="S269" t="str">
        <f>IFERROR(J144+MATCH(R269,J269:N269,0)-1,"")</f>
        <v/>
      </c>
      <c r="T269" t="str">
        <f t="shared" si="60"/>
        <v/>
      </c>
      <c r="U269" t="str">
        <f t="shared" si="61"/>
        <v/>
      </c>
      <c r="V269" t="str">
        <f t="shared" si="62"/>
        <v/>
      </c>
      <c r="W269" t="str">
        <f t="shared" si="63"/>
        <v/>
      </c>
      <c r="X269" t="str">
        <f t="shared" si="64"/>
        <v/>
      </c>
      <c r="Y269" t="str">
        <f t="shared" si="65"/>
        <v/>
      </c>
      <c r="Z269" t="str">
        <f t="shared" si="66"/>
        <v/>
      </c>
      <c r="AA269">
        <f t="shared" si="67"/>
        <v>0</v>
      </c>
      <c r="AB269" t="str">
        <f>IFERROR(V144+MATCH(AA269,V269:Z269,0)-1,"")</f>
        <v/>
      </c>
      <c r="AC269" t="str">
        <f t="shared" si="68"/>
        <v/>
      </c>
      <c r="AE269" t="str">
        <f>IF(ISNUMBER(MATCH("N/A",J269:N269,0)),"",IFERROR((5 * SUMPRODUCT(J144:N144,J269:N269) - PRODUCT(SUM(J144:N144),SUM(J269:N269))) / ((5 * SUM((J144^2)+(K144^2)+(L144^2)+(M144^2)+(N144^2))) - SUM(J144:N144)^2),""))</f>
        <v/>
      </c>
      <c r="AF269" t="str">
        <f>IFERROR(CORREL(J144:N144,J269:N269),"")</f>
        <v/>
      </c>
      <c r="AZ269">
        <f t="shared" si="69"/>
        <v>0</v>
      </c>
      <c r="BA269" t="str">
        <f>IF(AZ269=1,IF(Q269="","",IF(Q269=N144,"Yes","No")),"")</f>
        <v/>
      </c>
      <c r="BB269" t="str">
        <f t="shared" si="70"/>
        <v/>
      </c>
      <c r="BC269" t="str">
        <f>IF(AZ269=1,IF(S269="","",IF(S269=N144,"Yes","No")),"")</f>
        <v/>
      </c>
      <c r="BD269" t="str">
        <f t="shared" si="71"/>
        <v/>
      </c>
      <c r="BE269" t="str">
        <f t="shared" si="72"/>
        <v/>
      </c>
      <c r="BF269" t="str">
        <f t="shared" si="73"/>
        <v>No</v>
      </c>
      <c r="BG269" t="str">
        <f t="shared" si="74"/>
        <v>No</v>
      </c>
      <c r="BH269" t="str">
        <f t="shared" si="75"/>
        <v/>
      </c>
    </row>
    <row r="270" spans="9:60" x14ac:dyDescent="0.3">
      <c r="I270" t="str">
        <f t="shared" si="82"/>
        <v>N/A</v>
      </c>
      <c r="J270" t="str">
        <f t="shared" si="83"/>
        <v>N/A</v>
      </c>
      <c r="K270" t="str">
        <f t="shared" si="84"/>
        <v>N/A</v>
      </c>
      <c r="L270" t="str">
        <f t="shared" si="85"/>
        <v>N/A</v>
      </c>
      <c r="M270" t="str">
        <f t="shared" si="86"/>
        <v>N/A</v>
      </c>
      <c r="N270" t="str">
        <f t="shared" si="87"/>
        <v>N/A</v>
      </c>
      <c r="P270">
        <f t="shared" si="58"/>
        <v>0</v>
      </c>
      <c r="Q270" t="str">
        <f>IFERROR(J144+MATCH(P270,J270:N270,0)-1,"")</f>
        <v/>
      </c>
      <c r="R270" t="str">
        <f t="shared" si="59"/>
        <v/>
      </c>
      <c r="S270" t="str">
        <f>IFERROR(J144+MATCH(R270,J270:N270,0)-1,"")</f>
        <v/>
      </c>
      <c r="T270" t="str">
        <f t="shared" si="60"/>
        <v/>
      </c>
      <c r="U270" t="str">
        <f t="shared" si="61"/>
        <v/>
      </c>
      <c r="V270" t="str">
        <f t="shared" si="62"/>
        <v/>
      </c>
      <c r="W270" t="str">
        <f t="shared" si="63"/>
        <v/>
      </c>
      <c r="X270" t="str">
        <f t="shared" si="64"/>
        <v/>
      </c>
      <c r="Y270" t="str">
        <f t="shared" si="65"/>
        <v/>
      </c>
      <c r="Z270" t="str">
        <f t="shared" si="66"/>
        <v/>
      </c>
      <c r="AA270">
        <f t="shared" si="67"/>
        <v>0</v>
      </c>
      <c r="AB270" t="str">
        <f>IFERROR(V144+MATCH(AA270,V270:Z270,0)-1,"")</f>
        <v/>
      </c>
      <c r="AC270" t="str">
        <f t="shared" si="68"/>
        <v/>
      </c>
      <c r="AE270" t="str">
        <f>IF(ISNUMBER(MATCH("N/A",J270:N270,0)),"",IFERROR((5 * SUMPRODUCT(J144:N144,J270:N270) - PRODUCT(SUM(J144:N144),SUM(J270:N270))) / ((5 * SUM((J144^2)+(K144^2)+(L144^2)+(M144^2)+(N144^2))) - SUM(J144:N144)^2),""))</f>
        <v/>
      </c>
      <c r="AF270" t="str">
        <f>IFERROR(CORREL(J144:N144,J270:N270),"")</f>
        <v/>
      </c>
      <c r="AZ270">
        <f t="shared" si="69"/>
        <v>0</v>
      </c>
      <c r="BA270" t="str">
        <f>IF(AZ270=1,IF(Q270="","",IF(Q270=N144,"Yes","No")),"")</f>
        <v/>
      </c>
      <c r="BB270" t="str">
        <f t="shared" si="70"/>
        <v/>
      </c>
      <c r="BC270" t="str">
        <f>IF(AZ270=1,IF(S270="","",IF(S270=N144,"Yes","No")),"")</f>
        <v/>
      </c>
      <c r="BD270" t="str">
        <f t="shared" si="71"/>
        <v/>
      </c>
      <c r="BE270" t="str">
        <f t="shared" si="72"/>
        <v/>
      </c>
      <c r="BF270" t="str">
        <f t="shared" si="73"/>
        <v>No</v>
      </c>
      <c r="BG270" t="str">
        <f t="shared" si="74"/>
        <v>No</v>
      </c>
      <c r="BH270" t="str">
        <f t="shared" si="75"/>
        <v/>
      </c>
    </row>
    <row r="271" spans="9:60" x14ac:dyDescent="0.3">
      <c r="P271">
        <f t="shared" si="58"/>
        <v>0</v>
      </c>
      <c r="Q271" t="str">
        <f>IFERROR(J144+MATCH(P271,J271:N271,0)-1,"")</f>
        <v/>
      </c>
      <c r="R271" t="str">
        <f t="shared" si="59"/>
        <v/>
      </c>
      <c r="S271" t="str">
        <f>IFERROR(J144+MATCH(R271,J271:N271,0)-1,"")</f>
        <v/>
      </c>
      <c r="T271" t="str">
        <f t="shared" si="60"/>
        <v/>
      </c>
      <c r="U271" t="str">
        <f t="shared" si="61"/>
        <v/>
      </c>
      <c r="V271" t="str">
        <f t="shared" si="62"/>
        <v/>
      </c>
      <c r="W271" t="str">
        <f t="shared" si="63"/>
        <v/>
      </c>
      <c r="X271" t="str">
        <f t="shared" si="64"/>
        <v/>
      </c>
      <c r="Y271" t="str">
        <f t="shared" si="65"/>
        <v/>
      </c>
      <c r="Z271" t="str">
        <f t="shared" si="66"/>
        <v/>
      </c>
      <c r="AA271">
        <f t="shared" si="67"/>
        <v>0</v>
      </c>
      <c r="AB271" t="str">
        <f>IFERROR(V144+MATCH(AA271,V271:Z271,0)-1,"")</f>
        <v/>
      </c>
      <c r="AC271" t="str">
        <f t="shared" si="68"/>
        <v/>
      </c>
      <c r="AE271" t="str">
        <f>IF(ISNUMBER(MATCH("N/A",J271:N271,0)),"",IFERROR((5 * SUMPRODUCT(J144:N144,J271:N271) - PRODUCT(SUM(J144:N144),SUM(J271:N271))) / ((5 * SUM((J144^2)+(K144^2)+(L144^2)+(M144^2)+(N144^2))) - SUM(J144:N144)^2),""))</f>
        <v/>
      </c>
      <c r="AF271" t="str">
        <f>IFERROR(CORREL(J144:N144,J271:N271),"")</f>
        <v/>
      </c>
      <c r="AZ271">
        <f t="shared" si="69"/>
        <v>0</v>
      </c>
      <c r="BA271" t="str">
        <f>IF(AZ271=1,IF(Q271="","",IF(Q271=N144,"Yes","No")),"")</f>
        <v/>
      </c>
      <c r="BB271" t="str">
        <f t="shared" si="70"/>
        <v/>
      </c>
      <c r="BC271" t="str">
        <f>IF(AZ271=1,IF(S271="","",IF(S271=N144,"Yes","No")),"")</f>
        <v/>
      </c>
      <c r="BD271" t="str">
        <f t="shared" si="71"/>
        <v/>
      </c>
      <c r="BE271" t="str">
        <f t="shared" si="72"/>
        <v/>
      </c>
      <c r="BF271" t="str">
        <f t="shared" si="73"/>
        <v>No</v>
      </c>
      <c r="BG271" t="str">
        <f t="shared" si="74"/>
        <v>No</v>
      </c>
      <c r="BH271" t="str">
        <f t="shared" si="75"/>
        <v/>
      </c>
    </row>
    <row r="272" spans="9:60" x14ac:dyDescent="0.3">
      <c r="I272" t="str">
        <f t="shared" ref="I272:I310" si="88">IF(AND(K272&gt; J272, L272&gt; K272, M272&gt; L272, N272&gt; M272), "pos_trend", IF(AND(K272&lt; J272, L272&lt; K272, M272&lt; L272, N272&lt; M272), "neg_trend", "N/A"))</f>
        <v>N/A</v>
      </c>
      <c r="J272" t="str">
        <f t="shared" ref="J272:J310" si="89">IFERROR(IF(TRIM(C272)="-", "N/A", IF(RIGHT(C272,1)=")",IF(RIGHT(C272,2)="T)",-1000000000000*VALUE(MID(C272,2,LEN(C272)-3)),IF(RIGHT(C272,2)="M)",-1000000*VALUE(MID(C272,2,LEN(C272)-3)),IF(RIGHT(C272,2)="B)",-1000000000*VALUE(MID(C272,2,LEN(C272)-3)),IF(RIGHT(C272,2)="k)",-1000*VALUE(MID(C272,2,LEN(C272)-3)),VALUE(SUBSTITUTE(C272,",","")))))),IF(RIGHT(C272,1)="T",1000000000000*VALUE(LEFT(C272,LEN(C272)-1)),IF(RIGHT(C272,1)="M",1000000*VALUE(LEFT(C272,LEN(C272)-1)),IF(RIGHT(C272,1)="B",1000000000*VALUE(LEFT(C272,LEN(C272)-1)),IF(RIGHT(C272,1)="%",0.01*VALUE(LEFT(C272,LEN(C272)-1)),IF(RIGHT(C272,1)="k",1000*VALUE(LEFT(C272,LEN(C272)-1)),VALUE(SUBSTITUTE(C272,",",""))))))))),"N/A")</f>
        <v>N/A</v>
      </c>
      <c r="K272" t="str">
        <f t="shared" ref="K272:K310" si="90">IFERROR(IF(TRIM(D272)="-", "N/A", IF(RIGHT(D272,1)=")",IF(RIGHT(D272,2)="T)",-1000000000000*VALUE(MID(D272,2,LEN(D272)-3)),IF(RIGHT(D272,2)="M)",-1000000*VALUE(MID(D272,2,LEN(D272)-3)),IF(RIGHT(D272,2)="B)",-1000000000*VALUE(MID(D272,2,LEN(D272)-3)),IF(RIGHT(D272,2)="k)",-1000*VALUE(MID(D272,2,LEN(D272)-3)),VALUE(SUBSTITUTE(D272,",","")))))),IF(RIGHT(D272,1)="T",1000000000000*VALUE(LEFT(D272,LEN(D272)-1)),IF(RIGHT(D272,1)="M",1000000*VALUE(LEFT(D272,LEN(D272)-1)),IF(RIGHT(D272,1)="B",1000000000*VALUE(LEFT(D272,LEN(D272)-1)),IF(RIGHT(D272,1)="%",0.01*VALUE(LEFT(D272,LEN(D272)-1)),IF(RIGHT(D272,1)="k",1000*VALUE(LEFT(D272,LEN(D272)-1)),VALUE(SUBSTITUTE(D272,",",""))))))))),"N/A")</f>
        <v>N/A</v>
      </c>
      <c r="L272" t="str">
        <f t="shared" ref="L272:L310" si="91">IFERROR(IF(TRIM(E272)="-", "N/A", IF(RIGHT(E272,1)=")",IF(RIGHT(E272,2)="T)",-1000000000000*VALUE(MID(E272,2,LEN(E272)-3)),IF(RIGHT(E272,2)="M)",-1000000*VALUE(MID(E272,2,LEN(E272)-3)),IF(RIGHT(E272,2)="B)",-1000000000*VALUE(MID(E272,2,LEN(E272)-3)),IF(RIGHT(E272,2)="k)",-1000*VALUE(MID(E272,2,LEN(E272)-3)),VALUE(SUBSTITUTE(E272,",","")))))),IF(RIGHT(E272,1)="T",1000000000000*VALUE(LEFT(E272,LEN(E272)-1)),IF(RIGHT(E272,1)="M",1000000*VALUE(LEFT(E272,LEN(E272)-1)),IF(RIGHT(E272,1)="B",1000000000*VALUE(LEFT(E272,LEN(E272)-1)),IF(RIGHT(E272,1)="%",0.01*VALUE(LEFT(E272,LEN(E272)-1)),IF(RIGHT(E272,1)="k",1000*VALUE(LEFT(E272,LEN(E272)-1)),VALUE(SUBSTITUTE(E272,",",""))))))))),"N/A")</f>
        <v>N/A</v>
      </c>
      <c r="M272" t="str">
        <f t="shared" ref="M272:M310" si="92">IFERROR(IF(TRIM(F272)="-", "N/A", IF(RIGHT(F272,1)=")",IF(RIGHT(F272,2)="T)",-1000000000000*VALUE(MID(F272,2,LEN(F272)-3)),IF(RIGHT(F272,2)="M)",-1000000*VALUE(MID(F272,2,LEN(F272)-3)),IF(RIGHT(F272,2)="B)",-1000000000*VALUE(MID(F272,2,LEN(F272)-3)),IF(RIGHT(F272,2)="k)",-1000*VALUE(MID(F272,2,LEN(F272)-3)),VALUE(SUBSTITUTE(F272,",","")))))),IF(RIGHT(F272,1)="T",1000000000000*VALUE(LEFT(F272,LEN(F272)-1)),IF(RIGHT(F272,1)="M",1000000*VALUE(LEFT(F272,LEN(F272)-1)),IF(RIGHT(F272,1)="B",1000000000*VALUE(LEFT(F272,LEN(F272)-1)),IF(RIGHT(F272,1)="%",0.01*VALUE(LEFT(F272,LEN(F272)-1)),IF(RIGHT(F272,1)="k",1000*VALUE(LEFT(F272,LEN(F272)-1)),VALUE(SUBSTITUTE(F272,",",""))))))))),"N/A")</f>
        <v>N/A</v>
      </c>
      <c r="N272" t="str">
        <f t="shared" ref="N272:N310" si="93">IFERROR(IF(TRIM(G272)="-", "N/A", IF(RIGHT(G272,1)=")",IF(RIGHT(G272,2)="T)",-1000000000000*VALUE(MID(G272,2,LEN(G272)-3)),IF(RIGHT(G272,2)="M)",-1000000*VALUE(MID(G272,2,LEN(G272)-3)),IF(RIGHT(G272,2)="B)",-1000000000*VALUE(MID(G272,2,LEN(G272)-3)),IF(RIGHT(G272,2)="k)",-1000*VALUE(MID(G272,2,LEN(G272)-3)),VALUE(SUBSTITUTE(G272,",","")))))),IF(RIGHT(G272,1)="T",1000000000000*VALUE(LEFT(G272,LEN(G272)-1)),IF(RIGHT(G272,1)="M",1000000*VALUE(LEFT(G272,LEN(G272)-1)),IF(RIGHT(G272,1)="B",1000000000*VALUE(LEFT(G272,LEN(G272)-1)),IF(RIGHT(G272,1)="%",0.01*VALUE(LEFT(G272,LEN(G272)-1)),IF(RIGHT(G272,1)="k",1000*VALUE(LEFT(G272,LEN(G272)-1)),VALUE(SUBSTITUTE(G272,",",""))))))))),"N/A")</f>
        <v>N/A</v>
      </c>
      <c r="P272">
        <f t="shared" si="58"/>
        <v>0</v>
      </c>
      <c r="Q272" t="str">
        <f>IFERROR(J144+MATCH(P272,J272:N272,0)-1,"")</f>
        <v/>
      </c>
      <c r="R272" t="str">
        <f t="shared" si="59"/>
        <v/>
      </c>
      <c r="S272" t="str">
        <f>IFERROR(J144+MATCH(R272,J272:N272,0)-1,"")</f>
        <v/>
      </c>
      <c r="T272" t="str">
        <f t="shared" si="60"/>
        <v/>
      </c>
      <c r="U272" t="str">
        <f t="shared" si="61"/>
        <v/>
      </c>
      <c r="V272" t="str">
        <f t="shared" si="62"/>
        <v/>
      </c>
      <c r="W272" t="str">
        <f t="shared" si="63"/>
        <v/>
      </c>
      <c r="X272" t="str">
        <f t="shared" si="64"/>
        <v/>
      </c>
      <c r="Y272" t="str">
        <f t="shared" si="65"/>
        <v/>
      </c>
      <c r="Z272" t="str">
        <f t="shared" si="66"/>
        <v/>
      </c>
      <c r="AA272">
        <f t="shared" si="67"/>
        <v>0</v>
      </c>
      <c r="AB272" t="str">
        <f>IFERROR(V144+MATCH(AA272,V272:Z272,0)-1,"")</f>
        <v/>
      </c>
      <c r="AC272" t="str">
        <f t="shared" si="68"/>
        <v/>
      </c>
      <c r="AE272" t="str">
        <f>IF(ISNUMBER(MATCH("N/A",J272:N272,0)),"",IFERROR((5 * SUMPRODUCT(J144:N144,J272:N272) - PRODUCT(SUM(J144:N144),SUM(J272:N272))) / ((5 * SUM((J144^2)+(K144^2)+(L144^2)+(M144^2)+(N144^2))) - SUM(J144:N144)^2),""))</f>
        <v/>
      </c>
      <c r="AF272" t="str">
        <f>IFERROR(CORREL(J144:N144,J272:N272),"")</f>
        <v/>
      </c>
      <c r="AZ272">
        <f t="shared" si="69"/>
        <v>0</v>
      </c>
      <c r="BA272" t="str">
        <f>IF(AZ272=1,IF(Q272="","",IF(Q272=N144,"Yes","No")),"")</f>
        <v/>
      </c>
      <c r="BB272" t="str">
        <f t="shared" si="70"/>
        <v/>
      </c>
      <c r="BC272" t="str">
        <f>IF(AZ272=1,IF(S272="","",IF(S272=N144,"Yes","No")),"")</f>
        <v/>
      </c>
      <c r="BD272" t="str">
        <f t="shared" si="71"/>
        <v/>
      </c>
      <c r="BE272" t="str">
        <f t="shared" si="72"/>
        <v/>
      </c>
      <c r="BF272" t="str">
        <f t="shared" si="73"/>
        <v>No</v>
      </c>
      <c r="BG272" t="str">
        <f t="shared" si="74"/>
        <v>No</v>
      </c>
      <c r="BH272" t="str">
        <f t="shared" si="75"/>
        <v/>
      </c>
    </row>
    <row r="273" spans="9:60" x14ac:dyDescent="0.3">
      <c r="I273" t="str">
        <f t="shared" si="88"/>
        <v>N/A</v>
      </c>
      <c r="J273" t="str">
        <f t="shared" si="89"/>
        <v>N/A</v>
      </c>
      <c r="K273" t="str">
        <f t="shared" si="90"/>
        <v>N/A</v>
      </c>
      <c r="L273" t="str">
        <f t="shared" si="91"/>
        <v>N/A</v>
      </c>
      <c r="M273" t="str">
        <f t="shared" si="92"/>
        <v>N/A</v>
      </c>
      <c r="N273" t="str">
        <f t="shared" si="93"/>
        <v>N/A</v>
      </c>
      <c r="P273">
        <f t="shared" ref="P273:P336" si="94">MAX(J273:N273)</f>
        <v>0</v>
      </c>
      <c r="Q273" t="str">
        <f>IFERROR(J144+MATCH(P273,J273:N273,0)-1,"")</f>
        <v/>
      </c>
      <c r="R273" t="str">
        <f t="shared" ref="R273:R336" si="95">IF(Q273="","",MIN(J273:N273))</f>
        <v/>
      </c>
      <c r="S273" t="str">
        <f>IFERROR(J144+MATCH(R273,J273:N273,0)-1,"")</f>
        <v/>
      </c>
      <c r="T273" t="str">
        <f t="shared" ref="T273:T336" si="96">IFERROR(AVERAGE(J273:N273),"")</f>
        <v/>
      </c>
      <c r="U273" t="str">
        <f t="shared" ref="U273:U336" si="97">IFERROR(STDEV(J273:N273),"")</f>
        <v/>
      </c>
      <c r="V273" t="str">
        <f t="shared" ref="V273:V336" si="98">IFERROR(IF(C273="-","",IF(ISBLANK(B273),"",IF(OR(ISNUMBER(FIND("Growth",B273)),ISNUMBER(FIND("Margin",B273))),"",(J273-T273)/U273))),"")</f>
        <v/>
      </c>
      <c r="W273" t="str">
        <f t="shared" ref="W273:W336" si="99">IFERROR(IF(OR(D273="-",ISBLANK(D273)),"",(K273-T273)/U273),"")</f>
        <v/>
      </c>
      <c r="X273" t="str">
        <f t="shared" ref="X273:X336" si="100">IFERROR(IF(OR(E273="-",ISBLANK(E273)),"",(L273-T273)/U273),"")</f>
        <v/>
      </c>
      <c r="Y273" t="str">
        <f t="shared" ref="Y273:Y336" si="101">IFERROR(IF(OR(F273="-",ISBLANK(F273)),"",(M273-T273)/U273),"")</f>
        <v/>
      </c>
      <c r="Z273" t="str">
        <f t="shared" ref="Z273:Z336" si="102">IFERROR(IF(OR(G273="-",ISBLANK(G273)),"",(N273-T273)/U273),"")</f>
        <v/>
      </c>
      <c r="AA273">
        <f t="shared" ref="AA273:AA336" si="103">IF(MAX(MAX(V273:Z273),ABS(MIN(V273:Z273)))=ABS(MIN(V273:Z273)),MIN(V273:Z273),MAX(V273:Z273))</f>
        <v>0</v>
      </c>
      <c r="AB273" t="str">
        <f>IFERROR(V144+MATCH(AA273,V273:Z273,0)-1,"")</f>
        <v/>
      </c>
      <c r="AC273" t="str">
        <f t="shared" ref="AC273:AC336" si="104">IF(AB273&lt;&gt;"",IF(S273=AB273,"Low",IF(AB273=Q273,"High","")),"")</f>
        <v/>
      </c>
      <c r="AE273" t="str">
        <f>IF(ISNUMBER(MATCH("N/A",J273:N273,0)),"",IFERROR((5 * SUMPRODUCT(J144:N144,J273:N273) - PRODUCT(SUM(J144:N144),SUM(J273:N273))) / ((5 * SUM((J144^2)+(K144^2)+(L144^2)+(M144^2)+(N144^2))) - SUM(J144:N144)^2),""))</f>
        <v/>
      </c>
      <c r="AF273" t="str">
        <f>IFERROR(CORREL(J144:N144,J273:N273),"")</f>
        <v/>
      </c>
      <c r="AZ273">
        <f t="shared" ref="AZ273:AZ336" si="105">IF(Q273=S273,0,1)</f>
        <v>0</v>
      </c>
      <c r="BA273" t="str">
        <f>IF(AZ273=1,IF(Q273="","",IF(Q273=N144,"Yes","No")),"")</f>
        <v/>
      </c>
      <c r="BB273" t="str">
        <f t="shared" ref="BB273:BB336" si="106">IF(BA273="Yes",P273,"")</f>
        <v/>
      </c>
      <c r="BC273" t="str">
        <f>IF(AZ273=1,IF(S273="","",IF(S273=N144,"Yes","No")),"")</f>
        <v/>
      </c>
      <c r="BD273" t="str">
        <f t="shared" ref="BD273:BD336" si="107">IF(BC273="Yes",R273,"")</f>
        <v/>
      </c>
      <c r="BE273" t="str">
        <f t="shared" ref="BE273:BE336" si="108">IFERROR(IF(SIGN(AE273)=1,"Increasing",IF(SIGN(AE273)=-1,"Decreasing","")),"")</f>
        <v/>
      </c>
      <c r="BF273" t="str">
        <f t="shared" ref="BF273:BF336" si="109">IF(OR(AND(BE273="Increasing",BA273="Yes"),AND(BE273="Decreasing",BC273="Yes")),"Yes","No")</f>
        <v>No</v>
      </c>
      <c r="BG273" t="str">
        <f t="shared" ref="BG273:BG336" si="110">IF(I273="pos_trend","Yes","No")</f>
        <v>No</v>
      </c>
      <c r="BH273" t="str">
        <f t="shared" ref="BH273:BH336" si="111">IF(AF273&lt;&gt;"",IF(ABS(AF273)&gt;0.8,"Yes","No"),"")</f>
        <v/>
      </c>
    </row>
    <row r="274" spans="9:60" x14ac:dyDescent="0.3">
      <c r="I274" t="str">
        <f t="shared" si="88"/>
        <v>N/A</v>
      </c>
      <c r="J274" t="str">
        <f t="shared" si="89"/>
        <v>N/A</v>
      </c>
      <c r="K274" t="str">
        <f t="shared" si="90"/>
        <v>N/A</v>
      </c>
      <c r="L274" t="str">
        <f t="shared" si="91"/>
        <v>N/A</v>
      </c>
      <c r="M274" t="str">
        <f t="shared" si="92"/>
        <v>N/A</v>
      </c>
      <c r="N274" t="str">
        <f t="shared" si="93"/>
        <v>N/A</v>
      </c>
      <c r="P274">
        <f t="shared" si="94"/>
        <v>0</v>
      </c>
      <c r="Q274" t="str">
        <f>IFERROR(J144+MATCH(P274,J274:N274,0)-1,"")</f>
        <v/>
      </c>
      <c r="R274" t="str">
        <f t="shared" si="95"/>
        <v/>
      </c>
      <c r="S274" t="str">
        <f>IFERROR(J144+MATCH(R274,J274:N274,0)-1,"")</f>
        <v/>
      </c>
      <c r="T274" t="str">
        <f t="shared" si="96"/>
        <v/>
      </c>
      <c r="U274" t="str">
        <f t="shared" si="97"/>
        <v/>
      </c>
      <c r="V274" t="str">
        <f t="shared" si="98"/>
        <v/>
      </c>
      <c r="W274" t="str">
        <f t="shared" si="99"/>
        <v/>
      </c>
      <c r="X274" t="str">
        <f t="shared" si="100"/>
        <v/>
      </c>
      <c r="Y274" t="str">
        <f t="shared" si="101"/>
        <v/>
      </c>
      <c r="Z274" t="str">
        <f t="shared" si="102"/>
        <v/>
      </c>
      <c r="AA274">
        <f t="shared" si="103"/>
        <v>0</v>
      </c>
      <c r="AB274" t="str">
        <f>IFERROR(V144+MATCH(AA274,V274:Z274,0)-1,"")</f>
        <v/>
      </c>
      <c r="AC274" t="str">
        <f t="shared" si="104"/>
        <v/>
      </c>
      <c r="AE274" t="str">
        <f>IF(ISNUMBER(MATCH("N/A",J274:N274,0)),"",IFERROR((5 * SUMPRODUCT(J144:N144,J274:N274) - PRODUCT(SUM(J144:N144),SUM(J274:N274))) / ((5 * SUM((J144^2)+(K144^2)+(L144^2)+(M144^2)+(N144^2))) - SUM(J144:N144)^2),""))</f>
        <v/>
      </c>
      <c r="AF274" t="str">
        <f>IFERROR(CORREL(J144:N144,J274:N274),"")</f>
        <v/>
      </c>
      <c r="AZ274">
        <f t="shared" si="105"/>
        <v>0</v>
      </c>
      <c r="BA274" t="str">
        <f>IF(AZ274=1,IF(Q274="","",IF(Q274=N144,"Yes","No")),"")</f>
        <v/>
      </c>
      <c r="BB274" t="str">
        <f t="shared" si="106"/>
        <v/>
      </c>
      <c r="BC274" t="str">
        <f>IF(AZ274=1,IF(S274="","",IF(S274=N144,"Yes","No")),"")</f>
        <v/>
      </c>
      <c r="BD274" t="str">
        <f t="shared" si="107"/>
        <v/>
      </c>
      <c r="BE274" t="str">
        <f t="shared" si="108"/>
        <v/>
      </c>
      <c r="BF274" t="str">
        <f t="shared" si="109"/>
        <v>No</v>
      </c>
      <c r="BG274" t="str">
        <f t="shared" si="110"/>
        <v>No</v>
      </c>
      <c r="BH274" t="str">
        <f t="shared" si="111"/>
        <v/>
      </c>
    </row>
    <row r="275" spans="9:60" x14ac:dyDescent="0.3">
      <c r="I275" t="str">
        <f t="shared" si="88"/>
        <v>N/A</v>
      </c>
      <c r="J275" t="str">
        <f t="shared" si="89"/>
        <v>N/A</v>
      </c>
      <c r="K275" t="str">
        <f t="shared" si="90"/>
        <v>N/A</v>
      </c>
      <c r="L275" t="str">
        <f t="shared" si="91"/>
        <v>N/A</v>
      </c>
      <c r="M275" t="str">
        <f t="shared" si="92"/>
        <v>N/A</v>
      </c>
      <c r="N275" t="str">
        <f t="shared" si="93"/>
        <v>N/A</v>
      </c>
      <c r="P275">
        <f t="shared" si="94"/>
        <v>0</v>
      </c>
      <c r="Q275" t="str">
        <f>IFERROR(J144+MATCH(P275,J275:N275,0)-1,"")</f>
        <v/>
      </c>
      <c r="R275" t="str">
        <f t="shared" si="95"/>
        <v/>
      </c>
      <c r="S275" t="str">
        <f>IFERROR(J144+MATCH(R275,J275:N275,0)-1,"")</f>
        <v/>
      </c>
      <c r="T275" t="str">
        <f t="shared" si="96"/>
        <v/>
      </c>
      <c r="U275" t="str">
        <f t="shared" si="97"/>
        <v/>
      </c>
      <c r="V275" t="str">
        <f t="shared" si="98"/>
        <v/>
      </c>
      <c r="W275" t="str">
        <f t="shared" si="99"/>
        <v/>
      </c>
      <c r="X275" t="str">
        <f t="shared" si="100"/>
        <v/>
      </c>
      <c r="Y275" t="str">
        <f t="shared" si="101"/>
        <v/>
      </c>
      <c r="Z275" t="str">
        <f t="shared" si="102"/>
        <v/>
      </c>
      <c r="AA275">
        <f t="shared" si="103"/>
        <v>0</v>
      </c>
      <c r="AB275" t="str">
        <f>IFERROR(V144+MATCH(AA275,V275:Z275,0)-1,"")</f>
        <v/>
      </c>
      <c r="AC275" t="str">
        <f t="shared" si="104"/>
        <v/>
      </c>
      <c r="AE275" t="str">
        <f>IF(ISNUMBER(MATCH("N/A",J275:N275,0)),"",IFERROR((5 * SUMPRODUCT(J144:N144,J275:N275) - PRODUCT(SUM(J144:N144),SUM(J275:N275))) / ((5 * SUM((J144^2)+(K144^2)+(L144^2)+(M144^2)+(N144^2))) - SUM(J144:N144)^2),""))</f>
        <v/>
      </c>
      <c r="AF275" t="str">
        <f>IFERROR(CORREL(J144:N144,J275:N275),"")</f>
        <v/>
      </c>
      <c r="AZ275">
        <f t="shared" si="105"/>
        <v>0</v>
      </c>
      <c r="BA275" t="str">
        <f>IF(AZ275=1,IF(Q275="","",IF(Q275=N144,"Yes","No")),"")</f>
        <v/>
      </c>
      <c r="BB275" t="str">
        <f t="shared" si="106"/>
        <v/>
      </c>
      <c r="BC275" t="str">
        <f>IF(AZ275=1,IF(S275="","",IF(S275=N144,"Yes","No")),"")</f>
        <v/>
      </c>
      <c r="BD275" t="str">
        <f t="shared" si="107"/>
        <v/>
      </c>
      <c r="BE275" t="str">
        <f t="shared" si="108"/>
        <v/>
      </c>
      <c r="BF275" t="str">
        <f t="shared" si="109"/>
        <v>No</v>
      </c>
      <c r="BG275" t="str">
        <f t="shared" si="110"/>
        <v>No</v>
      </c>
      <c r="BH275" t="str">
        <f t="shared" si="111"/>
        <v/>
      </c>
    </row>
    <row r="276" spans="9:60" x14ac:dyDescent="0.3">
      <c r="I276" t="str">
        <f t="shared" si="88"/>
        <v>N/A</v>
      </c>
      <c r="J276" t="str">
        <f t="shared" si="89"/>
        <v>N/A</v>
      </c>
      <c r="K276" t="str">
        <f t="shared" si="90"/>
        <v>N/A</v>
      </c>
      <c r="L276" t="str">
        <f t="shared" si="91"/>
        <v>N/A</v>
      </c>
      <c r="M276" t="str">
        <f t="shared" si="92"/>
        <v>N/A</v>
      </c>
      <c r="N276" t="str">
        <f t="shared" si="93"/>
        <v>N/A</v>
      </c>
      <c r="P276">
        <f t="shared" si="94"/>
        <v>0</v>
      </c>
      <c r="Q276" t="str">
        <f>IFERROR(J144+MATCH(P276,J276:N276,0)-1,"")</f>
        <v/>
      </c>
      <c r="R276" t="str">
        <f t="shared" si="95"/>
        <v/>
      </c>
      <c r="S276" t="str">
        <f>IFERROR(J144+MATCH(R276,J276:N276,0)-1,"")</f>
        <v/>
      </c>
      <c r="T276" t="str">
        <f t="shared" si="96"/>
        <v/>
      </c>
      <c r="U276" t="str">
        <f t="shared" si="97"/>
        <v/>
      </c>
      <c r="V276" t="str">
        <f t="shared" si="98"/>
        <v/>
      </c>
      <c r="W276" t="str">
        <f t="shared" si="99"/>
        <v/>
      </c>
      <c r="X276" t="str">
        <f t="shared" si="100"/>
        <v/>
      </c>
      <c r="Y276" t="str">
        <f t="shared" si="101"/>
        <v/>
      </c>
      <c r="Z276" t="str">
        <f t="shared" si="102"/>
        <v/>
      </c>
      <c r="AA276">
        <f t="shared" si="103"/>
        <v>0</v>
      </c>
      <c r="AB276" t="str">
        <f>IFERROR(V144+MATCH(AA276,V276:Z276,0)-1,"")</f>
        <v/>
      </c>
      <c r="AC276" t="str">
        <f t="shared" si="104"/>
        <v/>
      </c>
      <c r="AE276" t="str">
        <f>IF(ISNUMBER(MATCH("N/A",J276:N276,0)),"",IFERROR((5 * SUMPRODUCT(J144:N144,J276:N276) - PRODUCT(SUM(J144:N144),SUM(J276:N276))) / ((5 * SUM((J144^2)+(K144^2)+(L144^2)+(M144^2)+(N144^2))) - SUM(J144:N144)^2),""))</f>
        <v/>
      </c>
      <c r="AF276" t="str">
        <f>IFERROR(CORREL(J144:N144,J276:N276),"")</f>
        <v/>
      </c>
      <c r="AZ276">
        <f t="shared" si="105"/>
        <v>0</v>
      </c>
      <c r="BA276" t="str">
        <f>IF(AZ276=1,IF(Q276="","",IF(Q276=N144,"Yes","No")),"")</f>
        <v/>
      </c>
      <c r="BB276" t="str">
        <f t="shared" si="106"/>
        <v/>
      </c>
      <c r="BC276" t="str">
        <f>IF(AZ276=1,IF(S276="","",IF(S276=N144,"Yes","No")),"")</f>
        <v/>
      </c>
      <c r="BD276" t="str">
        <f t="shared" si="107"/>
        <v/>
      </c>
      <c r="BE276" t="str">
        <f t="shared" si="108"/>
        <v/>
      </c>
      <c r="BF276" t="str">
        <f t="shared" si="109"/>
        <v>No</v>
      </c>
      <c r="BG276" t="str">
        <f t="shared" si="110"/>
        <v>No</v>
      </c>
      <c r="BH276" t="str">
        <f t="shared" si="111"/>
        <v/>
      </c>
    </row>
    <row r="277" spans="9:60" x14ac:dyDescent="0.3">
      <c r="I277" t="str">
        <f t="shared" si="88"/>
        <v>N/A</v>
      </c>
      <c r="J277" t="str">
        <f t="shared" si="89"/>
        <v>N/A</v>
      </c>
      <c r="K277" t="str">
        <f t="shared" si="90"/>
        <v>N/A</v>
      </c>
      <c r="L277" t="str">
        <f t="shared" si="91"/>
        <v>N/A</v>
      </c>
      <c r="M277" t="str">
        <f t="shared" si="92"/>
        <v>N/A</v>
      </c>
      <c r="N277" t="str">
        <f t="shared" si="93"/>
        <v>N/A</v>
      </c>
      <c r="P277">
        <f t="shared" si="94"/>
        <v>0</v>
      </c>
      <c r="Q277" t="str">
        <f>IFERROR(J144+MATCH(P277,J277:N277,0)-1,"")</f>
        <v/>
      </c>
      <c r="R277" t="str">
        <f t="shared" si="95"/>
        <v/>
      </c>
      <c r="S277" t="str">
        <f>IFERROR(J144+MATCH(R277,J277:N277,0)-1,"")</f>
        <v/>
      </c>
      <c r="T277" t="str">
        <f t="shared" si="96"/>
        <v/>
      </c>
      <c r="U277" t="str">
        <f t="shared" si="97"/>
        <v/>
      </c>
      <c r="V277" t="str">
        <f t="shared" si="98"/>
        <v/>
      </c>
      <c r="W277" t="str">
        <f t="shared" si="99"/>
        <v/>
      </c>
      <c r="X277" t="str">
        <f t="shared" si="100"/>
        <v/>
      </c>
      <c r="Y277" t="str">
        <f t="shared" si="101"/>
        <v/>
      </c>
      <c r="Z277" t="str">
        <f t="shared" si="102"/>
        <v/>
      </c>
      <c r="AA277">
        <f t="shared" si="103"/>
        <v>0</v>
      </c>
      <c r="AB277" t="str">
        <f>IFERROR(V144+MATCH(AA277,V277:Z277,0)-1,"")</f>
        <v/>
      </c>
      <c r="AC277" t="str">
        <f t="shared" si="104"/>
        <v/>
      </c>
      <c r="AE277" t="str">
        <f>IF(ISNUMBER(MATCH("N/A",J277:N277,0)),"",IFERROR((5 * SUMPRODUCT(J144:N144,J277:N277) - PRODUCT(SUM(J144:N144),SUM(J277:N277))) / ((5 * SUM((J144^2)+(K144^2)+(L144^2)+(M144^2)+(N144^2))) - SUM(J144:N144)^2),""))</f>
        <v/>
      </c>
      <c r="AF277" t="str">
        <f>IFERROR(CORREL(J144:N144,J277:N277),"")</f>
        <v/>
      </c>
      <c r="AZ277">
        <f t="shared" si="105"/>
        <v>0</v>
      </c>
      <c r="BA277" t="str">
        <f>IF(AZ277=1,IF(Q277="","",IF(Q277=N144,"Yes","No")),"")</f>
        <v/>
      </c>
      <c r="BB277" t="str">
        <f t="shared" si="106"/>
        <v/>
      </c>
      <c r="BC277" t="str">
        <f>IF(AZ277=1,IF(S277="","",IF(S277=N144,"Yes","No")),"")</f>
        <v/>
      </c>
      <c r="BD277" t="str">
        <f t="shared" si="107"/>
        <v/>
      </c>
      <c r="BE277" t="str">
        <f t="shared" si="108"/>
        <v/>
      </c>
      <c r="BF277" t="str">
        <f t="shared" si="109"/>
        <v>No</v>
      </c>
      <c r="BG277" t="str">
        <f t="shared" si="110"/>
        <v>No</v>
      </c>
      <c r="BH277" t="str">
        <f t="shared" si="111"/>
        <v/>
      </c>
    </row>
    <row r="278" spans="9:60" x14ac:dyDescent="0.3">
      <c r="I278" t="str">
        <f t="shared" si="88"/>
        <v>N/A</v>
      </c>
      <c r="J278" t="str">
        <f t="shared" si="89"/>
        <v>N/A</v>
      </c>
      <c r="K278" t="str">
        <f t="shared" si="90"/>
        <v>N/A</v>
      </c>
      <c r="L278" t="str">
        <f t="shared" si="91"/>
        <v>N/A</v>
      </c>
      <c r="M278" t="str">
        <f t="shared" si="92"/>
        <v>N/A</v>
      </c>
      <c r="N278" t="str">
        <f t="shared" si="93"/>
        <v>N/A</v>
      </c>
      <c r="P278">
        <f t="shared" si="94"/>
        <v>0</v>
      </c>
      <c r="Q278" t="str">
        <f>IFERROR(J144+MATCH(P278,J278:N278,0)-1,"")</f>
        <v/>
      </c>
      <c r="R278" t="str">
        <f t="shared" si="95"/>
        <v/>
      </c>
      <c r="S278" t="str">
        <f>IFERROR(J144+MATCH(R278,J278:N278,0)-1,"")</f>
        <v/>
      </c>
      <c r="T278" t="str">
        <f t="shared" si="96"/>
        <v/>
      </c>
      <c r="U278" t="str">
        <f t="shared" si="97"/>
        <v/>
      </c>
      <c r="V278" t="str">
        <f t="shared" si="98"/>
        <v/>
      </c>
      <c r="W278" t="str">
        <f t="shared" si="99"/>
        <v/>
      </c>
      <c r="X278" t="str">
        <f t="shared" si="100"/>
        <v/>
      </c>
      <c r="Y278" t="str">
        <f t="shared" si="101"/>
        <v/>
      </c>
      <c r="Z278" t="str">
        <f t="shared" si="102"/>
        <v/>
      </c>
      <c r="AA278">
        <f t="shared" si="103"/>
        <v>0</v>
      </c>
      <c r="AB278" t="str">
        <f>IFERROR(V144+MATCH(AA278,V278:Z278,0)-1,"")</f>
        <v/>
      </c>
      <c r="AC278" t="str">
        <f t="shared" si="104"/>
        <v/>
      </c>
      <c r="AE278" t="str">
        <f>IF(ISNUMBER(MATCH("N/A",J278:N278,0)),"",IFERROR((5 * SUMPRODUCT(J144:N144,J278:N278) - PRODUCT(SUM(J144:N144),SUM(J278:N278))) / ((5 * SUM((J144^2)+(K144^2)+(L144^2)+(M144^2)+(N144^2))) - SUM(J144:N144)^2),""))</f>
        <v/>
      </c>
      <c r="AF278" t="str">
        <f>IFERROR(CORREL(J144:N144,J278:N278),"")</f>
        <v/>
      </c>
      <c r="AZ278">
        <f t="shared" si="105"/>
        <v>0</v>
      </c>
      <c r="BA278" t="str">
        <f>IF(AZ278=1,IF(Q278="","",IF(Q278=N144,"Yes","No")),"")</f>
        <v/>
      </c>
      <c r="BB278" t="str">
        <f t="shared" si="106"/>
        <v/>
      </c>
      <c r="BC278" t="str">
        <f>IF(AZ278=1,IF(S278="","",IF(S278=N144,"Yes","No")),"")</f>
        <v/>
      </c>
      <c r="BD278" t="str">
        <f t="shared" si="107"/>
        <v/>
      </c>
      <c r="BE278" t="str">
        <f t="shared" si="108"/>
        <v/>
      </c>
      <c r="BF278" t="str">
        <f t="shared" si="109"/>
        <v>No</v>
      </c>
      <c r="BG278" t="str">
        <f t="shared" si="110"/>
        <v>No</v>
      </c>
      <c r="BH278" t="str">
        <f t="shared" si="111"/>
        <v/>
      </c>
    </row>
    <row r="279" spans="9:60" x14ac:dyDescent="0.3">
      <c r="I279" t="str">
        <f t="shared" si="88"/>
        <v>N/A</v>
      </c>
      <c r="J279" t="str">
        <f t="shared" si="89"/>
        <v>N/A</v>
      </c>
      <c r="K279" t="str">
        <f t="shared" si="90"/>
        <v>N/A</v>
      </c>
      <c r="L279" t="str">
        <f t="shared" si="91"/>
        <v>N/A</v>
      </c>
      <c r="M279" t="str">
        <f t="shared" si="92"/>
        <v>N/A</v>
      </c>
      <c r="N279" t="str">
        <f t="shared" si="93"/>
        <v>N/A</v>
      </c>
      <c r="P279">
        <f t="shared" si="94"/>
        <v>0</v>
      </c>
      <c r="Q279" t="str">
        <f>IFERROR(J144+MATCH(P279,J279:N279,0)-1,"")</f>
        <v/>
      </c>
      <c r="R279" t="str">
        <f t="shared" si="95"/>
        <v/>
      </c>
      <c r="S279" t="str">
        <f>IFERROR(J144+MATCH(R279,J279:N279,0)-1,"")</f>
        <v/>
      </c>
      <c r="T279" t="str">
        <f t="shared" si="96"/>
        <v/>
      </c>
      <c r="U279" t="str">
        <f t="shared" si="97"/>
        <v/>
      </c>
      <c r="V279" t="str">
        <f t="shared" si="98"/>
        <v/>
      </c>
      <c r="W279" t="str">
        <f t="shared" si="99"/>
        <v/>
      </c>
      <c r="X279" t="str">
        <f t="shared" si="100"/>
        <v/>
      </c>
      <c r="Y279" t="str">
        <f t="shared" si="101"/>
        <v/>
      </c>
      <c r="Z279" t="str">
        <f t="shared" si="102"/>
        <v/>
      </c>
      <c r="AA279">
        <f t="shared" si="103"/>
        <v>0</v>
      </c>
      <c r="AB279" t="str">
        <f>IFERROR(V144+MATCH(AA279,V279:Z279,0)-1,"")</f>
        <v/>
      </c>
      <c r="AC279" t="str">
        <f t="shared" si="104"/>
        <v/>
      </c>
      <c r="AE279" t="str">
        <f>IF(ISNUMBER(MATCH("N/A",J279:N279,0)),"",IFERROR((5 * SUMPRODUCT(J144:N144,J279:N279) - PRODUCT(SUM(J144:N144),SUM(J279:N279))) / ((5 * SUM((J144^2)+(K144^2)+(L144^2)+(M144^2)+(N144^2))) - SUM(J144:N144)^2),""))</f>
        <v/>
      </c>
      <c r="AF279" t="str">
        <f>IFERROR(CORREL(J144:N144,J279:N279),"")</f>
        <v/>
      </c>
      <c r="AZ279">
        <f t="shared" si="105"/>
        <v>0</v>
      </c>
      <c r="BA279" t="str">
        <f>IF(AZ279=1,IF(Q279="","",IF(Q279=N144,"Yes","No")),"")</f>
        <v/>
      </c>
      <c r="BB279" t="str">
        <f t="shared" si="106"/>
        <v/>
      </c>
      <c r="BC279" t="str">
        <f>IF(AZ279=1,IF(S279="","",IF(S279=N144,"Yes","No")),"")</f>
        <v/>
      </c>
      <c r="BD279" t="str">
        <f t="shared" si="107"/>
        <v/>
      </c>
      <c r="BE279" t="str">
        <f t="shared" si="108"/>
        <v/>
      </c>
      <c r="BF279" t="str">
        <f t="shared" si="109"/>
        <v>No</v>
      </c>
      <c r="BG279" t="str">
        <f t="shared" si="110"/>
        <v>No</v>
      </c>
      <c r="BH279" t="str">
        <f t="shared" si="111"/>
        <v/>
      </c>
    </row>
    <row r="280" spans="9:60" x14ac:dyDescent="0.3">
      <c r="I280" t="str">
        <f t="shared" si="88"/>
        <v>N/A</v>
      </c>
      <c r="J280" t="str">
        <f t="shared" si="89"/>
        <v>N/A</v>
      </c>
      <c r="K280" t="str">
        <f t="shared" si="90"/>
        <v>N/A</v>
      </c>
      <c r="L280" t="str">
        <f t="shared" si="91"/>
        <v>N/A</v>
      </c>
      <c r="M280" t="str">
        <f t="shared" si="92"/>
        <v>N/A</v>
      </c>
      <c r="N280" t="str">
        <f t="shared" si="93"/>
        <v>N/A</v>
      </c>
      <c r="P280">
        <f t="shared" si="94"/>
        <v>0</v>
      </c>
      <c r="Q280" t="str">
        <f>IFERROR(J144+MATCH(P280,J280:N280,0)-1,"")</f>
        <v/>
      </c>
      <c r="R280" t="str">
        <f t="shared" si="95"/>
        <v/>
      </c>
      <c r="S280" t="str">
        <f>IFERROR(J144+MATCH(R280,J280:N280,0)-1,"")</f>
        <v/>
      </c>
      <c r="T280" t="str">
        <f t="shared" si="96"/>
        <v/>
      </c>
      <c r="U280" t="str">
        <f t="shared" si="97"/>
        <v/>
      </c>
      <c r="V280" t="str">
        <f t="shared" si="98"/>
        <v/>
      </c>
      <c r="W280" t="str">
        <f t="shared" si="99"/>
        <v/>
      </c>
      <c r="X280" t="str">
        <f t="shared" si="100"/>
        <v/>
      </c>
      <c r="Y280" t="str">
        <f t="shared" si="101"/>
        <v/>
      </c>
      <c r="Z280" t="str">
        <f t="shared" si="102"/>
        <v/>
      </c>
      <c r="AA280">
        <f t="shared" si="103"/>
        <v>0</v>
      </c>
      <c r="AB280" t="str">
        <f>IFERROR(V144+MATCH(AA280,V280:Z280,0)-1,"")</f>
        <v/>
      </c>
      <c r="AC280" t="str">
        <f t="shared" si="104"/>
        <v/>
      </c>
      <c r="AE280" t="str">
        <f>IF(ISNUMBER(MATCH("N/A",J280:N280,0)),"",IFERROR((5 * SUMPRODUCT(J144:N144,J280:N280) - PRODUCT(SUM(J144:N144),SUM(J280:N280))) / ((5 * SUM((J144^2)+(K144^2)+(L144^2)+(M144^2)+(N144^2))) - SUM(J144:N144)^2),""))</f>
        <v/>
      </c>
      <c r="AF280" t="str">
        <f>IFERROR(CORREL(J144:N144,J280:N280),"")</f>
        <v/>
      </c>
      <c r="AZ280">
        <f t="shared" si="105"/>
        <v>0</v>
      </c>
      <c r="BA280" t="str">
        <f>IF(AZ280=1,IF(Q280="","",IF(Q280=N144,"Yes","No")),"")</f>
        <v/>
      </c>
      <c r="BB280" t="str">
        <f t="shared" si="106"/>
        <v/>
      </c>
      <c r="BC280" t="str">
        <f>IF(AZ280=1,IF(S280="","",IF(S280=N144,"Yes","No")),"")</f>
        <v/>
      </c>
      <c r="BD280" t="str">
        <f t="shared" si="107"/>
        <v/>
      </c>
      <c r="BE280" t="str">
        <f t="shared" si="108"/>
        <v/>
      </c>
      <c r="BF280" t="str">
        <f t="shared" si="109"/>
        <v>No</v>
      </c>
      <c r="BG280" t="str">
        <f t="shared" si="110"/>
        <v>No</v>
      </c>
      <c r="BH280" t="str">
        <f t="shared" si="111"/>
        <v/>
      </c>
    </row>
    <row r="281" spans="9:60" x14ac:dyDescent="0.3">
      <c r="I281" t="str">
        <f t="shared" si="88"/>
        <v>N/A</v>
      </c>
      <c r="J281" t="str">
        <f t="shared" si="89"/>
        <v>N/A</v>
      </c>
      <c r="K281" t="str">
        <f t="shared" si="90"/>
        <v>N/A</v>
      </c>
      <c r="L281" t="str">
        <f t="shared" si="91"/>
        <v>N/A</v>
      </c>
      <c r="M281" t="str">
        <f t="shared" si="92"/>
        <v>N/A</v>
      </c>
      <c r="N281" t="str">
        <f t="shared" si="93"/>
        <v>N/A</v>
      </c>
      <c r="P281">
        <f t="shared" si="94"/>
        <v>0</v>
      </c>
      <c r="Q281" t="str">
        <f>IFERROR(J144+MATCH(P281,J281:N281,0)-1,"")</f>
        <v/>
      </c>
      <c r="R281" t="str">
        <f t="shared" si="95"/>
        <v/>
      </c>
      <c r="S281" t="str">
        <f>IFERROR(J144+MATCH(R281,J281:N281,0)-1,"")</f>
        <v/>
      </c>
      <c r="T281" t="str">
        <f t="shared" si="96"/>
        <v/>
      </c>
      <c r="U281" t="str">
        <f t="shared" si="97"/>
        <v/>
      </c>
      <c r="V281" t="str">
        <f t="shared" si="98"/>
        <v/>
      </c>
      <c r="W281" t="str">
        <f t="shared" si="99"/>
        <v/>
      </c>
      <c r="X281" t="str">
        <f t="shared" si="100"/>
        <v/>
      </c>
      <c r="Y281" t="str">
        <f t="shared" si="101"/>
        <v/>
      </c>
      <c r="Z281" t="str">
        <f t="shared" si="102"/>
        <v/>
      </c>
      <c r="AA281">
        <f t="shared" si="103"/>
        <v>0</v>
      </c>
      <c r="AB281" t="str">
        <f>IFERROR(V144+MATCH(AA281,V281:Z281,0)-1,"")</f>
        <v/>
      </c>
      <c r="AC281" t="str">
        <f t="shared" si="104"/>
        <v/>
      </c>
      <c r="AE281" t="str">
        <f>IF(ISNUMBER(MATCH("N/A",J281:N281,0)),"",IFERROR((5 * SUMPRODUCT(J144:N144,J281:N281) - PRODUCT(SUM(J144:N144),SUM(J281:N281))) / ((5 * SUM((J144^2)+(K144^2)+(L144^2)+(M144^2)+(N144^2))) - SUM(J144:N144)^2),""))</f>
        <v/>
      </c>
      <c r="AF281" t="str">
        <f>IFERROR(CORREL(J144:N144,J281:N281),"")</f>
        <v/>
      </c>
      <c r="AZ281">
        <f t="shared" si="105"/>
        <v>0</v>
      </c>
      <c r="BA281" t="str">
        <f>IF(AZ281=1,IF(Q281="","",IF(Q281=N144,"Yes","No")),"")</f>
        <v/>
      </c>
      <c r="BB281" t="str">
        <f t="shared" si="106"/>
        <v/>
      </c>
      <c r="BC281" t="str">
        <f>IF(AZ281=1,IF(S281="","",IF(S281=N144,"Yes","No")),"")</f>
        <v/>
      </c>
      <c r="BD281" t="str">
        <f t="shared" si="107"/>
        <v/>
      </c>
      <c r="BE281" t="str">
        <f t="shared" si="108"/>
        <v/>
      </c>
      <c r="BF281" t="str">
        <f t="shared" si="109"/>
        <v>No</v>
      </c>
      <c r="BG281" t="str">
        <f t="shared" si="110"/>
        <v>No</v>
      </c>
      <c r="BH281" t="str">
        <f t="shared" si="111"/>
        <v/>
      </c>
    </row>
    <row r="282" spans="9:60" x14ac:dyDescent="0.3">
      <c r="I282" t="str">
        <f t="shared" si="88"/>
        <v>N/A</v>
      </c>
      <c r="J282" t="str">
        <f t="shared" si="89"/>
        <v>N/A</v>
      </c>
      <c r="K282" t="str">
        <f t="shared" si="90"/>
        <v>N/A</v>
      </c>
      <c r="L282" t="str">
        <f t="shared" si="91"/>
        <v>N/A</v>
      </c>
      <c r="M282" t="str">
        <f t="shared" si="92"/>
        <v>N/A</v>
      </c>
      <c r="N282" t="str">
        <f t="shared" si="93"/>
        <v>N/A</v>
      </c>
      <c r="P282">
        <f t="shared" si="94"/>
        <v>0</v>
      </c>
      <c r="Q282" t="str">
        <f>IFERROR(J144+MATCH(P282,J282:N282,0)-1,"")</f>
        <v/>
      </c>
      <c r="R282" t="str">
        <f t="shared" si="95"/>
        <v/>
      </c>
      <c r="S282" t="str">
        <f>IFERROR(J144+MATCH(R282,J282:N282,0)-1,"")</f>
        <v/>
      </c>
      <c r="T282" t="str">
        <f t="shared" si="96"/>
        <v/>
      </c>
      <c r="U282" t="str">
        <f t="shared" si="97"/>
        <v/>
      </c>
      <c r="V282" t="str">
        <f t="shared" si="98"/>
        <v/>
      </c>
      <c r="W282" t="str">
        <f t="shared" si="99"/>
        <v/>
      </c>
      <c r="X282" t="str">
        <f t="shared" si="100"/>
        <v/>
      </c>
      <c r="Y282" t="str">
        <f t="shared" si="101"/>
        <v/>
      </c>
      <c r="Z282" t="str">
        <f t="shared" si="102"/>
        <v/>
      </c>
      <c r="AA282">
        <f t="shared" si="103"/>
        <v>0</v>
      </c>
      <c r="AB282" t="str">
        <f>IFERROR(V144+MATCH(AA282,V282:Z282,0)-1,"")</f>
        <v/>
      </c>
      <c r="AC282" t="str">
        <f t="shared" si="104"/>
        <v/>
      </c>
      <c r="AE282" t="str">
        <f>IF(ISNUMBER(MATCH("N/A",J282:N282,0)),"",IFERROR((5 * SUMPRODUCT(J144:N144,J282:N282) - PRODUCT(SUM(J144:N144),SUM(J282:N282))) / ((5 * SUM((J144^2)+(K144^2)+(L144^2)+(M144^2)+(N144^2))) - SUM(J144:N144)^2),""))</f>
        <v/>
      </c>
      <c r="AF282" t="str">
        <f>IFERROR(CORREL(J144:N144,J282:N282),"")</f>
        <v/>
      </c>
      <c r="AZ282">
        <f t="shared" si="105"/>
        <v>0</v>
      </c>
      <c r="BA282" t="str">
        <f>IF(AZ282=1,IF(Q282="","",IF(Q282=N144,"Yes","No")),"")</f>
        <v/>
      </c>
      <c r="BB282" t="str">
        <f t="shared" si="106"/>
        <v/>
      </c>
      <c r="BC282" t="str">
        <f>IF(AZ282=1,IF(S282="","",IF(S282=N144,"Yes","No")),"")</f>
        <v/>
      </c>
      <c r="BD282" t="str">
        <f t="shared" si="107"/>
        <v/>
      </c>
      <c r="BE282" t="str">
        <f t="shared" si="108"/>
        <v/>
      </c>
      <c r="BF282" t="str">
        <f t="shared" si="109"/>
        <v>No</v>
      </c>
      <c r="BG282" t="str">
        <f t="shared" si="110"/>
        <v>No</v>
      </c>
      <c r="BH282" t="str">
        <f t="shared" si="111"/>
        <v/>
      </c>
    </row>
    <row r="283" spans="9:60" x14ac:dyDescent="0.3">
      <c r="I283" t="str">
        <f t="shared" si="88"/>
        <v>N/A</v>
      </c>
      <c r="J283" t="str">
        <f t="shared" si="89"/>
        <v>N/A</v>
      </c>
      <c r="K283" t="str">
        <f t="shared" si="90"/>
        <v>N/A</v>
      </c>
      <c r="L283" t="str">
        <f t="shared" si="91"/>
        <v>N/A</v>
      </c>
      <c r="M283" t="str">
        <f t="shared" si="92"/>
        <v>N/A</v>
      </c>
      <c r="N283" t="str">
        <f t="shared" si="93"/>
        <v>N/A</v>
      </c>
      <c r="P283">
        <f t="shared" si="94"/>
        <v>0</v>
      </c>
      <c r="Q283" t="str">
        <f>IFERROR(J144+MATCH(P283,J283:N283,0)-1,"")</f>
        <v/>
      </c>
      <c r="R283" t="str">
        <f t="shared" si="95"/>
        <v/>
      </c>
      <c r="S283" t="str">
        <f>IFERROR(J144+MATCH(R283,J283:N283,0)-1,"")</f>
        <v/>
      </c>
      <c r="T283" t="str">
        <f t="shared" si="96"/>
        <v/>
      </c>
      <c r="U283" t="str">
        <f t="shared" si="97"/>
        <v/>
      </c>
      <c r="V283" t="str">
        <f t="shared" si="98"/>
        <v/>
      </c>
      <c r="W283" t="str">
        <f t="shared" si="99"/>
        <v/>
      </c>
      <c r="X283" t="str">
        <f t="shared" si="100"/>
        <v/>
      </c>
      <c r="Y283" t="str">
        <f t="shared" si="101"/>
        <v/>
      </c>
      <c r="Z283" t="str">
        <f t="shared" si="102"/>
        <v/>
      </c>
      <c r="AA283">
        <f t="shared" si="103"/>
        <v>0</v>
      </c>
      <c r="AB283" t="str">
        <f>IFERROR(V144+MATCH(AA283,V283:Z283,0)-1,"")</f>
        <v/>
      </c>
      <c r="AC283" t="str">
        <f t="shared" si="104"/>
        <v/>
      </c>
      <c r="AE283" t="str">
        <f>IF(ISNUMBER(MATCH("N/A",J283:N283,0)),"",IFERROR((5 * SUMPRODUCT(J144:N144,J283:N283) - PRODUCT(SUM(J144:N144),SUM(J283:N283))) / ((5 * SUM((J144^2)+(K144^2)+(L144^2)+(M144^2)+(N144^2))) - SUM(J144:N144)^2),""))</f>
        <v/>
      </c>
      <c r="AF283" t="str">
        <f>IFERROR(CORREL(J144:N144,J283:N283),"")</f>
        <v/>
      </c>
      <c r="AZ283">
        <f t="shared" si="105"/>
        <v>0</v>
      </c>
      <c r="BA283" t="str">
        <f>IF(AZ283=1,IF(Q283="","",IF(Q283=N144,"Yes","No")),"")</f>
        <v/>
      </c>
      <c r="BB283" t="str">
        <f t="shared" si="106"/>
        <v/>
      </c>
      <c r="BC283" t="str">
        <f>IF(AZ283=1,IF(S283="","",IF(S283=N144,"Yes","No")),"")</f>
        <v/>
      </c>
      <c r="BD283" t="str">
        <f t="shared" si="107"/>
        <v/>
      </c>
      <c r="BE283" t="str">
        <f t="shared" si="108"/>
        <v/>
      </c>
      <c r="BF283" t="str">
        <f t="shared" si="109"/>
        <v>No</v>
      </c>
      <c r="BG283" t="str">
        <f t="shared" si="110"/>
        <v>No</v>
      </c>
      <c r="BH283" t="str">
        <f t="shared" si="111"/>
        <v/>
      </c>
    </row>
    <row r="284" spans="9:60" x14ac:dyDescent="0.3">
      <c r="I284" t="str">
        <f t="shared" si="88"/>
        <v>N/A</v>
      </c>
      <c r="J284" t="str">
        <f t="shared" si="89"/>
        <v>N/A</v>
      </c>
      <c r="K284" t="str">
        <f t="shared" si="90"/>
        <v>N/A</v>
      </c>
      <c r="L284" t="str">
        <f t="shared" si="91"/>
        <v>N/A</v>
      </c>
      <c r="M284" t="str">
        <f t="shared" si="92"/>
        <v>N/A</v>
      </c>
      <c r="N284" t="str">
        <f t="shared" si="93"/>
        <v>N/A</v>
      </c>
      <c r="P284">
        <f t="shared" si="94"/>
        <v>0</v>
      </c>
      <c r="Q284" t="str">
        <f>IFERROR(J144+MATCH(P284,J284:N284,0)-1,"")</f>
        <v/>
      </c>
      <c r="R284" t="str">
        <f t="shared" si="95"/>
        <v/>
      </c>
      <c r="S284" t="str">
        <f>IFERROR(J144+MATCH(R284,J284:N284,0)-1,"")</f>
        <v/>
      </c>
      <c r="T284" t="str">
        <f t="shared" si="96"/>
        <v/>
      </c>
      <c r="U284" t="str">
        <f t="shared" si="97"/>
        <v/>
      </c>
      <c r="V284" t="str">
        <f t="shared" si="98"/>
        <v/>
      </c>
      <c r="W284" t="str">
        <f t="shared" si="99"/>
        <v/>
      </c>
      <c r="X284" t="str">
        <f t="shared" si="100"/>
        <v/>
      </c>
      <c r="Y284" t="str">
        <f t="shared" si="101"/>
        <v/>
      </c>
      <c r="Z284" t="str">
        <f t="shared" si="102"/>
        <v/>
      </c>
      <c r="AA284">
        <f t="shared" si="103"/>
        <v>0</v>
      </c>
      <c r="AB284" t="str">
        <f>IFERROR(V144+MATCH(AA284,V284:Z284,0)-1,"")</f>
        <v/>
      </c>
      <c r="AC284" t="str">
        <f t="shared" si="104"/>
        <v/>
      </c>
      <c r="AE284" t="str">
        <f>IF(ISNUMBER(MATCH("N/A",J284:N284,0)),"",IFERROR((5 * SUMPRODUCT(J144:N144,J284:N284) - PRODUCT(SUM(J144:N144),SUM(J284:N284))) / ((5 * SUM((J144^2)+(K144^2)+(L144^2)+(M144^2)+(N144^2))) - SUM(J144:N144)^2),""))</f>
        <v/>
      </c>
      <c r="AF284" t="str">
        <f>IFERROR(CORREL(J144:N144,J284:N284),"")</f>
        <v/>
      </c>
      <c r="AZ284">
        <f t="shared" si="105"/>
        <v>0</v>
      </c>
      <c r="BA284" t="str">
        <f>IF(AZ284=1,IF(Q284="","",IF(Q284=N144,"Yes","No")),"")</f>
        <v/>
      </c>
      <c r="BB284" t="str">
        <f t="shared" si="106"/>
        <v/>
      </c>
      <c r="BC284" t="str">
        <f>IF(AZ284=1,IF(S284="","",IF(S284=N144,"Yes","No")),"")</f>
        <v/>
      </c>
      <c r="BD284" t="str">
        <f t="shared" si="107"/>
        <v/>
      </c>
      <c r="BE284" t="str">
        <f t="shared" si="108"/>
        <v/>
      </c>
      <c r="BF284" t="str">
        <f t="shared" si="109"/>
        <v>No</v>
      </c>
      <c r="BG284" t="str">
        <f t="shared" si="110"/>
        <v>No</v>
      </c>
      <c r="BH284" t="str">
        <f t="shared" si="111"/>
        <v/>
      </c>
    </row>
    <row r="285" spans="9:60" x14ac:dyDescent="0.3">
      <c r="I285" t="str">
        <f t="shared" si="88"/>
        <v>N/A</v>
      </c>
      <c r="J285" t="str">
        <f t="shared" si="89"/>
        <v>N/A</v>
      </c>
      <c r="K285" t="str">
        <f t="shared" si="90"/>
        <v>N/A</v>
      </c>
      <c r="L285" t="str">
        <f t="shared" si="91"/>
        <v>N/A</v>
      </c>
      <c r="M285" t="str">
        <f t="shared" si="92"/>
        <v>N/A</v>
      </c>
      <c r="N285" t="str">
        <f t="shared" si="93"/>
        <v>N/A</v>
      </c>
      <c r="P285">
        <f t="shared" si="94"/>
        <v>0</v>
      </c>
      <c r="Q285" t="str">
        <f>IFERROR(J144+MATCH(P285,J285:N285,0)-1,"")</f>
        <v/>
      </c>
      <c r="R285" t="str">
        <f t="shared" si="95"/>
        <v/>
      </c>
      <c r="S285" t="str">
        <f>IFERROR(J144+MATCH(R285,J285:N285,0)-1,"")</f>
        <v/>
      </c>
      <c r="T285" t="str">
        <f t="shared" si="96"/>
        <v/>
      </c>
      <c r="U285" t="str">
        <f t="shared" si="97"/>
        <v/>
      </c>
      <c r="V285" t="str">
        <f t="shared" si="98"/>
        <v/>
      </c>
      <c r="W285" t="str">
        <f t="shared" si="99"/>
        <v/>
      </c>
      <c r="X285" t="str">
        <f t="shared" si="100"/>
        <v/>
      </c>
      <c r="Y285" t="str">
        <f t="shared" si="101"/>
        <v/>
      </c>
      <c r="Z285" t="str">
        <f t="shared" si="102"/>
        <v/>
      </c>
      <c r="AA285">
        <f t="shared" si="103"/>
        <v>0</v>
      </c>
      <c r="AB285" t="str">
        <f>IFERROR(V144+MATCH(AA285,V285:Z285,0)-1,"")</f>
        <v/>
      </c>
      <c r="AC285" t="str">
        <f t="shared" si="104"/>
        <v/>
      </c>
      <c r="AE285" t="str">
        <f>IF(ISNUMBER(MATCH("N/A",J285:N285,0)),"",IFERROR((5 * SUMPRODUCT(J144:N144,J285:N285) - PRODUCT(SUM(J144:N144),SUM(J285:N285))) / ((5 * SUM((J144^2)+(K144^2)+(L144^2)+(M144^2)+(N144^2))) - SUM(J144:N144)^2),""))</f>
        <v/>
      </c>
      <c r="AF285" t="str">
        <f>IFERROR(CORREL(J144:N144,J285:N285),"")</f>
        <v/>
      </c>
      <c r="AZ285">
        <f t="shared" si="105"/>
        <v>0</v>
      </c>
      <c r="BA285" t="str">
        <f>IF(AZ285=1,IF(Q285="","",IF(Q285=N144,"Yes","No")),"")</f>
        <v/>
      </c>
      <c r="BB285" t="str">
        <f t="shared" si="106"/>
        <v/>
      </c>
      <c r="BC285" t="str">
        <f>IF(AZ285=1,IF(S285="","",IF(S285=N144,"Yes","No")),"")</f>
        <v/>
      </c>
      <c r="BD285" t="str">
        <f t="shared" si="107"/>
        <v/>
      </c>
      <c r="BE285" t="str">
        <f t="shared" si="108"/>
        <v/>
      </c>
      <c r="BF285" t="str">
        <f t="shared" si="109"/>
        <v>No</v>
      </c>
      <c r="BG285" t="str">
        <f t="shared" si="110"/>
        <v>No</v>
      </c>
      <c r="BH285" t="str">
        <f t="shared" si="111"/>
        <v/>
      </c>
    </row>
    <row r="286" spans="9:60" x14ac:dyDescent="0.3">
      <c r="I286" t="str">
        <f t="shared" si="88"/>
        <v>N/A</v>
      </c>
      <c r="J286" t="str">
        <f t="shared" si="89"/>
        <v>N/A</v>
      </c>
      <c r="K286" t="str">
        <f t="shared" si="90"/>
        <v>N/A</v>
      </c>
      <c r="L286" t="str">
        <f t="shared" si="91"/>
        <v>N/A</v>
      </c>
      <c r="M286" t="str">
        <f t="shared" si="92"/>
        <v>N/A</v>
      </c>
      <c r="N286" t="str">
        <f t="shared" si="93"/>
        <v>N/A</v>
      </c>
      <c r="P286">
        <f t="shared" si="94"/>
        <v>0</v>
      </c>
      <c r="Q286" t="str">
        <f>IFERROR(J144+MATCH(P286,J286:N286,0)-1,"")</f>
        <v/>
      </c>
      <c r="R286" t="str">
        <f t="shared" si="95"/>
        <v/>
      </c>
      <c r="S286" t="str">
        <f>IFERROR(J144+MATCH(R286,J286:N286,0)-1,"")</f>
        <v/>
      </c>
      <c r="T286" t="str">
        <f t="shared" si="96"/>
        <v/>
      </c>
      <c r="U286" t="str">
        <f t="shared" si="97"/>
        <v/>
      </c>
      <c r="V286" t="str">
        <f t="shared" si="98"/>
        <v/>
      </c>
      <c r="W286" t="str">
        <f t="shared" si="99"/>
        <v/>
      </c>
      <c r="X286" t="str">
        <f t="shared" si="100"/>
        <v/>
      </c>
      <c r="Y286" t="str">
        <f t="shared" si="101"/>
        <v/>
      </c>
      <c r="Z286" t="str">
        <f t="shared" si="102"/>
        <v/>
      </c>
      <c r="AA286">
        <f t="shared" si="103"/>
        <v>0</v>
      </c>
      <c r="AB286" t="str">
        <f>IFERROR(V144+MATCH(AA286,V286:Z286,0)-1,"")</f>
        <v/>
      </c>
      <c r="AC286" t="str">
        <f t="shared" si="104"/>
        <v/>
      </c>
      <c r="AE286" t="str">
        <f>IF(ISNUMBER(MATCH("N/A",J286:N286,0)),"",IFERROR((5 * SUMPRODUCT(J144:N144,J286:N286) - PRODUCT(SUM(J144:N144),SUM(J286:N286))) / ((5 * SUM((J144^2)+(K144^2)+(L144^2)+(M144^2)+(N144^2))) - SUM(J144:N144)^2),""))</f>
        <v/>
      </c>
      <c r="AF286" t="str">
        <f>IFERROR(CORREL(J144:N144,J286:N286),"")</f>
        <v/>
      </c>
      <c r="AZ286">
        <f t="shared" si="105"/>
        <v>0</v>
      </c>
      <c r="BA286" t="str">
        <f>IF(AZ286=1,IF(Q286="","",IF(Q286=N144,"Yes","No")),"")</f>
        <v/>
      </c>
      <c r="BB286" t="str">
        <f t="shared" si="106"/>
        <v/>
      </c>
      <c r="BC286" t="str">
        <f>IF(AZ286=1,IF(S286="","",IF(S286=N144,"Yes","No")),"")</f>
        <v/>
      </c>
      <c r="BD286" t="str">
        <f t="shared" si="107"/>
        <v/>
      </c>
      <c r="BE286" t="str">
        <f t="shared" si="108"/>
        <v/>
      </c>
      <c r="BF286" t="str">
        <f t="shared" si="109"/>
        <v>No</v>
      </c>
      <c r="BG286" t="str">
        <f t="shared" si="110"/>
        <v>No</v>
      </c>
      <c r="BH286" t="str">
        <f t="shared" si="111"/>
        <v/>
      </c>
    </row>
    <row r="287" spans="9:60" x14ac:dyDescent="0.3">
      <c r="I287" t="str">
        <f t="shared" si="88"/>
        <v>N/A</v>
      </c>
      <c r="J287" t="str">
        <f t="shared" si="89"/>
        <v>N/A</v>
      </c>
      <c r="K287" t="str">
        <f t="shared" si="90"/>
        <v>N/A</v>
      </c>
      <c r="L287" t="str">
        <f t="shared" si="91"/>
        <v>N/A</v>
      </c>
      <c r="M287" t="str">
        <f t="shared" si="92"/>
        <v>N/A</v>
      </c>
      <c r="N287" t="str">
        <f t="shared" si="93"/>
        <v>N/A</v>
      </c>
      <c r="P287">
        <f t="shared" si="94"/>
        <v>0</v>
      </c>
      <c r="Q287" t="str">
        <f>IFERROR(J144+MATCH(P287,J287:N287,0)-1,"")</f>
        <v/>
      </c>
      <c r="R287" t="str">
        <f t="shared" si="95"/>
        <v/>
      </c>
      <c r="S287" t="str">
        <f>IFERROR(J144+MATCH(R287,J287:N287,0)-1,"")</f>
        <v/>
      </c>
      <c r="T287" t="str">
        <f t="shared" si="96"/>
        <v/>
      </c>
      <c r="U287" t="str">
        <f t="shared" si="97"/>
        <v/>
      </c>
      <c r="V287" t="str">
        <f t="shared" si="98"/>
        <v/>
      </c>
      <c r="W287" t="str">
        <f t="shared" si="99"/>
        <v/>
      </c>
      <c r="X287" t="str">
        <f t="shared" si="100"/>
        <v/>
      </c>
      <c r="Y287" t="str">
        <f t="shared" si="101"/>
        <v/>
      </c>
      <c r="Z287" t="str">
        <f t="shared" si="102"/>
        <v/>
      </c>
      <c r="AA287">
        <f t="shared" si="103"/>
        <v>0</v>
      </c>
      <c r="AB287" t="str">
        <f>IFERROR(V144+MATCH(AA287,V287:Z287,0)-1,"")</f>
        <v/>
      </c>
      <c r="AC287" t="str">
        <f t="shared" si="104"/>
        <v/>
      </c>
      <c r="AE287" t="str">
        <f>IF(ISNUMBER(MATCH("N/A",J287:N287,0)),"",IFERROR((5 * SUMPRODUCT(J144:N144,J287:N287) - PRODUCT(SUM(J144:N144),SUM(J287:N287))) / ((5 * SUM((J144^2)+(K144^2)+(L144^2)+(M144^2)+(N144^2))) - SUM(J144:N144)^2),""))</f>
        <v/>
      </c>
      <c r="AF287" t="str">
        <f>IFERROR(CORREL(J144:N144,J287:N287),"")</f>
        <v/>
      </c>
      <c r="AZ287">
        <f t="shared" si="105"/>
        <v>0</v>
      </c>
      <c r="BA287" t="str">
        <f>IF(AZ287=1,IF(Q287="","",IF(Q287=N144,"Yes","No")),"")</f>
        <v/>
      </c>
      <c r="BB287" t="str">
        <f t="shared" si="106"/>
        <v/>
      </c>
      <c r="BC287" t="str">
        <f>IF(AZ287=1,IF(S287="","",IF(S287=N144,"Yes","No")),"")</f>
        <v/>
      </c>
      <c r="BD287" t="str">
        <f t="shared" si="107"/>
        <v/>
      </c>
      <c r="BE287" t="str">
        <f t="shared" si="108"/>
        <v/>
      </c>
      <c r="BF287" t="str">
        <f t="shared" si="109"/>
        <v>No</v>
      </c>
      <c r="BG287" t="str">
        <f t="shared" si="110"/>
        <v>No</v>
      </c>
      <c r="BH287" t="str">
        <f t="shared" si="111"/>
        <v/>
      </c>
    </row>
    <row r="288" spans="9:60" x14ac:dyDescent="0.3">
      <c r="I288" t="str">
        <f t="shared" si="88"/>
        <v>N/A</v>
      </c>
      <c r="J288" t="str">
        <f t="shared" si="89"/>
        <v>N/A</v>
      </c>
      <c r="K288" t="str">
        <f t="shared" si="90"/>
        <v>N/A</v>
      </c>
      <c r="L288" t="str">
        <f t="shared" si="91"/>
        <v>N/A</v>
      </c>
      <c r="M288" t="str">
        <f t="shared" si="92"/>
        <v>N/A</v>
      </c>
      <c r="N288" t="str">
        <f t="shared" si="93"/>
        <v>N/A</v>
      </c>
      <c r="P288">
        <f t="shared" si="94"/>
        <v>0</v>
      </c>
      <c r="Q288" t="str">
        <f>IFERROR(J144+MATCH(P288,J288:N288,0)-1,"")</f>
        <v/>
      </c>
      <c r="R288" t="str">
        <f t="shared" si="95"/>
        <v/>
      </c>
      <c r="S288" t="str">
        <f>IFERROR(J144+MATCH(R288,J288:N288,0)-1,"")</f>
        <v/>
      </c>
      <c r="T288" t="str">
        <f t="shared" si="96"/>
        <v/>
      </c>
      <c r="U288" t="str">
        <f t="shared" si="97"/>
        <v/>
      </c>
      <c r="V288" t="str">
        <f t="shared" si="98"/>
        <v/>
      </c>
      <c r="W288" t="str">
        <f t="shared" si="99"/>
        <v/>
      </c>
      <c r="X288" t="str">
        <f t="shared" si="100"/>
        <v/>
      </c>
      <c r="Y288" t="str">
        <f t="shared" si="101"/>
        <v/>
      </c>
      <c r="Z288" t="str">
        <f t="shared" si="102"/>
        <v/>
      </c>
      <c r="AA288">
        <f t="shared" si="103"/>
        <v>0</v>
      </c>
      <c r="AB288" t="str">
        <f>IFERROR(V144+MATCH(AA288,V288:Z288,0)-1,"")</f>
        <v/>
      </c>
      <c r="AC288" t="str">
        <f t="shared" si="104"/>
        <v/>
      </c>
      <c r="AE288" t="str">
        <f>IF(ISNUMBER(MATCH("N/A",J288:N288,0)),"",IFERROR((5 * SUMPRODUCT(J144:N144,J288:N288) - PRODUCT(SUM(J144:N144),SUM(J288:N288))) / ((5 * SUM((J144^2)+(K144^2)+(L144^2)+(M144^2)+(N144^2))) - SUM(J144:N144)^2),""))</f>
        <v/>
      </c>
      <c r="AF288" t="str">
        <f>IFERROR(CORREL(J144:N144,J288:N288),"")</f>
        <v/>
      </c>
      <c r="AZ288">
        <f t="shared" si="105"/>
        <v>0</v>
      </c>
      <c r="BA288" t="str">
        <f>IF(AZ288=1,IF(Q288="","",IF(Q288=N144,"Yes","No")),"")</f>
        <v/>
      </c>
      <c r="BB288" t="str">
        <f t="shared" si="106"/>
        <v/>
      </c>
      <c r="BC288" t="str">
        <f>IF(AZ288=1,IF(S288="","",IF(S288=N144,"Yes","No")),"")</f>
        <v/>
      </c>
      <c r="BD288" t="str">
        <f t="shared" si="107"/>
        <v/>
      </c>
      <c r="BE288" t="str">
        <f t="shared" si="108"/>
        <v/>
      </c>
      <c r="BF288" t="str">
        <f t="shared" si="109"/>
        <v>No</v>
      </c>
      <c r="BG288" t="str">
        <f t="shared" si="110"/>
        <v>No</v>
      </c>
      <c r="BH288" t="str">
        <f t="shared" si="111"/>
        <v/>
      </c>
    </row>
    <row r="289" spans="9:60" x14ac:dyDescent="0.3">
      <c r="I289" t="str">
        <f t="shared" si="88"/>
        <v>N/A</v>
      </c>
      <c r="J289" t="str">
        <f t="shared" si="89"/>
        <v>N/A</v>
      </c>
      <c r="K289" t="str">
        <f t="shared" si="90"/>
        <v>N/A</v>
      </c>
      <c r="L289" t="str">
        <f t="shared" si="91"/>
        <v>N/A</v>
      </c>
      <c r="M289" t="str">
        <f t="shared" si="92"/>
        <v>N/A</v>
      </c>
      <c r="N289" t="str">
        <f t="shared" si="93"/>
        <v>N/A</v>
      </c>
      <c r="P289">
        <f t="shared" si="94"/>
        <v>0</v>
      </c>
      <c r="Q289" t="str">
        <f>IFERROR(J144+MATCH(P289,J289:N289,0)-1,"")</f>
        <v/>
      </c>
      <c r="R289" t="str">
        <f t="shared" si="95"/>
        <v/>
      </c>
      <c r="S289" t="str">
        <f>IFERROR(J144+MATCH(R289,J289:N289,0)-1,"")</f>
        <v/>
      </c>
      <c r="T289" t="str">
        <f t="shared" si="96"/>
        <v/>
      </c>
      <c r="U289" t="str">
        <f t="shared" si="97"/>
        <v/>
      </c>
      <c r="V289" t="str">
        <f t="shared" si="98"/>
        <v/>
      </c>
      <c r="W289" t="str">
        <f t="shared" si="99"/>
        <v/>
      </c>
      <c r="X289" t="str">
        <f t="shared" si="100"/>
        <v/>
      </c>
      <c r="Y289" t="str">
        <f t="shared" si="101"/>
        <v/>
      </c>
      <c r="Z289" t="str">
        <f t="shared" si="102"/>
        <v/>
      </c>
      <c r="AA289">
        <f t="shared" si="103"/>
        <v>0</v>
      </c>
      <c r="AB289" t="str">
        <f>IFERROR(V144+MATCH(AA289,V289:Z289,0)-1,"")</f>
        <v/>
      </c>
      <c r="AC289" t="str">
        <f t="shared" si="104"/>
        <v/>
      </c>
      <c r="AE289" t="str">
        <f>IF(ISNUMBER(MATCH("N/A",J289:N289,0)),"",IFERROR((5 * SUMPRODUCT(J144:N144,J289:N289) - PRODUCT(SUM(J144:N144),SUM(J289:N289))) / ((5 * SUM((J144^2)+(K144^2)+(L144^2)+(M144^2)+(N144^2))) - SUM(J144:N144)^2),""))</f>
        <v/>
      </c>
      <c r="AF289" t="str">
        <f>IFERROR(CORREL(J144:N144,J289:N289),"")</f>
        <v/>
      </c>
      <c r="AZ289">
        <f t="shared" si="105"/>
        <v>0</v>
      </c>
      <c r="BA289" t="str">
        <f>IF(AZ289=1,IF(Q289="","",IF(Q289=N144,"Yes","No")),"")</f>
        <v/>
      </c>
      <c r="BB289" t="str">
        <f t="shared" si="106"/>
        <v/>
      </c>
      <c r="BC289" t="str">
        <f>IF(AZ289=1,IF(S289="","",IF(S289=N144,"Yes","No")),"")</f>
        <v/>
      </c>
      <c r="BD289" t="str">
        <f t="shared" si="107"/>
        <v/>
      </c>
      <c r="BE289" t="str">
        <f t="shared" si="108"/>
        <v/>
      </c>
      <c r="BF289" t="str">
        <f t="shared" si="109"/>
        <v>No</v>
      </c>
      <c r="BG289" t="str">
        <f t="shared" si="110"/>
        <v>No</v>
      </c>
      <c r="BH289" t="str">
        <f t="shared" si="111"/>
        <v/>
      </c>
    </row>
    <row r="290" spans="9:60" x14ac:dyDescent="0.3">
      <c r="I290" t="str">
        <f t="shared" si="88"/>
        <v>N/A</v>
      </c>
      <c r="J290" t="str">
        <f t="shared" si="89"/>
        <v>N/A</v>
      </c>
      <c r="K290" t="str">
        <f t="shared" si="90"/>
        <v>N/A</v>
      </c>
      <c r="L290" t="str">
        <f t="shared" si="91"/>
        <v>N/A</v>
      </c>
      <c r="M290" t="str">
        <f t="shared" si="92"/>
        <v>N/A</v>
      </c>
      <c r="N290" t="str">
        <f t="shared" si="93"/>
        <v>N/A</v>
      </c>
      <c r="P290">
        <f t="shared" si="94"/>
        <v>0</v>
      </c>
      <c r="Q290" t="str">
        <f>IFERROR(J144+MATCH(P290,J290:N290,0)-1,"")</f>
        <v/>
      </c>
      <c r="R290" t="str">
        <f t="shared" si="95"/>
        <v/>
      </c>
      <c r="S290" t="str">
        <f>IFERROR(J144+MATCH(R290,J290:N290,0)-1,"")</f>
        <v/>
      </c>
      <c r="T290" t="str">
        <f t="shared" si="96"/>
        <v/>
      </c>
      <c r="U290" t="str">
        <f t="shared" si="97"/>
        <v/>
      </c>
      <c r="V290" t="str">
        <f t="shared" si="98"/>
        <v/>
      </c>
      <c r="W290" t="str">
        <f t="shared" si="99"/>
        <v/>
      </c>
      <c r="X290" t="str">
        <f t="shared" si="100"/>
        <v/>
      </c>
      <c r="Y290" t="str">
        <f t="shared" si="101"/>
        <v/>
      </c>
      <c r="Z290" t="str">
        <f t="shared" si="102"/>
        <v/>
      </c>
      <c r="AA290">
        <f t="shared" si="103"/>
        <v>0</v>
      </c>
      <c r="AB290" t="str">
        <f>IFERROR(V144+MATCH(AA290,V290:Z290,0)-1,"")</f>
        <v/>
      </c>
      <c r="AC290" t="str">
        <f t="shared" si="104"/>
        <v/>
      </c>
      <c r="AE290" t="str">
        <f>IF(ISNUMBER(MATCH("N/A",J290:N290,0)),"",IFERROR((5 * SUMPRODUCT(J144:N144,J290:N290) - PRODUCT(SUM(J144:N144),SUM(J290:N290))) / ((5 * SUM((J144^2)+(K144^2)+(L144^2)+(M144^2)+(N144^2))) - SUM(J144:N144)^2),""))</f>
        <v/>
      </c>
      <c r="AF290" t="str">
        <f>IFERROR(CORREL(J144:N144,J290:N290),"")</f>
        <v/>
      </c>
      <c r="AZ290">
        <f t="shared" si="105"/>
        <v>0</v>
      </c>
      <c r="BA290" t="str">
        <f>IF(AZ290=1,IF(Q290="","",IF(Q290=N144,"Yes","No")),"")</f>
        <v/>
      </c>
      <c r="BB290" t="str">
        <f t="shared" si="106"/>
        <v/>
      </c>
      <c r="BC290" t="str">
        <f>IF(AZ290=1,IF(S290="","",IF(S290=N144,"Yes","No")),"")</f>
        <v/>
      </c>
      <c r="BD290" t="str">
        <f t="shared" si="107"/>
        <v/>
      </c>
      <c r="BE290" t="str">
        <f t="shared" si="108"/>
        <v/>
      </c>
      <c r="BF290" t="str">
        <f t="shared" si="109"/>
        <v>No</v>
      </c>
      <c r="BG290" t="str">
        <f t="shared" si="110"/>
        <v>No</v>
      </c>
      <c r="BH290" t="str">
        <f t="shared" si="111"/>
        <v/>
      </c>
    </row>
    <row r="291" spans="9:60" x14ac:dyDescent="0.3">
      <c r="I291" t="str">
        <f t="shared" si="88"/>
        <v>N/A</v>
      </c>
      <c r="J291" t="str">
        <f t="shared" si="89"/>
        <v>N/A</v>
      </c>
      <c r="K291" t="str">
        <f t="shared" si="90"/>
        <v>N/A</v>
      </c>
      <c r="L291" t="str">
        <f t="shared" si="91"/>
        <v>N/A</v>
      </c>
      <c r="M291" t="str">
        <f t="shared" si="92"/>
        <v>N/A</v>
      </c>
      <c r="N291" t="str">
        <f t="shared" si="93"/>
        <v>N/A</v>
      </c>
      <c r="P291">
        <f t="shared" si="94"/>
        <v>0</v>
      </c>
      <c r="Q291" t="str">
        <f>IFERROR(J144+MATCH(P291,J291:N291,0)-1,"")</f>
        <v/>
      </c>
      <c r="R291" t="str">
        <f t="shared" si="95"/>
        <v/>
      </c>
      <c r="S291" t="str">
        <f>IFERROR(J144+MATCH(R291,J291:N291,0)-1,"")</f>
        <v/>
      </c>
      <c r="T291" t="str">
        <f t="shared" si="96"/>
        <v/>
      </c>
      <c r="U291" t="str">
        <f t="shared" si="97"/>
        <v/>
      </c>
      <c r="V291" t="str">
        <f t="shared" si="98"/>
        <v/>
      </c>
      <c r="W291" t="str">
        <f t="shared" si="99"/>
        <v/>
      </c>
      <c r="X291" t="str">
        <f t="shared" si="100"/>
        <v/>
      </c>
      <c r="Y291" t="str">
        <f t="shared" si="101"/>
        <v/>
      </c>
      <c r="Z291" t="str">
        <f t="shared" si="102"/>
        <v/>
      </c>
      <c r="AA291">
        <f t="shared" si="103"/>
        <v>0</v>
      </c>
      <c r="AB291" t="str">
        <f>IFERROR(V144+MATCH(AA291,V291:Z291,0)-1,"")</f>
        <v/>
      </c>
      <c r="AC291" t="str">
        <f t="shared" si="104"/>
        <v/>
      </c>
      <c r="AE291" t="str">
        <f>IF(ISNUMBER(MATCH("N/A",J291:N291,0)),"",IFERROR((5 * SUMPRODUCT(J144:N144,J291:N291) - PRODUCT(SUM(J144:N144),SUM(J291:N291))) / ((5 * SUM((J144^2)+(K144^2)+(L144^2)+(M144^2)+(N144^2))) - SUM(J144:N144)^2),""))</f>
        <v/>
      </c>
      <c r="AF291" t="str">
        <f>IFERROR(CORREL(J144:N144,J291:N291),"")</f>
        <v/>
      </c>
      <c r="AZ291">
        <f t="shared" si="105"/>
        <v>0</v>
      </c>
      <c r="BA291" t="str">
        <f>IF(AZ291=1,IF(Q291="","",IF(Q291=N144,"Yes","No")),"")</f>
        <v/>
      </c>
      <c r="BB291" t="str">
        <f t="shared" si="106"/>
        <v/>
      </c>
      <c r="BC291" t="str">
        <f>IF(AZ291=1,IF(S291="","",IF(S291=N144,"Yes","No")),"")</f>
        <v/>
      </c>
      <c r="BD291" t="str">
        <f t="shared" si="107"/>
        <v/>
      </c>
      <c r="BE291" t="str">
        <f t="shared" si="108"/>
        <v/>
      </c>
      <c r="BF291" t="str">
        <f t="shared" si="109"/>
        <v>No</v>
      </c>
      <c r="BG291" t="str">
        <f t="shared" si="110"/>
        <v>No</v>
      </c>
      <c r="BH291" t="str">
        <f t="shared" si="111"/>
        <v/>
      </c>
    </row>
    <row r="292" spans="9:60" x14ac:dyDescent="0.3">
      <c r="I292" t="str">
        <f t="shared" si="88"/>
        <v>N/A</v>
      </c>
      <c r="J292" t="str">
        <f t="shared" si="89"/>
        <v>N/A</v>
      </c>
      <c r="K292" t="str">
        <f t="shared" si="90"/>
        <v>N/A</v>
      </c>
      <c r="L292" t="str">
        <f t="shared" si="91"/>
        <v>N/A</v>
      </c>
      <c r="M292" t="str">
        <f t="shared" si="92"/>
        <v>N/A</v>
      </c>
      <c r="N292" t="str">
        <f t="shared" si="93"/>
        <v>N/A</v>
      </c>
      <c r="P292">
        <f t="shared" si="94"/>
        <v>0</v>
      </c>
      <c r="Q292" t="str">
        <f>IFERROR(J144+MATCH(P292,J292:N292,0)-1,"")</f>
        <v/>
      </c>
      <c r="R292" t="str">
        <f t="shared" si="95"/>
        <v/>
      </c>
      <c r="S292" t="str">
        <f>IFERROR(J144+MATCH(R292,J292:N292,0)-1,"")</f>
        <v/>
      </c>
      <c r="T292" t="str">
        <f t="shared" si="96"/>
        <v/>
      </c>
      <c r="U292" t="str">
        <f t="shared" si="97"/>
        <v/>
      </c>
      <c r="V292" t="str">
        <f t="shared" si="98"/>
        <v/>
      </c>
      <c r="W292" t="str">
        <f t="shared" si="99"/>
        <v/>
      </c>
      <c r="X292" t="str">
        <f t="shared" si="100"/>
        <v/>
      </c>
      <c r="Y292" t="str">
        <f t="shared" si="101"/>
        <v/>
      </c>
      <c r="Z292" t="str">
        <f t="shared" si="102"/>
        <v/>
      </c>
      <c r="AA292">
        <f t="shared" si="103"/>
        <v>0</v>
      </c>
      <c r="AB292" t="str">
        <f>IFERROR(V144+MATCH(AA292,V292:Z292,0)-1,"")</f>
        <v/>
      </c>
      <c r="AC292" t="str">
        <f t="shared" si="104"/>
        <v/>
      </c>
      <c r="AE292" t="str">
        <f>IF(ISNUMBER(MATCH("N/A",J292:N292,0)),"",IFERROR((5 * SUMPRODUCT(J144:N144,J292:N292) - PRODUCT(SUM(J144:N144),SUM(J292:N292))) / ((5 * SUM((J144^2)+(K144^2)+(L144^2)+(M144^2)+(N144^2))) - SUM(J144:N144)^2),""))</f>
        <v/>
      </c>
      <c r="AF292" t="str">
        <f>IFERROR(CORREL(J144:N144,J292:N292),"")</f>
        <v/>
      </c>
      <c r="AZ292">
        <f t="shared" si="105"/>
        <v>0</v>
      </c>
      <c r="BA292" t="str">
        <f>IF(AZ292=1,IF(Q292="","",IF(Q292=N144,"Yes","No")),"")</f>
        <v/>
      </c>
      <c r="BB292" t="str">
        <f t="shared" si="106"/>
        <v/>
      </c>
      <c r="BC292" t="str">
        <f>IF(AZ292=1,IF(S292="","",IF(S292=N144,"Yes","No")),"")</f>
        <v/>
      </c>
      <c r="BD292" t="str">
        <f t="shared" si="107"/>
        <v/>
      </c>
      <c r="BE292" t="str">
        <f t="shared" si="108"/>
        <v/>
      </c>
      <c r="BF292" t="str">
        <f t="shared" si="109"/>
        <v>No</v>
      </c>
      <c r="BG292" t="str">
        <f t="shared" si="110"/>
        <v>No</v>
      </c>
      <c r="BH292" t="str">
        <f t="shared" si="111"/>
        <v/>
      </c>
    </row>
    <row r="293" spans="9:60" x14ac:dyDescent="0.3">
      <c r="I293" t="str">
        <f t="shared" si="88"/>
        <v>N/A</v>
      </c>
      <c r="J293" t="str">
        <f t="shared" si="89"/>
        <v>N/A</v>
      </c>
      <c r="K293" t="str">
        <f t="shared" si="90"/>
        <v>N/A</v>
      </c>
      <c r="L293" t="str">
        <f t="shared" si="91"/>
        <v>N/A</v>
      </c>
      <c r="M293" t="str">
        <f t="shared" si="92"/>
        <v>N/A</v>
      </c>
      <c r="N293" t="str">
        <f t="shared" si="93"/>
        <v>N/A</v>
      </c>
      <c r="P293">
        <f t="shared" si="94"/>
        <v>0</v>
      </c>
      <c r="Q293" t="str">
        <f>IFERROR(J144+MATCH(P293,J293:N293,0)-1,"")</f>
        <v/>
      </c>
      <c r="R293" t="str">
        <f t="shared" si="95"/>
        <v/>
      </c>
      <c r="S293" t="str">
        <f>IFERROR(J144+MATCH(R293,J293:N293,0)-1,"")</f>
        <v/>
      </c>
      <c r="T293" t="str">
        <f t="shared" si="96"/>
        <v/>
      </c>
      <c r="U293" t="str">
        <f t="shared" si="97"/>
        <v/>
      </c>
      <c r="V293" t="str">
        <f t="shared" si="98"/>
        <v/>
      </c>
      <c r="W293" t="str">
        <f t="shared" si="99"/>
        <v/>
      </c>
      <c r="X293" t="str">
        <f t="shared" si="100"/>
        <v/>
      </c>
      <c r="Y293" t="str">
        <f t="shared" si="101"/>
        <v/>
      </c>
      <c r="Z293" t="str">
        <f t="shared" si="102"/>
        <v/>
      </c>
      <c r="AA293">
        <f t="shared" si="103"/>
        <v>0</v>
      </c>
      <c r="AB293" t="str">
        <f>IFERROR(V144+MATCH(AA293,V293:Z293,0)-1,"")</f>
        <v/>
      </c>
      <c r="AC293" t="str">
        <f t="shared" si="104"/>
        <v/>
      </c>
      <c r="AE293" t="str">
        <f>IF(ISNUMBER(MATCH("N/A",J293:N293,0)),"",IFERROR((5 * SUMPRODUCT(J144:N144,J293:N293) - PRODUCT(SUM(J144:N144),SUM(J293:N293))) / ((5 * SUM((J144^2)+(K144^2)+(L144^2)+(M144^2)+(N144^2))) - SUM(J144:N144)^2),""))</f>
        <v/>
      </c>
      <c r="AF293" t="str">
        <f>IFERROR(CORREL(J144:N144,J293:N293),"")</f>
        <v/>
      </c>
      <c r="AZ293">
        <f t="shared" si="105"/>
        <v>0</v>
      </c>
      <c r="BA293" t="str">
        <f>IF(AZ293=1,IF(Q293="","",IF(Q293=N144,"Yes","No")),"")</f>
        <v/>
      </c>
      <c r="BB293" t="str">
        <f t="shared" si="106"/>
        <v/>
      </c>
      <c r="BC293" t="str">
        <f>IF(AZ293=1,IF(S293="","",IF(S293=N144,"Yes","No")),"")</f>
        <v/>
      </c>
      <c r="BD293" t="str">
        <f t="shared" si="107"/>
        <v/>
      </c>
      <c r="BE293" t="str">
        <f t="shared" si="108"/>
        <v/>
      </c>
      <c r="BF293" t="str">
        <f t="shared" si="109"/>
        <v>No</v>
      </c>
      <c r="BG293" t="str">
        <f t="shared" si="110"/>
        <v>No</v>
      </c>
      <c r="BH293" t="str">
        <f t="shared" si="111"/>
        <v/>
      </c>
    </row>
    <row r="294" spans="9:60" x14ac:dyDescent="0.3">
      <c r="I294" t="str">
        <f t="shared" si="88"/>
        <v>N/A</v>
      </c>
      <c r="J294" t="str">
        <f t="shared" si="89"/>
        <v>N/A</v>
      </c>
      <c r="K294" t="str">
        <f t="shared" si="90"/>
        <v>N/A</v>
      </c>
      <c r="L294" t="str">
        <f t="shared" si="91"/>
        <v>N/A</v>
      </c>
      <c r="M294" t="str">
        <f t="shared" si="92"/>
        <v>N/A</v>
      </c>
      <c r="N294" t="str">
        <f t="shared" si="93"/>
        <v>N/A</v>
      </c>
      <c r="P294">
        <f t="shared" si="94"/>
        <v>0</v>
      </c>
      <c r="Q294" t="str">
        <f>IFERROR(J144+MATCH(P294,J294:N294,0)-1,"")</f>
        <v/>
      </c>
      <c r="R294" t="str">
        <f t="shared" si="95"/>
        <v/>
      </c>
      <c r="S294" t="str">
        <f>IFERROR(J144+MATCH(R294,J294:N294,0)-1,"")</f>
        <v/>
      </c>
      <c r="T294" t="str">
        <f t="shared" si="96"/>
        <v/>
      </c>
      <c r="U294" t="str">
        <f t="shared" si="97"/>
        <v/>
      </c>
      <c r="V294" t="str">
        <f t="shared" si="98"/>
        <v/>
      </c>
      <c r="W294" t="str">
        <f t="shared" si="99"/>
        <v/>
      </c>
      <c r="X294" t="str">
        <f t="shared" si="100"/>
        <v/>
      </c>
      <c r="Y294" t="str">
        <f t="shared" si="101"/>
        <v/>
      </c>
      <c r="Z294" t="str">
        <f t="shared" si="102"/>
        <v/>
      </c>
      <c r="AA294">
        <f t="shared" si="103"/>
        <v>0</v>
      </c>
      <c r="AB294" t="str">
        <f>IFERROR(V144+MATCH(AA294,V294:Z294,0)-1,"")</f>
        <v/>
      </c>
      <c r="AC294" t="str">
        <f t="shared" si="104"/>
        <v/>
      </c>
      <c r="AE294" t="str">
        <f>IF(ISNUMBER(MATCH("N/A",J294:N294,0)),"",IFERROR((5 * SUMPRODUCT(J144:N144,J294:N294) - PRODUCT(SUM(J144:N144),SUM(J294:N294))) / ((5 * SUM((J144^2)+(K144^2)+(L144^2)+(M144^2)+(N144^2))) - SUM(J144:N144)^2),""))</f>
        <v/>
      </c>
      <c r="AF294" t="str">
        <f>IFERROR(CORREL(J144:N144,J294:N294),"")</f>
        <v/>
      </c>
      <c r="AZ294">
        <f t="shared" si="105"/>
        <v>0</v>
      </c>
      <c r="BA294" t="str">
        <f>IF(AZ294=1,IF(Q294="","",IF(Q294=N144,"Yes","No")),"")</f>
        <v/>
      </c>
      <c r="BB294" t="str">
        <f t="shared" si="106"/>
        <v/>
      </c>
      <c r="BC294" t="str">
        <f>IF(AZ294=1,IF(S294="","",IF(S294=N144,"Yes","No")),"")</f>
        <v/>
      </c>
      <c r="BD294" t="str">
        <f t="shared" si="107"/>
        <v/>
      </c>
      <c r="BE294" t="str">
        <f t="shared" si="108"/>
        <v/>
      </c>
      <c r="BF294" t="str">
        <f t="shared" si="109"/>
        <v>No</v>
      </c>
      <c r="BG294" t="str">
        <f t="shared" si="110"/>
        <v>No</v>
      </c>
      <c r="BH294" t="str">
        <f t="shared" si="111"/>
        <v/>
      </c>
    </row>
    <row r="295" spans="9:60" x14ac:dyDescent="0.3">
      <c r="I295" t="str">
        <f t="shared" si="88"/>
        <v>N/A</v>
      </c>
      <c r="J295" t="str">
        <f t="shared" si="89"/>
        <v>N/A</v>
      </c>
      <c r="K295" t="str">
        <f t="shared" si="90"/>
        <v>N/A</v>
      </c>
      <c r="L295" t="str">
        <f t="shared" si="91"/>
        <v>N/A</v>
      </c>
      <c r="M295" t="str">
        <f t="shared" si="92"/>
        <v>N/A</v>
      </c>
      <c r="N295" t="str">
        <f t="shared" si="93"/>
        <v>N/A</v>
      </c>
      <c r="P295">
        <f t="shared" si="94"/>
        <v>0</v>
      </c>
      <c r="Q295" t="str">
        <f>IFERROR(J144+MATCH(P295,J295:N295,0)-1,"")</f>
        <v/>
      </c>
      <c r="R295" t="str">
        <f t="shared" si="95"/>
        <v/>
      </c>
      <c r="S295" t="str">
        <f>IFERROR(J144+MATCH(R295,J295:N295,0)-1,"")</f>
        <v/>
      </c>
      <c r="T295" t="str">
        <f t="shared" si="96"/>
        <v/>
      </c>
      <c r="U295" t="str">
        <f t="shared" si="97"/>
        <v/>
      </c>
      <c r="V295" t="str">
        <f t="shared" si="98"/>
        <v/>
      </c>
      <c r="W295" t="str">
        <f t="shared" si="99"/>
        <v/>
      </c>
      <c r="X295" t="str">
        <f t="shared" si="100"/>
        <v/>
      </c>
      <c r="Y295" t="str">
        <f t="shared" si="101"/>
        <v/>
      </c>
      <c r="Z295" t="str">
        <f t="shared" si="102"/>
        <v/>
      </c>
      <c r="AA295">
        <f t="shared" si="103"/>
        <v>0</v>
      </c>
      <c r="AB295" t="str">
        <f>IFERROR(V144+MATCH(AA295,V295:Z295,0)-1,"")</f>
        <v/>
      </c>
      <c r="AC295" t="str">
        <f t="shared" si="104"/>
        <v/>
      </c>
      <c r="AE295" t="str">
        <f>IF(ISNUMBER(MATCH("N/A",J295:N295,0)),"",IFERROR((5 * SUMPRODUCT(J144:N144,J295:N295) - PRODUCT(SUM(J144:N144),SUM(J295:N295))) / ((5 * SUM((J144^2)+(K144^2)+(L144^2)+(M144^2)+(N144^2))) - SUM(J144:N144)^2),""))</f>
        <v/>
      </c>
      <c r="AF295" t="str">
        <f>IFERROR(CORREL(J144:N144,J295:N295),"")</f>
        <v/>
      </c>
      <c r="AZ295">
        <f t="shared" si="105"/>
        <v>0</v>
      </c>
      <c r="BA295" t="str">
        <f>IF(AZ295=1,IF(Q295="","",IF(Q295=N144,"Yes","No")),"")</f>
        <v/>
      </c>
      <c r="BB295" t="str">
        <f t="shared" si="106"/>
        <v/>
      </c>
      <c r="BC295" t="str">
        <f>IF(AZ295=1,IF(S295="","",IF(S295=N144,"Yes","No")),"")</f>
        <v/>
      </c>
      <c r="BD295" t="str">
        <f t="shared" si="107"/>
        <v/>
      </c>
      <c r="BE295" t="str">
        <f t="shared" si="108"/>
        <v/>
      </c>
      <c r="BF295" t="str">
        <f t="shared" si="109"/>
        <v>No</v>
      </c>
      <c r="BG295" t="str">
        <f t="shared" si="110"/>
        <v>No</v>
      </c>
      <c r="BH295" t="str">
        <f t="shared" si="111"/>
        <v/>
      </c>
    </row>
    <row r="296" spans="9:60" x14ac:dyDescent="0.3">
      <c r="I296" t="str">
        <f t="shared" si="88"/>
        <v>N/A</v>
      </c>
      <c r="J296" t="str">
        <f t="shared" si="89"/>
        <v>N/A</v>
      </c>
      <c r="K296" t="str">
        <f t="shared" si="90"/>
        <v>N/A</v>
      </c>
      <c r="L296" t="str">
        <f t="shared" si="91"/>
        <v>N/A</v>
      </c>
      <c r="M296" t="str">
        <f t="shared" si="92"/>
        <v>N/A</v>
      </c>
      <c r="N296" t="str">
        <f t="shared" si="93"/>
        <v>N/A</v>
      </c>
      <c r="P296">
        <f t="shared" si="94"/>
        <v>0</v>
      </c>
      <c r="Q296" t="str">
        <f>IFERROR(J144+MATCH(P296,J296:N296,0)-1,"")</f>
        <v/>
      </c>
      <c r="R296" t="str">
        <f t="shared" si="95"/>
        <v/>
      </c>
      <c r="S296" t="str">
        <f>IFERROR(J144+MATCH(R296,J296:N296,0)-1,"")</f>
        <v/>
      </c>
      <c r="T296" t="str">
        <f t="shared" si="96"/>
        <v/>
      </c>
      <c r="U296" t="str">
        <f t="shared" si="97"/>
        <v/>
      </c>
      <c r="V296" t="str">
        <f t="shared" si="98"/>
        <v/>
      </c>
      <c r="W296" t="str">
        <f t="shared" si="99"/>
        <v/>
      </c>
      <c r="X296" t="str">
        <f t="shared" si="100"/>
        <v/>
      </c>
      <c r="Y296" t="str">
        <f t="shared" si="101"/>
        <v/>
      </c>
      <c r="Z296" t="str">
        <f t="shared" si="102"/>
        <v/>
      </c>
      <c r="AA296">
        <f t="shared" si="103"/>
        <v>0</v>
      </c>
      <c r="AB296" t="str">
        <f>IFERROR(V144+MATCH(AA296,V296:Z296,0)-1,"")</f>
        <v/>
      </c>
      <c r="AC296" t="str">
        <f t="shared" si="104"/>
        <v/>
      </c>
      <c r="AE296" t="str">
        <f>IF(ISNUMBER(MATCH("N/A",J296:N296,0)),"",IFERROR((5 * SUMPRODUCT(J144:N144,J296:N296) - PRODUCT(SUM(J144:N144),SUM(J296:N296))) / ((5 * SUM((J144^2)+(K144^2)+(L144^2)+(M144^2)+(N144^2))) - SUM(J144:N144)^2),""))</f>
        <v/>
      </c>
      <c r="AF296" t="str">
        <f>IFERROR(CORREL(J144:N144,J296:N296),"")</f>
        <v/>
      </c>
      <c r="AZ296">
        <f t="shared" si="105"/>
        <v>0</v>
      </c>
      <c r="BA296" t="str">
        <f>IF(AZ296=1,IF(Q296="","",IF(Q296=N144,"Yes","No")),"")</f>
        <v/>
      </c>
      <c r="BB296" t="str">
        <f t="shared" si="106"/>
        <v/>
      </c>
      <c r="BC296" t="str">
        <f>IF(AZ296=1,IF(S296="","",IF(S296=N144,"Yes","No")),"")</f>
        <v/>
      </c>
      <c r="BD296" t="str">
        <f t="shared" si="107"/>
        <v/>
      </c>
      <c r="BE296" t="str">
        <f t="shared" si="108"/>
        <v/>
      </c>
      <c r="BF296" t="str">
        <f t="shared" si="109"/>
        <v>No</v>
      </c>
      <c r="BG296" t="str">
        <f t="shared" si="110"/>
        <v>No</v>
      </c>
      <c r="BH296" t="str">
        <f t="shared" si="111"/>
        <v/>
      </c>
    </row>
    <row r="297" spans="9:60" x14ac:dyDescent="0.3">
      <c r="I297" t="str">
        <f t="shared" si="88"/>
        <v>N/A</v>
      </c>
      <c r="J297" t="str">
        <f t="shared" si="89"/>
        <v>N/A</v>
      </c>
      <c r="K297" t="str">
        <f t="shared" si="90"/>
        <v>N/A</v>
      </c>
      <c r="L297" t="str">
        <f t="shared" si="91"/>
        <v>N/A</v>
      </c>
      <c r="M297" t="str">
        <f t="shared" si="92"/>
        <v>N/A</v>
      </c>
      <c r="N297" t="str">
        <f t="shared" si="93"/>
        <v>N/A</v>
      </c>
      <c r="P297">
        <f t="shared" si="94"/>
        <v>0</v>
      </c>
      <c r="Q297" t="str">
        <f>IFERROR(J144+MATCH(P297,J297:N297,0)-1,"")</f>
        <v/>
      </c>
      <c r="R297" t="str">
        <f t="shared" si="95"/>
        <v/>
      </c>
      <c r="S297" t="str">
        <f>IFERROR(J144+MATCH(R297,J297:N297,0)-1,"")</f>
        <v/>
      </c>
      <c r="T297" t="str">
        <f t="shared" si="96"/>
        <v/>
      </c>
      <c r="U297" t="str">
        <f t="shared" si="97"/>
        <v/>
      </c>
      <c r="V297" t="str">
        <f t="shared" si="98"/>
        <v/>
      </c>
      <c r="W297" t="str">
        <f t="shared" si="99"/>
        <v/>
      </c>
      <c r="X297" t="str">
        <f t="shared" si="100"/>
        <v/>
      </c>
      <c r="Y297" t="str">
        <f t="shared" si="101"/>
        <v/>
      </c>
      <c r="Z297" t="str">
        <f t="shared" si="102"/>
        <v/>
      </c>
      <c r="AA297">
        <f t="shared" si="103"/>
        <v>0</v>
      </c>
      <c r="AB297" t="str">
        <f>IFERROR(V144+MATCH(AA297,V297:Z297,0)-1,"")</f>
        <v/>
      </c>
      <c r="AC297" t="str">
        <f t="shared" si="104"/>
        <v/>
      </c>
      <c r="AE297" t="str">
        <f>IF(ISNUMBER(MATCH("N/A",J297:N297,0)),"",IFERROR((5 * SUMPRODUCT(J144:N144,J297:N297) - PRODUCT(SUM(J144:N144),SUM(J297:N297))) / ((5 * SUM((J144^2)+(K144^2)+(L144^2)+(M144^2)+(N144^2))) - SUM(J144:N144)^2),""))</f>
        <v/>
      </c>
      <c r="AF297" t="str">
        <f>IFERROR(CORREL(J144:N144,J297:N297),"")</f>
        <v/>
      </c>
      <c r="AZ297">
        <f t="shared" si="105"/>
        <v>0</v>
      </c>
      <c r="BA297" t="str">
        <f>IF(AZ297=1,IF(Q297="","",IF(Q297=N144,"Yes","No")),"")</f>
        <v/>
      </c>
      <c r="BB297" t="str">
        <f t="shared" si="106"/>
        <v/>
      </c>
      <c r="BC297" t="str">
        <f>IF(AZ297=1,IF(S297="","",IF(S297=N144,"Yes","No")),"")</f>
        <v/>
      </c>
      <c r="BD297" t="str">
        <f t="shared" si="107"/>
        <v/>
      </c>
      <c r="BE297" t="str">
        <f t="shared" si="108"/>
        <v/>
      </c>
      <c r="BF297" t="str">
        <f t="shared" si="109"/>
        <v>No</v>
      </c>
      <c r="BG297" t="str">
        <f t="shared" si="110"/>
        <v>No</v>
      </c>
      <c r="BH297" t="str">
        <f t="shared" si="111"/>
        <v/>
      </c>
    </row>
    <row r="298" spans="9:60" x14ac:dyDescent="0.3">
      <c r="I298" t="str">
        <f t="shared" si="88"/>
        <v>N/A</v>
      </c>
      <c r="J298" t="str">
        <f t="shared" si="89"/>
        <v>N/A</v>
      </c>
      <c r="K298" t="str">
        <f t="shared" si="90"/>
        <v>N/A</v>
      </c>
      <c r="L298" t="str">
        <f t="shared" si="91"/>
        <v>N/A</v>
      </c>
      <c r="M298" t="str">
        <f t="shared" si="92"/>
        <v>N/A</v>
      </c>
      <c r="N298" t="str">
        <f t="shared" si="93"/>
        <v>N/A</v>
      </c>
      <c r="P298">
        <f t="shared" si="94"/>
        <v>0</v>
      </c>
      <c r="Q298" t="str">
        <f>IFERROR(J144+MATCH(P298,J298:N298,0)-1,"")</f>
        <v/>
      </c>
      <c r="R298" t="str">
        <f t="shared" si="95"/>
        <v/>
      </c>
      <c r="S298" t="str">
        <f>IFERROR(J144+MATCH(R298,J298:N298,0)-1,"")</f>
        <v/>
      </c>
      <c r="T298" t="str">
        <f t="shared" si="96"/>
        <v/>
      </c>
      <c r="U298" t="str">
        <f t="shared" si="97"/>
        <v/>
      </c>
      <c r="V298" t="str">
        <f t="shared" si="98"/>
        <v/>
      </c>
      <c r="W298" t="str">
        <f t="shared" si="99"/>
        <v/>
      </c>
      <c r="X298" t="str">
        <f t="shared" si="100"/>
        <v/>
      </c>
      <c r="Y298" t="str">
        <f t="shared" si="101"/>
        <v/>
      </c>
      <c r="Z298" t="str">
        <f t="shared" si="102"/>
        <v/>
      </c>
      <c r="AA298">
        <f t="shared" si="103"/>
        <v>0</v>
      </c>
      <c r="AB298" t="str">
        <f>IFERROR(V144+MATCH(AA298,V298:Z298,0)-1,"")</f>
        <v/>
      </c>
      <c r="AC298" t="str">
        <f t="shared" si="104"/>
        <v/>
      </c>
      <c r="AE298" t="str">
        <f>IF(ISNUMBER(MATCH("N/A",J298:N298,0)),"",IFERROR((5 * SUMPRODUCT(J144:N144,J298:N298) - PRODUCT(SUM(J144:N144),SUM(J298:N298))) / ((5 * SUM((J144^2)+(K144^2)+(L144^2)+(M144^2)+(N144^2))) - SUM(J144:N144)^2),""))</f>
        <v/>
      </c>
      <c r="AF298" t="str">
        <f>IFERROR(CORREL(J144:N144,J298:N298),"")</f>
        <v/>
      </c>
      <c r="AZ298">
        <f t="shared" si="105"/>
        <v>0</v>
      </c>
      <c r="BA298" t="str">
        <f>IF(AZ298=1,IF(Q298="","",IF(Q298=N144,"Yes","No")),"")</f>
        <v/>
      </c>
      <c r="BB298" t="str">
        <f t="shared" si="106"/>
        <v/>
      </c>
      <c r="BC298" t="str">
        <f>IF(AZ298=1,IF(S298="","",IF(S298=N144,"Yes","No")),"")</f>
        <v/>
      </c>
      <c r="BD298" t="str">
        <f t="shared" si="107"/>
        <v/>
      </c>
      <c r="BE298" t="str">
        <f t="shared" si="108"/>
        <v/>
      </c>
      <c r="BF298" t="str">
        <f t="shared" si="109"/>
        <v>No</v>
      </c>
      <c r="BG298" t="str">
        <f t="shared" si="110"/>
        <v>No</v>
      </c>
      <c r="BH298" t="str">
        <f t="shared" si="111"/>
        <v/>
      </c>
    </row>
    <row r="299" spans="9:60" x14ac:dyDescent="0.3">
      <c r="I299" t="str">
        <f t="shared" si="88"/>
        <v>N/A</v>
      </c>
      <c r="J299" t="str">
        <f t="shared" si="89"/>
        <v>N/A</v>
      </c>
      <c r="K299" t="str">
        <f t="shared" si="90"/>
        <v>N/A</v>
      </c>
      <c r="L299" t="str">
        <f t="shared" si="91"/>
        <v>N/A</v>
      </c>
      <c r="M299" t="str">
        <f t="shared" si="92"/>
        <v>N/A</v>
      </c>
      <c r="N299" t="str">
        <f t="shared" si="93"/>
        <v>N/A</v>
      </c>
      <c r="P299">
        <f t="shared" si="94"/>
        <v>0</v>
      </c>
      <c r="Q299" t="str">
        <f>IFERROR(J144+MATCH(P299,J299:N299,0)-1,"")</f>
        <v/>
      </c>
      <c r="R299" t="str">
        <f t="shared" si="95"/>
        <v/>
      </c>
      <c r="S299" t="str">
        <f>IFERROR(J144+MATCH(R299,J299:N299,0)-1,"")</f>
        <v/>
      </c>
      <c r="T299" t="str">
        <f t="shared" si="96"/>
        <v/>
      </c>
      <c r="U299" t="str">
        <f t="shared" si="97"/>
        <v/>
      </c>
      <c r="V299" t="str">
        <f t="shared" si="98"/>
        <v/>
      </c>
      <c r="W299" t="str">
        <f t="shared" si="99"/>
        <v/>
      </c>
      <c r="X299" t="str">
        <f t="shared" si="100"/>
        <v/>
      </c>
      <c r="Y299" t="str">
        <f t="shared" si="101"/>
        <v/>
      </c>
      <c r="Z299" t="str">
        <f t="shared" si="102"/>
        <v/>
      </c>
      <c r="AA299">
        <f t="shared" si="103"/>
        <v>0</v>
      </c>
      <c r="AB299" t="str">
        <f>IFERROR(V144+MATCH(AA299,V299:Z299,0)-1,"")</f>
        <v/>
      </c>
      <c r="AC299" t="str">
        <f t="shared" si="104"/>
        <v/>
      </c>
      <c r="AE299" t="str">
        <f>IF(ISNUMBER(MATCH("N/A",J299:N299,0)),"",IFERROR((5 * SUMPRODUCT(J144:N144,J299:N299) - PRODUCT(SUM(J144:N144),SUM(J299:N299))) / ((5 * SUM((J144^2)+(K144^2)+(L144^2)+(M144^2)+(N144^2))) - SUM(J144:N144)^2),""))</f>
        <v/>
      </c>
      <c r="AF299" t="str">
        <f>IFERROR(CORREL(J144:N144,J299:N299),"")</f>
        <v/>
      </c>
      <c r="AZ299">
        <f t="shared" si="105"/>
        <v>0</v>
      </c>
      <c r="BA299" t="str">
        <f>IF(AZ299=1,IF(Q299="","",IF(Q299=N144,"Yes","No")),"")</f>
        <v/>
      </c>
      <c r="BB299" t="str">
        <f t="shared" si="106"/>
        <v/>
      </c>
      <c r="BC299" t="str">
        <f>IF(AZ299=1,IF(S299="","",IF(S299=N144,"Yes","No")),"")</f>
        <v/>
      </c>
      <c r="BD299" t="str">
        <f t="shared" si="107"/>
        <v/>
      </c>
      <c r="BE299" t="str">
        <f t="shared" si="108"/>
        <v/>
      </c>
      <c r="BF299" t="str">
        <f t="shared" si="109"/>
        <v>No</v>
      </c>
      <c r="BG299" t="str">
        <f t="shared" si="110"/>
        <v>No</v>
      </c>
      <c r="BH299" t="str">
        <f t="shared" si="111"/>
        <v/>
      </c>
    </row>
    <row r="300" spans="9:60" x14ac:dyDescent="0.3">
      <c r="I300" t="str">
        <f t="shared" si="88"/>
        <v>N/A</v>
      </c>
      <c r="J300" t="str">
        <f t="shared" si="89"/>
        <v>N/A</v>
      </c>
      <c r="K300" t="str">
        <f t="shared" si="90"/>
        <v>N/A</v>
      </c>
      <c r="L300" t="str">
        <f t="shared" si="91"/>
        <v>N/A</v>
      </c>
      <c r="M300" t="str">
        <f t="shared" si="92"/>
        <v>N/A</v>
      </c>
      <c r="N300" t="str">
        <f t="shared" si="93"/>
        <v>N/A</v>
      </c>
      <c r="P300">
        <f t="shared" si="94"/>
        <v>0</v>
      </c>
      <c r="Q300" t="str">
        <f>IFERROR(J144+MATCH(P300,J300:N300,0)-1,"")</f>
        <v/>
      </c>
      <c r="R300" t="str">
        <f t="shared" si="95"/>
        <v/>
      </c>
      <c r="S300" t="str">
        <f>IFERROR(J144+MATCH(R300,J300:N300,0)-1,"")</f>
        <v/>
      </c>
      <c r="T300" t="str">
        <f t="shared" si="96"/>
        <v/>
      </c>
      <c r="U300" t="str">
        <f t="shared" si="97"/>
        <v/>
      </c>
      <c r="V300" t="str">
        <f t="shared" si="98"/>
        <v/>
      </c>
      <c r="W300" t="str">
        <f t="shared" si="99"/>
        <v/>
      </c>
      <c r="X300" t="str">
        <f t="shared" si="100"/>
        <v/>
      </c>
      <c r="Y300" t="str">
        <f t="shared" si="101"/>
        <v/>
      </c>
      <c r="Z300" t="str">
        <f t="shared" si="102"/>
        <v/>
      </c>
      <c r="AA300">
        <f t="shared" si="103"/>
        <v>0</v>
      </c>
      <c r="AB300" t="str">
        <f>IFERROR(V144+MATCH(AA300,V300:Z300,0)-1,"")</f>
        <v/>
      </c>
      <c r="AC300" t="str">
        <f t="shared" si="104"/>
        <v/>
      </c>
      <c r="AE300" t="str">
        <f>IF(ISNUMBER(MATCH("N/A",J300:N300,0)),"",IFERROR((5 * SUMPRODUCT(J144:N144,J300:N300) - PRODUCT(SUM(J144:N144),SUM(J300:N300))) / ((5 * SUM((J144^2)+(K144^2)+(L144^2)+(M144^2)+(N144^2))) - SUM(J144:N144)^2),""))</f>
        <v/>
      </c>
      <c r="AF300" t="str">
        <f>IFERROR(CORREL(J144:N144,J300:N300),"")</f>
        <v/>
      </c>
      <c r="AZ300">
        <f t="shared" si="105"/>
        <v>0</v>
      </c>
      <c r="BA300" t="str">
        <f>IF(AZ300=1,IF(Q300="","",IF(Q300=N144,"Yes","No")),"")</f>
        <v/>
      </c>
      <c r="BB300" t="str">
        <f t="shared" si="106"/>
        <v/>
      </c>
      <c r="BC300" t="str">
        <f>IF(AZ300=1,IF(S300="","",IF(S300=N144,"Yes","No")),"")</f>
        <v/>
      </c>
      <c r="BD300" t="str">
        <f t="shared" si="107"/>
        <v/>
      </c>
      <c r="BE300" t="str">
        <f t="shared" si="108"/>
        <v/>
      </c>
      <c r="BF300" t="str">
        <f t="shared" si="109"/>
        <v>No</v>
      </c>
      <c r="BG300" t="str">
        <f t="shared" si="110"/>
        <v>No</v>
      </c>
      <c r="BH300" t="str">
        <f t="shared" si="111"/>
        <v/>
      </c>
    </row>
    <row r="301" spans="9:60" x14ac:dyDescent="0.3">
      <c r="I301" t="str">
        <f t="shared" si="88"/>
        <v>N/A</v>
      </c>
      <c r="J301" t="str">
        <f t="shared" si="89"/>
        <v>N/A</v>
      </c>
      <c r="K301" t="str">
        <f t="shared" si="90"/>
        <v>N/A</v>
      </c>
      <c r="L301" t="str">
        <f t="shared" si="91"/>
        <v>N/A</v>
      </c>
      <c r="M301" t="str">
        <f t="shared" si="92"/>
        <v>N/A</v>
      </c>
      <c r="N301" t="str">
        <f t="shared" si="93"/>
        <v>N/A</v>
      </c>
      <c r="P301">
        <f t="shared" si="94"/>
        <v>0</v>
      </c>
      <c r="Q301" t="str">
        <f>IFERROR(J144+MATCH(P301,J301:N301,0)-1,"")</f>
        <v/>
      </c>
      <c r="R301" t="str">
        <f t="shared" si="95"/>
        <v/>
      </c>
      <c r="S301" t="str">
        <f>IFERROR(J144+MATCH(R301,J301:N301,0)-1,"")</f>
        <v/>
      </c>
      <c r="T301" t="str">
        <f t="shared" si="96"/>
        <v/>
      </c>
      <c r="U301" t="str">
        <f t="shared" si="97"/>
        <v/>
      </c>
      <c r="V301" t="str">
        <f t="shared" si="98"/>
        <v/>
      </c>
      <c r="W301" t="str">
        <f t="shared" si="99"/>
        <v/>
      </c>
      <c r="X301" t="str">
        <f t="shared" si="100"/>
        <v/>
      </c>
      <c r="Y301" t="str">
        <f t="shared" si="101"/>
        <v/>
      </c>
      <c r="Z301" t="str">
        <f t="shared" si="102"/>
        <v/>
      </c>
      <c r="AA301">
        <f t="shared" si="103"/>
        <v>0</v>
      </c>
      <c r="AB301" t="str">
        <f>IFERROR(V144+MATCH(AA301,V301:Z301,0)-1,"")</f>
        <v/>
      </c>
      <c r="AC301" t="str">
        <f t="shared" si="104"/>
        <v/>
      </c>
      <c r="AE301" t="str">
        <f>IF(ISNUMBER(MATCH("N/A",J301:N301,0)),"",IFERROR((5 * SUMPRODUCT(J144:N144,J301:N301) - PRODUCT(SUM(J144:N144),SUM(J301:N301))) / ((5 * SUM((J144^2)+(K144^2)+(L144^2)+(M144^2)+(N144^2))) - SUM(J144:N144)^2),""))</f>
        <v/>
      </c>
      <c r="AF301" t="str">
        <f>IFERROR(CORREL(J144:N144,J301:N301),"")</f>
        <v/>
      </c>
      <c r="AZ301">
        <f t="shared" si="105"/>
        <v>0</v>
      </c>
      <c r="BA301" t="str">
        <f>IF(AZ301=1,IF(Q301="","",IF(Q301=N144,"Yes","No")),"")</f>
        <v/>
      </c>
      <c r="BB301" t="str">
        <f t="shared" si="106"/>
        <v/>
      </c>
      <c r="BC301" t="str">
        <f>IF(AZ301=1,IF(S301="","",IF(S301=N144,"Yes","No")),"")</f>
        <v/>
      </c>
      <c r="BD301" t="str">
        <f t="shared" si="107"/>
        <v/>
      </c>
      <c r="BE301" t="str">
        <f t="shared" si="108"/>
        <v/>
      </c>
      <c r="BF301" t="str">
        <f t="shared" si="109"/>
        <v>No</v>
      </c>
      <c r="BG301" t="str">
        <f t="shared" si="110"/>
        <v>No</v>
      </c>
      <c r="BH301" t="str">
        <f t="shared" si="111"/>
        <v/>
      </c>
    </row>
    <row r="302" spans="9:60" x14ac:dyDescent="0.3">
      <c r="I302" t="str">
        <f t="shared" si="88"/>
        <v>N/A</v>
      </c>
      <c r="J302" t="str">
        <f t="shared" si="89"/>
        <v>N/A</v>
      </c>
      <c r="K302" t="str">
        <f t="shared" si="90"/>
        <v>N/A</v>
      </c>
      <c r="L302" t="str">
        <f t="shared" si="91"/>
        <v>N/A</v>
      </c>
      <c r="M302" t="str">
        <f t="shared" si="92"/>
        <v>N/A</v>
      </c>
      <c r="N302" t="str">
        <f t="shared" si="93"/>
        <v>N/A</v>
      </c>
      <c r="P302">
        <f t="shared" si="94"/>
        <v>0</v>
      </c>
      <c r="Q302" t="str">
        <f>IFERROR(J144+MATCH(P302,J302:N302,0)-1,"")</f>
        <v/>
      </c>
      <c r="R302" t="str">
        <f t="shared" si="95"/>
        <v/>
      </c>
      <c r="S302" t="str">
        <f>IFERROR(J144+MATCH(R302,J302:N302,0)-1,"")</f>
        <v/>
      </c>
      <c r="T302" t="str">
        <f t="shared" si="96"/>
        <v/>
      </c>
      <c r="U302" t="str">
        <f t="shared" si="97"/>
        <v/>
      </c>
      <c r="V302" t="str">
        <f t="shared" si="98"/>
        <v/>
      </c>
      <c r="W302" t="str">
        <f t="shared" si="99"/>
        <v/>
      </c>
      <c r="X302" t="str">
        <f t="shared" si="100"/>
        <v/>
      </c>
      <c r="Y302" t="str">
        <f t="shared" si="101"/>
        <v/>
      </c>
      <c r="Z302" t="str">
        <f t="shared" si="102"/>
        <v/>
      </c>
      <c r="AA302">
        <f t="shared" si="103"/>
        <v>0</v>
      </c>
      <c r="AB302" t="str">
        <f>IFERROR(V144+MATCH(AA302,V302:Z302,0)-1,"")</f>
        <v/>
      </c>
      <c r="AC302" t="str">
        <f t="shared" si="104"/>
        <v/>
      </c>
      <c r="AE302" t="str">
        <f>IF(ISNUMBER(MATCH("N/A",J302:N302,0)),"",IFERROR((5 * SUMPRODUCT(J144:N144,J302:N302) - PRODUCT(SUM(J144:N144),SUM(J302:N302))) / ((5 * SUM((J144^2)+(K144^2)+(L144^2)+(M144^2)+(N144^2))) - SUM(J144:N144)^2),""))</f>
        <v/>
      </c>
      <c r="AF302" t="str">
        <f>IFERROR(CORREL(J144:N144,J302:N302),"")</f>
        <v/>
      </c>
      <c r="AZ302">
        <f t="shared" si="105"/>
        <v>0</v>
      </c>
      <c r="BA302" t="str">
        <f>IF(AZ302=1,IF(Q302="","",IF(Q302=N144,"Yes","No")),"")</f>
        <v/>
      </c>
      <c r="BB302" t="str">
        <f t="shared" si="106"/>
        <v/>
      </c>
      <c r="BC302" t="str">
        <f>IF(AZ302=1,IF(S302="","",IF(S302=N144,"Yes","No")),"")</f>
        <v/>
      </c>
      <c r="BD302" t="str">
        <f t="shared" si="107"/>
        <v/>
      </c>
      <c r="BE302" t="str">
        <f t="shared" si="108"/>
        <v/>
      </c>
      <c r="BF302" t="str">
        <f t="shared" si="109"/>
        <v>No</v>
      </c>
      <c r="BG302" t="str">
        <f t="shared" si="110"/>
        <v>No</v>
      </c>
      <c r="BH302" t="str">
        <f t="shared" si="111"/>
        <v/>
      </c>
    </row>
    <row r="303" spans="9:60" x14ac:dyDescent="0.3">
      <c r="I303" t="str">
        <f t="shared" si="88"/>
        <v>N/A</v>
      </c>
      <c r="J303" t="str">
        <f t="shared" si="89"/>
        <v>N/A</v>
      </c>
      <c r="K303" t="str">
        <f t="shared" si="90"/>
        <v>N/A</v>
      </c>
      <c r="L303" t="str">
        <f t="shared" si="91"/>
        <v>N/A</v>
      </c>
      <c r="M303" t="str">
        <f t="shared" si="92"/>
        <v>N/A</v>
      </c>
      <c r="N303" t="str">
        <f t="shared" si="93"/>
        <v>N/A</v>
      </c>
      <c r="P303">
        <f t="shared" si="94"/>
        <v>0</v>
      </c>
      <c r="Q303" t="str">
        <f>IFERROR(J144+MATCH(P303,J303:N303,0)-1,"")</f>
        <v/>
      </c>
      <c r="R303" t="str">
        <f t="shared" si="95"/>
        <v/>
      </c>
      <c r="S303" t="str">
        <f>IFERROR(J144+MATCH(R303,J303:N303,0)-1,"")</f>
        <v/>
      </c>
      <c r="T303" t="str">
        <f t="shared" si="96"/>
        <v/>
      </c>
      <c r="U303" t="str">
        <f t="shared" si="97"/>
        <v/>
      </c>
      <c r="V303" t="str">
        <f t="shared" si="98"/>
        <v/>
      </c>
      <c r="W303" t="str">
        <f t="shared" si="99"/>
        <v/>
      </c>
      <c r="X303" t="str">
        <f t="shared" si="100"/>
        <v/>
      </c>
      <c r="Y303" t="str">
        <f t="shared" si="101"/>
        <v/>
      </c>
      <c r="Z303" t="str">
        <f t="shared" si="102"/>
        <v/>
      </c>
      <c r="AA303">
        <f t="shared" si="103"/>
        <v>0</v>
      </c>
      <c r="AB303" t="str">
        <f>IFERROR(V144+MATCH(AA303,V303:Z303,0)-1,"")</f>
        <v/>
      </c>
      <c r="AC303" t="str">
        <f t="shared" si="104"/>
        <v/>
      </c>
      <c r="AE303" t="str">
        <f>IF(ISNUMBER(MATCH("N/A",J303:N303,0)),"",IFERROR((5 * SUMPRODUCT(J144:N144,J303:N303) - PRODUCT(SUM(J144:N144),SUM(J303:N303))) / ((5 * SUM((J144^2)+(K144^2)+(L144^2)+(M144^2)+(N144^2))) - SUM(J144:N144)^2),""))</f>
        <v/>
      </c>
      <c r="AF303" t="str">
        <f>IFERROR(CORREL(J144:N144,J303:N303),"")</f>
        <v/>
      </c>
      <c r="AZ303">
        <f t="shared" si="105"/>
        <v>0</v>
      </c>
      <c r="BA303" t="str">
        <f>IF(AZ303=1,IF(Q303="","",IF(Q303=N144,"Yes","No")),"")</f>
        <v/>
      </c>
      <c r="BB303" t="str">
        <f t="shared" si="106"/>
        <v/>
      </c>
      <c r="BC303" t="str">
        <f>IF(AZ303=1,IF(S303="","",IF(S303=N144,"Yes","No")),"")</f>
        <v/>
      </c>
      <c r="BD303" t="str">
        <f t="shared" si="107"/>
        <v/>
      </c>
      <c r="BE303" t="str">
        <f t="shared" si="108"/>
        <v/>
      </c>
      <c r="BF303" t="str">
        <f t="shared" si="109"/>
        <v>No</v>
      </c>
      <c r="BG303" t="str">
        <f t="shared" si="110"/>
        <v>No</v>
      </c>
      <c r="BH303" t="str">
        <f t="shared" si="111"/>
        <v/>
      </c>
    </row>
    <row r="304" spans="9:60" x14ac:dyDescent="0.3">
      <c r="I304" t="str">
        <f t="shared" si="88"/>
        <v>N/A</v>
      </c>
      <c r="J304" t="str">
        <f t="shared" si="89"/>
        <v>N/A</v>
      </c>
      <c r="K304" t="str">
        <f t="shared" si="90"/>
        <v>N/A</v>
      </c>
      <c r="L304" t="str">
        <f t="shared" si="91"/>
        <v>N/A</v>
      </c>
      <c r="M304" t="str">
        <f t="shared" si="92"/>
        <v>N/A</v>
      </c>
      <c r="N304" t="str">
        <f t="shared" si="93"/>
        <v>N/A</v>
      </c>
      <c r="P304">
        <f t="shared" si="94"/>
        <v>0</v>
      </c>
      <c r="Q304" t="str">
        <f>IFERROR(J144+MATCH(P304,J304:N304,0)-1,"")</f>
        <v/>
      </c>
      <c r="R304" t="str">
        <f t="shared" si="95"/>
        <v/>
      </c>
      <c r="S304" t="str">
        <f>IFERROR(J144+MATCH(R304,J304:N304,0)-1,"")</f>
        <v/>
      </c>
      <c r="T304" t="str">
        <f t="shared" si="96"/>
        <v/>
      </c>
      <c r="U304" t="str">
        <f t="shared" si="97"/>
        <v/>
      </c>
      <c r="V304" t="str">
        <f t="shared" si="98"/>
        <v/>
      </c>
      <c r="W304" t="str">
        <f t="shared" si="99"/>
        <v/>
      </c>
      <c r="X304" t="str">
        <f t="shared" si="100"/>
        <v/>
      </c>
      <c r="Y304" t="str">
        <f t="shared" si="101"/>
        <v/>
      </c>
      <c r="Z304" t="str">
        <f t="shared" si="102"/>
        <v/>
      </c>
      <c r="AA304">
        <f t="shared" si="103"/>
        <v>0</v>
      </c>
      <c r="AB304" t="str">
        <f>IFERROR(V144+MATCH(AA304,V304:Z304,0)-1,"")</f>
        <v/>
      </c>
      <c r="AC304" t="str">
        <f t="shared" si="104"/>
        <v/>
      </c>
      <c r="AE304" t="str">
        <f>IF(ISNUMBER(MATCH("N/A",J304:N304,0)),"",IFERROR((5 * SUMPRODUCT(J144:N144,J304:N304) - PRODUCT(SUM(J144:N144),SUM(J304:N304))) / ((5 * SUM((J144^2)+(K144^2)+(L144^2)+(M144^2)+(N144^2))) - SUM(J144:N144)^2),""))</f>
        <v/>
      </c>
      <c r="AF304" t="str">
        <f>IFERROR(CORREL(J144:N144,J304:N304),"")</f>
        <v/>
      </c>
      <c r="AZ304">
        <f t="shared" si="105"/>
        <v>0</v>
      </c>
      <c r="BA304" t="str">
        <f>IF(AZ304=1,IF(Q304="","",IF(Q304=N144,"Yes","No")),"")</f>
        <v/>
      </c>
      <c r="BB304" t="str">
        <f t="shared" si="106"/>
        <v/>
      </c>
      <c r="BC304" t="str">
        <f>IF(AZ304=1,IF(S304="","",IF(S304=N144,"Yes","No")),"")</f>
        <v/>
      </c>
      <c r="BD304" t="str">
        <f t="shared" si="107"/>
        <v/>
      </c>
      <c r="BE304" t="str">
        <f t="shared" si="108"/>
        <v/>
      </c>
      <c r="BF304" t="str">
        <f t="shared" si="109"/>
        <v>No</v>
      </c>
      <c r="BG304" t="str">
        <f t="shared" si="110"/>
        <v>No</v>
      </c>
      <c r="BH304" t="str">
        <f t="shared" si="111"/>
        <v/>
      </c>
    </row>
    <row r="305" spans="9:60" x14ac:dyDescent="0.3">
      <c r="I305" t="str">
        <f t="shared" si="88"/>
        <v>N/A</v>
      </c>
      <c r="J305" t="str">
        <f t="shared" si="89"/>
        <v>N/A</v>
      </c>
      <c r="K305" t="str">
        <f t="shared" si="90"/>
        <v>N/A</v>
      </c>
      <c r="L305" t="str">
        <f t="shared" si="91"/>
        <v>N/A</v>
      </c>
      <c r="M305" t="str">
        <f t="shared" si="92"/>
        <v>N/A</v>
      </c>
      <c r="N305" t="str">
        <f t="shared" si="93"/>
        <v>N/A</v>
      </c>
      <c r="P305">
        <f t="shared" si="94"/>
        <v>0</v>
      </c>
      <c r="Q305" t="str">
        <f>IFERROR(J144+MATCH(P305,J305:N305,0)-1,"")</f>
        <v/>
      </c>
      <c r="R305" t="str">
        <f t="shared" si="95"/>
        <v/>
      </c>
      <c r="S305" t="str">
        <f>IFERROR(J144+MATCH(R305,J305:N305,0)-1,"")</f>
        <v/>
      </c>
      <c r="T305" t="str">
        <f t="shared" si="96"/>
        <v/>
      </c>
      <c r="U305" t="str">
        <f t="shared" si="97"/>
        <v/>
      </c>
      <c r="V305" t="str">
        <f t="shared" si="98"/>
        <v/>
      </c>
      <c r="W305" t="str">
        <f t="shared" si="99"/>
        <v/>
      </c>
      <c r="X305" t="str">
        <f t="shared" si="100"/>
        <v/>
      </c>
      <c r="Y305" t="str">
        <f t="shared" si="101"/>
        <v/>
      </c>
      <c r="Z305" t="str">
        <f t="shared" si="102"/>
        <v/>
      </c>
      <c r="AA305">
        <f t="shared" si="103"/>
        <v>0</v>
      </c>
      <c r="AB305" t="str">
        <f>IFERROR(V144+MATCH(AA305,V305:Z305,0)-1,"")</f>
        <v/>
      </c>
      <c r="AC305" t="str">
        <f t="shared" si="104"/>
        <v/>
      </c>
      <c r="AE305" t="str">
        <f>IF(ISNUMBER(MATCH("N/A",J305:N305,0)),"",IFERROR((5 * SUMPRODUCT(J144:N144,J305:N305) - PRODUCT(SUM(J144:N144),SUM(J305:N305))) / ((5 * SUM((J144^2)+(K144^2)+(L144^2)+(M144^2)+(N144^2))) - SUM(J144:N144)^2),""))</f>
        <v/>
      </c>
      <c r="AF305" t="str">
        <f>IFERROR(CORREL(J144:N144,J305:N305),"")</f>
        <v/>
      </c>
      <c r="AZ305">
        <f t="shared" si="105"/>
        <v>0</v>
      </c>
      <c r="BA305" t="str">
        <f>IF(AZ305=1,IF(Q305="","",IF(Q305=N144,"Yes","No")),"")</f>
        <v/>
      </c>
      <c r="BB305" t="str">
        <f t="shared" si="106"/>
        <v/>
      </c>
      <c r="BC305" t="str">
        <f>IF(AZ305=1,IF(S305="","",IF(S305=N144,"Yes","No")),"")</f>
        <v/>
      </c>
      <c r="BD305" t="str">
        <f t="shared" si="107"/>
        <v/>
      </c>
      <c r="BE305" t="str">
        <f t="shared" si="108"/>
        <v/>
      </c>
      <c r="BF305" t="str">
        <f t="shared" si="109"/>
        <v>No</v>
      </c>
      <c r="BG305" t="str">
        <f t="shared" si="110"/>
        <v>No</v>
      </c>
      <c r="BH305" t="str">
        <f t="shared" si="111"/>
        <v/>
      </c>
    </row>
    <row r="306" spans="9:60" x14ac:dyDescent="0.3">
      <c r="I306" t="str">
        <f t="shared" si="88"/>
        <v>N/A</v>
      </c>
      <c r="J306" t="str">
        <f t="shared" si="89"/>
        <v>N/A</v>
      </c>
      <c r="K306" t="str">
        <f t="shared" si="90"/>
        <v>N/A</v>
      </c>
      <c r="L306" t="str">
        <f t="shared" si="91"/>
        <v>N/A</v>
      </c>
      <c r="M306" t="str">
        <f t="shared" si="92"/>
        <v>N/A</v>
      </c>
      <c r="N306" t="str">
        <f t="shared" si="93"/>
        <v>N/A</v>
      </c>
      <c r="P306">
        <f t="shared" si="94"/>
        <v>0</v>
      </c>
      <c r="Q306" t="str">
        <f>IFERROR(J144+MATCH(P306,J306:N306,0)-1,"")</f>
        <v/>
      </c>
      <c r="R306" t="str">
        <f t="shared" si="95"/>
        <v/>
      </c>
      <c r="S306" t="str">
        <f>IFERROR(J144+MATCH(R306,J306:N306,0)-1,"")</f>
        <v/>
      </c>
      <c r="T306" t="str">
        <f t="shared" si="96"/>
        <v/>
      </c>
      <c r="U306" t="str">
        <f t="shared" si="97"/>
        <v/>
      </c>
      <c r="V306" t="str">
        <f t="shared" si="98"/>
        <v/>
      </c>
      <c r="W306" t="str">
        <f t="shared" si="99"/>
        <v/>
      </c>
      <c r="X306" t="str">
        <f t="shared" si="100"/>
        <v/>
      </c>
      <c r="Y306" t="str">
        <f t="shared" si="101"/>
        <v/>
      </c>
      <c r="Z306" t="str">
        <f t="shared" si="102"/>
        <v/>
      </c>
      <c r="AA306">
        <f t="shared" si="103"/>
        <v>0</v>
      </c>
      <c r="AB306" t="str">
        <f>IFERROR(V144+MATCH(AA306,V306:Z306,0)-1,"")</f>
        <v/>
      </c>
      <c r="AC306" t="str">
        <f t="shared" si="104"/>
        <v/>
      </c>
      <c r="AE306" t="str">
        <f>IF(ISNUMBER(MATCH("N/A",J306:N306,0)),"",IFERROR((5 * SUMPRODUCT(J144:N144,J306:N306) - PRODUCT(SUM(J144:N144),SUM(J306:N306))) / ((5 * SUM((J144^2)+(K144^2)+(L144^2)+(M144^2)+(N144^2))) - SUM(J144:N144)^2),""))</f>
        <v/>
      </c>
      <c r="AF306" t="str">
        <f>IFERROR(CORREL(J144:N144,J306:N306),"")</f>
        <v/>
      </c>
      <c r="AZ306">
        <f t="shared" si="105"/>
        <v>0</v>
      </c>
      <c r="BA306" t="str">
        <f>IF(AZ306=1,IF(Q306="","",IF(Q306=N144,"Yes","No")),"")</f>
        <v/>
      </c>
      <c r="BB306" t="str">
        <f t="shared" si="106"/>
        <v/>
      </c>
      <c r="BC306" t="str">
        <f>IF(AZ306=1,IF(S306="","",IF(S306=N144,"Yes","No")),"")</f>
        <v/>
      </c>
      <c r="BD306" t="str">
        <f t="shared" si="107"/>
        <v/>
      </c>
      <c r="BE306" t="str">
        <f t="shared" si="108"/>
        <v/>
      </c>
      <c r="BF306" t="str">
        <f t="shared" si="109"/>
        <v>No</v>
      </c>
      <c r="BG306" t="str">
        <f t="shared" si="110"/>
        <v>No</v>
      </c>
      <c r="BH306" t="str">
        <f t="shared" si="111"/>
        <v/>
      </c>
    </row>
    <row r="307" spans="9:60" x14ac:dyDescent="0.3">
      <c r="I307" t="str">
        <f t="shared" si="88"/>
        <v>N/A</v>
      </c>
      <c r="J307" t="str">
        <f t="shared" si="89"/>
        <v>N/A</v>
      </c>
      <c r="K307" t="str">
        <f t="shared" si="90"/>
        <v>N/A</v>
      </c>
      <c r="L307" t="str">
        <f t="shared" si="91"/>
        <v>N/A</v>
      </c>
      <c r="M307" t="str">
        <f t="shared" si="92"/>
        <v>N/A</v>
      </c>
      <c r="N307" t="str">
        <f t="shared" si="93"/>
        <v>N/A</v>
      </c>
      <c r="P307">
        <f t="shared" si="94"/>
        <v>0</v>
      </c>
      <c r="Q307" t="str">
        <f>IFERROR(J144+MATCH(P307,J307:N307,0)-1,"")</f>
        <v/>
      </c>
      <c r="R307" t="str">
        <f t="shared" si="95"/>
        <v/>
      </c>
      <c r="S307" t="str">
        <f>IFERROR(J144+MATCH(R307,J307:N307,0)-1,"")</f>
        <v/>
      </c>
      <c r="T307" t="str">
        <f t="shared" si="96"/>
        <v/>
      </c>
      <c r="U307" t="str">
        <f t="shared" si="97"/>
        <v/>
      </c>
      <c r="V307" t="str">
        <f t="shared" si="98"/>
        <v/>
      </c>
      <c r="W307" t="str">
        <f t="shared" si="99"/>
        <v/>
      </c>
      <c r="X307" t="str">
        <f t="shared" si="100"/>
        <v/>
      </c>
      <c r="Y307" t="str">
        <f t="shared" si="101"/>
        <v/>
      </c>
      <c r="Z307" t="str">
        <f t="shared" si="102"/>
        <v/>
      </c>
      <c r="AA307">
        <f t="shared" si="103"/>
        <v>0</v>
      </c>
      <c r="AB307" t="str">
        <f>IFERROR(V144+MATCH(AA307,V307:Z307,0)-1,"")</f>
        <v/>
      </c>
      <c r="AC307" t="str">
        <f t="shared" si="104"/>
        <v/>
      </c>
      <c r="AE307" t="str">
        <f>IF(ISNUMBER(MATCH("N/A",J307:N307,0)),"",IFERROR((5 * SUMPRODUCT(J144:N144,J307:N307) - PRODUCT(SUM(J144:N144),SUM(J307:N307))) / ((5 * SUM((J144^2)+(K144^2)+(L144^2)+(M144^2)+(N144^2))) - SUM(J144:N144)^2),""))</f>
        <v/>
      </c>
      <c r="AF307" t="str">
        <f>IFERROR(CORREL(J144:N144,J307:N307),"")</f>
        <v/>
      </c>
      <c r="AZ307">
        <f t="shared" si="105"/>
        <v>0</v>
      </c>
      <c r="BA307" t="str">
        <f>IF(AZ307=1,IF(Q307="","",IF(Q307=N144,"Yes","No")),"")</f>
        <v/>
      </c>
      <c r="BB307" t="str">
        <f t="shared" si="106"/>
        <v/>
      </c>
      <c r="BC307" t="str">
        <f>IF(AZ307=1,IF(S307="","",IF(S307=N144,"Yes","No")),"")</f>
        <v/>
      </c>
      <c r="BD307" t="str">
        <f t="shared" si="107"/>
        <v/>
      </c>
      <c r="BE307" t="str">
        <f t="shared" si="108"/>
        <v/>
      </c>
      <c r="BF307" t="str">
        <f t="shared" si="109"/>
        <v>No</v>
      </c>
      <c r="BG307" t="str">
        <f t="shared" si="110"/>
        <v>No</v>
      </c>
      <c r="BH307" t="str">
        <f t="shared" si="111"/>
        <v/>
      </c>
    </row>
    <row r="308" spans="9:60" x14ac:dyDescent="0.3">
      <c r="I308" t="str">
        <f t="shared" si="88"/>
        <v>N/A</v>
      </c>
      <c r="J308" t="str">
        <f t="shared" si="89"/>
        <v>N/A</v>
      </c>
      <c r="K308" t="str">
        <f t="shared" si="90"/>
        <v>N/A</v>
      </c>
      <c r="L308" t="str">
        <f t="shared" si="91"/>
        <v>N/A</v>
      </c>
      <c r="M308" t="str">
        <f t="shared" si="92"/>
        <v>N/A</v>
      </c>
      <c r="N308" t="str">
        <f t="shared" si="93"/>
        <v>N/A</v>
      </c>
      <c r="P308">
        <f t="shared" si="94"/>
        <v>0</v>
      </c>
      <c r="Q308" t="str">
        <f>IFERROR(J144+MATCH(P308,J308:N308,0)-1,"")</f>
        <v/>
      </c>
      <c r="R308" t="str">
        <f t="shared" si="95"/>
        <v/>
      </c>
      <c r="S308" t="str">
        <f>IFERROR(J144+MATCH(R308,J308:N308,0)-1,"")</f>
        <v/>
      </c>
      <c r="T308" t="str">
        <f t="shared" si="96"/>
        <v/>
      </c>
      <c r="U308" t="str">
        <f t="shared" si="97"/>
        <v/>
      </c>
      <c r="V308" t="str">
        <f t="shared" si="98"/>
        <v/>
      </c>
      <c r="W308" t="str">
        <f t="shared" si="99"/>
        <v/>
      </c>
      <c r="X308" t="str">
        <f t="shared" si="100"/>
        <v/>
      </c>
      <c r="Y308" t="str">
        <f t="shared" si="101"/>
        <v/>
      </c>
      <c r="Z308" t="str">
        <f t="shared" si="102"/>
        <v/>
      </c>
      <c r="AA308">
        <f t="shared" si="103"/>
        <v>0</v>
      </c>
      <c r="AB308" t="str">
        <f>IFERROR(V144+MATCH(AA308,V308:Z308,0)-1,"")</f>
        <v/>
      </c>
      <c r="AC308" t="str">
        <f t="shared" si="104"/>
        <v/>
      </c>
      <c r="AE308" t="str">
        <f>IF(ISNUMBER(MATCH("N/A",J308:N308,0)),"",IFERROR((5 * SUMPRODUCT(J144:N144,J308:N308) - PRODUCT(SUM(J144:N144),SUM(J308:N308))) / ((5 * SUM((J144^2)+(K144^2)+(L144^2)+(M144^2)+(N144^2))) - SUM(J144:N144)^2),""))</f>
        <v/>
      </c>
      <c r="AF308" t="str">
        <f>IFERROR(CORREL(J144:N144,J308:N308),"")</f>
        <v/>
      </c>
      <c r="AZ308">
        <f t="shared" si="105"/>
        <v>0</v>
      </c>
      <c r="BA308" t="str">
        <f>IF(AZ308=1,IF(Q308="","",IF(Q308=N144,"Yes","No")),"")</f>
        <v/>
      </c>
      <c r="BB308" t="str">
        <f t="shared" si="106"/>
        <v/>
      </c>
      <c r="BC308" t="str">
        <f>IF(AZ308=1,IF(S308="","",IF(S308=N144,"Yes","No")),"")</f>
        <v/>
      </c>
      <c r="BD308" t="str">
        <f t="shared" si="107"/>
        <v/>
      </c>
      <c r="BE308" t="str">
        <f t="shared" si="108"/>
        <v/>
      </c>
      <c r="BF308" t="str">
        <f t="shared" si="109"/>
        <v>No</v>
      </c>
      <c r="BG308" t="str">
        <f t="shared" si="110"/>
        <v>No</v>
      </c>
      <c r="BH308" t="str">
        <f t="shared" si="111"/>
        <v/>
      </c>
    </row>
    <row r="309" spans="9:60" x14ac:dyDescent="0.3">
      <c r="I309" t="str">
        <f t="shared" si="88"/>
        <v>N/A</v>
      </c>
      <c r="J309" t="str">
        <f t="shared" si="89"/>
        <v>N/A</v>
      </c>
      <c r="K309" t="str">
        <f t="shared" si="90"/>
        <v>N/A</v>
      </c>
      <c r="L309" t="str">
        <f t="shared" si="91"/>
        <v>N/A</v>
      </c>
      <c r="M309" t="str">
        <f t="shared" si="92"/>
        <v>N/A</v>
      </c>
      <c r="N309" t="str">
        <f t="shared" si="93"/>
        <v>N/A</v>
      </c>
      <c r="P309">
        <f t="shared" si="94"/>
        <v>0</v>
      </c>
      <c r="Q309" t="str">
        <f>IFERROR(J144+MATCH(P309,J309:N309,0)-1,"")</f>
        <v/>
      </c>
      <c r="R309" t="str">
        <f t="shared" si="95"/>
        <v/>
      </c>
      <c r="S309" t="str">
        <f>IFERROR(J144+MATCH(R309,J309:N309,0)-1,"")</f>
        <v/>
      </c>
      <c r="T309" t="str">
        <f t="shared" si="96"/>
        <v/>
      </c>
      <c r="U309" t="str">
        <f t="shared" si="97"/>
        <v/>
      </c>
      <c r="V309" t="str">
        <f t="shared" si="98"/>
        <v/>
      </c>
      <c r="W309" t="str">
        <f t="shared" si="99"/>
        <v/>
      </c>
      <c r="X309" t="str">
        <f t="shared" si="100"/>
        <v/>
      </c>
      <c r="Y309" t="str">
        <f t="shared" si="101"/>
        <v/>
      </c>
      <c r="Z309" t="str">
        <f t="shared" si="102"/>
        <v/>
      </c>
      <c r="AA309">
        <f t="shared" si="103"/>
        <v>0</v>
      </c>
      <c r="AB309" t="str">
        <f>IFERROR(V144+MATCH(AA309,V309:Z309,0)-1,"")</f>
        <v/>
      </c>
      <c r="AC309" t="str">
        <f t="shared" si="104"/>
        <v/>
      </c>
      <c r="AE309" t="str">
        <f>IF(ISNUMBER(MATCH("N/A",J309:N309,0)),"",IFERROR((5 * SUMPRODUCT(J144:N144,J309:N309) - PRODUCT(SUM(J144:N144),SUM(J309:N309))) / ((5 * SUM((J144^2)+(K144^2)+(L144^2)+(M144^2)+(N144^2))) - SUM(J144:N144)^2),""))</f>
        <v/>
      </c>
      <c r="AF309" t="str">
        <f>IFERROR(CORREL(J144:N144,J309:N309),"")</f>
        <v/>
      </c>
      <c r="AZ309">
        <f t="shared" si="105"/>
        <v>0</v>
      </c>
      <c r="BA309" t="str">
        <f>IF(AZ309=1,IF(Q309="","",IF(Q309=N144,"Yes","No")),"")</f>
        <v/>
      </c>
      <c r="BB309" t="str">
        <f t="shared" si="106"/>
        <v/>
      </c>
      <c r="BC309" t="str">
        <f>IF(AZ309=1,IF(S309="","",IF(S309=N144,"Yes","No")),"")</f>
        <v/>
      </c>
      <c r="BD309" t="str">
        <f t="shared" si="107"/>
        <v/>
      </c>
      <c r="BE309" t="str">
        <f t="shared" si="108"/>
        <v/>
      </c>
      <c r="BF309" t="str">
        <f t="shared" si="109"/>
        <v>No</v>
      </c>
      <c r="BG309" t="str">
        <f t="shared" si="110"/>
        <v>No</v>
      </c>
      <c r="BH309" t="str">
        <f t="shared" si="111"/>
        <v/>
      </c>
    </row>
    <row r="310" spans="9:60" x14ac:dyDescent="0.3">
      <c r="I310" t="str">
        <f t="shared" si="88"/>
        <v>N/A</v>
      </c>
      <c r="J310" t="str">
        <f t="shared" si="89"/>
        <v>N/A</v>
      </c>
      <c r="K310" t="str">
        <f t="shared" si="90"/>
        <v>N/A</v>
      </c>
      <c r="L310" t="str">
        <f t="shared" si="91"/>
        <v>N/A</v>
      </c>
      <c r="M310" t="str">
        <f t="shared" si="92"/>
        <v>N/A</v>
      </c>
      <c r="N310" t="str">
        <f t="shared" si="93"/>
        <v>N/A</v>
      </c>
      <c r="P310">
        <f t="shared" si="94"/>
        <v>0</v>
      </c>
      <c r="Q310" t="str">
        <f>IFERROR(J144+MATCH(P310,J310:N310,0)-1,"")</f>
        <v/>
      </c>
      <c r="R310" t="str">
        <f t="shared" si="95"/>
        <v/>
      </c>
      <c r="S310" t="str">
        <f>IFERROR(J144+MATCH(R310,J310:N310,0)-1,"")</f>
        <v/>
      </c>
      <c r="T310" t="str">
        <f t="shared" si="96"/>
        <v/>
      </c>
      <c r="U310" t="str">
        <f t="shared" si="97"/>
        <v/>
      </c>
      <c r="V310" t="str">
        <f t="shared" si="98"/>
        <v/>
      </c>
      <c r="W310" t="str">
        <f t="shared" si="99"/>
        <v/>
      </c>
      <c r="X310" t="str">
        <f t="shared" si="100"/>
        <v/>
      </c>
      <c r="Y310" t="str">
        <f t="shared" si="101"/>
        <v/>
      </c>
      <c r="Z310" t="str">
        <f t="shared" si="102"/>
        <v/>
      </c>
      <c r="AA310">
        <f t="shared" si="103"/>
        <v>0</v>
      </c>
      <c r="AB310" t="str">
        <f>IFERROR(V144+MATCH(AA310,V310:Z310,0)-1,"")</f>
        <v/>
      </c>
      <c r="AC310" t="str">
        <f t="shared" si="104"/>
        <v/>
      </c>
      <c r="AE310" t="str">
        <f>IF(ISNUMBER(MATCH("N/A",J310:N310,0)),"",IFERROR((5 * SUMPRODUCT(J144:N144,J310:N310) - PRODUCT(SUM(J144:N144),SUM(J310:N310))) / ((5 * SUM((J144^2)+(K144^2)+(L144^2)+(M144^2)+(N144^2))) - SUM(J144:N144)^2),""))</f>
        <v/>
      </c>
      <c r="AF310" t="str">
        <f>IFERROR(CORREL(J144:N144,J310:N310),"")</f>
        <v/>
      </c>
      <c r="AZ310">
        <f t="shared" si="105"/>
        <v>0</v>
      </c>
      <c r="BA310" t="str">
        <f>IF(AZ310=1,IF(Q310="","",IF(Q310=N144,"Yes","No")),"")</f>
        <v/>
      </c>
      <c r="BB310" t="str">
        <f t="shared" si="106"/>
        <v/>
      </c>
      <c r="BC310" t="str">
        <f>IF(AZ310=1,IF(S310="","",IF(S310=N144,"Yes","No")),"")</f>
        <v/>
      </c>
      <c r="BD310" t="str">
        <f t="shared" si="107"/>
        <v/>
      </c>
      <c r="BE310" t="str">
        <f t="shared" si="108"/>
        <v/>
      </c>
      <c r="BF310" t="str">
        <f t="shared" si="109"/>
        <v>No</v>
      </c>
      <c r="BG310" t="str">
        <f t="shared" si="110"/>
        <v>No</v>
      </c>
      <c r="BH310" t="str">
        <f t="shared" si="111"/>
        <v/>
      </c>
    </row>
    <row r="311" spans="9:60" x14ac:dyDescent="0.3">
      <c r="P311">
        <f t="shared" si="94"/>
        <v>0</v>
      </c>
      <c r="Q311" t="str">
        <f>IFERROR(J144+MATCH(P311,J311:N311,0)-1,"")</f>
        <v/>
      </c>
      <c r="R311" t="str">
        <f t="shared" si="95"/>
        <v/>
      </c>
      <c r="S311" t="str">
        <f>IFERROR(J144+MATCH(R311,J311:N311,0)-1,"")</f>
        <v/>
      </c>
      <c r="T311" t="str">
        <f t="shared" si="96"/>
        <v/>
      </c>
      <c r="U311" t="str">
        <f t="shared" si="97"/>
        <v/>
      </c>
      <c r="V311" t="str">
        <f t="shared" si="98"/>
        <v/>
      </c>
      <c r="W311" t="str">
        <f t="shared" si="99"/>
        <v/>
      </c>
      <c r="X311" t="str">
        <f t="shared" si="100"/>
        <v/>
      </c>
      <c r="Y311" t="str">
        <f t="shared" si="101"/>
        <v/>
      </c>
      <c r="Z311" t="str">
        <f t="shared" si="102"/>
        <v/>
      </c>
      <c r="AA311">
        <f t="shared" si="103"/>
        <v>0</v>
      </c>
      <c r="AB311" t="str">
        <f>IFERROR(V144+MATCH(AA311,V311:Z311,0)-1,"")</f>
        <v/>
      </c>
      <c r="AC311" t="str">
        <f t="shared" si="104"/>
        <v/>
      </c>
      <c r="AE311" t="str">
        <f>IF(ISNUMBER(MATCH("N/A",J311:N311,0)),"",IFERROR((5 * SUMPRODUCT(J144:N144,J311:N311) - PRODUCT(SUM(J144:N144),SUM(J311:N311))) / ((5 * SUM((J144^2)+(K144^2)+(L144^2)+(M144^2)+(N144^2))) - SUM(J144:N144)^2),""))</f>
        <v/>
      </c>
      <c r="AF311" t="str">
        <f>IFERROR(CORREL(J144:N144,J311:N311),"")</f>
        <v/>
      </c>
      <c r="AZ311">
        <f t="shared" si="105"/>
        <v>0</v>
      </c>
      <c r="BA311" t="str">
        <f>IF(AZ311=1,IF(Q311="","",IF(Q311=N144,"Yes","No")),"")</f>
        <v/>
      </c>
      <c r="BB311" t="str">
        <f t="shared" si="106"/>
        <v/>
      </c>
      <c r="BC311" t="str">
        <f>IF(AZ311=1,IF(S311="","",IF(S311=N144,"Yes","No")),"")</f>
        <v/>
      </c>
      <c r="BD311" t="str">
        <f t="shared" si="107"/>
        <v/>
      </c>
      <c r="BE311" t="str">
        <f t="shared" si="108"/>
        <v/>
      </c>
      <c r="BF311" t="str">
        <f t="shared" si="109"/>
        <v>No</v>
      </c>
      <c r="BG311" t="str">
        <f t="shared" si="110"/>
        <v>No</v>
      </c>
      <c r="BH311" t="str">
        <f t="shared" si="111"/>
        <v/>
      </c>
    </row>
    <row r="312" spans="9:60" x14ac:dyDescent="0.3">
      <c r="I312" t="str">
        <f t="shared" ref="I312:I327" si="112">IF(AND(K312&gt; J312, L312&gt; K312, M312&gt; L312, N312&gt; M312), "pos_trend", IF(AND(K312&lt; J312, L312&lt; K312, M312&lt; L312, N312&lt; M312), "neg_trend", "N/A"))</f>
        <v>N/A</v>
      </c>
      <c r="J312" t="str">
        <f t="shared" ref="J312:J327" si="113">IFERROR(IF(TRIM(C312)="-", "N/A", IF(RIGHT(C312,1)=")",IF(RIGHT(C312,2)="T)",-1000000000000*VALUE(MID(C312,2,LEN(C312)-3)),IF(RIGHT(C312,2)="M)",-1000000*VALUE(MID(C312,2,LEN(C312)-3)),IF(RIGHT(C312,2)="B)",-1000000000*VALUE(MID(C312,2,LEN(C312)-3)),IF(RIGHT(C312,2)="k)",-1000*VALUE(MID(C312,2,LEN(C312)-3)),VALUE(SUBSTITUTE(C312,",","")))))),IF(RIGHT(C312,1)="T",1000000000000*VALUE(LEFT(C312,LEN(C312)-1)),IF(RIGHT(C312,1)="M",1000000*VALUE(LEFT(C312,LEN(C312)-1)),IF(RIGHT(C312,1)="B",1000000000*VALUE(LEFT(C312,LEN(C312)-1)),IF(RIGHT(C312,1)="%",0.01*VALUE(LEFT(C312,LEN(C312)-1)),IF(RIGHT(C312,1)="k",1000*VALUE(LEFT(C312,LEN(C312)-1)),VALUE(SUBSTITUTE(C312,",",""))))))))),"N/A")</f>
        <v>N/A</v>
      </c>
      <c r="K312" t="str">
        <f t="shared" ref="K312:K327" si="114">IFERROR(IF(TRIM(D312)="-", "N/A", IF(RIGHT(D312,1)=")",IF(RIGHT(D312,2)="T)",-1000000000000*VALUE(MID(D312,2,LEN(D312)-3)),IF(RIGHT(D312,2)="M)",-1000000*VALUE(MID(D312,2,LEN(D312)-3)),IF(RIGHT(D312,2)="B)",-1000000000*VALUE(MID(D312,2,LEN(D312)-3)),IF(RIGHT(D312,2)="k)",-1000*VALUE(MID(D312,2,LEN(D312)-3)),VALUE(SUBSTITUTE(D312,",","")))))),IF(RIGHT(D312,1)="T",1000000000000*VALUE(LEFT(D312,LEN(D312)-1)),IF(RIGHT(D312,1)="M",1000000*VALUE(LEFT(D312,LEN(D312)-1)),IF(RIGHT(D312,1)="B",1000000000*VALUE(LEFT(D312,LEN(D312)-1)),IF(RIGHT(D312,1)="%",0.01*VALUE(LEFT(D312,LEN(D312)-1)),IF(RIGHT(D312,1)="k",1000*VALUE(LEFT(D312,LEN(D312)-1)),VALUE(SUBSTITUTE(D312,",",""))))))))),"N/A")</f>
        <v>N/A</v>
      </c>
      <c r="L312" t="str">
        <f t="shared" ref="L312:L327" si="115">IFERROR(IF(TRIM(E312)="-", "N/A", IF(RIGHT(E312,1)=")",IF(RIGHT(E312,2)="T)",-1000000000000*VALUE(MID(E312,2,LEN(E312)-3)),IF(RIGHT(E312,2)="M)",-1000000*VALUE(MID(E312,2,LEN(E312)-3)),IF(RIGHT(E312,2)="B)",-1000000000*VALUE(MID(E312,2,LEN(E312)-3)),IF(RIGHT(E312,2)="k)",-1000*VALUE(MID(E312,2,LEN(E312)-3)),VALUE(SUBSTITUTE(E312,",","")))))),IF(RIGHT(E312,1)="T",1000000000000*VALUE(LEFT(E312,LEN(E312)-1)),IF(RIGHT(E312,1)="M",1000000*VALUE(LEFT(E312,LEN(E312)-1)),IF(RIGHT(E312,1)="B",1000000000*VALUE(LEFT(E312,LEN(E312)-1)),IF(RIGHT(E312,1)="%",0.01*VALUE(LEFT(E312,LEN(E312)-1)),IF(RIGHT(E312,1)="k",1000*VALUE(LEFT(E312,LEN(E312)-1)),VALUE(SUBSTITUTE(E312,",",""))))))))),"N/A")</f>
        <v>N/A</v>
      </c>
      <c r="M312" t="str">
        <f t="shared" ref="M312:M327" si="116">IFERROR(IF(TRIM(F312)="-", "N/A", IF(RIGHT(F312,1)=")",IF(RIGHT(F312,2)="T)",-1000000000000*VALUE(MID(F312,2,LEN(F312)-3)),IF(RIGHT(F312,2)="M)",-1000000*VALUE(MID(F312,2,LEN(F312)-3)),IF(RIGHT(F312,2)="B)",-1000000000*VALUE(MID(F312,2,LEN(F312)-3)),IF(RIGHT(F312,2)="k)",-1000*VALUE(MID(F312,2,LEN(F312)-3)),VALUE(SUBSTITUTE(F312,",","")))))),IF(RIGHT(F312,1)="T",1000000000000*VALUE(LEFT(F312,LEN(F312)-1)),IF(RIGHT(F312,1)="M",1000000*VALUE(LEFT(F312,LEN(F312)-1)),IF(RIGHT(F312,1)="B",1000000000*VALUE(LEFT(F312,LEN(F312)-1)),IF(RIGHT(F312,1)="%",0.01*VALUE(LEFT(F312,LEN(F312)-1)),IF(RIGHT(F312,1)="k",1000*VALUE(LEFT(F312,LEN(F312)-1)),VALUE(SUBSTITUTE(F312,",",""))))))))),"N/A")</f>
        <v>N/A</v>
      </c>
      <c r="N312" t="str">
        <f t="shared" ref="N312:N327" si="117">IFERROR(IF(TRIM(G312)="-", "N/A", IF(RIGHT(G312,1)=")",IF(RIGHT(G312,2)="T)",-1000000000000*VALUE(MID(G312,2,LEN(G312)-3)),IF(RIGHT(G312,2)="M)",-1000000*VALUE(MID(G312,2,LEN(G312)-3)),IF(RIGHT(G312,2)="B)",-1000000000*VALUE(MID(G312,2,LEN(G312)-3)),IF(RIGHT(G312,2)="k)",-1000*VALUE(MID(G312,2,LEN(G312)-3)),VALUE(SUBSTITUTE(G312,",","")))))),IF(RIGHT(G312,1)="T",1000000000000*VALUE(LEFT(G312,LEN(G312)-1)),IF(RIGHT(G312,1)="M",1000000*VALUE(LEFT(G312,LEN(G312)-1)),IF(RIGHT(G312,1)="B",1000000000*VALUE(LEFT(G312,LEN(G312)-1)),IF(RIGHT(G312,1)="%",0.01*VALUE(LEFT(G312,LEN(G312)-1)),IF(RIGHT(G312,1)="k",1000*VALUE(LEFT(G312,LEN(G312)-1)),VALUE(SUBSTITUTE(G312,",",""))))))))),"N/A")</f>
        <v>N/A</v>
      </c>
      <c r="P312">
        <f t="shared" si="94"/>
        <v>0</v>
      </c>
      <c r="Q312" t="str">
        <f>IFERROR(J144+MATCH(P312,J312:N312,0)-1,"")</f>
        <v/>
      </c>
      <c r="R312" t="str">
        <f t="shared" si="95"/>
        <v/>
      </c>
      <c r="S312" t="str">
        <f>IFERROR(J144+MATCH(R312,J312:N312,0)-1,"")</f>
        <v/>
      </c>
      <c r="T312" t="str">
        <f t="shared" si="96"/>
        <v/>
      </c>
      <c r="U312" t="str">
        <f t="shared" si="97"/>
        <v/>
      </c>
      <c r="V312" t="str">
        <f t="shared" si="98"/>
        <v/>
      </c>
      <c r="W312" t="str">
        <f t="shared" si="99"/>
        <v/>
      </c>
      <c r="X312" t="str">
        <f t="shared" si="100"/>
        <v/>
      </c>
      <c r="Y312" t="str">
        <f t="shared" si="101"/>
        <v/>
      </c>
      <c r="Z312" t="str">
        <f t="shared" si="102"/>
        <v/>
      </c>
      <c r="AA312">
        <f t="shared" si="103"/>
        <v>0</v>
      </c>
      <c r="AB312" t="str">
        <f>IFERROR(V144+MATCH(AA312,V312:Z312,0)-1,"")</f>
        <v/>
      </c>
      <c r="AC312" t="str">
        <f t="shared" si="104"/>
        <v/>
      </c>
      <c r="AE312" t="str">
        <f>IF(ISNUMBER(MATCH("N/A",J312:N312,0)),"",IFERROR((5 * SUMPRODUCT(J144:N144,J312:N312) - PRODUCT(SUM(J144:N144),SUM(J312:N312))) / ((5 * SUM((J144^2)+(K144^2)+(L144^2)+(M144^2)+(N144^2))) - SUM(J144:N144)^2),""))</f>
        <v/>
      </c>
      <c r="AF312" t="str">
        <f>IFERROR(CORREL(J144:N144,J312:N312),"")</f>
        <v/>
      </c>
      <c r="AZ312">
        <f t="shared" si="105"/>
        <v>0</v>
      </c>
      <c r="BA312" t="str">
        <f>IF(AZ312=1,IF(Q312="","",IF(Q312=N144,"Yes","No")),"")</f>
        <v/>
      </c>
      <c r="BB312" t="str">
        <f t="shared" si="106"/>
        <v/>
      </c>
      <c r="BC312" t="str">
        <f>IF(AZ312=1,IF(S312="","",IF(S312=N144,"Yes","No")),"")</f>
        <v/>
      </c>
      <c r="BD312" t="str">
        <f t="shared" si="107"/>
        <v/>
      </c>
      <c r="BE312" t="str">
        <f t="shared" si="108"/>
        <v/>
      </c>
      <c r="BF312" t="str">
        <f t="shared" si="109"/>
        <v>No</v>
      </c>
      <c r="BG312" t="str">
        <f t="shared" si="110"/>
        <v>No</v>
      </c>
      <c r="BH312" t="str">
        <f t="shared" si="111"/>
        <v/>
      </c>
    </row>
    <row r="313" spans="9:60" x14ac:dyDescent="0.3">
      <c r="I313" t="str">
        <f t="shared" si="112"/>
        <v>N/A</v>
      </c>
      <c r="J313" t="str">
        <f t="shared" si="113"/>
        <v>N/A</v>
      </c>
      <c r="K313" t="str">
        <f t="shared" si="114"/>
        <v>N/A</v>
      </c>
      <c r="L313" t="str">
        <f t="shared" si="115"/>
        <v>N/A</v>
      </c>
      <c r="M313" t="str">
        <f t="shared" si="116"/>
        <v>N/A</v>
      </c>
      <c r="N313" t="str">
        <f t="shared" si="117"/>
        <v>N/A</v>
      </c>
      <c r="P313">
        <f t="shared" si="94"/>
        <v>0</v>
      </c>
      <c r="Q313" t="str">
        <f>IFERROR(J144+MATCH(P313,J313:N313,0)-1,"")</f>
        <v/>
      </c>
      <c r="R313" t="str">
        <f t="shared" si="95"/>
        <v/>
      </c>
      <c r="S313" t="str">
        <f>IFERROR(J144+MATCH(R313,J313:N313,0)-1,"")</f>
        <v/>
      </c>
      <c r="T313" t="str">
        <f t="shared" si="96"/>
        <v/>
      </c>
      <c r="U313" t="str">
        <f t="shared" si="97"/>
        <v/>
      </c>
      <c r="V313" t="str">
        <f t="shared" si="98"/>
        <v/>
      </c>
      <c r="W313" t="str">
        <f t="shared" si="99"/>
        <v/>
      </c>
      <c r="X313" t="str">
        <f t="shared" si="100"/>
        <v/>
      </c>
      <c r="Y313" t="str">
        <f t="shared" si="101"/>
        <v/>
      </c>
      <c r="Z313" t="str">
        <f t="shared" si="102"/>
        <v/>
      </c>
      <c r="AA313">
        <f t="shared" si="103"/>
        <v>0</v>
      </c>
      <c r="AB313" t="str">
        <f>IFERROR(V144+MATCH(AA313,V313:Z313,0)-1,"")</f>
        <v/>
      </c>
      <c r="AC313" t="str">
        <f t="shared" si="104"/>
        <v/>
      </c>
      <c r="AE313" t="str">
        <f>IF(ISNUMBER(MATCH("N/A",J313:N313,0)),"",IFERROR((5 * SUMPRODUCT(J144:N144,J313:N313) - PRODUCT(SUM(J144:N144),SUM(J313:N313))) / ((5 * SUM((J144^2)+(K144^2)+(L144^2)+(M144^2)+(N144^2))) - SUM(J144:N144)^2),""))</f>
        <v/>
      </c>
      <c r="AF313" t="str">
        <f>IFERROR(CORREL(J144:N144,J313:N313),"")</f>
        <v/>
      </c>
      <c r="AZ313">
        <f t="shared" si="105"/>
        <v>0</v>
      </c>
      <c r="BA313" t="str">
        <f>IF(AZ313=1,IF(Q313="","",IF(Q313=N144,"Yes","No")),"")</f>
        <v/>
      </c>
      <c r="BB313" t="str">
        <f t="shared" si="106"/>
        <v/>
      </c>
      <c r="BC313" t="str">
        <f>IF(AZ313=1,IF(S313="","",IF(S313=N144,"Yes","No")),"")</f>
        <v/>
      </c>
      <c r="BD313" t="str">
        <f t="shared" si="107"/>
        <v/>
      </c>
      <c r="BE313" t="str">
        <f t="shared" si="108"/>
        <v/>
      </c>
      <c r="BF313" t="str">
        <f t="shared" si="109"/>
        <v>No</v>
      </c>
      <c r="BG313" t="str">
        <f t="shared" si="110"/>
        <v>No</v>
      </c>
      <c r="BH313" t="str">
        <f t="shared" si="111"/>
        <v/>
      </c>
    </row>
    <row r="314" spans="9:60" x14ac:dyDescent="0.3">
      <c r="I314" t="str">
        <f t="shared" si="112"/>
        <v>N/A</v>
      </c>
      <c r="J314" t="str">
        <f t="shared" si="113"/>
        <v>N/A</v>
      </c>
      <c r="K314" t="str">
        <f t="shared" si="114"/>
        <v>N/A</v>
      </c>
      <c r="L314" t="str">
        <f t="shared" si="115"/>
        <v>N/A</v>
      </c>
      <c r="M314" t="str">
        <f t="shared" si="116"/>
        <v>N/A</v>
      </c>
      <c r="N314" t="str">
        <f t="shared" si="117"/>
        <v>N/A</v>
      </c>
      <c r="P314">
        <f t="shared" si="94"/>
        <v>0</v>
      </c>
      <c r="Q314" t="str">
        <f>IFERROR(J144+MATCH(P314,J314:N314,0)-1,"")</f>
        <v/>
      </c>
      <c r="R314" t="str">
        <f t="shared" si="95"/>
        <v/>
      </c>
      <c r="S314" t="str">
        <f>IFERROR(J144+MATCH(R314,J314:N314,0)-1,"")</f>
        <v/>
      </c>
      <c r="T314" t="str">
        <f t="shared" si="96"/>
        <v/>
      </c>
      <c r="U314" t="str">
        <f t="shared" si="97"/>
        <v/>
      </c>
      <c r="V314" t="str">
        <f t="shared" si="98"/>
        <v/>
      </c>
      <c r="W314" t="str">
        <f t="shared" si="99"/>
        <v/>
      </c>
      <c r="X314" t="str">
        <f t="shared" si="100"/>
        <v/>
      </c>
      <c r="Y314" t="str">
        <f t="shared" si="101"/>
        <v/>
      </c>
      <c r="Z314" t="str">
        <f t="shared" si="102"/>
        <v/>
      </c>
      <c r="AA314">
        <f t="shared" si="103"/>
        <v>0</v>
      </c>
      <c r="AB314" t="str">
        <f>IFERROR(V144+MATCH(AA314,V314:Z314,0)-1,"")</f>
        <v/>
      </c>
      <c r="AC314" t="str">
        <f t="shared" si="104"/>
        <v/>
      </c>
      <c r="AE314" t="str">
        <f>IF(ISNUMBER(MATCH("N/A",J314:N314,0)),"",IFERROR((5 * SUMPRODUCT(J144:N144,J314:N314) - PRODUCT(SUM(J144:N144),SUM(J314:N314))) / ((5 * SUM((J144^2)+(K144^2)+(L144^2)+(M144^2)+(N144^2))) - SUM(J144:N144)^2),""))</f>
        <v/>
      </c>
      <c r="AF314" t="str">
        <f>IFERROR(CORREL(J144:N144,J314:N314),"")</f>
        <v/>
      </c>
      <c r="AZ314">
        <f t="shared" si="105"/>
        <v>0</v>
      </c>
      <c r="BA314" t="str">
        <f>IF(AZ314=1,IF(Q314="","",IF(Q314=N144,"Yes","No")),"")</f>
        <v/>
      </c>
      <c r="BB314" t="str">
        <f t="shared" si="106"/>
        <v/>
      </c>
      <c r="BC314" t="str">
        <f>IF(AZ314=1,IF(S314="","",IF(S314=N144,"Yes","No")),"")</f>
        <v/>
      </c>
      <c r="BD314" t="str">
        <f t="shared" si="107"/>
        <v/>
      </c>
      <c r="BE314" t="str">
        <f t="shared" si="108"/>
        <v/>
      </c>
      <c r="BF314" t="str">
        <f t="shared" si="109"/>
        <v>No</v>
      </c>
      <c r="BG314" t="str">
        <f t="shared" si="110"/>
        <v>No</v>
      </c>
      <c r="BH314" t="str">
        <f t="shared" si="111"/>
        <v/>
      </c>
    </row>
    <row r="315" spans="9:60" x14ac:dyDescent="0.3">
      <c r="I315" t="str">
        <f t="shared" si="112"/>
        <v>N/A</v>
      </c>
      <c r="J315" t="str">
        <f t="shared" si="113"/>
        <v>N/A</v>
      </c>
      <c r="K315" t="str">
        <f t="shared" si="114"/>
        <v>N/A</v>
      </c>
      <c r="L315" t="str">
        <f t="shared" si="115"/>
        <v>N/A</v>
      </c>
      <c r="M315" t="str">
        <f t="shared" si="116"/>
        <v>N/A</v>
      </c>
      <c r="N315" t="str">
        <f t="shared" si="117"/>
        <v>N/A</v>
      </c>
      <c r="P315">
        <f t="shared" si="94"/>
        <v>0</v>
      </c>
      <c r="Q315" t="str">
        <f>IFERROR(J144+MATCH(P315,J315:N315,0)-1,"")</f>
        <v/>
      </c>
      <c r="R315" t="str">
        <f t="shared" si="95"/>
        <v/>
      </c>
      <c r="S315" t="str">
        <f>IFERROR(J144+MATCH(R315,J315:N315,0)-1,"")</f>
        <v/>
      </c>
      <c r="T315" t="str">
        <f t="shared" si="96"/>
        <v/>
      </c>
      <c r="U315" t="str">
        <f t="shared" si="97"/>
        <v/>
      </c>
      <c r="V315" t="str">
        <f t="shared" si="98"/>
        <v/>
      </c>
      <c r="W315" t="str">
        <f t="shared" si="99"/>
        <v/>
      </c>
      <c r="X315" t="str">
        <f t="shared" si="100"/>
        <v/>
      </c>
      <c r="Y315" t="str">
        <f t="shared" si="101"/>
        <v/>
      </c>
      <c r="Z315" t="str">
        <f t="shared" si="102"/>
        <v/>
      </c>
      <c r="AA315">
        <f t="shared" si="103"/>
        <v>0</v>
      </c>
      <c r="AB315" t="str">
        <f>IFERROR(V144+MATCH(AA315,V315:Z315,0)-1,"")</f>
        <v/>
      </c>
      <c r="AC315" t="str">
        <f t="shared" si="104"/>
        <v/>
      </c>
      <c r="AE315" t="str">
        <f>IF(ISNUMBER(MATCH("N/A",J315:N315,0)),"",IFERROR((5 * SUMPRODUCT(J144:N144,J315:N315) - PRODUCT(SUM(J144:N144),SUM(J315:N315))) / ((5 * SUM((J144^2)+(K144^2)+(L144^2)+(M144^2)+(N144^2))) - SUM(J144:N144)^2),""))</f>
        <v/>
      </c>
      <c r="AF315" t="str">
        <f>IFERROR(CORREL(J144:N144,J315:N315),"")</f>
        <v/>
      </c>
      <c r="AZ315">
        <f t="shared" si="105"/>
        <v>0</v>
      </c>
      <c r="BA315" t="str">
        <f>IF(AZ315=1,IF(Q315="","",IF(Q315=N144,"Yes","No")),"")</f>
        <v/>
      </c>
      <c r="BB315" t="str">
        <f t="shared" si="106"/>
        <v/>
      </c>
      <c r="BC315" t="str">
        <f>IF(AZ315=1,IF(S315="","",IF(S315=N144,"Yes","No")),"")</f>
        <v/>
      </c>
      <c r="BD315" t="str">
        <f t="shared" si="107"/>
        <v/>
      </c>
      <c r="BE315" t="str">
        <f t="shared" si="108"/>
        <v/>
      </c>
      <c r="BF315" t="str">
        <f t="shared" si="109"/>
        <v>No</v>
      </c>
      <c r="BG315" t="str">
        <f t="shared" si="110"/>
        <v>No</v>
      </c>
      <c r="BH315" t="str">
        <f t="shared" si="111"/>
        <v/>
      </c>
    </row>
    <row r="316" spans="9:60" x14ac:dyDescent="0.3">
      <c r="I316" t="str">
        <f t="shared" si="112"/>
        <v>N/A</v>
      </c>
      <c r="J316" t="str">
        <f t="shared" si="113"/>
        <v>N/A</v>
      </c>
      <c r="K316" t="str">
        <f t="shared" si="114"/>
        <v>N/A</v>
      </c>
      <c r="L316" t="str">
        <f t="shared" si="115"/>
        <v>N/A</v>
      </c>
      <c r="M316" t="str">
        <f t="shared" si="116"/>
        <v>N/A</v>
      </c>
      <c r="N316" t="str">
        <f t="shared" si="117"/>
        <v>N/A</v>
      </c>
      <c r="P316">
        <f t="shared" si="94"/>
        <v>0</v>
      </c>
      <c r="Q316" t="str">
        <f>IFERROR(J144+MATCH(P316,J316:N316,0)-1,"")</f>
        <v/>
      </c>
      <c r="R316" t="str">
        <f t="shared" si="95"/>
        <v/>
      </c>
      <c r="S316" t="str">
        <f>IFERROR(J144+MATCH(R316,J316:N316,0)-1,"")</f>
        <v/>
      </c>
      <c r="T316" t="str">
        <f t="shared" si="96"/>
        <v/>
      </c>
      <c r="U316" t="str">
        <f t="shared" si="97"/>
        <v/>
      </c>
      <c r="V316" t="str">
        <f t="shared" si="98"/>
        <v/>
      </c>
      <c r="W316" t="str">
        <f t="shared" si="99"/>
        <v/>
      </c>
      <c r="X316" t="str">
        <f t="shared" si="100"/>
        <v/>
      </c>
      <c r="Y316" t="str">
        <f t="shared" si="101"/>
        <v/>
      </c>
      <c r="Z316" t="str">
        <f t="shared" si="102"/>
        <v/>
      </c>
      <c r="AA316">
        <f t="shared" si="103"/>
        <v>0</v>
      </c>
      <c r="AB316" t="str">
        <f>IFERROR(V144+MATCH(AA316,V316:Z316,0)-1,"")</f>
        <v/>
      </c>
      <c r="AC316" t="str">
        <f t="shared" si="104"/>
        <v/>
      </c>
      <c r="AE316" t="str">
        <f>IF(ISNUMBER(MATCH("N/A",J316:N316,0)),"",IFERROR((5 * SUMPRODUCT(J144:N144,J316:N316) - PRODUCT(SUM(J144:N144),SUM(J316:N316))) / ((5 * SUM((J144^2)+(K144^2)+(L144^2)+(M144^2)+(N144^2))) - SUM(J144:N144)^2),""))</f>
        <v/>
      </c>
      <c r="AF316" t="str">
        <f>IFERROR(CORREL(J144:N144,J316:N316),"")</f>
        <v/>
      </c>
      <c r="AZ316">
        <f t="shared" si="105"/>
        <v>0</v>
      </c>
      <c r="BA316" t="str">
        <f>IF(AZ316=1,IF(Q316="","",IF(Q316=N144,"Yes","No")),"")</f>
        <v/>
      </c>
      <c r="BB316" t="str">
        <f t="shared" si="106"/>
        <v/>
      </c>
      <c r="BC316" t="str">
        <f>IF(AZ316=1,IF(S316="","",IF(S316=N144,"Yes","No")),"")</f>
        <v/>
      </c>
      <c r="BD316" t="str">
        <f t="shared" si="107"/>
        <v/>
      </c>
      <c r="BE316" t="str">
        <f t="shared" si="108"/>
        <v/>
      </c>
      <c r="BF316" t="str">
        <f t="shared" si="109"/>
        <v>No</v>
      </c>
      <c r="BG316" t="str">
        <f t="shared" si="110"/>
        <v>No</v>
      </c>
      <c r="BH316" t="str">
        <f t="shared" si="111"/>
        <v/>
      </c>
    </row>
    <row r="317" spans="9:60" x14ac:dyDescent="0.3">
      <c r="I317" t="str">
        <f t="shared" si="112"/>
        <v>N/A</v>
      </c>
      <c r="J317" t="str">
        <f t="shared" si="113"/>
        <v>N/A</v>
      </c>
      <c r="K317" t="str">
        <f t="shared" si="114"/>
        <v>N/A</v>
      </c>
      <c r="L317" t="str">
        <f t="shared" si="115"/>
        <v>N/A</v>
      </c>
      <c r="M317" t="str">
        <f t="shared" si="116"/>
        <v>N/A</v>
      </c>
      <c r="N317" t="str">
        <f t="shared" si="117"/>
        <v>N/A</v>
      </c>
      <c r="P317">
        <f t="shared" si="94"/>
        <v>0</v>
      </c>
      <c r="Q317" t="str">
        <f>IFERROR(J144+MATCH(P317,J317:N317,0)-1,"")</f>
        <v/>
      </c>
      <c r="R317" t="str">
        <f t="shared" si="95"/>
        <v/>
      </c>
      <c r="S317" t="str">
        <f>IFERROR(J144+MATCH(R317,J317:N317,0)-1,"")</f>
        <v/>
      </c>
      <c r="T317" t="str">
        <f t="shared" si="96"/>
        <v/>
      </c>
      <c r="U317" t="str">
        <f t="shared" si="97"/>
        <v/>
      </c>
      <c r="V317" t="str">
        <f t="shared" si="98"/>
        <v/>
      </c>
      <c r="W317" t="str">
        <f t="shared" si="99"/>
        <v/>
      </c>
      <c r="X317" t="str">
        <f t="shared" si="100"/>
        <v/>
      </c>
      <c r="Y317" t="str">
        <f t="shared" si="101"/>
        <v/>
      </c>
      <c r="Z317" t="str">
        <f t="shared" si="102"/>
        <v/>
      </c>
      <c r="AA317">
        <f t="shared" si="103"/>
        <v>0</v>
      </c>
      <c r="AB317" t="str">
        <f>IFERROR(V144+MATCH(AA317,V317:Z317,0)-1,"")</f>
        <v/>
      </c>
      <c r="AC317" t="str">
        <f t="shared" si="104"/>
        <v/>
      </c>
      <c r="AE317" t="str">
        <f>IF(ISNUMBER(MATCH("N/A",J317:N317,0)),"",IFERROR((5 * SUMPRODUCT(J144:N144,J317:N317) - PRODUCT(SUM(J144:N144),SUM(J317:N317))) / ((5 * SUM((J144^2)+(K144^2)+(L144^2)+(M144^2)+(N144^2))) - SUM(J144:N144)^2),""))</f>
        <v/>
      </c>
      <c r="AF317" t="str">
        <f>IFERROR(CORREL(J144:N144,J317:N317),"")</f>
        <v/>
      </c>
      <c r="AZ317">
        <f t="shared" si="105"/>
        <v>0</v>
      </c>
      <c r="BA317" t="str">
        <f>IF(AZ317=1,IF(Q317="","",IF(Q317=N144,"Yes","No")),"")</f>
        <v/>
      </c>
      <c r="BB317" t="str">
        <f t="shared" si="106"/>
        <v/>
      </c>
      <c r="BC317" t="str">
        <f>IF(AZ317=1,IF(S317="","",IF(S317=N144,"Yes","No")),"")</f>
        <v/>
      </c>
      <c r="BD317" t="str">
        <f t="shared" si="107"/>
        <v/>
      </c>
      <c r="BE317" t="str">
        <f t="shared" si="108"/>
        <v/>
      </c>
      <c r="BF317" t="str">
        <f t="shared" si="109"/>
        <v>No</v>
      </c>
      <c r="BG317" t="str">
        <f t="shared" si="110"/>
        <v>No</v>
      </c>
      <c r="BH317" t="str">
        <f t="shared" si="111"/>
        <v/>
      </c>
    </row>
    <row r="318" spans="9:60" x14ac:dyDescent="0.3">
      <c r="I318" t="str">
        <f t="shared" si="112"/>
        <v>N/A</v>
      </c>
      <c r="J318" t="str">
        <f t="shared" si="113"/>
        <v>N/A</v>
      </c>
      <c r="K318" t="str">
        <f t="shared" si="114"/>
        <v>N/A</v>
      </c>
      <c r="L318" t="str">
        <f t="shared" si="115"/>
        <v>N/A</v>
      </c>
      <c r="M318" t="str">
        <f t="shared" si="116"/>
        <v>N/A</v>
      </c>
      <c r="N318" t="str">
        <f t="shared" si="117"/>
        <v>N/A</v>
      </c>
      <c r="P318">
        <f t="shared" si="94"/>
        <v>0</v>
      </c>
      <c r="Q318" t="str">
        <f>IFERROR(J144+MATCH(P318,J318:N318,0)-1,"")</f>
        <v/>
      </c>
      <c r="R318" t="str">
        <f t="shared" si="95"/>
        <v/>
      </c>
      <c r="S318" t="str">
        <f>IFERROR(J144+MATCH(R318,J318:N318,0)-1,"")</f>
        <v/>
      </c>
      <c r="T318" t="str">
        <f t="shared" si="96"/>
        <v/>
      </c>
      <c r="U318" t="str">
        <f t="shared" si="97"/>
        <v/>
      </c>
      <c r="V318" t="str">
        <f t="shared" si="98"/>
        <v/>
      </c>
      <c r="W318" t="str">
        <f t="shared" si="99"/>
        <v/>
      </c>
      <c r="X318" t="str">
        <f t="shared" si="100"/>
        <v/>
      </c>
      <c r="Y318" t="str">
        <f t="shared" si="101"/>
        <v/>
      </c>
      <c r="Z318" t="str">
        <f t="shared" si="102"/>
        <v/>
      </c>
      <c r="AA318">
        <f t="shared" si="103"/>
        <v>0</v>
      </c>
      <c r="AB318" t="str">
        <f>IFERROR(V144+MATCH(AA318,V318:Z318,0)-1,"")</f>
        <v/>
      </c>
      <c r="AC318" t="str">
        <f t="shared" si="104"/>
        <v/>
      </c>
      <c r="AE318" t="str">
        <f>IF(ISNUMBER(MATCH("N/A",J318:N318,0)),"",IFERROR((5 * SUMPRODUCT(J144:N144,J318:N318) - PRODUCT(SUM(J144:N144),SUM(J318:N318))) / ((5 * SUM((J144^2)+(K144^2)+(L144^2)+(M144^2)+(N144^2))) - SUM(J144:N144)^2),""))</f>
        <v/>
      </c>
      <c r="AF318" t="str">
        <f>IFERROR(CORREL(J144:N144,J318:N318),"")</f>
        <v/>
      </c>
      <c r="AZ318">
        <f t="shared" si="105"/>
        <v>0</v>
      </c>
      <c r="BA318" t="str">
        <f>IF(AZ318=1,IF(Q318="","",IF(Q318=N144,"Yes","No")),"")</f>
        <v/>
      </c>
      <c r="BB318" t="str">
        <f t="shared" si="106"/>
        <v/>
      </c>
      <c r="BC318" t="str">
        <f>IF(AZ318=1,IF(S318="","",IF(S318=N144,"Yes","No")),"")</f>
        <v/>
      </c>
      <c r="BD318" t="str">
        <f t="shared" si="107"/>
        <v/>
      </c>
      <c r="BE318" t="str">
        <f t="shared" si="108"/>
        <v/>
      </c>
      <c r="BF318" t="str">
        <f t="shared" si="109"/>
        <v>No</v>
      </c>
      <c r="BG318" t="str">
        <f t="shared" si="110"/>
        <v>No</v>
      </c>
      <c r="BH318" t="str">
        <f t="shared" si="111"/>
        <v/>
      </c>
    </row>
    <row r="319" spans="9:60" x14ac:dyDescent="0.3">
      <c r="I319" t="str">
        <f t="shared" si="112"/>
        <v>N/A</v>
      </c>
      <c r="J319" t="str">
        <f t="shared" si="113"/>
        <v>N/A</v>
      </c>
      <c r="K319" t="str">
        <f t="shared" si="114"/>
        <v>N/A</v>
      </c>
      <c r="L319" t="str">
        <f t="shared" si="115"/>
        <v>N/A</v>
      </c>
      <c r="M319" t="str">
        <f t="shared" si="116"/>
        <v>N/A</v>
      </c>
      <c r="N319" t="str">
        <f t="shared" si="117"/>
        <v>N/A</v>
      </c>
      <c r="P319">
        <f t="shared" si="94"/>
        <v>0</v>
      </c>
      <c r="Q319" t="str">
        <f>IFERROR(J144+MATCH(P319,J319:N319,0)-1,"")</f>
        <v/>
      </c>
      <c r="R319" t="str">
        <f t="shared" si="95"/>
        <v/>
      </c>
      <c r="S319" t="str">
        <f>IFERROR(J144+MATCH(R319,J319:N319,0)-1,"")</f>
        <v/>
      </c>
      <c r="T319" t="str">
        <f t="shared" si="96"/>
        <v/>
      </c>
      <c r="U319" t="str">
        <f t="shared" si="97"/>
        <v/>
      </c>
      <c r="V319" t="str">
        <f t="shared" si="98"/>
        <v/>
      </c>
      <c r="W319" t="str">
        <f t="shared" si="99"/>
        <v/>
      </c>
      <c r="X319" t="str">
        <f t="shared" si="100"/>
        <v/>
      </c>
      <c r="Y319" t="str">
        <f t="shared" si="101"/>
        <v/>
      </c>
      <c r="Z319" t="str">
        <f t="shared" si="102"/>
        <v/>
      </c>
      <c r="AA319">
        <f t="shared" si="103"/>
        <v>0</v>
      </c>
      <c r="AB319" t="str">
        <f>IFERROR(V144+MATCH(AA319,V319:Z319,0)-1,"")</f>
        <v/>
      </c>
      <c r="AC319" t="str">
        <f t="shared" si="104"/>
        <v/>
      </c>
      <c r="AE319" t="str">
        <f>IF(ISNUMBER(MATCH("N/A",J319:N319,0)),"",IFERROR((5 * SUMPRODUCT(J144:N144,J319:N319) - PRODUCT(SUM(J144:N144),SUM(J319:N319))) / ((5 * SUM((J144^2)+(K144^2)+(L144^2)+(M144^2)+(N144^2))) - SUM(J144:N144)^2),""))</f>
        <v/>
      </c>
      <c r="AF319" t="str">
        <f>IFERROR(CORREL(J144:N144,J319:N319),"")</f>
        <v/>
      </c>
      <c r="AZ319">
        <f t="shared" si="105"/>
        <v>0</v>
      </c>
      <c r="BA319" t="str">
        <f>IF(AZ319=1,IF(Q319="","",IF(Q319=N144,"Yes","No")),"")</f>
        <v/>
      </c>
      <c r="BB319" t="str">
        <f t="shared" si="106"/>
        <v/>
      </c>
      <c r="BC319" t="str">
        <f>IF(AZ319=1,IF(S319="","",IF(S319=N144,"Yes","No")),"")</f>
        <v/>
      </c>
      <c r="BD319" t="str">
        <f t="shared" si="107"/>
        <v/>
      </c>
      <c r="BE319" t="str">
        <f t="shared" si="108"/>
        <v/>
      </c>
      <c r="BF319" t="str">
        <f t="shared" si="109"/>
        <v>No</v>
      </c>
      <c r="BG319" t="str">
        <f t="shared" si="110"/>
        <v>No</v>
      </c>
      <c r="BH319" t="str">
        <f t="shared" si="111"/>
        <v/>
      </c>
    </row>
    <row r="320" spans="9:60" x14ac:dyDescent="0.3">
      <c r="I320" t="str">
        <f t="shared" si="112"/>
        <v>N/A</v>
      </c>
      <c r="J320" t="str">
        <f t="shared" si="113"/>
        <v>N/A</v>
      </c>
      <c r="K320" t="str">
        <f t="shared" si="114"/>
        <v>N/A</v>
      </c>
      <c r="L320" t="str">
        <f t="shared" si="115"/>
        <v>N/A</v>
      </c>
      <c r="M320" t="str">
        <f t="shared" si="116"/>
        <v>N/A</v>
      </c>
      <c r="N320" t="str">
        <f t="shared" si="117"/>
        <v>N/A</v>
      </c>
      <c r="P320">
        <f t="shared" si="94"/>
        <v>0</v>
      </c>
      <c r="Q320" t="str">
        <f>IFERROR(J144+MATCH(P320,J320:N320,0)-1,"")</f>
        <v/>
      </c>
      <c r="R320" t="str">
        <f t="shared" si="95"/>
        <v/>
      </c>
      <c r="S320" t="str">
        <f>IFERROR(J144+MATCH(R320,J320:N320,0)-1,"")</f>
        <v/>
      </c>
      <c r="T320" t="str">
        <f t="shared" si="96"/>
        <v/>
      </c>
      <c r="U320" t="str">
        <f t="shared" si="97"/>
        <v/>
      </c>
      <c r="V320" t="str">
        <f t="shared" si="98"/>
        <v/>
      </c>
      <c r="W320" t="str">
        <f t="shared" si="99"/>
        <v/>
      </c>
      <c r="X320" t="str">
        <f t="shared" si="100"/>
        <v/>
      </c>
      <c r="Y320" t="str">
        <f t="shared" si="101"/>
        <v/>
      </c>
      <c r="Z320" t="str">
        <f t="shared" si="102"/>
        <v/>
      </c>
      <c r="AA320">
        <f t="shared" si="103"/>
        <v>0</v>
      </c>
      <c r="AB320" t="str">
        <f>IFERROR(V144+MATCH(AA320,V320:Z320,0)-1,"")</f>
        <v/>
      </c>
      <c r="AC320" t="str">
        <f t="shared" si="104"/>
        <v/>
      </c>
      <c r="AE320" t="str">
        <f>IF(ISNUMBER(MATCH("N/A",J320:N320,0)),"",IFERROR((5 * SUMPRODUCT(J144:N144,J320:N320) - PRODUCT(SUM(J144:N144),SUM(J320:N320))) / ((5 * SUM((J144^2)+(K144^2)+(L144^2)+(M144^2)+(N144^2))) - SUM(J144:N144)^2),""))</f>
        <v/>
      </c>
      <c r="AF320" t="str">
        <f>IFERROR(CORREL(J144:N144,J320:N320),"")</f>
        <v/>
      </c>
      <c r="AZ320">
        <f t="shared" si="105"/>
        <v>0</v>
      </c>
      <c r="BA320" t="str">
        <f>IF(AZ320=1,IF(Q320="","",IF(Q320=N144,"Yes","No")),"")</f>
        <v/>
      </c>
      <c r="BB320" t="str">
        <f t="shared" si="106"/>
        <v/>
      </c>
      <c r="BC320" t="str">
        <f>IF(AZ320=1,IF(S320="","",IF(S320=N144,"Yes","No")),"")</f>
        <v/>
      </c>
      <c r="BD320" t="str">
        <f t="shared" si="107"/>
        <v/>
      </c>
      <c r="BE320" t="str">
        <f t="shared" si="108"/>
        <v/>
      </c>
      <c r="BF320" t="str">
        <f t="shared" si="109"/>
        <v>No</v>
      </c>
      <c r="BG320" t="str">
        <f t="shared" si="110"/>
        <v>No</v>
      </c>
      <c r="BH320" t="str">
        <f t="shared" si="111"/>
        <v/>
      </c>
    </row>
    <row r="321" spans="9:60" x14ac:dyDescent="0.3">
      <c r="I321" t="str">
        <f t="shared" si="112"/>
        <v>N/A</v>
      </c>
      <c r="J321" t="str">
        <f t="shared" si="113"/>
        <v>N/A</v>
      </c>
      <c r="K321" t="str">
        <f t="shared" si="114"/>
        <v>N/A</v>
      </c>
      <c r="L321" t="str">
        <f t="shared" si="115"/>
        <v>N/A</v>
      </c>
      <c r="M321" t="str">
        <f t="shared" si="116"/>
        <v>N/A</v>
      </c>
      <c r="N321" t="str">
        <f t="shared" si="117"/>
        <v>N/A</v>
      </c>
      <c r="P321">
        <f t="shared" si="94"/>
        <v>0</v>
      </c>
      <c r="Q321" t="str">
        <f>IFERROR(J144+MATCH(P321,J321:N321,0)-1,"")</f>
        <v/>
      </c>
      <c r="R321" t="str">
        <f t="shared" si="95"/>
        <v/>
      </c>
      <c r="S321" t="str">
        <f>IFERROR(J144+MATCH(R321,J321:N321,0)-1,"")</f>
        <v/>
      </c>
      <c r="T321" t="str">
        <f t="shared" si="96"/>
        <v/>
      </c>
      <c r="U321" t="str">
        <f t="shared" si="97"/>
        <v/>
      </c>
      <c r="V321" t="str">
        <f t="shared" si="98"/>
        <v/>
      </c>
      <c r="W321" t="str">
        <f t="shared" si="99"/>
        <v/>
      </c>
      <c r="X321" t="str">
        <f t="shared" si="100"/>
        <v/>
      </c>
      <c r="Y321" t="str">
        <f t="shared" si="101"/>
        <v/>
      </c>
      <c r="Z321" t="str">
        <f t="shared" si="102"/>
        <v/>
      </c>
      <c r="AA321">
        <f t="shared" si="103"/>
        <v>0</v>
      </c>
      <c r="AB321" t="str">
        <f>IFERROR(V144+MATCH(AA321,V321:Z321,0)-1,"")</f>
        <v/>
      </c>
      <c r="AC321" t="str">
        <f t="shared" si="104"/>
        <v/>
      </c>
      <c r="AE321" t="str">
        <f>IF(ISNUMBER(MATCH("N/A",J321:N321,0)),"",IFERROR((5 * SUMPRODUCT(J144:N144,J321:N321) - PRODUCT(SUM(J144:N144),SUM(J321:N321))) / ((5 * SUM((J144^2)+(K144^2)+(L144^2)+(M144^2)+(N144^2))) - SUM(J144:N144)^2),""))</f>
        <v/>
      </c>
      <c r="AF321" t="str">
        <f>IFERROR(CORREL(J144:N144,J321:N321),"")</f>
        <v/>
      </c>
      <c r="AZ321">
        <f t="shared" si="105"/>
        <v>0</v>
      </c>
      <c r="BA321" t="str">
        <f>IF(AZ321=1,IF(Q321="","",IF(Q321=N144,"Yes","No")),"")</f>
        <v/>
      </c>
      <c r="BB321" t="str">
        <f t="shared" si="106"/>
        <v/>
      </c>
      <c r="BC321" t="str">
        <f>IF(AZ321=1,IF(S321="","",IF(S321=N144,"Yes","No")),"")</f>
        <v/>
      </c>
      <c r="BD321" t="str">
        <f t="shared" si="107"/>
        <v/>
      </c>
      <c r="BE321" t="str">
        <f t="shared" si="108"/>
        <v/>
      </c>
      <c r="BF321" t="str">
        <f t="shared" si="109"/>
        <v>No</v>
      </c>
      <c r="BG321" t="str">
        <f t="shared" si="110"/>
        <v>No</v>
      </c>
      <c r="BH321" t="str">
        <f t="shared" si="111"/>
        <v/>
      </c>
    </row>
    <row r="322" spans="9:60" x14ac:dyDescent="0.3">
      <c r="I322" t="str">
        <f t="shared" si="112"/>
        <v>N/A</v>
      </c>
      <c r="J322" t="str">
        <f t="shared" si="113"/>
        <v>N/A</v>
      </c>
      <c r="K322" t="str">
        <f t="shared" si="114"/>
        <v>N/A</v>
      </c>
      <c r="L322" t="str">
        <f t="shared" si="115"/>
        <v>N/A</v>
      </c>
      <c r="M322" t="str">
        <f t="shared" si="116"/>
        <v>N/A</v>
      </c>
      <c r="N322" t="str">
        <f t="shared" si="117"/>
        <v>N/A</v>
      </c>
      <c r="P322">
        <f t="shared" si="94"/>
        <v>0</v>
      </c>
      <c r="Q322" t="str">
        <f>IFERROR(J144+MATCH(P322,J322:N322,0)-1,"")</f>
        <v/>
      </c>
      <c r="R322" t="str">
        <f t="shared" si="95"/>
        <v/>
      </c>
      <c r="S322" t="str">
        <f>IFERROR(J144+MATCH(R322,J322:N322,0)-1,"")</f>
        <v/>
      </c>
      <c r="T322" t="str">
        <f t="shared" si="96"/>
        <v/>
      </c>
      <c r="U322" t="str">
        <f t="shared" si="97"/>
        <v/>
      </c>
      <c r="V322" t="str">
        <f t="shared" si="98"/>
        <v/>
      </c>
      <c r="W322" t="str">
        <f t="shared" si="99"/>
        <v/>
      </c>
      <c r="X322" t="str">
        <f t="shared" si="100"/>
        <v/>
      </c>
      <c r="Y322" t="str">
        <f t="shared" si="101"/>
        <v/>
      </c>
      <c r="Z322" t="str">
        <f t="shared" si="102"/>
        <v/>
      </c>
      <c r="AA322">
        <f t="shared" si="103"/>
        <v>0</v>
      </c>
      <c r="AB322" t="str">
        <f>IFERROR(V144+MATCH(AA322,V322:Z322,0)-1,"")</f>
        <v/>
      </c>
      <c r="AC322" t="str">
        <f t="shared" si="104"/>
        <v/>
      </c>
      <c r="AE322" t="str">
        <f>IF(ISNUMBER(MATCH("N/A",J322:N322,0)),"",IFERROR((5 * SUMPRODUCT(J144:N144,J322:N322) - PRODUCT(SUM(J144:N144),SUM(J322:N322))) / ((5 * SUM((J144^2)+(K144^2)+(L144^2)+(M144^2)+(N144^2))) - SUM(J144:N144)^2),""))</f>
        <v/>
      </c>
      <c r="AF322" t="str">
        <f>IFERROR(CORREL(J144:N144,J322:N322),"")</f>
        <v/>
      </c>
      <c r="AZ322">
        <f t="shared" si="105"/>
        <v>0</v>
      </c>
      <c r="BA322" t="str">
        <f>IF(AZ322=1,IF(Q322="","",IF(Q322=N144,"Yes","No")),"")</f>
        <v/>
      </c>
      <c r="BB322" t="str">
        <f t="shared" si="106"/>
        <v/>
      </c>
      <c r="BC322" t="str">
        <f>IF(AZ322=1,IF(S322="","",IF(S322=N144,"Yes","No")),"")</f>
        <v/>
      </c>
      <c r="BD322" t="str">
        <f t="shared" si="107"/>
        <v/>
      </c>
      <c r="BE322" t="str">
        <f t="shared" si="108"/>
        <v/>
      </c>
      <c r="BF322" t="str">
        <f t="shared" si="109"/>
        <v>No</v>
      </c>
      <c r="BG322" t="str">
        <f t="shared" si="110"/>
        <v>No</v>
      </c>
      <c r="BH322" t="str">
        <f t="shared" si="111"/>
        <v/>
      </c>
    </row>
    <row r="323" spans="9:60" x14ac:dyDescent="0.3">
      <c r="I323" t="str">
        <f t="shared" si="112"/>
        <v>N/A</v>
      </c>
      <c r="J323" t="str">
        <f t="shared" si="113"/>
        <v>N/A</v>
      </c>
      <c r="K323" t="str">
        <f t="shared" si="114"/>
        <v>N/A</v>
      </c>
      <c r="L323" t="str">
        <f t="shared" si="115"/>
        <v>N/A</v>
      </c>
      <c r="M323" t="str">
        <f t="shared" si="116"/>
        <v>N/A</v>
      </c>
      <c r="N323" t="str">
        <f t="shared" si="117"/>
        <v>N/A</v>
      </c>
      <c r="P323">
        <f t="shared" si="94"/>
        <v>0</v>
      </c>
      <c r="Q323" t="str">
        <f>IFERROR(J144+MATCH(P323,J323:N323,0)-1,"")</f>
        <v/>
      </c>
      <c r="R323" t="str">
        <f t="shared" si="95"/>
        <v/>
      </c>
      <c r="S323" t="str">
        <f>IFERROR(J144+MATCH(R323,J323:N323,0)-1,"")</f>
        <v/>
      </c>
      <c r="T323" t="str">
        <f t="shared" si="96"/>
        <v/>
      </c>
      <c r="U323" t="str">
        <f t="shared" si="97"/>
        <v/>
      </c>
      <c r="V323" t="str">
        <f t="shared" si="98"/>
        <v/>
      </c>
      <c r="W323" t="str">
        <f t="shared" si="99"/>
        <v/>
      </c>
      <c r="X323" t="str">
        <f t="shared" si="100"/>
        <v/>
      </c>
      <c r="Y323" t="str">
        <f t="shared" si="101"/>
        <v/>
      </c>
      <c r="Z323" t="str">
        <f t="shared" si="102"/>
        <v/>
      </c>
      <c r="AA323">
        <f t="shared" si="103"/>
        <v>0</v>
      </c>
      <c r="AB323" t="str">
        <f>IFERROR(V144+MATCH(AA323,V323:Z323,0)-1,"")</f>
        <v/>
      </c>
      <c r="AC323" t="str">
        <f t="shared" si="104"/>
        <v/>
      </c>
      <c r="AE323" t="str">
        <f>IF(ISNUMBER(MATCH("N/A",J323:N323,0)),"",IFERROR((5 * SUMPRODUCT(J144:N144,J323:N323) - PRODUCT(SUM(J144:N144),SUM(J323:N323))) / ((5 * SUM((J144^2)+(K144^2)+(L144^2)+(M144^2)+(N144^2))) - SUM(J144:N144)^2),""))</f>
        <v/>
      </c>
      <c r="AF323" t="str">
        <f>IFERROR(CORREL(J144:N144,J323:N323),"")</f>
        <v/>
      </c>
      <c r="AZ323">
        <f t="shared" si="105"/>
        <v>0</v>
      </c>
      <c r="BA323" t="str">
        <f>IF(AZ323=1,IF(Q323="","",IF(Q323=N144,"Yes","No")),"")</f>
        <v/>
      </c>
      <c r="BB323" t="str">
        <f t="shared" si="106"/>
        <v/>
      </c>
      <c r="BC323" t="str">
        <f>IF(AZ323=1,IF(S323="","",IF(S323=N144,"Yes","No")),"")</f>
        <v/>
      </c>
      <c r="BD323" t="str">
        <f t="shared" si="107"/>
        <v/>
      </c>
      <c r="BE323" t="str">
        <f t="shared" si="108"/>
        <v/>
      </c>
      <c r="BF323" t="str">
        <f t="shared" si="109"/>
        <v>No</v>
      </c>
      <c r="BG323" t="str">
        <f t="shared" si="110"/>
        <v>No</v>
      </c>
      <c r="BH323" t="str">
        <f t="shared" si="111"/>
        <v/>
      </c>
    </row>
    <row r="324" spans="9:60" x14ac:dyDescent="0.3">
      <c r="I324" t="str">
        <f t="shared" si="112"/>
        <v>N/A</v>
      </c>
      <c r="J324" t="str">
        <f t="shared" si="113"/>
        <v>N/A</v>
      </c>
      <c r="K324" t="str">
        <f t="shared" si="114"/>
        <v>N/A</v>
      </c>
      <c r="L324" t="str">
        <f t="shared" si="115"/>
        <v>N/A</v>
      </c>
      <c r="M324" t="str">
        <f t="shared" si="116"/>
        <v>N/A</v>
      </c>
      <c r="N324" t="str">
        <f t="shared" si="117"/>
        <v>N/A</v>
      </c>
      <c r="P324">
        <f t="shared" si="94"/>
        <v>0</v>
      </c>
      <c r="Q324" t="str">
        <f>IFERROR(J144+MATCH(P324,J324:N324,0)-1,"")</f>
        <v/>
      </c>
      <c r="R324" t="str">
        <f t="shared" si="95"/>
        <v/>
      </c>
      <c r="S324" t="str">
        <f>IFERROR(J144+MATCH(R324,J324:N324,0)-1,"")</f>
        <v/>
      </c>
      <c r="T324" t="str">
        <f t="shared" si="96"/>
        <v/>
      </c>
      <c r="U324" t="str">
        <f t="shared" si="97"/>
        <v/>
      </c>
      <c r="V324" t="str">
        <f t="shared" si="98"/>
        <v/>
      </c>
      <c r="W324" t="str">
        <f t="shared" si="99"/>
        <v/>
      </c>
      <c r="X324" t="str">
        <f t="shared" si="100"/>
        <v/>
      </c>
      <c r="Y324" t="str">
        <f t="shared" si="101"/>
        <v/>
      </c>
      <c r="Z324" t="str">
        <f t="shared" si="102"/>
        <v/>
      </c>
      <c r="AA324">
        <f t="shared" si="103"/>
        <v>0</v>
      </c>
      <c r="AB324" t="str">
        <f>IFERROR(V144+MATCH(AA324,V324:Z324,0)-1,"")</f>
        <v/>
      </c>
      <c r="AC324" t="str">
        <f t="shared" si="104"/>
        <v/>
      </c>
      <c r="AE324" t="str">
        <f>IF(ISNUMBER(MATCH("N/A",J324:N324,0)),"",IFERROR((5 * SUMPRODUCT(J144:N144,J324:N324) - PRODUCT(SUM(J144:N144),SUM(J324:N324))) / ((5 * SUM((J144^2)+(K144^2)+(L144^2)+(M144^2)+(N144^2))) - SUM(J144:N144)^2),""))</f>
        <v/>
      </c>
      <c r="AF324" t="str">
        <f>IFERROR(CORREL(J144:N144,J324:N324),"")</f>
        <v/>
      </c>
      <c r="AZ324">
        <f t="shared" si="105"/>
        <v>0</v>
      </c>
      <c r="BA324" t="str">
        <f>IF(AZ324=1,IF(Q324="","",IF(Q324=N144,"Yes","No")),"")</f>
        <v/>
      </c>
      <c r="BB324" t="str">
        <f t="shared" si="106"/>
        <v/>
      </c>
      <c r="BC324" t="str">
        <f>IF(AZ324=1,IF(S324="","",IF(S324=N144,"Yes","No")),"")</f>
        <v/>
      </c>
      <c r="BD324" t="str">
        <f t="shared" si="107"/>
        <v/>
      </c>
      <c r="BE324" t="str">
        <f t="shared" si="108"/>
        <v/>
      </c>
      <c r="BF324" t="str">
        <f t="shared" si="109"/>
        <v>No</v>
      </c>
      <c r="BG324" t="str">
        <f t="shared" si="110"/>
        <v>No</v>
      </c>
      <c r="BH324" t="str">
        <f t="shared" si="111"/>
        <v/>
      </c>
    </row>
    <row r="325" spans="9:60" x14ac:dyDescent="0.3">
      <c r="I325" t="str">
        <f t="shared" si="112"/>
        <v>N/A</v>
      </c>
      <c r="J325" t="str">
        <f t="shared" si="113"/>
        <v>N/A</v>
      </c>
      <c r="K325" t="str">
        <f t="shared" si="114"/>
        <v>N/A</v>
      </c>
      <c r="L325" t="str">
        <f t="shared" si="115"/>
        <v>N/A</v>
      </c>
      <c r="M325" t="str">
        <f t="shared" si="116"/>
        <v>N/A</v>
      </c>
      <c r="N325" t="str">
        <f t="shared" si="117"/>
        <v>N/A</v>
      </c>
      <c r="P325">
        <f t="shared" si="94"/>
        <v>0</v>
      </c>
      <c r="Q325" t="str">
        <f>IFERROR(J144+MATCH(P325,J325:N325,0)-1,"")</f>
        <v/>
      </c>
      <c r="R325" t="str">
        <f t="shared" si="95"/>
        <v/>
      </c>
      <c r="S325" t="str">
        <f>IFERROR(J144+MATCH(R325,J325:N325,0)-1,"")</f>
        <v/>
      </c>
      <c r="T325" t="str">
        <f t="shared" si="96"/>
        <v/>
      </c>
      <c r="U325" t="str">
        <f t="shared" si="97"/>
        <v/>
      </c>
      <c r="V325" t="str">
        <f t="shared" si="98"/>
        <v/>
      </c>
      <c r="W325" t="str">
        <f t="shared" si="99"/>
        <v/>
      </c>
      <c r="X325" t="str">
        <f t="shared" si="100"/>
        <v/>
      </c>
      <c r="Y325" t="str">
        <f t="shared" si="101"/>
        <v/>
      </c>
      <c r="Z325" t="str">
        <f t="shared" si="102"/>
        <v/>
      </c>
      <c r="AA325">
        <f t="shared" si="103"/>
        <v>0</v>
      </c>
      <c r="AB325" t="str">
        <f>IFERROR(V144+MATCH(AA325,V325:Z325,0)-1,"")</f>
        <v/>
      </c>
      <c r="AC325" t="str">
        <f t="shared" si="104"/>
        <v/>
      </c>
      <c r="AE325" t="str">
        <f>IF(ISNUMBER(MATCH("N/A",J325:N325,0)),"",IFERROR((5 * SUMPRODUCT(J144:N144,J325:N325) - PRODUCT(SUM(J144:N144),SUM(J325:N325))) / ((5 * SUM((J144^2)+(K144^2)+(L144^2)+(M144^2)+(N144^2))) - SUM(J144:N144)^2),""))</f>
        <v/>
      </c>
      <c r="AF325" t="str">
        <f>IFERROR(CORREL(J144:N144,J325:N325),"")</f>
        <v/>
      </c>
      <c r="AZ325">
        <f t="shared" si="105"/>
        <v>0</v>
      </c>
      <c r="BA325" t="str">
        <f>IF(AZ325=1,IF(Q325="","",IF(Q325=N144,"Yes","No")),"")</f>
        <v/>
      </c>
      <c r="BB325" t="str">
        <f t="shared" si="106"/>
        <v/>
      </c>
      <c r="BC325" t="str">
        <f>IF(AZ325=1,IF(S325="","",IF(S325=N144,"Yes","No")),"")</f>
        <v/>
      </c>
      <c r="BD325" t="str">
        <f t="shared" si="107"/>
        <v/>
      </c>
      <c r="BE325" t="str">
        <f t="shared" si="108"/>
        <v/>
      </c>
      <c r="BF325" t="str">
        <f t="shared" si="109"/>
        <v>No</v>
      </c>
      <c r="BG325" t="str">
        <f t="shared" si="110"/>
        <v>No</v>
      </c>
      <c r="BH325" t="str">
        <f t="shared" si="111"/>
        <v/>
      </c>
    </row>
    <row r="326" spans="9:60" x14ac:dyDescent="0.3">
      <c r="I326" t="str">
        <f t="shared" si="112"/>
        <v>N/A</v>
      </c>
      <c r="J326" t="str">
        <f t="shared" si="113"/>
        <v>N/A</v>
      </c>
      <c r="K326" t="str">
        <f t="shared" si="114"/>
        <v>N/A</v>
      </c>
      <c r="L326" t="str">
        <f t="shared" si="115"/>
        <v>N/A</v>
      </c>
      <c r="M326" t="str">
        <f t="shared" si="116"/>
        <v>N/A</v>
      </c>
      <c r="N326" t="str">
        <f t="shared" si="117"/>
        <v>N/A</v>
      </c>
      <c r="P326">
        <f t="shared" si="94"/>
        <v>0</v>
      </c>
      <c r="Q326" t="str">
        <f>IFERROR(J144+MATCH(P326,J326:N326,0)-1,"")</f>
        <v/>
      </c>
      <c r="R326" t="str">
        <f t="shared" si="95"/>
        <v/>
      </c>
      <c r="S326" t="str">
        <f>IFERROR(J144+MATCH(R326,J326:N326,0)-1,"")</f>
        <v/>
      </c>
      <c r="T326" t="str">
        <f t="shared" si="96"/>
        <v/>
      </c>
      <c r="U326" t="str">
        <f t="shared" si="97"/>
        <v/>
      </c>
      <c r="V326" t="str">
        <f t="shared" si="98"/>
        <v/>
      </c>
      <c r="W326" t="str">
        <f t="shared" si="99"/>
        <v/>
      </c>
      <c r="X326" t="str">
        <f t="shared" si="100"/>
        <v/>
      </c>
      <c r="Y326" t="str">
        <f t="shared" si="101"/>
        <v/>
      </c>
      <c r="Z326" t="str">
        <f t="shared" si="102"/>
        <v/>
      </c>
      <c r="AA326">
        <f t="shared" si="103"/>
        <v>0</v>
      </c>
      <c r="AB326" t="str">
        <f>IFERROR(V144+MATCH(AA326,V326:Z326,0)-1,"")</f>
        <v/>
      </c>
      <c r="AC326" t="str">
        <f t="shared" si="104"/>
        <v/>
      </c>
      <c r="AE326" t="str">
        <f>IF(ISNUMBER(MATCH("N/A",J326:N326,0)),"",IFERROR((5 * SUMPRODUCT(J144:N144,J326:N326) - PRODUCT(SUM(J144:N144),SUM(J326:N326))) / ((5 * SUM((J144^2)+(K144^2)+(L144^2)+(M144^2)+(N144^2))) - SUM(J144:N144)^2),""))</f>
        <v/>
      </c>
      <c r="AF326" t="str">
        <f>IFERROR(CORREL(J144:N144,J326:N326),"")</f>
        <v/>
      </c>
      <c r="AZ326">
        <f t="shared" si="105"/>
        <v>0</v>
      </c>
      <c r="BA326" t="str">
        <f>IF(AZ326=1,IF(Q326="","",IF(Q326=N144,"Yes","No")),"")</f>
        <v/>
      </c>
      <c r="BB326" t="str">
        <f t="shared" si="106"/>
        <v/>
      </c>
      <c r="BC326" t="str">
        <f>IF(AZ326=1,IF(S326="","",IF(S326=N144,"Yes","No")),"")</f>
        <v/>
      </c>
      <c r="BD326" t="str">
        <f t="shared" si="107"/>
        <v/>
      </c>
      <c r="BE326" t="str">
        <f t="shared" si="108"/>
        <v/>
      </c>
      <c r="BF326" t="str">
        <f t="shared" si="109"/>
        <v>No</v>
      </c>
      <c r="BG326" t="str">
        <f t="shared" si="110"/>
        <v>No</v>
      </c>
      <c r="BH326" t="str">
        <f t="shared" si="111"/>
        <v/>
      </c>
    </row>
    <row r="327" spans="9:60" x14ac:dyDescent="0.3">
      <c r="I327" t="str">
        <f t="shared" si="112"/>
        <v>N/A</v>
      </c>
      <c r="J327" t="str">
        <f t="shared" si="113"/>
        <v>N/A</v>
      </c>
      <c r="K327" t="str">
        <f t="shared" si="114"/>
        <v>N/A</v>
      </c>
      <c r="L327" t="str">
        <f t="shared" si="115"/>
        <v>N/A</v>
      </c>
      <c r="M327" t="str">
        <f t="shared" si="116"/>
        <v>N/A</v>
      </c>
      <c r="N327" t="str">
        <f t="shared" si="117"/>
        <v>N/A</v>
      </c>
      <c r="P327">
        <f t="shared" si="94"/>
        <v>0</v>
      </c>
      <c r="Q327" t="str">
        <f>IFERROR(J144+MATCH(P327,J327:N327,0)-1,"")</f>
        <v/>
      </c>
      <c r="R327" t="str">
        <f t="shared" si="95"/>
        <v/>
      </c>
      <c r="S327" t="str">
        <f>IFERROR(J144+MATCH(R327,J327:N327,0)-1,"")</f>
        <v/>
      </c>
      <c r="T327" t="str">
        <f t="shared" si="96"/>
        <v/>
      </c>
      <c r="U327" t="str">
        <f t="shared" si="97"/>
        <v/>
      </c>
      <c r="V327" t="str">
        <f t="shared" si="98"/>
        <v/>
      </c>
      <c r="W327" t="str">
        <f t="shared" si="99"/>
        <v/>
      </c>
      <c r="X327" t="str">
        <f t="shared" si="100"/>
        <v/>
      </c>
      <c r="Y327" t="str">
        <f t="shared" si="101"/>
        <v/>
      </c>
      <c r="Z327" t="str">
        <f t="shared" si="102"/>
        <v/>
      </c>
      <c r="AA327">
        <f t="shared" si="103"/>
        <v>0</v>
      </c>
      <c r="AB327" t="str">
        <f>IFERROR(V144+MATCH(AA327,V327:Z327,0)-1,"")</f>
        <v/>
      </c>
      <c r="AC327" t="str">
        <f t="shared" si="104"/>
        <v/>
      </c>
      <c r="AE327" t="str">
        <f>IF(ISNUMBER(MATCH("N/A",J327:N327,0)),"",IFERROR((5 * SUMPRODUCT(J144:N144,J327:N327) - PRODUCT(SUM(J144:N144),SUM(J327:N327))) / ((5 * SUM((J144^2)+(K144^2)+(L144^2)+(M144^2)+(N144^2))) - SUM(J144:N144)^2),""))</f>
        <v/>
      </c>
      <c r="AF327" t="str">
        <f>IFERROR(CORREL(J144:N144,J327:N327),"")</f>
        <v/>
      </c>
      <c r="AZ327">
        <f t="shared" si="105"/>
        <v>0</v>
      </c>
      <c r="BA327" t="str">
        <f>IF(AZ327=1,IF(Q327="","",IF(Q327=N144,"Yes","No")),"")</f>
        <v/>
      </c>
      <c r="BB327" t="str">
        <f t="shared" si="106"/>
        <v/>
      </c>
      <c r="BC327" t="str">
        <f>IF(AZ327=1,IF(S327="","",IF(S327=N144,"Yes","No")),"")</f>
        <v/>
      </c>
      <c r="BD327" t="str">
        <f t="shared" si="107"/>
        <v/>
      </c>
      <c r="BE327" t="str">
        <f t="shared" si="108"/>
        <v/>
      </c>
      <c r="BF327" t="str">
        <f t="shared" si="109"/>
        <v>No</v>
      </c>
      <c r="BG327" t="str">
        <f t="shared" si="110"/>
        <v>No</v>
      </c>
      <c r="BH327" t="str">
        <f t="shared" si="111"/>
        <v/>
      </c>
    </row>
    <row r="328" spans="9:60" x14ac:dyDescent="0.3">
      <c r="P328">
        <f t="shared" si="94"/>
        <v>0</v>
      </c>
      <c r="Q328" t="str">
        <f>IFERROR(J144+MATCH(P328,J328:N328,0)-1,"")</f>
        <v/>
      </c>
      <c r="R328" t="str">
        <f t="shared" si="95"/>
        <v/>
      </c>
      <c r="S328" t="str">
        <f>IFERROR(J144+MATCH(R328,J328:N328,0)-1,"")</f>
        <v/>
      </c>
      <c r="T328" t="str">
        <f t="shared" si="96"/>
        <v/>
      </c>
      <c r="U328" t="str">
        <f t="shared" si="97"/>
        <v/>
      </c>
      <c r="V328" t="str">
        <f t="shared" si="98"/>
        <v/>
      </c>
      <c r="W328" t="str">
        <f t="shared" si="99"/>
        <v/>
      </c>
      <c r="X328" t="str">
        <f t="shared" si="100"/>
        <v/>
      </c>
      <c r="Y328" t="str">
        <f t="shared" si="101"/>
        <v/>
      </c>
      <c r="Z328" t="str">
        <f t="shared" si="102"/>
        <v/>
      </c>
      <c r="AA328">
        <f t="shared" si="103"/>
        <v>0</v>
      </c>
      <c r="AB328" t="str">
        <f>IFERROR(V144+MATCH(AA328,V328:Z328,0)-1,"")</f>
        <v/>
      </c>
      <c r="AC328" t="str">
        <f t="shared" si="104"/>
        <v/>
      </c>
      <c r="AE328" t="str">
        <f>IF(ISNUMBER(MATCH("N/A",J328:N328,0)),"",IFERROR((5 * SUMPRODUCT(J144:N144,J328:N328) - PRODUCT(SUM(J144:N144),SUM(J328:N328))) / ((5 * SUM((J144^2)+(K144^2)+(L144^2)+(M144^2)+(N144^2))) - SUM(J144:N144)^2),""))</f>
        <v/>
      </c>
      <c r="AF328" t="str">
        <f>IFERROR(CORREL(J144:N144,J328:N328),"")</f>
        <v/>
      </c>
      <c r="AZ328">
        <f t="shared" si="105"/>
        <v>0</v>
      </c>
      <c r="BA328" t="str">
        <f>IF(AZ328=1,IF(Q328="","",IF(Q328=N144,"Yes","No")),"")</f>
        <v/>
      </c>
      <c r="BB328" t="str">
        <f t="shared" si="106"/>
        <v/>
      </c>
      <c r="BC328" t="str">
        <f>IF(AZ328=1,IF(S328="","",IF(S328=N144,"Yes","No")),"")</f>
        <v/>
      </c>
      <c r="BD328" t="str">
        <f t="shared" si="107"/>
        <v/>
      </c>
      <c r="BE328" t="str">
        <f t="shared" si="108"/>
        <v/>
      </c>
      <c r="BF328" t="str">
        <f t="shared" si="109"/>
        <v>No</v>
      </c>
      <c r="BG328" t="str">
        <f t="shared" si="110"/>
        <v>No</v>
      </c>
      <c r="BH328" t="str">
        <f t="shared" si="111"/>
        <v/>
      </c>
    </row>
    <row r="329" spans="9:60" x14ac:dyDescent="0.3">
      <c r="I329" t="str">
        <f t="shared" ref="I329:I360" si="118">IF(AND(K329&gt; J329, L329&gt; K329, M329&gt; L329, N329&gt; M329), "pos_trend", IF(AND(K329&lt; J329, L329&lt; K329, M329&lt; L329, N329&lt; M329), "neg_trend", "N/A"))</f>
        <v>N/A</v>
      </c>
      <c r="J329" t="str">
        <f t="shared" ref="J329:J360" si="119">IFERROR(IF(TRIM(C329)="-", "N/A", IF(RIGHT(C329,1)=")",IF(RIGHT(C329,2)="T)",-1000000000000*VALUE(MID(C329,2,LEN(C329)-3)),IF(RIGHT(C329,2)="M)",-1000000*VALUE(MID(C329,2,LEN(C329)-3)),IF(RIGHT(C329,2)="B)",-1000000000*VALUE(MID(C329,2,LEN(C329)-3)),IF(RIGHT(C329,2)="k)",-1000*VALUE(MID(C329,2,LEN(C329)-3)),VALUE(SUBSTITUTE(C329,",","")))))),IF(RIGHT(C329,1)="T",1000000000000*VALUE(LEFT(C329,LEN(C329)-1)),IF(RIGHT(C329,1)="M",1000000*VALUE(LEFT(C329,LEN(C329)-1)),IF(RIGHT(C329,1)="B",1000000000*VALUE(LEFT(C329,LEN(C329)-1)),IF(RIGHT(C329,1)="%",0.01*VALUE(LEFT(C329,LEN(C329)-1)),IF(RIGHT(C329,1)="k",1000*VALUE(LEFT(C329,LEN(C329)-1)),VALUE(SUBSTITUTE(C329,",",""))))))))),"N/A")</f>
        <v>N/A</v>
      </c>
      <c r="K329" t="str">
        <f t="shared" ref="K329:K360" si="120">IFERROR(IF(TRIM(D329)="-", "N/A", IF(RIGHT(D329,1)=")",IF(RIGHT(D329,2)="T)",-1000000000000*VALUE(MID(D329,2,LEN(D329)-3)),IF(RIGHT(D329,2)="M)",-1000000*VALUE(MID(D329,2,LEN(D329)-3)),IF(RIGHT(D329,2)="B)",-1000000000*VALUE(MID(D329,2,LEN(D329)-3)),IF(RIGHT(D329,2)="k)",-1000*VALUE(MID(D329,2,LEN(D329)-3)),VALUE(SUBSTITUTE(D329,",","")))))),IF(RIGHT(D329,1)="T",1000000000000*VALUE(LEFT(D329,LEN(D329)-1)),IF(RIGHT(D329,1)="M",1000000*VALUE(LEFT(D329,LEN(D329)-1)),IF(RIGHT(D329,1)="B",1000000000*VALUE(LEFT(D329,LEN(D329)-1)),IF(RIGHT(D329,1)="%",0.01*VALUE(LEFT(D329,LEN(D329)-1)),IF(RIGHT(D329,1)="k",1000*VALUE(LEFT(D329,LEN(D329)-1)),VALUE(SUBSTITUTE(D329,",",""))))))))),"N/A")</f>
        <v>N/A</v>
      </c>
      <c r="L329" t="str">
        <f t="shared" ref="L329:L360" si="121">IFERROR(IF(TRIM(E329)="-", "N/A", IF(RIGHT(E329,1)=")",IF(RIGHT(E329,2)="T)",-1000000000000*VALUE(MID(E329,2,LEN(E329)-3)),IF(RIGHT(E329,2)="M)",-1000000*VALUE(MID(E329,2,LEN(E329)-3)),IF(RIGHT(E329,2)="B)",-1000000000*VALUE(MID(E329,2,LEN(E329)-3)),IF(RIGHT(E329,2)="k)",-1000*VALUE(MID(E329,2,LEN(E329)-3)),VALUE(SUBSTITUTE(E329,",","")))))),IF(RIGHT(E329,1)="T",1000000000000*VALUE(LEFT(E329,LEN(E329)-1)),IF(RIGHT(E329,1)="M",1000000*VALUE(LEFT(E329,LEN(E329)-1)),IF(RIGHT(E329,1)="B",1000000000*VALUE(LEFT(E329,LEN(E329)-1)),IF(RIGHT(E329,1)="%",0.01*VALUE(LEFT(E329,LEN(E329)-1)),IF(RIGHT(E329,1)="k",1000*VALUE(LEFT(E329,LEN(E329)-1)),VALUE(SUBSTITUTE(E329,",",""))))))))),"N/A")</f>
        <v>N/A</v>
      </c>
      <c r="M329" t="str">
        <f t="shared" ref="M329:M360" si="122">IFERROR(IF(TRIM(F329)="-", "N/A", IF(RIGHT(F329,1)=")",IF(RIGHT(F329,2)="T)",-1000000000000*VALUE(MID(F329,2,LEN(F329)-3)),IF(RIGHT(F329,2)="M)",-1000000*VALUE(MID(F329,2,LEN(F329)-3)),IF(RIGHT(F329,2)="B)",-1000000000*VALUE(MID(F329,2,LEN(F329)-3)),IF(RIGHT(F329,2)="k)",-1000*VALUE(MID(F329,2,LEN(F329)-3)),VALUE(SUBSTITUTE(F329,",","")))))),IF(RIGHT(F329,1)="T",1000000000000*VALUE(LEFT(F329,LEN(F329)-1)),IF(RIGHT(F329,1)="M",1000000*VALUE(LEFT(F329,LEN(F329)-1)),IF(RIGHT(F329,1)="B",1000000000*VALUE(LEFT(F329,LEN(F329)-1)),IF(RIGHT(F329,1)="%",0.01*VALUE(LEFT(F329,LEN(F329)-1)),IF(RIGHT(F329,1)="k",1000*VALUE(LEFT(F329,LEN(F329)-1)),VALUE(SUBSTITUTE(F329,",",""))))))))),"N/A")</f>
        <v>N/A</v>
      </c>
      <c r="N329" t="str">
        <f t="shared" ref="N329:N360" si="123">IFERROR(IF(TRIM(G329)="-", "N/A", IF(RIGHT(G329,1)=")",IF(RIGHT(G329,2)="T)",-1000000000000*VALUE(MID(G329,2,LEN(G329)-3)),IF(RIGHT(G329,2)="M)",-1000000*VALUE(MID(G329,2,LEN(G329)-3)),IF(RIGHT(G329,2)="B)",-1000000000*VALUE(MID(G329,2,LEN(G329)-3)),IF(RIGHT(G329,2)="k)",-1000*VALUE(MID(G329,2,LEN(G329)-3)),VALUE(SUBSTITUTE(G329,",","")))))),IF(RIGHT(G329,1)="T",1000000000000*VALUE(LEFT(G329,LEN(G329)-1)),IF(RIGHT(G329,1)="M",1000000*VALUE(LEFT(G329,LEN(G329)-1)),IF(RIGHT(G329,1)="B",1000000000*VALUE(LEFT(G329,LEN(G329)-1)),IF(RIGHT(G329,1)="%",0.01*VALUE(LEFT(G329,LEN(G329)-1)),IF(RIGHT(G329,1)="k",1000*VALUE(LEFT(G329,LEN(G329)-1)),VALUE(SUBSTITUTE(G329,",",""))))))))),"N/A")</f>
        <v>N/A</v>
      </c>
      <c r="P329">
        <f t="shared" si="94"/>
        <v>0</v>
      </c>
      <c r="Q329" t="str">
        <f>IFERROR(J144+MATCH(P329,J329:N329,0)-1,"")</f>
        <v/>
      </c>
      <c r="R329" t="str">
        <f t="shared" si="95"/>
        <v/>
      </c>
      <c r="S329" t="str">
        <f>IFERROR(J144+MATCH(R329,J329:N329,0)-1,"")</f>
        <v/>
      </c>
      <c r="T329" t="str">
        <f t="shared" si="96"/>
        <v/>
      </c>
      <c r="U329" t="str">
        <f t="shared" si="97"/>
        <v/>
      </c>
      <c r="V329" t="str">
        <f t="shared" si="98"/>
        <v/>
      </c>
      <c r="W329" t="str">
        <f t="shared" si="99"/>
        <v/>
      </c>
      <c r="X329" t="str">
        <f t="shared" si="100"/>
        <v/>
      </c>
      <c r="Y329" t="str">
        <f t="shared" si="101"/>
        <v/>
      </c>
      <c r="Z329" t="str">
        <f t="shared" si="102"/>
        <v/>
      </c>
      <c r="AA329">
        <f t="shared" si="103"/>
        <v>0</v>
      </c>
      <c r="AB329" t="str">
        <f>IFERROR(V144+MATCH(AA329,V329:Z329,0)-1,"")</f>
        <v/>
      </c>
      <c r="AC329" t="str">
        <f t="shared" si="104"/>
        <v/>
      </c>
      <c r="AE329" t="str">
        <f>IF(ISNUMBER(MATCH("N/A",J329:N329,0)),"",IFERROR((5 * SUMPRODUCT(J144:N144,J329:N329) - PRODUCT(SUM(J144:N144),SUM(J329:N329))) / ((5 * SUM((J144^2)+(K144^2)+(L144^2)+(M144^2)+(N144^2))) - SUM(J144:N144)^2),""))</f>
        <v/>
      </c>
      <c r="AF329" t="str">
        <f>IFERROR(CORREL(J144:N144,J329:N329),"")</f>
        <v/>
      </c>
      <c r="AZ329">
        <f t="shared" si="105"/>
        <v>0</v>
      </c>
      <c r="BA329" t="str">
        <f>IF(AZ329=1,IF(Q329="","",IF(Q329=N144,"Yes","No")),"")</f>
        <v/>
      </c>
      <c r="BB329" t="str">
        <f t="shared" si="106"/>
        <v/>
      </c>
      <c r="BC329" t="str">
        <f>IF(AZ329=1,IF(S329="","",IF(S329=N144,"Yes","No")),"")</f>
        <v/>
      </c>
      <c r="BD329" t="str">
        <f t="shared" si="107"/>
        <v/>
      </c>
      <c r="BE329" t="str">
        <f t="shared" si="108"/>
        <v/>
      </c>
      <c r="BF329" t="str">
        <f t="shared" si="109"/>
        <v>No</v>
      </c>
      <c r="BG329" t="str">
        <f t="shared" si="110"/>
        <v>No</v>
      </c>
      <c r="BH329" t="str">
        <f t="shared" si="111"/>
        <v/>
      </c>
    </row>
    <row r="330" spans="9:60" x14ac:dyDescent="0.3">
      <c r="I330" t="str">
        <f t="shared" si="118"/>
        <v>N/A</v>
      </c>
      <c r="J330" t="str">
        <f t="shared" si="119"/>
        <v>N/A</v>
      </c>
      <c r="K330" t="str">
        <f t="shared" si="120"/>
        <v>N/A</v>
      </c>
      <c r="L330" t="str">
        <f t="shared" si="121"/>
        <v>N/A</v>
      </c>
      <c r="M330" t="str">
        <f t="shared" si="122"/>
        <v>N/A</v>
      </c>
      <c r="N330" t="str">
        <f t="shared" si="123"/>
        <v>N/A</v>
      </c>
      <c r="P330">
        <f t="shared" si="94"/>
        <v>0</v>
      </c>
      <c r="Q330" t="str">
        <f>IFERROR(J144+MATCH(P330,J330:N330,0)-1,"")</f>
        <v/>
      </c>
      <c r="R330" t="str">
        <f t="shared" si="95"/>
        <v/>
      </c>
      <c r="S330" t="str">
        <f>IFERROR(J144+MATCH(R330,J330:N330,0)-1,"")</f>
        <v/>
      </c>
      <c r="T330" t="str">
        <f t="shared" si="96"/>
        <v/>
      </c>
      <c r="U330" t="str">
        <f t="shared" si="97"/>
        <v/>
      </c>
      <c r="V330" t="str">
        <f t="shared" si="98"/>
        <v/>
      </c>
      <c r="W330" t="str">
        <f t="shared" si="99"/>
        <v/>
      </c>
      <c r="X330" t="str">
        <f t="shared" si="100"/>
        <v/>
      </c>
      <c r="Y330" t="str">
        <f t="shared" si="101"/>
        <v/>
      </c>
      <c r="Z330" t="str">
        <f t="shared" si="102"/>
        <v/>
      </c>
      <c r="AA330">
        <f t="shared" si="103"/>
        <v>0</v>
      </c>
      <c r="AB330" t="str">
        <f>IFERROR(V144+MATCH(AA330,V330:Z330,0)-1,"")</f>
        <v/>
      </c>
      <c r="AC330" t="str">
        <f t="shared" si="104"/>
        <v/>
      </c>
      <c r="AE330" t="str">
        <f>IF(ISNUMBER(MATCH("N/A",J330:N330,0)),"",IFERROR((5 * SUMPRODUCT(J144:N144,J330:N330) - PRODUCT(SUM(J144:N144),SUM(J330:N330))) / ((5 * SUM((J144^2)+(K144^2)+(L144^2)+(M144^2)+(N144^2))) - SUM(J144:N144)^2),""))</f>
        <v/>
      </c>
      <c r="AF330" t="str">
        <f>IFERROR(CORREL(J144:N144,J330:N330),"")</f>
        <v/>
      </c>
      <c r="AZ330">
        <f t="shared" si="105"/>
        <v>0</v>
      </c>
      <c r="BA330" t="str">
        <f>IF(AZ330=1,IF(Q330="","",IF(Q330=N144,"Yes","No")),"")</f>
        <v/>
      </c>
      <c r="BB330" t="str">
        <f t="shared" si="106"/>
        <v/>
      </c>
      <c r="BC330" t="str">
        <f>IF(AZ330=1,IF(S330="","",IF(S330=N144,"Yes","No")),"")</f>
        <v/>
      </c>
      <c r="BD330" t="str">
        <f t="shared" si="107"/>
        <v/>
      </c>
      <c r="BE330" t="str">
        <f t="shared" si="108"/>
        <v/>
      </c>
      <c r="BF330" t="str">
        <f t="shared" si="109"/>
        <v>No</v>
      </c>
      <c r="BG330" t="str">
        <f t="shared" si="110"/>
        <v>No</v>
      </c>
      <c r="BH330" t="str">
        <f t="shared" si="111"/>
        <v/>
      </c>
    </row>
    <row r="331" spans="9:60" x14ac:dyDescent="0.3">
      <c r="I331" t="str">
        <f t="shared" si="118"/>
        <v>N/A</v>
      </c>
      <c r="J331" t="str">
        <f t="shared" si="119"/>
        <v>N/A</v>
      </c>
      <c r="K331" t="str">
        <f t="shared" si="120"/>
        <v>N/A</v>
      </c>
      <c r="L331" t="str">
        <f t="shared" si="121"/>
        <v>N/A</v>
      </c>
      <c r="M331" t="str">
        <f t="shared" si="122"/>
        <v>N/A</v>
      </c>
      <c r="N331" t="str">
        <f t="shared" si="123"/>
        <v>N/A</v>
      </c>
      <c r="P331">
        <f t="shared" si="94"/>
        <v>0</v>
      </c>
      <c r="Q331" t="str">
        <f>IFERROR(J144+MATCH(P331,J331:N331,0)-1,"")</f>
        <v/>
      </c>
      <c r="R331" t="str">
        <f t="shared" si="95"/>
        <v/>
      </c>
      <c r="S331" t="str">
        <f>IFERROR(J144+MATCH(R331,J331:N331,0)-1,"")</f>
        <v/>
      </c>
      <c r="T331" t="str">
        <f t="shared" si="96"/>
        <v/>
      </c>
      <c r="U331" t="str">
        <f t="shared" si="97"/>
        <v/>
      </c>
      <c r="V331" t="str">
        <f t="shared" si="98"/>
        <v/>
      </c>
      <c r="W331" t="str">
        <f t="shared" si="99"/>
        <v/>
      </c>
      <c r="X331" t="str">
        <f t="shared" si="100"/>
        <v/>
      </c>
      <c r="Y331" t="str">
        <f t="shared" si="101"/>
        <v/>
      </c>
      <c r="Z331" t="str">
        <f t="shared" si="102"/>
        <v/>
      </c>
      <c r="AA331">
        <f t="shared" si="103"/>
        <v>0</v>
      </c>
      <c r="AB331" t="str">
        <f>IFERROR(V144+MATCH(AA331,V331:Z331,0)-1,"")</f>
        <v/>
      </c>
      <c r="AC331" t="str">
        <f t="shared" si="104"/>
        <v/>
      </c>
      <c r="AE331" t="str">
        <f>IF(ISNUMBER(MATCH("N/A",J331:N331,0)),"",IFERROR((5 * SUMPRODUCT(J144:N144,J331:N331) - PRODUCT(SUM(J144:N144),SUM(J331:N331))) / ((5 * SUM((J144^2)+(K144^2)+(L144^2)+(M144^2)+(N144^2))) - SUM(J144:N144)^2),""))</f>
        <v/>
      </c>
      <c r="AF331" t="str">
        <f>IFERROR(CORREL(J144:N144,J331:N331),"")</f>
        <v/>
      </c>
      <c r="AZ331">
        <f t="shared" si="105"/>
        <v>0</v>
      </c>
      <c r="BA331" t="str">
        <f>IF(AZ331=1,IF(Q331="","",IF(Q331=N144,"Yes","No")),"")</f>
        <v/>
      </c>
      <c r="BB331" t="str">
        <f t="shared" si="106"/>
        <v/>
      </c>
      <c r="BC331" t="str">
        <f>IF(AZ331=1,IF(S331="","",IF(S331=N144,"Yes","No")),"")</f>
        <v/>
      </c>
      <c r="BD331" t="str">
        <f t="shared" si="107"/>
        <v/>
      </c>
      <c r="BE331" t="str">
        <f t="shared" si="108"/>
        <v/>
      </c>
      <c r="BF331" t="str">
        <f t="shared" si="109"/>
        <v>No</v>
      </c>
      <c r="BG331" t="str">
        <f t="shared" si="110"/>
        <v>No</v>
      </c>
      <c r="BH331" t="str">
        <f t="shared" si="111"/>
        <v/>
      </c>
    </row>
    <row r="332" spans="9:60" x14ac:dyDescent="0.3">
      <c r="I332" t="str">
        <f t="shared" si="118"/>
        <v>N/A</v>
      </c>
      <c r="J332" t="str">
        <f t="shared" si="119"/>
        <v>N/A</v>
      </c>
      <c r="K332" t="str">
        <f t="shared" si="120"/>
        <v>N/A</v>
      </c>
      <c r="L332" t="str">
        <f t="shared" si="121"/>
        <v>N/A</v>
      </c>
      <c r="M332" t="str">
        <f t="shared" si="122"/>
        <v>N/A</v>
      </c>
      <c r="N332" t="str">
        <f t="shared" si="123"/>
        <v>N/A</v>
      </c>
      <c r="P332">
        <f t="shared" si="94"/>
        <v>0</v>
      </c>
      <c r="Q332" t="str">
        <f>IFERROR(J144+MATCH(P332,J332:N332,0)-1,"")</f>
        <v/>
      </c>
      <c r="R332" t="str">
        <f t="shared" si="95"/>
        <v/>
      </c>
      <c r="S332" t="str">
        <f>IFERROR(J144+MATCH(R332,J332:N332,0)-1,"")</f>
        <v/>
      </c>
      <c r="T332" t="str">
        <f t="shared" si="96"/>
        <v/>
      </c>
      <c r="U332" t="str">
        <f t="shared" si="97"/>
        <v/>
      </c>
      <c r="V332" t="str">
        <f t="shared" si="98"/>
        <v/>
      </c>
      <c r="W332" t="str">
        <f t="shared" si="99"/>
        <v/>
      </c>
      <c r="X332" t="str">
        <f t="shared" si="100"/>
        <v/>
      </c>
      <c r="Y332" t="str">
        <f t="shared" si="101"/>
        <v/>
      </c>
      <c r="Z332" t="str">
        <f t="shared" si="102"/>
        <v/>
      </c>
      <c r="AA332">
        <f t="shared" si="103"/>
        <v>0</v>
      </c>
      <c r="AB332" t="str">
        <f>IFERROR(V144+MATCH(AA332,V332:Z332,0)-1,"")</f>
        <v/>
      </c>
      <c r="AC332" t="str">
        <f t="shared" si="104"/>
        <v/>
      </c>
      <c r="AE332" t="str">
        <f>IF(ISNUMBER(MATCH("N/A",J332:N332,0)),"",IFERROR((5 * SUMPRODUCT(J144:N144,J332:N332) - PRODUCT(SUM(J144:N144),SUM(J332:N332))) / ((5 * SUM((J144^2)+(K144^2)+(L144^2)+(M144^2)+(N144^2))) - SUM(J144:N144)^2),""))</f>
        <v/>
      </c>
      <c r="AF332" t="str">
        <f>IFERROR(CORREL(J144:N144,J332:N332),"")</f>
        <v/>
      </c>
      <c r="AZ332">
        <f t="shared" si="105"/>
        <v>0</v>
      </c>
      <c r="BA332" t="str">
        <f>IF(AZ332=1,IF(Q332="","",IF(Q332=N144,"Yes","No")),"")</f>
        <v/>
      </c>
      <c r="BB332" t="str">
        <f t="shared" si="106"/>
        <v/>
      </c>
      <c r="BC332" t="str">
        <f>IF(AZ332=1,IF(S332="","",IF(S332=N144,"Yes","No")),"")</f>
        <v/>
      </c>
      <c r="BD332" t="str">
        <f t="shared" si="107"/>
        <v/>
      </c>
      <c r="BE332" t="str">
        <f t="shared" si="108"/>
        <v/>
      </c>
      <c r="BF332" t="str">
        <f t="shared" si="109"/>
        <v>No</v>
      </c>
      <c r="BG332" t="str">
        <f t="shared" si="110"/>
        <v>No</v>
      </c>
      <c r="BH332" t="str">
        <f t="shared" si="111"/>
        <v/>
      </c>
    </row>
    <row r="333" spans="9:60" x14ac:dyDescent="0.3">
      <c r="I333" t="str">
        <f t="shared" si="118"/>
        <v>N/A</v>
      </c>
      <c r="J333" t="str">
        <f t="shared" si="119"/>
        <v>N/A</v>
      </c>
      <c r="K333" t="str">
        <f t="shared" si="120"/>
        <v>N/A</v>
      </c>
      <c r="L333" t="str">
        <f t="shared" si="121"/>
        <v>N/A</v>
      </c>
      <c r="M333" t="str">
        <f t="shared" si="122"/>
        <v>N/A</v>
      </c>
      <c r="N333" t="str">
        <f t="shared" si="123"/>
        <v>N/A</v>
      </c>
      <c r="P333">
        <f t="shared" si="94"/>
        <v>0</v>
      </c>
      <c r="Q333" t="str">
        <f>IFERROR(J144+MATCH(P333,J333:N333,0)-1,"")</f>
        <v/>
      </c>
      <c r="R333" t="str">
        <f t="shared" si="95"/>
        <v/>
      </c>
      <c r="S333" t="str">
        <f>IFERROR(J144+MATCH(R333,J333:N333,0)-1,"")</f>
        <v/>
      </c>
      <c r="T333" t="str">
        <f t="shared" si="96"/>
        <v/>
      </c>
      <c r="U333" t="str">
        <f t="shared" si="97"/>
        <v/>
      </c>
      <c r="V333" t="str">
        <f t="shared" si="98"/>
        <v/>
      </c>
      <c r="W333" t="str">
        <f t="shared" si="99"/>
        <v/>
      </c>
      <c r="X333" t="str">
        <f t="shared" si="100"/>
        <v/>
      </c>
      <c r="Y333" t="str">
        <f t="shared" si="101"/>
        <v/>
      </c>
      <c r="Z333" t="str">
        <f t="shared" si="102"/>
        <v/>
      </c>
      <c r="AA333">
        <f t="shared" si="103"/>
        <v>0</v>
      </c>
      <c r="AB333" t="str">
        <f>IFERROR(V144+MATCH(AA333,V333:Z333,0)-1,"")</f>
        <v/>
      </c>
      <c r="AC333" t="str">
        <f t="shared" si="104"/>
        <v/>
      </c>
      <c r="AE333" t="str">
        <f>IF(ISNUMBER(MATCH("N/A",J333:N333,0)),"",IFERROR((5 * SUMPRODUCT(J144:N144,J333:N333) - PRODUCT(SUM(J144:N144),SUM(J333:N333))) / ((5 * SUM((J144^2)+(K144^2)+(L144^2)+(M144^2)+(N144^2))) - SUM(J144:N144)^2),""))</f>
        <v/>
      </c>
      <c r="AF333" t="str">
        <f>IFERROR(CORREL(J144:N144,J333:N333),"")</f>
        <v/>
      </c>
      <c r="AZ333">
        <f t="shared" si="105"/>
        <v>0</v>
      </c>
      <c r="BA333" t="str">
        <f>IF(AZ333=1,IF(Q333="","",IF(Q333=N144,"Yes","No")),"")</f>
        <v/>
      </c>
      <c r="BB333" t="str">
        <f t="shared" si="106"/>
        <v/>
      </c>
      <c r="BC333" t="str">
        <f>IF(AZ333=1,IF(S333="","",IF(S333=N144,"Yes","No")),"")</f>
        <v/>
      </c>
      <c r="BD333" t="str">
        <f t="shared" si="107"/>
        <v/>
      </c>
      <c r="BE333" t="str">
        <f t="shared" si="108"/>
        <v/>
      </c>
      <c r="BF333" t="str">
        <f t="shared" si="109"/>
        <v>No</v>
      </c>
      <c r="BG333" t="str">
        <f t="shared" si="110"/>
        <v>No</v>
      </c>
      <c r="BH333" t="str">
        <f t="shared" si="111"/>
        <v/>
      </c>
    </row>
    <row r="334" spans="9:60" x14ac:dyDescent="0.3">
      <c r="I334" t="str">
        <f t="shared" si="118"/>
        <v>N/A</v>
      </c>
      <c r="J334" t="str">
        <f t="shared" si="119"/>
        <v>N/A</v>
      </c>
      <c r="K334" t="str">
        <f t="shared" si="120"/>
        <v>N/A</v>
      </c>
      <c r="L334" t="str">
        <f t="shared" si="121"/>
        <v>N/A</v>
      </c>
      <c r="M334" t="str">
        <f t="shared" si="122"/>
        <v>N/A</v>
      </c>
      <c r="N334" t="str">
        <f t="shared" si="123"/>
        <v>N/A</v>
      </c>
      <c r="P334">
        <f t="shared" si="94"/>
        <v>0</v>
      </c>
      <c r="Q334" t="str">
        <f>IFERROR(J144+MATCH(P334,J334:N334,0)-1,"")</f>
        <v/>
      </c>
      <c r="R334" t="str">
        <f t="shared" si="95"/>
        <v/>
      </c>
      <c r="S334" t="str">
        <f>IFERROR(J144+MATCH(R334,J334:N334,0)-1,"")</f>
        <v/>
      </c>
      <c r="T334" t="str">
        <f t="shared" si="96"/>
        <v/>
      </c>
      <c r="U334" t="str">
        <f t="shared" si="97"/>
        <v/>
      </c>
      <c r="V334" t="str">
        <f t="shared" si="98"/>
        <v/>
      </c>
      <c r="W334" t="str">
        <f t="shared" si="99"/>
        <v/>
      </c>
      <c r="X334" t="str">
        <f t="shared" si="100"/>
        <v/>
      </c>
      <c r="Y334" t="str">
        <f t="shared" si="101"/>
        <v/>
      </c>
      <c r="Z334" t="str">
        <f t="shared" si="102"/>
        <v/>
      </c>
      <c r="AA334">
        <f t="shared" si="103"/>
        <v>0</v>
      </c>
      <c r="AB334" t="str">
        <f>IFERROR(V144+MATCH(AA334,V334:Z334,0)-1,"")</f>
        <v/>
      </c>
      <c r="AC334" t="str">
        <f t="shared" si="104"/>
        <v/>
      </c>
      <c r="AE334" t="str">
        <f>IF(ISNUMBER(MATCH("N/A",J334:N334,0)),"",IFERROR((5 * SUMPRODUCT(J144:N144,J334:N334) - PRODUCT(SUM(J144:N144),SUM(J334:N334))) / ((5 * SUM((J144^2)+(K144^2)+(L144^2)+(M144^2)+(N144^2))) - SUM(J144:N144)^2),""))</f>
        <v/>
      </c>
      <c r="AF334" t="str">
        <f>IFERROR(CORREL(J144:N144,J334:N334),"")</f>
        <v/>
      </c>
      <c r="AZ334">
        <f t="shared" si="105"/>
        <v>0</v>
      </c>
      <c r="BA334" t="str">
        <f>IF(AZ334=1,IF(Q334="","",IF(Q334=N144,"Yes","No")),"")</f>
        <v/>
      </c>
      <c r="BB334" t="str">
        <f t="shared" si="106"/>
        <v/>
      </c>
      <c r="BC334" t="str">
        <f>IF(AZ334=1,IF(S334="","",IF(S334=N144,"Yes","No")),"")</f>
        <v/>
      </c>
      <c r="BD334" t="str">
        <f t="shared" si="107"/>
        <v/>
      </c>
      <c r="BE334" t="str">
        <f t="shared" si="108"/>
        <v/>
      </c>
      <c r="BF334" t="str">
        <f t="shared" si="109"/>
        <v>No</v>
      </c>
      <c r="BG334" t="str">
        <f t="shared" si="110"/>
        <v>No</v>
      </c>
      <c r="BH334" t="str">
        <f t="shared" si="111"/>
        <v/>
      </c>
    </row>
    <row r="335" spans="9:60" x14ac:dyDescent="0.3">
      <c r="I335" t="str">
        <f t="shared" si="118"/>
        <v>N/A</v>
      </c>
      <c r="J335" t="str">
        <f t="shared" si="119"/>
        <v>N/A</v>
      </c>
      <c r="K335" t="str">
        <f t="shared" si="120"/>
        <v>N/A</v>
      </c>
      <c r="L335" t="str">
        <f t="shared" si="121"/>
        <v>N/A</v>
      </c>
      <c r="M335" t="str">
        <f t="shared" si="122"/>
        <v>N/A</v>
      </c>
      <c r="N335" t="str">
        <f t="shared" si="123"/>
        <v>N/A</v>
      </c>
      <c r="P335">
        <f t="shared" si="94"/>
        <v>0</v>
      </c>
      <c r="Q335" t="str">
        <f>IFERROR(J144+MATCH(P335,J335:N335,0)-1,"")</f>
        <v/>
      </c>
      <c r="R335" t="str">
        <f t="shared" si="95"/>
        <v/>
      </c>
      <c r="S335" t="str">
        <f>IFERROR(J144+MATCH(R335,J335:N335,0)-1,"")</f>
        <v/>
      </c>
      <c r="T335" t="str">
        <f t="shared" si="96"/>
        <v/>
      </c>
      <c r="U335" t="str">
        <f t="shared" si="97"/>
        <v/>
      </c>
      <c r="V335" t="str">
        <f t="shared" si="98"/>
        <v/>
      </c>
      <c r="W335" t="str">
        <f t="shared" si="99"/>
        <v/>
      </c>
      <c r="X335" t="str">
        <f t="shared" si="100"/>
        <v/>
      </c>
      <c r="Y335" t="str">
        <f t="shared" si="101"/>
        <v/>
      </c>
      <c r="Z335" t="str">
        <f t="shared" si="102"/>
        <v/>
      </c>
      <c r="AA335">
        <f t="shared" si="103"/>
        <v>0</v>
      </c>
      <c r="AB335" t="str">
        <f>IFERROR(V144+MATCH(AA335,V335:Z335,0)-1,"")</f>
        <v/>
      </c>
      <c r="AC335" t="str">
        <f t="shared" si="104"/>
        <v/>
      </c>
      <c r="AE335" t="str">
        <f>IF(ISNUMBER(MATCH("N/A",J335:N335,0)),"",IFERROR((5 * SUMPRODUCT(J144:N144,J335:N335) - PRODUCT(SUM(J144:N144),SUM(J335:N335))) / ((5 * SUM((J144^2)+(K144^2)+(L144^2)+(M144^2)+(N144^2))) - SUM(J144:N144)^2),""))</f>
        <v/>
      </c>
      <c r="AF335" t="str">
        <f>IFERROR(CORREL(J144:N144,J335:N335),"")</f>
        <v/>
      </c>
      <c r="AZ335">
        <f t="shared" si="105"/>
        <v>0</v>
      </c>
      <c r="BA335" t="str">
        <f>IF(AZ335=1,IF(Q335="","",IF(Q335=N144,"Yes","No")),"")</f>
        <v/>
      </c>
      <c r="BB335" t="str">
        <f t="shared" si="106"/>
        <v/>
      </c>
      <c r="BC335" t="str">
        <f>IF(AZ335=1,IF(S335="","",IF(S335=N144,"Yes","No")),"")</f>
        <v/>
      </c>
      <c r="BD335" t="str">
        <f t="shared" si="107"/>
        <v/>
      </c>
      <c r="BE335" t="str">
        <f t="shared" si="108"/>
        <v/>
      </c>
      <c r="BF335" t="str">
        <f t="shared" si="109"/>
        <v>No</v>
      </c>
      <c r="BG335" t="str">
        <f t="shared" si="110"/>
        <v>No</v>
      </c>
      <c r="BH335" t="str">
        <f t="shared" si="111"/>
        <v/>
      </c>
    </row>
    <row r="336" spans="9:60" x14ac:dyDescent="0.3">
      <c r="I336" t="str">
        <f t="shared" si="118"/>
        <v>N/A</v>
      </c>
      <c r="J336" t="str">
        <f t="shared" si="119"/>
        <v>N/A</v>
      </c>
      <c r="K336" t="str">
        <f t="shared" si="120"/>
        <v>N/A</v>
      </c>
      <c r="L336" t="str">
        <f t="shared" si="121"/>
        <v>N/A</v>
      </c>
      <c r="M336" t="str">
        <f t="shared" si="122"/>
        <v>N/A</v>
      </c>
      <c r="N336" t="str">
        <f t="shared" si="123"/>
        <v>N/A</v>
      </c>
      <c r="P336">
        <f t="shared" si="94"/>
        <v>0</v>
      </c>
      <c r="Q336" t="str">
        <f>IFERROR(J144+MATCH(P336,J336:N336,0)-1,"")</f>
        <v/>
      </c>
      <c r="R336" t="str">
        <f t="shared" si="95"/>
        <v/>
      </c>
      <c r="S336" t="str">
        <f>IFERROR(J144+MATCH(R336,J336:N336,0)-1,"")</f>
        <v/>
      </c>
      <c r="T336" t="str">
        <f t="shared" si="96"/>
        <v/>
      </c>
      <c r="U336" t="str">
        <f t="shared" si="97"/>
        <v/>
      </c>
      <c r="V336" t="str">
        <f t="shared" si="98"/>
        <v/>
      </c>
      <c r="W336" t="str">
        <f t="shared" si="99"/>
        <v/>
      </c>
      <c r="X336" t="str">
        <f t="shared" si="100"/>
        <v/>
      </c>
      <c r="Y336" t="str">
        <f t="shared" si="101"/>
        <v/>
      </c>
      <c r="Z336" t="str">
        <f t="shared" si="102"/>
        <v/>
      </c>
      <c r="AA336">
        <f t="shared" si="103"/>
        <v>0</v>
      </c>
      <c r="AB336" t="str">
        <f>IFERROR(V144+MATCH(AA336,V336:Z336,0)-1,"")</f>
        <v/>
      </c>
      <c r="AC336" t="str">
        <f t="shared" si="104"/>
        <v/>
      </c>
      <c r="AE336" t="str">
        <f>IF(ISNUMBER(MATCH("N/A",J336:N336,0)),"",IFERROR((5 * SUMPRODUCT(J144:N144,J336:N336) - PRODUCT(SUM(J144:N144),SUM(J336:N336))) / ((5 * SUM((J144^2)+(K144^2)+(L144^2)+(M144^2)+(N144^2))) - SUM(J144:N144)^2),""))</f>
        <v/>
      </c>
      <c r="AF336" t="str">
        <f>IFERROR(CORREL(J144:N144,J336:N336),"")</f>
        <v/>
      </c>
      <c r="AZ336">
        <f t="shared" si="105"/>
        <v>0</v>
      </c>
      <c r="BA336" t="str">
        <f>IF(AZ336=1,IF(Q336="","",IF(Q336=N144,"Yes","No")),"")</f>
        <v/>
      </c>
      <c r="BB336" t="str">
        <f t="shared" si="106"/>
        <v/>
      </c>
      <c r="BC336" t="str">
        <f>IF(AZ336=1,IF(S336="","",IF(S336=N144,"Yes","No")),"")</f>
        <v/>
      </c>
      <c r="BD336" t="str">
        <f t="shared" si="107"/>
        <v/>
      </c>
      <c r="BE336" t="str">
        <f t="shared" si="108"/>
        <v/>
      </c>
      <c r="BF336" t="str">
        <f t="shared" si="109"/>
        <v>No</v>
      </c>
      <c r="BG336" t="str">
        <f t="shared" si="110"/>
        <v>No</v>
      </c>
      <c r="BH336" t="str">
        <f t="shared" si="111"/>
        <v/>
      </c>
    </row>
    <row r="337" spans="9:60" x14ac:dyDescent="0.3">
      <c r="I337" t="str">
        <f t="shared" si="118"/>
        <v>N/A</v>
      </c>
      <c r="J337" t="str">
        <f t="shared" si="119"/>
        <v>N/A</v>
      </c>
      <c r="K337" t="str">
        <f t="shared" si="120"/>
        <v>N/A</v>
      </c>
      <c r="L337" t="str">
        <f t="shared" si="121"/>
        <v>N/A</v>
      </c>
      <c r="M337" t="str">
        <f t="shared" si="122"/>
        <v>N/A</v>
      </c>
      <c r="N337" t="str">
        <f t="shared" si="123"/>
        <v>N/A</v>
      </c>
      <c r="P337">
        <f t="shared" ref="P337:P353" si="124">MAX(J337:N337)</f>
        <v>0</v>
      </c>
      <c r="Q337" t="str">
        <f>IFERROR(J144+MATCH(P337,J337:N337,0)-1,"")</f>
        <v/>
      </c>
      <c r="R337" t="str">
        <f t="shared" ref="R337:R400" si="125">IF(Q337="","",MIN(J337:N337))</f>
        <v/>
      </c>
      <c r="S337" t="str">
        <f>IFERROR(J144+MATCH(R337,J337:N337,0)-1,"")</f>
        <v/>
      </c>
      <c r="T337" t="str">
        <f t="shared" ref="T337:T353" si="126">IFERROR(AVERAGE(J337:N337),"")</f>
        <v/>
      </c>
      <c r="U337" t="str">
        <f t="shared" ref="U337:U353" si="127">IFERROR(STDEV(J337:N337),"")</f>
        <v/>
      </c>
      <c r="V337" t="str">
        <f t="shared" ref="V337:V400" si="128">IFERROR(IF(C337="-","",IF(ISBLANK(B337),"",IF(OR(ISNUMBER(FIND("Growth",B337)),ISNUMBER(FIND("Margin",B337))),"",(J337-T337)/U337))),"")</f>
        <v/>
      </c>
      <c r="W337" t="str">
        <f t="shared" ref="W337:W353" si="129">IFERROR(IF(OR(D337="-",ISBLANK(D337)),"",(K337-T337)/U337),"")</f>
        <v/>
      </c>
      <c r="X337" t="str">
        <f t="shared" ref="X337:X353" si="130">IFERROR(IF(OR(E337="-",ISBLANK(E337)),"",(L337-T337)/U337),"")</f>
        <v/>
      </c>
      <c r="Y337" t="str">
        <f t="shared" ref="Y337:Y353" si="131">IFERROR(IF(OR(F337="-",ISBLANK(F337)),"",(M337-T337)/U337),"")</f>
        <v/>
      </c>
      <c r="Z337" t="str">
        <f t="shared" ref="Z337:Z353" si="132">IFERROR(IF(OR(G337="-",ISBLANK(G337)),"",(N337-T337)/U337),"")</f>
        <v/>
      </c>
      <c r="AA337">
        <f t="shared" ref="AA337:AA400" si="133">IF(MAX(MAX(V337:Z337),ABS(MIN(V337:Z337)))=ABS(MIN(V337:Z337)),MIN(V337:Z337),MAX(V337:Z337))</f>
        <v>0</v>
      </c>
      <c r="AB337" t="str">
        <f>IFERROR(V144+MATCH(AA337,V337:Z337,0)-1,"")</f>
        <v/>
      </c>
      <c r="AC337" t="str">
        <f t="shared" ref="AC337:AC400" si="134">IF(AB337&lt;&gt;"",IF(S337=AB337,"Low",IF(AB337=Q337,"High","")),"")</f>
        <v/>
      </c>
      <c r="AE337" t="str">
        <f>IF(ISNUMBER(MATCH("N/A",J337:N337,0)),"",IFERROR((5 * SUMPRODUCT(J144:N144,J337:N337) - PRODUCT(SUM(J144:N144),SUM(J337:N337))) / ((5 * SUM((J144^2)+(K144^2)+(L144^2)+(M144^2)+(N144^2))) - SUM(J144:N144)^2),""))</f>
        <v/>
      </c>
      <c r="AF337" t="str">
        <f>IFERROR(CORREL(J144:N144,J337:N337),"")</f>
        <v/>
      </c>
      <c r="AZ337">
        <f t="shared" ref="AZ337:AZ352" si="135">IF(Q337=S337,0,1)</f>
        <v>0</v>
      </c>
      <c r="BA337" t="str">
        <f>IF(AZ337=1,IF(Q337="","",IF(Q337=N144,"Yes","No")),"")</f>
        <v/>
      </c>
      <c r="BB337" t="str">
        <f t="shared" ref="BB337:BB400" si="136">IF(BA337="Yes",P337,"")</f>
        <v/>
      </c>
      <c r="BC337" t="str">
        <f>IF(AZ337=1,IF(S337="","",IF(S337=N144,"Yes","No")),"")</f>
        <v/>
      </c>
      <c r="BD337" t="str">
        <f t="shared" ref="BD337:BD400" si="137">IF(BC337="Yes",R337,"")</f>
        <v/>
      </c>
      <c r="BE337" t="str">
        <f t="shared" ref="BE337:BE352" si="138">IFERROR(IF(SIGN(AE337)=1,"Increasing",IF(SIGN(AE337)=-1,"Decreasing","")),"")</f>
        <v/>
      </c>
      <c r="BF337" t="str">
        <f t="shared" ref="BF337:BF400" si="139">IF(OR(AND(BE337="Increasing",BA337="Yes"),AND(BE337="Decreasing",BC337="Yes")),"Yes","No")</f>
        <v>No</v>
      </c>
      <c r="BG337" t="str">
        <f t="shared" ref="BG337:BG352" si="140">IF(I337="pos_trend","Yes","No")</f>
        <v>No</v>
      </c>
      <c r="BH337" t="str">
        <f t="shared" ref="BH337:BH352" si="141">IF(AF337&lt;&gt;"",IF(ABS(AF337)&gt;0.8,"Yes","No"),"")</f>
        <v/>
      </c>
    </row>
    <row r="338" spans="9:60" x14ac:dyDescent="0.3">
      <c r="I338" t="str">
        <f t="shared" si="118"/>
        <v>N/A</v>
      </c>
      <c r="J338" t="str">
        <f t="shared" si="119"/>
        <v>N/A</v>
      </c>
      <c r="K338" t="str">
        <f t="shared" si="120"/>
        <v>N/A</v>
      </c>
      <c r="L338" t="str">
        <f t="shared" si="121"/>
        <v>N/A</v>
      </c>
      <c r="M338" t="str">
        <f t="shared" si="122"/>
        <v>N/A</v>
      </c>
      <c r="N338" t="str">
        <f t="shared" si="123"/>
        <v>N/A</v>
      </c>
      <c r="P338">
        <f t="shared" si="124"/>
        <v>0</v>
      </c>
      <c r="Q338" t="str">
        <f>IFERROR(J144+MATCH(P338,J338:N338,0)-1,"")</f>
        <v/>
      </c>
      <c r="R338" t="str">
        <f t="shared" si="125"/>
        <v/>
      </c>
      <c r="S338" t="str">
        <f>IFERROR(J144+MATCH(R338,J338:N338,0)-1,"")</f>
        <v/>
      </c>
      <c r="T338" t="str">
        <f t="shared" si="126"/>
        <v/>
      </c>
      <c r="U338" t="str">
        <f t="shared" si="127"/>
        <v/>
      </c>
      <c r="V338" t="str">
        <f t="shared" si="128"/>
        <v/>
      </c>
      <c r="W338" t="str">
        <f t="shared" si="129"/>
        <v/>
      </c>
      <c r="X338" t="str">
        <f t="shared" si="130"/>
        <v/>
      </c>
      <c r="Y338" t="str">
        <f t="shared" si="131"/>
        <v/>
      </c>
      <c r="Z338" t="str">
        <f t="shared" si="132"/>
        <v/>
      </c>
      <c r="AA338">
        <f t="shared" si="133"/>
        <v>0</v>
      </c>
      <c r="AB338" t="str">
        <f>IFERROR(V144+MATCH(AA338,V338:Z338,0)-1,"")</f>
        <v/>
      </c>
      <c r="AC338" t="str">
        <f t="shared" si="134"/>
        <v/>
      </c>
      <c r="AE338" t="str">
        <f>IF(ISNUMBER(MATCH("N/A",J338:N338,0)),"",IFERROR((5 * SUMPRODUCT(J144:N144,J338:N338) - PRODUCT(SUM(J144:N144),SUM(J338:N338))) / ((5 * SUM((J144^2)+(K144^2)+(L144^2)+(M144^2)+(N144^2))) - SUM(J144:N144)^2),""))</f>
        <v/>
      </c>
      <c r="AF338" t="str">
        <f>IFERROR(CORREL(J144:N144,J338:N338),"")</f>
        <v/>
      </c>
      <c r="AZ338">
        <f t="shared" si="135"/>
        <v>0</v>
      </c>
      <c r="BA338" t="str">
        <f>IF(AZ338=1,IF(Q338="","",IF(Q338=N144,"Yes","No")),"")</f>
        <v/>
      </c>
      <c r="BB338" t="str">
        <f t="shared" si="136"/>
        <v/>
      </c>
      <c r="BC338" t="str">
        <f>IF(AZ338=1,IF(S338="","",IF(S338=N144,"Yes","No")),"")</f>
        <v/>
      </c>
      <c r="BD338" t="str">
        <f t="shared" si="137"/>
        <v/>
      </c>
      <c r="BE338" t="str">
        <f t="shared" si="138"/>
        <v/>
      </c>
      <c r="BF338" t="str">
        <f t="shared" si="139"/>
        <v>No</v>
      </c>
      <c r="BG338" t="str">
        <f t="shared" si="140"/>
        <v>No</v>
      </c>
      <c r="BH338" t="str">
        <f t="shared" si="141"/>
        <v/>
      </c>
    </row>
    <row r="339" spans="9:60" x14ac:dyDescent="0.3">
      <c r="I339" t="str">
        <f t="shared" si="118"/>
        <v>N/A</v>
      </c>
      <c r="J339" t="str">
        <f t="shared" si="119"/>
        <v>N/A</v>
      </c>
      <c r="K339" t="str">
        <f t="shared" si="120"/>
        <v>N/A</v>
      </c>
      <c r="L339" t="str">
        <f t="shared" si="121"/>
        <v>N/A</v>
      </c>
      <c r="M339" t="str">
        <f t="shared" si="122"/>
        <v>N/A</v>
      </c>
      <c r="N339" t="str">
        <f t="shared" si="123"/>
        <v>N/A</v>
      </c>
      <c r="P339">
        <f t="shared" si="124"/>
        <v>0</v>
      </c>
      <c r="Q339" t="str">
        <f>IFERROR(J144+MATCH(P339,J339:N339,0)-1,"")</f>
        <v/>
      </c>
      <c r="R339" t="str">
        <f t="shared" si="125"/>
        <v/>
      </c>
      <c r="S339" t="str">
        <f>IFERROR(J144+MATCH(R339,J339:N339,0)-1,"")</f>
        <v/>
      </c>
      <c r="T339" t="str">
        <f t="shared" si="126"/>
        <v/>
      </c>
      <c r="U339" t="str">
        <f t="shared" si="127"/>
        <v/>
      </c>
      <c r="V339" t="str">
        <f t="shared" si="128"/>
        <v/>
      </c>
      <c r="W339" t="str">
        <f t="shared" si="129"/>
        <v/>
      </c>
      <c r="X339" t="str">
        <f t="shared" si="130"/>
        <v/>
      </c>
      <c r="Y339" t="str">
        <f t="shared" si="131"/>
        <v/>
      </c>
      <c r="Z339" t="str">
        <f t="shared" si="132"/>
        <v/>
      </c>
      <c r="AA339">
        <f t="shared" si="133"/>
        <v>0</v>
      </c>
      <c r="AB339" t="str">
        <f>IFERROR(V144+MATCH(AA339,V339:Z339,0)-1,"")</f>
        <v/>
      </c>
      <c r="AC339" t="str">
        <f t="shared" si="134"/>
        <v/>
      </c>
      <c r="AE339" t="str">
        <f>IF(ISNUMBER(MATCH("N/A",J339:N339,0)),"",IFERROR((5 * SUMPRODUCT(J144:N144,J339:N339) - PRODUCT(SUM(J144:N144),SUM(J339:N339))) / ((5 * SUM((J144^2)+(K144^2)+(L144^2)+(M144^2)+(N144^2))) - SUM(J144:N144)^2),""))</f>
        <v/>
      </c>
      <c r="AF339" t="str">
        <f>IFERROR(CORREL(J144:N144,J339:N339),"")</f>
        <v/>
      </c>
      <c r="AZ339">
        <f t="shared" si="135"/>
        <v>0</v>
      </c>
      <c r="BA339" t="str">
        <f>IF(AZ339=1,IF(Q339="","",IF(Q339=N144,"Yes","No")),"")</f>
        <v/>
      </c>
      <c r="BB339" t="str">
        <f t="shared" si="136"/>
        <v/>
      </c>
      <c r="BC339" t="str">
        <f>IF(AZ339=1,IF(S339="","",IF(S339=N144,"Yes","No")),"")</f>
        <v/>
      </c>
      <c r="BD339" t="str">
        <f t="shared" si="137"/>
        <v/>
      </c>
      <c r="BE339" t="str">
        <f t="shared" si="138"/>
        <v/>
      </c>
      <c r="BF339" t="str">
        <f t="shared" si="139"/>
        <v>No</v>
      </c>
      <c r="BG339" t="str">
        <f t="shared" si="140"/>
        <v>No</v>
      </c>
      <c r="BH339" t="str">
        <f t="shared" si="141"/>
        <v/>
      </c>
    </row>
    <row r="340" spans="9:60" x14ac:dyDescent="0.3">
      <c r="I340" t="str">
        <f t="shared" si="118"/>
        <v>N/A</v>
      </c>
      <c r="J340" t="str">
        <f t="shared" si="119"/>
        <v>N/A</v>
      </c>
      <c r="K340" t="str">
        <f t="shared" si="120"/>
        <v>N/A</v>
      </c>
      <c r="L340" t="str">
        <f t="shared" si="121"/>
        <v>N/A</v>
      </c>
      <c r="M340" t="str">
        <f t="shared" si="122"/>
        <v>N/A</v>
      </c>
      <c r="N340" t="str">
        <f t="shared" si="123"/>
        <v>N/A</v>
      </c>
      <c r="P340">
        <f t="shared" si="124"/>
        <v>0</v>
      </c>
      <c r="Q340" t="str">
        <f>IFERROR(J144+MATCH(P340,J340:N340,0)-1,"")</f>
        <v/>
      </c>
      <c r="R340" t="str">
        <f t="shared" si="125"/>
        <v/>
      </c>
      <c r="S340" t="str">
        <f>IFERROR(J144+MATCH(R340,J340:N340,0)-1,"")</f>
        <v/>
      </c>
      <c r="T340" t="str">
        <f t="shared" si="126"/>
        <v/>
      </c>
      <c r="U340" t="str">
        <f t="shared" si="127"/>
        <v/>
      </c>
      <c r="V340" t="str">
        <f t="shared" si="128"/>
        <v/>
      </c>
      <c r="W340" t="str">
        <f t="shared" si="129"/>
        <v/>
      </c>
      <c r="X340" t="str">
        <f t="shared" si="130"/>
        <v/>
      </c>
      <c r="Y340" t="str">
        <f t="shared" si="131"/>
        <v/>
      </c>
      <c r="Z340" t="str">
        <f t="shared" si="132"/>
        <v/>
      </c>
      <c r="AA340">
        <f t="shared" si="133"/>
        <v>0</v>
      </c>
      <c r="AB340" t="str">
        <f>IFERROR(V144+MATCH(AA340,V340:Z340,0)-1,"")</f>
        <v/>
      </c>
      <c r="AC340" t="str">
        <f t="shared" si="134"/>
        <v/>
      </c>
      <c r="AE340" t="str">
        <f>IF(ISNUMBER(MATCH("N/A",J340:N340,0)),"",IFERROR((5 * SUMPRODUCT(J144:N144,J340:N340) - PRODUCT(SUM(J144:N144),SUM(J340:N340))) / ((5 * SUM((J144^2)+(K144^2)+(L144^2)+(M144^2)+(N144^2))) - SUM(J144:N144)^2),""))</f>
        <v/>
      </c>
      <c r="AF340" t="str">
        <f>IFERROR(CORREL(J144:N144,J340:N340),"")</f>
        <v/>
      </c>
      <c r="AZ340">
        <f t="shared" si="135"/>
        <v>0</v>
      </c>
      <c r="BA340" t="str">
        <f>IF(AZ340=1,IF(Q340="","",IF(Q340=N144,"Yes","No")),"")</f>
        <v/>
      </c>
      <c r="BB340" t="str">
        <f t="shared" si="136"/>
        <v/>
      </c>
      <c r="BC340" t="str">
        <f>IF(AZ340=1,IF(S340="","",IF(S340=N144,"Yes","No")),"")</f>
        <v/>
      </c>
      <c r="BD340" t="str">
        <f t="shared" si="137"/>
        <v/>
      </c>
      <c r="BE340" t="str">
        <f t="shared" si="138"/>
        <v/>
      </c>
      <c r="BF340" t="str">
        <f t="shared" si="139"/>
        <v>No</v>
      </c>
      <c r="BG340" t="str">
        <f t="shared" si="140"/>
        <v>No</v>
      </c>
      <c r="BH340" t="str">
        <f t="shared" si="141"/>
        <v/>
      </c>
    </row>
    <row r="341" spans="9:60" x14ac:dyDescent="0.3">
      <c r="I341" t="str">
        <f t="shared" si="118"/>
        <v>N/A</v>
      </c>
      <c r="J341" t="str">
        <f t="shared" si="119"/>
        <v>N/A</v>
      </c>
      <c r="K341" t="str">
        <f t="shared" si="120"/>
        <v>N/A</v>
      </c>
      <c r="L341" t="str">
        <f t="shared" si="121"/>
        <v>N/A</v>
      </c>
      <c r="M341" t="str">
        <f t="shared" si="122"/>
        <v>N/A</v>
      </c>
      <c r="N341" t="str">
        <f t="shared" si="123"/>
        <v>N/A</v>
      </c>
      <c r="P341">
        <f t="shared" si="124"/>
        <v>0</v>
      </c>
      <c r="Q341" t="str">
        <f>IFERROR(J144+MATCH(P341,J341:N341,0)-1,"")</f>
        <v/>
      </c>
      <c r="R341" t="str">
        <f t="shared" si="125"/>
        <v/>
      </c>
      <c r="S341" t="str">
        <f>IFERROR(J144+MATCH(R341,J341:N341,0)-1,"")</f>
        <v/>
      </c>
      <c r="T341" t="str">
        <f t="shared" si="126"/>
        <v/>
      </c>
      <c r="U341" t="str">
        <f t="shared" si="127"/>
        <v/>
      </c>
      <c r="V341" t="str">
        <f t="shared" si="128"/>
        <v/>
      </c>
      <c r="W341" t="str">
        <f t="shared" si="129"/>
        <v/>
      </c>
      <c r="X341" t="str">
        <f t="shared" si="130"/>
        <v/>
      </c>
      <c r="Y341" t="str">
        <f t="shared" si="131"/>
        <v/>
      </c>
      <c r="Z341" t="str">
        <f t="shared" si="132"/>
        <v/>
      </c>
      <c r="AA341">
        <f t="shared" si="133"/>
        <v>0</v>
      </c>
      <c r="AB341" t="str">
        <f>IFERROR(V144+MATCH(AA341,V341:Z341,0)-1,"")</f>
        <v/>
      </c>
      <c r="AC341" t="str">
        <f t="shared" si="134"/>
        <v/>
      </c>
      <c r="AE341" t="str">
        <f>IF(ISNUMBER(MATCH("N/A",J341:N341,0)),"",IFERROR((5 * SUMPRODUCT(J144:N144,J341:N341) - PRODUCT(SUM(J144:N144),SUM(J341:N341))) / ((5 * SUM((J144^2)+(K144^2)+(L144^2)+(M144^2)+(N144^2))) - SUM(J144:N144)^2),""))</f>
        <v/>
      </c>
      <c r="AF341" t="str">
        <f>IFERROR(CORREL(J144:N144,J341:N341),"")</f>
        <v/>
      </c>
      <c r="AZ341">
        <f t="shared" si="135"/>
        <v>0</v>
      </c>
      <c r="BA341" t="str">
        <f>IF(AZ341=1,IF(Q341="","",IF(Q341=N144,"Yes","No")),"")</f>
        <v/>
      </c>
      <c r="BB341" t="str">
        <f t="shared" si="136"/>
        <v/>
      </c>
      <c r="BC341" t="str">
        <f>IF(AZ341=1,IF(S341="","",IF(S341=N144,"Yes","No")),"")</f>
        <v/>
      </c>
      <c r="BD341" t="str">
        <f t="shared" si="137"/>
        <v/>
      </c>
      <c r="BE341" t="str">
        <f t="shared" si="138"/>
        <v/>
      </c>
      <c r="BF341" t="str">
        <f t="shared" si="139"/>
        <v>No</v>
      </c>
      <c r="BG341" t="str">
        <f t="shared" si="140"/>
        <v>No</v>
      </c>
      <c r="BH341" t="str">
        <f t="shared" si="141"/>
        <v/>
      </c>
    </row>
    <row r="342" spans="9:60" x14ac:dyDescent="0.3">
      <c r="I342" t="str">
        <f t="shared" si="118"/>
        <v>N/A</v>
      </c>
      <c r="J342" t="str">
        <f t="shared" si="119"/>
        <v>N/A</v>
      </c>
      <c r="K342" t="str">
        <f t="shared" si="120"/>
        <v>N/A</v>
      </c>
      <c r="L342" t="str">
        <f t="shared" si="121"/>
        <v>N/A</v>
      </c>
      <c r="M342" t="str">
        <f t="shared" si="122"/>
        <v>N/A</v>
      </c>
      <c r="N342" t="str">
        <f t="shared" si="123"/>
        <v>N/A</v>
      </c>
      <c r="P342">
        <f t="shared" si="124"/>
        <v>0</v>
      </c>
      <c r="Q342" t="str">
        <f>IFERROR(J144+MATCH(P342,J342:N342,0)-1,"")</f>
        <v/>
      </c>
      <c r="R342" t="str">
        <f t="shared" si="125"/>
        <v/>
      </c>
      <c r="S342" t="str">
        <f>IFERROR(J144+MATCH(R342,J342:N342,0)-1,"")</f>
        <v/>
      </c>
      <c r="T342" t="str">
        <f t="shared" si="126"/>
        <v/>
      </c>
      <c r="U342" t="str">
        <f t="shared" si="127"/>
        <v/>
      </c>
      <c r="V342" t="str">
        <f t="shared" si="128"/>
        <v/>
      </c>
      <c r="W342" t="str">
        <f t="shared" si="129"/>
        <v/>
      </c>
      <c r="X342" t="str">
        <f t="shared" si="130"/>
        <v/>
      </c>
      <c r="Y342" t="str">
        <f t="shared" si="131"/>
        <v/>
      </c>
      <c r="Z342" t="str">
        <f t="shared" si="132"/>
        <v/>
      </c>
      <c r="AA342">
        <f t="shared" si="133"/>
        <v>0</v>
      </c>
      <c r="AB342" t="str">
        <f>IFERROR(V144+MATCH(AA342,V342:Z342,0)-1,"")</f>
        <v/>
      </c>
      <c r="AC342" t="str">
        <f t="shared" si="134"/>
        <v/>
      </c>
      <c r="AE342" t="str">
        <f>IF(ISNUMBER(MATCH("N/A",J342:N342,0)),"",IFERROR((5 * SUMPRODUCT(J144:N144,J342:N342) - PRODUCT(SUM(J144:N144),SUM(J342:N342))) / ((5 * SUM((J144^2)+(K144^2)+(L144^2)+(M144^2)+(N144^2))) - SUM(J144:N144)^2),""))</f>
        <v/>
      </c>
      <c r="AF342" t="str">
        <f>IFERROR(CORREL(J144:N144,J342:N342),"")</f>
        <v/>
      </c>
      <c r="AZ342">
        <f t="shared" si="135"/>
        <v>0</v>
      </c>
      <c r="BA342" t="str">
        <f>IF(AZ342=1,IF(Q342="","",IF(Q342=N144,"Yes","No")),"")</f>
        <v/>
      </c>
      <c r="BB342" t="str">
        <f t="shared" si="136"/>
        <v/>
      </c>
      <c r="BC342" t="str">
        <f>IF(AZ342=1,IF(S342="","",IF(S342=N144,"Yes","No")),"")</f>
        <v/>
      </c>
      <c r="BD342" t="str">
        <f t="shared" si="137"/>
        <v/>
      </c>
      <c r="BE342" t="str">
        <f t="shared" si="138"/>
        <v/>
      </c>
      <c r="BF342" t="str">
        <f t="shared" si="139"/>
        <v>No</v>
      </c>
      <c r="BG342" t="str">
        <f t="shared" si="140"/>
        <v>No</v>
      </c>
      <c r="BH342" t="str">
        <f t="shared" si="141"/>
        <v/>
      </c>
    </row>
    <row r="343" spans="9:60" x14ac:dyDescent="0.3">
      <c r="I343" t="str">
        <f t="shared" si="118"/>
        <v>N/A</v>
      </c>
      <c r="J343" t="str">
        <f t="shared" si="119"/>
        <v>N/A</v>
      </c>
      <c r="K343" t="str">
        <f t="shared" si="120"/>
        <v>N/A</v>
      </c>
      <c r="L343" t="str">
        <f t="shared" si="121"/>
        <v>N/A</v>
      </c>
      <c r="M343" t="str">
        <f t="shared" si="122"/>
        <v>N/A</v>
      </c>
      <c r="N343" t="str">
        <f t="shared" si="123"/>
        <v>N/A</v>
      </c>
      <c r="P343">
        <f t="shared" si="124"/>
        <v>0</v>
      </c>
      <c r="Q343" t="str">
        <f>IFERROR(J144+MATCH(P343,J343:N343,0)-1,"")</f>
        <v/>
      </c>
      <c r="R343" t="str">
        <f t="shared" si="125"/>
        <v/>
      </c>
      <c r="S343" t="str">
        <f>IFERROR(J144+MATCH(R343,J343:N343,0)-1,"")</f>
        <v/>
      </c>
      <c r="T343" t="str">
        <f t="shared" si="126"/>
        <v/>
      </c>
      <c r="U343" t="str">
        <f t="shared" si="127"/>
        <v/>
      </c>
      <c r="V343" t="str">
        <f t="shared" si="128"/>
        <v/>
      </c>
      <c r="W343" t="str">
        <f t="shared" si="129"/>
        <v/>
      </c>
      <c r="X343" t="str">
        <f t="shared" si="130"/>
        <v/>
      </c>
      <c r="Y343" t="str">
        <f t="shared" si="131"/>
        <v/>
      </c>
      <c r="Z343" t="str">
        <f t="shared" si="132"/>
        <v/>
      </c>
      <c r="AA343">
        <f t="shared" si="133"/>
        <v>0</v>
      </c>
      <c r="AB343" t="str">
        <f>IFERROR(V144+MATCH(AA343,V343:Z343,0)-1,"")</f>
        <v/>
      </c>
      <c r="AC343" t="str">
        <f t="shared" si="134"/>
        <v/>
      </c>
      <c r="AE343" t="str">
        <f>IF(ISNUMBER(MATCH("N/A",J343:N343,0)),"",IFERROR((5 * SUMPRODUCT(J144:N144,J343:N343) - PRODUCT(SUM(J144:N144),SUM(J343:N343))) / ((5 * SUM((J144^2)+(K144^2)+(L144^2)+(M144^2)+(N144^2))) - SUM(J144:N144)^2),""))</f>
        <v/>
      </c>
      <c r="AF343" t="str">
        <f>IFERROR(CORREL(J144:N144,J343:N343),"")</f>
        <v/>
      </c>
      <c r="AZ343">
        <f t="shared" si="135"/>
        <v>0</v>
      </c>
      <c r="BA343" t="str">
        <f>IF(AZ343=1,IF(Q343="","",IF(Q343=N144,"Yes","No")),"")</f>
        <v/>
      </c>
      <c r="BB343" t="str">
        <f t="shared" si="136"/>
        <v/>
      </c>
      <c r="BC343" t="str">
        <f>IF(AZ343=1,IF(S343="","",IF(S343=N144,"Yes","No")),"")</f>
        <v/>
      </c>
      <c r="BD343" t="str">
        <f t="shared" si="137"/>
        <v/>
      </c>
      <c r="BE343" t="str">
        <f t="shared" si="138"/>
        <v/>
      </c>
      <c r="BF343" t="str">
        <f t="shared" si="139"/>
        <v>No</v>
      </c>
      <c r="BG343" t="str">
        <f t="shared" si="140"/>
        <v>No</v>
      </c>
      <c r="BH343" t="str">
        <f t="shared" si="141"/>
        <v/>
      </c>
    </row>
    <row r="344" spans="9:60" x14ac:dyDescent="0.3">
      <c r="I344" t="str">
        <f t="shared" si="118"/>
        <v>N/A</v>
      </c>
      <c r="J344" t="str">
        <f t="shared" si="119"/>
        <v>N/A</v>
      </c>
      <c r="K344" t="str">
        <f t="shared" si="120"/>
        <v>N/A</v>
      </c>
      <c r="L344" t="str">
        <f t="shared" si="121"/>
        <v>N/A</v>
      </c>
      <c r="M344" t="str">
        <f t="shared" si="122"/>
        <v>N/A</v>
      </c>
      <c r="N344" t="str">
        <f t="shared" si="123"/>
        <v>N/A</v>
      </c>
      <c r="P344">
        <f t="shared" si="124"/>
        <v>0</v>
      </c>
      <c r="Q344" t="str">
        <f>IFERROR(J144+MATCH(P344,J344:N344,0)-1,"")</f>
        <v/>
      </c>
      <c r="R344" t="str">
        <f t="shared" si="125"/>
        <v/>
      </c>
      <c r="S344" t="str">
        <f>IFERROR(J144+MATCH(R344,J344:N344,0)-1,"")</f>
        <v/>
      </c>
      <c r="T344" t="str">
        <f t="shared" si="126"/>
        <v/>
      </c>
      <c r="U344" t="str">
        <f t="shared" si="127"/>
        <v/>
      </c>
      <c r="V344" t="str">
        <f t="shared" si="128"/>
        <v/>
      </c>
      <c r="W344" t="str">
        <f t="shared" si="129"/>
        <v/>
      </c>
      <c r="X344" t="str">
        <f t="shared" si="130"/>
        <v/>
      </c>
      <c r="Y344" t="str">
        <f t="shared" si="131"/>
        <v/>
      </c>
      <c r="Z344" t="str">
        <f t="shared" si="132"/>
        <v/>
      </c>
      <c r="AA344">
        <f t="shared" si="133"/>
        <v>0</v>
      </c>
      <c r="AB344" t="str">
        <f>IFERROR(V144+MATCH(AA344,V344:Z344,0)-1,"")</f>
        <v/>
      </c>
      <c r="AC344" t="str">
        <f t="shared" si="134"/>
        <v/>
      </c>
      <c r="AE344" t="str">
        <f>IF(ISNUMBER(MATCH("N/A",J344:N344,0)),"",IFERROR((5 * SUMPRODUCT(J144:N144,J344:N344) - PRODUCT(SUM(J144:N144),SUM(J344:N344))) / ((5 * SUM((J144^2)+(K144^2)+(L144^2)+(M144^2)+(N144^2))) - SUM(J144:N144)^2),""))</f>
        <v/>
      </c>
      <c r="AF344" t="str">
        <f>IFERROR(CORREL(J144:N144,J344:N344),"")</f>
        <v/>
      </c>
      <c r="AZ344">
        <f t="shared" si="135"/>
        <v>0</v>
      </c>
      <c r="BA344" t="str">
        <f>IF(AZ344=1,IF(Q344="","",IF(Q344=N144,"Yes","No")),"")</f>
        <v/>
      </c>
      <c r="BB344" t="str">
        <f t="shared" si="136"/>
        <v/>
      </c>
      <c r="BC344" t="str">
        <f>IF(AZ344=1,IF(S344="","",IF(S344=N144,"Yes","No")),"")</f>
        <v/>
      </c>
      <c r="BD344" t="str">
        <f t="shared" si="137"/>
        <v/>
      </c>
      <c r="BE344" t="str">
        <f t="shared" si="138"/>
        <v/>
      </c>
      <c r="BF344" t="str">
        <f t="shared" si="139"/>
        <v>No</v>
      </c>
      <c r="BG344" t="str">
        <f t="shared" si="140"/>
        <v>No</v>
      </c>
      <c r="BH344" t="str">
        <f t="shared" si="141"/>
        <v/>
      </c>
    </row>
    <row r="345" spans="9:60" x14ac:dyDescent="0.3">
      <c r="I345" t="str">
        <f t="shared" si="118"/>
        <v>N/A</v>
      </c>
      <c r="J345" t="str">
        <f t="shared" si="119"/>
        <v>N/A</v>
      </c>
      <c r="K345" t="str">
        <f t="shared" si="120"/>
        <v>N/A</v>
      </c>
      <c r="L345" t="str">
        <f t="shared" si="121"/>
        <v>N/A</v>
      </c>
      <c r="M345" t="str">
        <f t="shared" si="122"/>
        <v>N/A</v>
      </c>
      <c r="N345" t="str">
        <f t="shared" si="123"/>
        <v>N/A</v>
      </c>
      <c r="P345">
        <f t="shared" si="124"/>
        <v>0</v>
      </c>
      <c r="Q345" t="str">
        <f>IFERROR(J144+MATCH(P345,J345:N345,0)-1,"")</f>
        <v/>
      </c>
      <c r="R345" t="str">
        <f t="shared" si="125"/>
        <v/>
      </c>
      <c r="S345" t="str">
        <f>IFERROR(J144+MATCH(R345,J345:N345,0)-1,"")</f>
        <v/>
      </c>
      <c r="T345" t="str">
        <f t="shared" si="126"/>
        <v/>
      </c>
      <c r="U345" t="str">
        <f t="shared" si="127"/>
        <v/>
      </c>
      <c r="V345" t="str">
        <f t="shared" si="128"/>
        <v/>
      </c>
      <c r="W345" t="str">
        <f t="shared" si="129"/>
        <v/>
      </c>
      <c r="X345" t="str">
        <f t="shared" si="130"/>
        <v/>
      </c>
      <c r="Y345" t="str">
        <f t="shared" si="131"/>
        <v/>
      </c>
      <c r="Z345" t="str">
        <f t="shared" si="132"/>
        <v/>
      </c>
      <c r="AA345">
        <f t="shared" si="133"/>
        <v>0</v>
      </c>
      <c r="AB345" t="str">
        <f>IFERROR(V144+MATCH(AA345,V345:Z345,0)-1,"")</f>
        <v/>
      </c>
      <c r="AC345" t="str">
        <f t="shared" si="134"/>
        <v/>
      </c>
      <c r="AE345" t="str">
        <f>IF(ISNUMBER(MATCH("N/A",J345:N345,0)),"",IFERROR((5 * SUMPRODUCT(J144:N144,J345:N345) - PRODUCT(SUM(J144:N144),SUM(J345:N345))) / ((5 * SUM((J144^2)+(K144^2)+(L144^2)+(M144^2)+(N144^2))) - SUM(J144:N144)^2),""))</f>
        <v/>
      </c>
      <c r="AF345" t="str">
        <f>IFERROR(CORREL(J144:N144,J345:N345),"")</f>
        <v/>
      </c>
      <c r="AZ345">
        <f t="shared" si="135"/>
        <v>0</v>
      </c>
      <c r="BA345" t="str">
        <f>IF(AZ345=1,IF(Q345="","",IF(Q345=N144,"Yes","No")),"")</f>
        <v/>
      </c>
      <c r="BB345" t="str">
        <f t="shared" si="136"/>
        <v/>
      </c>
      <c r="BC345" t="str">
        <f>IF(AZ345=1,IF(S345="","",IF(S345=N144,"Yes","No")),"")</f>
        <v/>
      </c>
      <c r="BD345" t="str">
        <f t="shared" si="137"/>
        <v/>
      </c>
      <c r="BE345" t="str">
        <f t="shared" si="138"/>
        <v/>
      </c>
      <c r="BF345" t="str">
        <f t="shared" si="139"/>
        <v>No</v>
      </c>
      <c r="BG345" t="str">
        <f t="shared" si="140"/>
        <v>No</v>
      </c>
      <c r="BH345" t="str">
        <f t="shared" si="141"/>
        <v/>
      </c>
    </row>
    <row r="346" spans="9:60" x14ac:dyDescent="0.3">
      <c r="I346" t="str">
        <f t="shared" si="118"/>
        <v>N/A</v>
      </c>
      <c r="J346" t="str">
        <f t="shared" si="119"/>
        <v>N/A</v>
      </c>
      <c r="K346" t="str">
        <f t="shared" si="120"/>
        <v>N/A</v>
      </c>
      <c r="L346" t="str">
        <f t="shared" si="121"/>
        <v>N/A</v>
      </c>
      <c r="M346" t="str">
        <f t="shared" si="122"/>
        <v>N/A</v>
      </c>
      <c r="N346" t="str">
        <f t="shared" si="123"/>
        <v>N/A</v>
      </c>
      <c r="P346">
        <f t="shared" si="124"/>
        <v>0</v>
      </c>
      <c r="Q346" t="str">
        <f>IFERROR(J144+MATCH(P346,J346:N346,0)-1,"")</f>
        <v/>
      </c>
      <c r="R346" t="str">
        <f t="shared" si="125"/>
        <v/>
      </c>
      <c r="S346" t="str">
        <f>IFERROR(J144+MATCH(R346,J346:N346,0)-1,"")</f>
        <v/>
      </c>
      <c r="T346" t="str">
        <f t="shared" si="126"/>
        <v/>
      </c>
      <c r="U346" t="str">
        <f t="shared" si="127"/>
        <v/>
      </c>
      <c r="V346" t="str">
        <f t="shared" si="128"/>
        <v/>
      </c>
      <c r="W346" t="str">
        <f t="shared" si="129"/>
        <v/>
      </c>
      <c r="X346" t="str">
        <f t="shared" si="130"/>
        <v/>
      </c>
      <c r="Y346" t="str">
        <f t="shared" si="131"/>
        <v/>
      </c>
      <c r="Z346" t="str">
        <f t="shared" si="132"/>
        <v/>
      </c>
      <c r="AA346">
        <f t="shared" si="133"/>
        <v>0</v>
      </c>
      <c r="AB346" t="str">
        <f>IFERROR(V144+MATCH(AA346,V346:Z346,0)-1,"")</f>
        <v/>
      </c>
      <c r="AC346" t="str">
        <f t="shared" si="134"/>
        <v/>
      </c>
      <c r="AE346" t="str">
        <f>IF(ISNUMBER(MATCH("N/A",J346:N346,0)),"",IFERROR((5 * SUMPRODUCT(J144:N144,J346:N346) - PRODUCT(SUM(J144:N144),SUM(J346:N346))) / ((5 * SUM((J144^2)+(K144^2)+(L144^2)+(M144^2)+(N144^2))) - SUM(J144:N144)^2),""))</f>
        <v/>
      </c>
      <c r="AF346" t="str">
        <f>IFERROR(CORREL(J144:N144,J346:N346),"")</f>
        <v/>
      </c>
      <c r="AZ346">
        <f t="shared" si="135"/>
        <v>0</v>
      </c>
      <c r="BA346" t="str">
        <f>IF(AZ346=1,IF(Q346="","",IF(Q346=N144,"Yes","No")),"")</f>
        <v/>
      </c>
      <c r="BB346" t="str">
        <f t="shared" si="136"/>
        <v/>
      </c>
      <c r="BC346" t="str">
        <f>IF(AZ346=1,IF(S346="","",IF(S346=N144,"Yes","No")),"")</f>
        <v/>
      </c>
      <c r="BD346" t="str">
        <f t="shared" si="137"/>
        <v/>
      </c>
      <c r="BE346" t="str">
        <f t="shared" si="138"/>
        <v/>
      </c>
      <c r="BF346" t="str">
        <f t="shared" si="139"/>
        <v>No</v>
      </c>
      <c r="BG346" t="str">
        <f t="shared" si="140"/>
        <v>No</v>
      </c>
      <c r="BH346" t="str">
        <f t="shared" si="141"/>
        <v/>
      </c>
    </row>
    <row r="347" spans="9:60" x14ac:dyDescent="0.3">
      <c r="I347" t="str">
        <f t="shared" si="118"/>
        <v>N/A</v>
      </c>
      <c r="J347" t="str">
        <f t="shared" si="119"/>
        <v>N/A</v>
      </c>
      <c r="K347" t="str">
        <f t="shared" si="120"/>
        <v>N/A</v>
      </c>
      <c r="L347" t="str">
        <f t="shared" si="121"/>
        <v>N/A</v>
      </c>
      <c r="M347" t="str">
        <f t="shared" si="122"/>
        <v>N/A</v>
      </c>
      <c r="N347" t="str">
        <f t="shared" si="123"/>
        <v>N/A</v>
      </c>
      <c r="P347">
        <f t="shared" si="124"/>
        <v>0</v>
      </c>
      <c r="Q347" t="str">
        <f>IFERROR(J144+MATCH(P347,J347:N347,0)-1,"")</f>
        <v/>
      </c>
      <c r="R347" t="str">
        <f t="shared" si="125"/>
        <v/>
      </c>
      <c r="S347" t="str">
        <f>IFERROR(J144+MATCH(R347,J347:N347,0)-1,"")</f>
        <v/>
      </c>
      <c r="T347" t="str">
        <f t="shared" si="126"/>
        <v/>
      </c>
      <c r="U347" t="str">
        <f t="shared" si="127"/>
        <v/>
      </c>
      <c r="V347" t="str">
        <f t="shared" si="128"/>
        <v/>
      </c>
      <c r="W347" t="str">
        <f t="shared" si="129"/>
        <v/>
      </c>
      <c r="X347" t="str">
        <f t="shared" si="130"/>
        <v/>
      </c>
      <c r="Y347" t="str">
        <f t="shared" si="131"/>
        <v/>
      </c>
      <c r="Z347" t="str">
        <f t="shared" si="132"/>
        <v/>
      </c>
      <c r="AA347">
        <f t="shared" si="133"/>
        <v>0</v>
      </c>
      <c r="AB347" t="str">
        <f>IFERROR(V144+MATCH(AA347,V347:Z347,0)-1,"")</f>
        <v/>
      </c>
      <c r="AC347" t="str">
        <f t="shared" si="134"/>
        <v/>
      </c>
      <c r="AE347" t="str">
        <f>IF(ISNUMBER(MATCH("N/A",J347:N347,0)),"",IFERROR((5 * SUMPRODUCT(J144:N144,J347:N347) - PRODUCT(SUM(J144:N144),SUM(J347:N347))) / ((5 * SUM((J144^2)+(K144^2)+(L144^2)+(M144^2)+(N144^2))) - SUM(J144:N144)^2),""))</f>
        <v/>
      </c>
      <c r="AF347" t="str">
        <f>IFERROR(CORREL(J144:N144,J347:N347),"")</f>
        <v/>
      </c>
      <c r="AZ347">
        <f t="shared" si="135"/>
        <v>0</v>
      </c>
      <c r="BA347" t="str">
        <f>IF(AZ347=1,IF(Q347="","",IF(Q347=N144,"Yes","No")),"")</f>
        <v/>
      </c>
      <c r="BB347" t="str">
        <f t="shared" si="136"/>
        <v/>
      </c>
      <c r="BC347" t="str">
        <f>IF(AZ347=1,IF(S347="","",IF(S347=N144,"Yes","No")),"")</f>
        <v/>
      </c>
      <c r="BD347" t="str">
        <f t="shared" si="137"/>
        <v/>
      </c>
      <c r="BE347" t="str">
        <f t="shared" si="138"/>
        <v/>
      </c>
      <c r="BF347" t="str">
        <f t="shared" si="139"/>
        <v>No</v>
      </c>
      <c r="BG347" t="str">
        <f t="shared" si="140"/>
        <v>No</v>
      </c>
      <c r="BH347" t="str">
        <f t="shared" si="141"/>
        <v/>
      </c>
    </row>
    <row r="348" spans="9:60" x14ac:dyDescent="0.3">
      <c r="I348" t="str">
        <f t="shared" si="118"/>
        <v>N/A</v>
      </c>
      <c r="J348" t="str">
        <f t="shared" si="119"/>
        <v>N/A</v>
      </c>
      <c r="K348" t="str">
        <f t="shared" si="120"/>
        <v>N/A</v>
      </c>
      <c r="L348" t="str">
        <f t="shared" si="121"/>
        <v>N/A</v>
      </c>
      <c r="M348" t="str">
        <f t="shared" si="122"/>
        <v>N/A</v>
      </c>
      <c r="N348" t="str">
        <f t="shared" si="123"/>
        <v>N/A</v>
      </c>
      <c r="P348">
        <f t="shared" si="124"/>
        <v>0</v>
      </c>
      <c r="Q348" t="str">
        <f>IFERROR(J144+MATCH(P348,J348:N348,0)-1,"")</f>
        <v/>
      </c>
      <c r="R348" t="str">
        <f t="shared" si="125"/>
        <v/>
      </c>
      <c r="S348" t="str">
        <f>IFERROR(J144+MATCH(R348,J348:N348,0)-1,"")</f>
        <v/>
      </c>
      <c r="T348" t="str">
        <f t="shared" si="126"/>
        <v/>
      </c>
      <c r="U348" t="str">
        <f t="shared" si="127"/>
        <v/>
      </c>
      <c r="V348" t="str">
        <f t="shared" si="128"/>
        <v/>
      </c>
      <c r="W348" t="str">
        <f t="shared" si="129"/>
        <v/>
      </c>
      <c r="X348" t="str">
        <f t="shared" si="130"/>
        <v/>
      </c>
      <c r="Y348" t="str">
        <f t="shared" si="131"/>
        <v/>
      </c>
      <c r="Z348" t="str">
        <f t="shared" si="132"/>
        <v/>
      </c>
      <c r="AA348">
        <f t="shared" si="133"/>
        <v>0</v>
      </c>
      <c r="AB348" t="str">
        <f>IFERROR(V144+MATCH(AA348,V348:Z348,0)-1,"")</f>
        <v/>
      </c>
      <c r="AC348" t="str">
        <f t="shared" si="134"/>
        <v/>
      </c>
      <c r="AE348" t="str">
        <f>IF(ISNUMBER(MATCH("N/A",J348:N348,0)),"",IFERROR((5 * SUMPRODUCT(J144:N144,J348:N348) - PRODUCT(SUM(J144:N144),SUM(J348:N348))) / ((5 * SUM((J144^2)+(K144^2)+(L144^2)+(M144^2)+(N144^2))) - SUM(J144:N144)^2),""))</f>
        <v/>
      </c>
      <c r="AF348" t="str">
        <f>IFERROR(CORREL(J144:N144,J348:N348),"")</f>
        <v/>
      </c>
      <c r="AZ348">
        <f t="shared" si="135"/>
        <v>0</v>
      </c>
      <c r="BA348" t="str">
        <f>IF(AZ348=1,IF(Q348="","",IF(Q348=N144,"Yes","No")),"")</f>
        <v/>
      </c>
      <c r="BB348" t="str">
        <f t="shared" si="136"/>
        <v/>
      </c>
      <c r="BC348" t="str">
        <f>IF(AZ348=1,IF(S348="","",IF(S348=N144,"Yes","No")),"")</f>
        <v/>
      </c>
      <c r="BD348" t="str">
        <f t="shared" si="137"/>
        <v/>
      </c>
      <c r="BE348" t="str">
        <f t="shared" si="138"/>
        <v/>
      </c>
      <c r="BF348" t="str">
        <f t="shared" si="139"/>
        <v>No</v>
      </c>
      <c r="BG348" t="str">
        <f t="shared" si="140"/>
        <v>No</v>
      </c>
      <c r="BH348" t="str">
        <f t="shared" si="141"/>
        <v/>
      </c>
    </row>
    <row r="349" spans="9:60" x14ac:dyDescent="0.3">
      <c r="I349" t="str">
        <f t="shared" si="118"/>
        <v>N/A</v>
      </c>
      <c r="J349" t="str">
        <f t="shared" si="119"/>
        <v>N/A</v>
      </c>
      <c r="K349" t="str">
        <f t="shared" si="120"/>
        <v>N/A</v>
      </c>
      <c r="L349" t="str">
        <f t="shared" si="121"/>
        <v>N/A</v>
      </c>
      <c r="M349" t="str">
        <f t="shared" si="122"/>
        <v>N/A</v>
      </c>
      <c r="N349" t="str">
        <f t="shared" si="123"/>
        <v>N/A</v>
      </c>
      <c r="P349">
        <f t="shared" si="124"/>
        <v>0</v>
      </c>
      <c r="Q349" t="str">
        <f>IFERROR(J144+MATCH(P349,J349:N349,0)-1,"")</f>
        <v/>
      </c>
      <c r="R349" t="str">
        <f t="shared" si="125"/>
        <v/>
      </c>
      <c r="S349" t="str">
        <f>IFERROR(J144+MATCH(R349,J349:N349,0)-1,"")</f>
        <v/>
      </c>
      <c r="T349" t="str">
        <f t="shared" si="126"/>
        <v/>
      </c>
      <c r="U349" t="str">
        <f t="shared" si="127"/>
        <v/>
      </c>
      <c r="V349" t="str">
        <f t="shared" si="128"/>
        <v/>
      </c>
      <c r="W349" t="str">
        <f t="shared" si="129"/>
        <v/>
      </c>
      <c r="X349" t="str">
        <f t="shared" si="130"/>
        <v/>
      </c>
      <c r="Y349" t="str">
        <f t="shared" si="131"/>
        <v/>
      </c>
      <c r="Z349" t="str">
        <f t="shared" si="132"/>
        <v/>
      </c>
      <c r="AA349">
        <f t="shared" si="133"/>
        <v>0</v>
      </c>
      <c r="AB349" t="str">
        <f>IFERROR(V144+MATCH(AA349,V349:Z349,0)-1,"")</f>
        <v/>
      </c>
      <c r="AC349" t="str">
        <f t="shared" si="134"/>
        <v/>
      </c>
      <c r="AE349" t="str">
        <f>IF(ISNUMBER(MATCH("N/A",J349:N349,0)),"",IFERROR((5 * SUMPRODUCT(J144:N144,J349:N349) - PRODUCT(SUM(J144:N144),SUM(J349:N349))) / ((5 * SUM((J144^2)+(K144^2)+(L144^2)+(M144^2)+(N144^2))) - SUM(J144:N144)^2),""))</f>
        <v/>
      </c>
      <c r="AF349" t="str">
        <f>IFERROR(CORREL(J144:N144,J349:N349),"")</f>
        <v/>
      </c>
      <c r="AZ349">
        <f t="shared" si="135"/>
        <v>0</v>
      </c>
      <c r="BA349" t="str">
        <f>IF(AZ349=1,IF(Q349="","",IF(Q349=N144,"Yes","No")),"")</f>
        <v/>
      </c>
      <c r="BB349" t="str">
        <f t="shared" si="136"/>
        <v/>
      </c>
      <c r="BC349" t="str">
        <f>IF(AZ349=1,IF(S349="","",IF(S349=N144,"Yes","No")),"")</f>
        <v/>
      </c>
      <c r="BD349" t="str">
        <f t="shared" si="137"/>
        <v/>
      </c>
      <c r="BE349" t="str">
        <f t="shared" si="138"/>
        <v/>
      </c>
      <c r="BF349" t="str">
        <f t="shared" si="139"/>
        <v>No</v>
      </c>
      <c r="BG349" t="str">
        <f t="shared" si="140"/>
        <v>No</v>
      </c>
      <c r="BH349" t="str">
        <f t="shared" si="141"/>
        <v/>
      </c>
    </row>
    <row r="350" spans="9:60" x14ac:dyDescent="0.3">
      <c r="I350" t="str">
        <f t="shared" si="118"/>
        <v>N/A</v>
      </c>
      <c r="J350" t="str">
        <f t="shared" si="119"/>
        <v>N/A</v>
      </c>
      <c r="K350" t="str">
        <f t="shared" si="120"/>
        <v>N/A</v>
      </c>
      <c r="L350" t="str">
        <f t="shared" si="121"/>
        <v>N/A</v>
      </c>
      <c r="M350" t="str">
        <f t="shared" si="122"/>
        <v>N/A</v>
      </c>
      <c r="N350" t="str">
        <f t="shared" si="123"/>
        <v>N/A</v>
      </c>
      <c r="P350">
        <f t="shared" si="124"/>
        <v>0</v>
      </c>
      <c r="Q350" t="str">
        <f>IFERROR(J144+MATCH(P350,J350:N350,0)-1,"")</f>
        <v/>
      </c>
      <c r="R350" t="str">
        <f t="shared" si="125"/>
        <v/>
      </c>
      <c r="S350" t="str">
        <f>IFERROR(J144+MATCH(R350,J350:N350,0)-1,"")</f>
        <v/>
      </c>
      <c r="T350" t="str">
        <f t="shared" si="126"/>
        <v/>
      </c>
      <c r="U350" t="str">
        <f t="shared" si="127"/>
        <v/>
      </c>
      <c r="V350" t="str">
        <f t="shared" si="128"/>
        <v/>
      </c>
      <c r="W350" t="str">
        <f t="shared" si="129"/>
        <v/>
      </c>
      <c r="X350" t="str">
        <f t="shared" si="130"/>
        <v/>
      </c>
      <c r="Y350" t="str">
        <f t="shared" si="131"/>
        <v/>
      </c>
      <c r="Z350" t="str">
        <f t="shared" si="132"/>
        <v/>
      </c>
      <c r="AA350">
        <f t="shared" si="133"/>
        <v>0</v>
      </c>
      <c r="AB350" t="str">
        <f>IFERROR(V144+MATCH(AA350,V350:Z350,0)-1,"")</f>
        <v/>
      </c>
      <c r="AC350" t="str">
        <f t="shared" si="134"/>
        <v/>
      </c>
      <c r="AE350" t="str">
        <f>IF(ISNUMBER(MATCH("N/A",J350:N350,0)),"",IFERROR((5 * SUMPRODUCT(J144:N144,J350:N350) - PRODUCT(SUM(J144:N144),SUM(J350:N350))) / ((5 * SUM((J144^2)+(K144^2)+(L144^2)+(M144^2)+(N144^2))) - SUM(J144:N144)^2),""))</f>
        <v/>
      </c>
      <c r="AF350" t="str">
        <f>IFERROR(CORREL(J144:N144,J350:N350),"")</f>
        <v/>
      </c>
      <c r="AZ350">
        <f t="shared" si="135"/>
        <v>0</v>
      </c>
      <c r="BA350" t="str">
        <f>IF(AZ350=1,IF(Q350="","",IF(Q350=N144,"Yes","No")),"")</f>
        <v/>
      </c>
      <c r="BB350" t="str">
        <f t="shared" si="136"/>
        <v/>
      </c>
      <c r="BC350" t="str">
        <f>IF(AZ350=1,IF(S350="","",IF(S350=N144,"Yes","No")),"")</f>
        <v/>
      </c>
      <c r="BD350" t="str">
        <f t="shared" si="137"/>
        <v/>
      </c>
      <c r="BE350" t="str">
        <f t="shared" si="138"/>
        <v/>
      </c>
      <c r="BF350" t="str">
        <f t="shared" si="139"/>
        <v>No</v>
      </c>
      <c r="BG350" t="str">
        <f t="shared" si="140"/>
        <v>No</v>
      </c>
      <c r="BH350" t="str">
        <f t="shared" si="141"/>
        <v/>
      </c>
    </row>
    <row r="351" spans="9:60" x14ac:dyDescent="0.3">
      <c r="I351" t="str">
        <f t="shared" si="118"/>
        <v>N/A</v>
      </c>
      <c r="J351" t="str">
        <f t="shared" si="119"/>
        <v>N/A</v>
      </c>
      <c r="K351" t="str">
        <f t="shared" si="120"/>
        <v>N/A</v>
      </c>
      <c r="L351" t="str">
        <f t="shared" si="121"/>
        <v>N/A</v>
      </c>
      <c r="M351" t="str">
        <f t="shared" si="122"/>
        <v>N/A</v>
      </c>
      <c r="N351" t="str">
        <f t="shared" si="123"/>
        <v>N/A</v>
      </c>
      <c r="P351">
        <f t="shared" si="124"/>
        <v>0</v>
      </c>
      <c r="Q351" t="str">
        <f>IFERROR(J144+MATCH(P351,J351:N351,0)-1,"")</f>
        <v/>
      </c>
      <c r="R351" t="str">
        <f t="shared" si="125"/>
        <v/>
      </c>
      <c r="S351" t="str">
        <f>IFERROR(J144+MATCH(R351,J351:N351,0)-1,"")</f>
        <v/>
      </c>
      <c r="T351" t="str">
        <f t="shared" si="126"/>
        <v/>
      </c>
      <c r="U351" t="str">
        <f t="shared" si="127"/>
        <v/>
      </c>
      <c r="V351" t="str">
        <f t="shared" si="128"/>
        <v/>
      </c>
      <c r="W351" t="str">
        <f t="shared" si="129"/>
        <v/>
      </c>
      <c r="X351" t="str">
        <f t="shared" si="130"/>
        <v/>
      </c>
      <c r="Y351" t="str">
        <f t="shared" si="131"/>
        <v/>
      </c>
      <c r="Z351" t="str">
        <f t="shared" si="132"/>
        <v/>
      </c>
      <c r="AA351">
        <f t="shared" si="133"/>
        <v>0</v>
      </c>
      <c r="AB351" t="str">
        <f>IFERROR(V144+MATCH(AA351,V351:Z351,0)-1,"")</f>
        <v/>
      </c>
      <c r="AC351" t="str">
        <f t="shared" si="134"/>
        <v/>
      </c>
      <c r="AE351" t="str">
        <f>IF(ISNUMBER(MATCH("N/A",J351:N351,0)),"",IFERROR((5 * SUMPRODUCT(J144:N144,J351:N351) - PRODUCT(SUM(J144:N144),SUM(J351:N351))) / ((5 * SUM((J144^2)+(K144^2)+(L144^2)+(M144^2)+(N144^2))) - SUM(J144:N144)^2),""))</f>
        <v/>
      </c>
      <c r="AF351" t="str">
        <f>IFERROR(CORREL(J144:N144,J351:N351),"")</f>
        <v/>
      </c>
      <c r="AZ351">
        <f t="shared" si="135"/>
        <v>0</v>
      </c>
      <c r="BA351" t="str">
        <f>IF(AZ351=1,IF(Q351="","",IF(Q351=N144,"Yes","No")),"")</f>
        <v/>
      </c>
      <c r="BB351" t="str">
        <f t="shared" si="136"/>
        <v/>
      </c>
      <c r="BC351" t="str">
        <f>IF(AZ351=1,IF(S351="","",IF(S351=N144,"Yes","No")),"")</f>
        <v/>
      </c>
      <c r="BD351" t="str">
        <f t="shared" si="137"/>
        <v/>
      </c>
      <c r="BE351" t="str">
        <f t="shared" si="138"/>
        <v/>
      </c>
      <c r="BF351" t="str">
        <f t="shared" si="139"/>
        <v>No</v>
      </c>
      <c r="BG351" t="str">
        <f t="shared" si="140"/>
        <v>No</v>
      </c>
      <c r="BH351" t="str">
        <f t="shared" si="141"/>
        <v/>
      </c>
    </row>
    <row r="352" spans="9:60" x14ac:dyDescent="0.3">
      <c r="I352" t="str">
        <f t="shared" si="118"/>
        <v>N/A</v>
      </c>
      <c r="J352" t="str">
        <f t="shared" si="119"/>
        <v>N/A</v>
      </c>
      <c r="K352" t="str">
        <f t="shared" si="120"/>
        <v>N/A</v>
      </c>
      <c r="L352" t="str">
        <f t="shared" si="121"/>
        <v>N/A</v>
      </c>
      <c r="M352" t="str">
        <f t="shared" si="122"/>
        <v>N/A</v>
      </c>
      <c r="N352" t="str">
        <f t="shared" si="123"/>
        <v>N/A</v>
      </c>
      <c r="P352">
        <f t="shared" si="124"/>
        <v>0</v>
      </c>
      <c r="Q352" t="str">
        <f>IFERROR(J144+MATCH(P352,J352:N352,0)-1,"")</f>
        <v/>
      </c>
      <c r="R352" t="str">
        <f t="shared" si="125"/>
        <v/>
      </c>
      <c r="S352" t="str">
        <f>IFERROR(J144+MATCH(R352,J352:N352,0)-1,"")</f>
        <v/>
      </c>
      <c r="T352" t="str">
        <f t="shared" si="126"/>
        <v/>
      </c>
      <c r="U352" t="str">
        <f t="shared" si="127"/>
        <v/>
      </c>
      <c r="V352" t="str">
        <f t="shared" si="128"/>
        <v/>
      </c>
      <c r="W352" t="str">
        <f t="shared" si="129"/>
        <v/>
      </c>
      <c r="X352" t="str">
        <f t="shared" si="130"/>
        <v/>
      </c>
      <c r="Y352" t="str">
        <f t="shared" si="131"/>
        <v/>
      </c>
      <c r="Z352" t="str">
        <f t="shared" si="132"/>
        <v/>
      </c>
      <c r="AA352">
        <f t="shared" si="133"/>
        <v>0</v>
      </c>
      <c r="AB352" t="str">
        <f>IFERROR(V144+MATCH(AA352,V352:Z352,0)-1,"")</f>
        <v/>
      </c>
      <c r="AC352" t="str">
        <f t="shared" si="134"/>
        <v/>
      </c>
      <c r="AE352" t="str">
        <f>IF(ISNUMBER(MATCH("N/A",J352:N352,0)),"",IFERROR((5 * SUMPRODUCT(J144:N144,J352:N352) - PRODUCT(SUM(J144:N144),SUM(J352:N352))) / ((5 * SUM((J144^2)+(K144^2)+(L144^2)+(M144^2)+(N144^2))) - SUM(J144:N144)^2),""))</f>
        <v/>
      </c>
      <c r="AF352" t="str">
        <f>IFERROR(CORREL(J144:N144,J352:N352),"")</f>
        <v/>
      </c>
      <c r="AZ352">
        <f t="shared" si="135"/>
        <v>0</v>
      </c>
      <c r="BA352" t="str">
        <f>IF(AZ352=1,IF(Q352="","",IF(Q352=N144,"Yes","No")),"")</f>
        <v/>
      </c>
      <c r="BB352" t="str">
        <f t="shared" si="136"/>
        <v/>
      </c>
      <c r="BC352" t="str">
        <f>IF(AZ352=1,IF(S352="","",IF(S352=N144,"Yes","No")),"")</f>
        <v/>
      </c>
      <c r="BD352" t="str">
        <f t="shared" si="137"/>
        <v/>
      </c>
      <c r="BE352" t="str">
        <f t="shared" si="138"/>
        <v/>
      </c>
      <c r="BF352" t="str">
        <f t="shared" si="139"/>
        <v>No</v>
      </c>
      <c r="BG352" t="str">
        <f t="shared" si="140"/>
        <v>No</v>
      </c>
      <c r="BH352" t="str">
        <f t="shared" si="141"/>
        <v/>
      </c>
    </row>
    <row r="353" spans="9:29" x14ac:dyDescent="0.3">
      <c r="I353" t="str">
        <f t="shared" si="118"/>
        <v>N/A</v>
      </c>
      <c r="J353" t="str">
        <f t="shared" si="119"/>
        <v>N/A</v>
      </c>
      <c r="K353" t="str">
        <f t="shared" si="120"/>
        <v>N/A</v>
      </c>
      <c r="L353" t="str">
        <f t="shared" si="121"/>
        <v>N/A</v>
      </c>
      <c r="M353" t="str">
        <f t="shared" si="122"/>
        <v>N/A</v>
      </c>
      <c r="N353" t="str">
        <f t="shared" si="123"/>
        <v>N/A</v>
      </c>
      <c r="P353">
        <f t="shared" si="124"/>
        <v>0</v>
      </c>
      <c r="Q353" t="str">
        <f>IFERROR(J144+MATCH(P353,J353:N353,0)-1,"")</f>
        <v/>
      </c>
      <c r="R353" t="str">
        <f t="shared" si="125"/>
        <v/>
      </c>
      <c r="T353" t="str">
        <f t="shared" si="126"/>
        <v/>
      </c>
      <c r="U353" t="str">
        <f t="shared" si="127"/>
        <v/>
      </c>
      <c r="V353" t="str">
        <f t="shared" si="128"/>
        <v/>
      </c>
      <c r="W353" t="str">
        <f t="shared" si="129"/>
        <v/>
      </c>
      <c r="X353" t="str">
        <f t="shared" si="130"/>
        <v/>
      </c>
      <c r="Y353" t="str">
        <f t="shared" si="131"/>
        <v/>
      </c>
      <c r="Z353" t="str">
        <f t="shared" si="132"/>
        <v/>
      </c>
      <c r="AA353">
        <f t="shared" si="133"/>
        <v>0</v>
      </c>
      <c r="AB353" t="str">
        <f>IFERROR(V144+MATCH(AA353,V353:Z353,0)-1,"")</f>
        <v/>
      </c>
      <c r="AC353" t="str">
        <f>IF(S353=AB353,"Low",IF(AB353=Q353,"High",""))</f>
        <v>Low</v>
      </c>
    </row>
    <row r="354" spans="9:29" x14ac:dyDescent="0.3">
      <c r="I354" t="str">
        <f t="shared" si="118"/>
        <v>N/A</v>
      </c>
      <c r="J354" t="str">
        <f t="shared" si="119"/>
        <v>N/A</v>
      </c>
      <c r="K354" t="str">
        <f t="shared" si="120"/>
        <v>N/A</v>
      </c>
      <c r="L354" t="str">
        <f t="shared" si="121"/>
        <v>N/A</v>
      </c>
      <c r="M354" t="str">
        <f t="shared" si="122"/>
        <v>N/A</v>
      </c>
      <c r="N354" t="str">
        <f t="shared" si="123"/>
        <v>N/A</v>
      </c>
      <c r="V354">
        <f>MAX(V145:V353)</f>
        <v>0</v>
      </c>
      <c r="W354">
        <f>MAX(W145:W353)</f>
        <v>0</v>
      </c>
      <c r="X354">
        <f>MAX(X145:X353)</f>
        <v>0</v>
      </c>
      <c r="Y354">
        <f>MAX(Y145:Y353)</f>
        <v>0</v>
      </c>
      <c r="Z354">
        <f>MAX(Z145:Z353)</f>
        <v>0</v>
      </c>
    </row>
    <row r="355" spans="9:29" x14ac:dyDescent="0.3">
      <c r="I355" t="str">
        <f t="shared" si="118"/>
        <v>N/A</v>
      </c>
      <c r="J355" t="str">
        <f t="shared" si="119"/>
        <v>N/A</v>
      </c>
      <c r="K355" t="str">
        <f t="shared" si="120"/>
        <v>N/A</v>
      </c>
      <c r="L355" t="str">
        <f t="shared" si="121"/>
        <v>N/A</v>
      </c>
      <c r="M355" t="str">
        <f t="shared" si="122"/>
        <v>N/A</v>
      </c>
      <c r="N355" t="str">
        <f t="shared" si="123"/>
        <v>N/A</v>
      </c>
      <c r="V355">
        <f>MIN(V145:V353)</f>
        <v>0</v>
      </c>
      <c r="W355">
        <f>MIN(W145:W353)</f>
        <v>0</v>
      </c>
      <c r="X355">
        <f>MIN(X145:X353)</f>
        <v>0</v>
      </c>
      <c r="Y355">
        <f>MIN(Y145:Y353)</f>
        <v>0</v>
      </c>
      <c r="Z355">
        <f>MIN(Z145:Z353)</f>
        <v>0</v>
      </c>
    </row>
    <row r="356" spans="9:29" x14ac:dyDescent="0.3">
      <c r="I356" t="str">
        <f t="shared" si="118"/>
        <v>N/A</v>
      </c>
      <c r="J356" t="str">
        <f t="shared" si="119"/>
        <v>N/A</v>
      </c>
      <c r="K356" t="str">
        <f t="shared" si="120"/>
        <v>N/A</v>
      </c>
      <c r="L356" t="str">
        <f t="shared" si="121"/>
        <v>N/A</v>
      </c>
      <c r="M356" t="str">
        <f t="shared" si="122"/>
        <v>N/A</v>
      </c>
      <c r="N356" t="str">
        <f t="shared" si="123"/>
        <v>N/A</v>
      </c>
      <c r="V356">
        <f>COUNTIF(V145:V353,"&gt;1.5")</f>
        <v>0</v>
      </c>
      <c r="W356">
        <f>COUNTIF(W145:W353,"&gt;1.5")</f>
        <v>0</v>
      </c>
      <c r="X356">
        <f>COUNTIF(X145:X353,"&gt;1.5")</f>
        <v>0</v>
      </c>
      <c r="Y356">
        <f>COUNTIF(Y145:Y353,"&gt;1.5")</f>
        <v>0</v>
      </c>
      <c r="Z356">
        <f>COUNTIF(Z145:Z353,"&gt;1.5")</f>
        <v>0</v>
      </c>
    </row>
    <row r="357" spans="9:29" x14ac:dyDescent="0.3">
      <c r="I357" t="str">
        <f t="shared" si="118"/>
        <v>N/A</v>
      </c>
      <c r="J357" t="str">
        <f t="shared" si="119"/>
        <v>N/A</v>
      </c>
      <c r="K357" t="str">
        <f t="shared" si="120"/>
        <v>N/A</v>
      </c>
      <c r="L357" t="str">
        <f t="shared" si="121"/>
        <v>N/A</v>
      </c>
      <c r="M357" t="str">
        <f t="shared" si="122"/>
        <v>N/A</v>
      </c>
      <c r="N357" t="str">
        <f t="shared" si="123"/>
        <v>N/A</v>
      </c>
      <c r="V357">
        <f>COUNTIF(V145:V353,"&lt;-1.5")</f>
        <v>0</v>
      </c>
      <c r="W357">
        <f>COUNTIF(W145:W353,"&lt;-1.5")</f>
        <v>0</v>
      </c>
      <c r="X357">
        <f>COUNTIF(X145:X353,"&lt;-1.5")</f>
        <v>0</v>
      </c>
      <c r="Y357">
        <f>COUNTIF(Y145:Y353,"&lt;-1.5")</f>
        <v>0</v>
      </c>
      <c r="Z357">
        <f>COUNTIF(Z145:Z353,"&lt;-1.5")</f>
        <v>0</v>
      </c>
    </row>
    <row r="358" spans="9:29" x14ac:dyDescent="0.3">
      <c r="I358" t="str">
        <f t="shared" si="118"/>
        <v>N/A</v>
      </c>
      <c r="J358" t="str">
        <f t="shared" si="119"/>
        <v>N/A</v>
      </c>
      <c r="K358" t="str">
        <f t="shared" si="120"/>
        <v>N/A</v>
      </c>
      <c r="L358" t="str">
        <f t="shared" si="121"/>
        <v>N/A</v>
      </c>
      <c r="M358" t="str">
        <f t="shared" si="122"/>
        <v>N/A</v>
      </c>
      <c r="N358" t="str">
        <f t="shared" si="123"/>
        <v>N/A</v>
      </c>
      <c r="V358">
        <f>SUM(V356:V357)</f>
        <v>0</v>
      </c>
      <c r="W358">
        <f>SUM(W356:W357)</f>
        <v>0</v>
      </c>
      <c r="X358">
        <f>SUM(X356:X357)</f>
        <v>0</v>
      </c>
      <c r="Y358">
        <f>SUM(Y356:Y357)</f>
        <v>0</v>
      </c>
      <c r="Z358">
        <f>SUM(Z356:Z357)</f>
        <v>0</v>
      </c>
    </row>
    <row r="359" spans="9:29" x14ac:dyDescent="0.3">
      <c r="I359" t="str">
        <f t="shared" si="118"/>
        <v>N/A</v>
      </c>
      <c r="J359" t="str">
        <f t="shared" si="119"/>
        <v>N/A</v>
      </c>
      <c r="K359" t="str">
        <f t="shared" si="120"/>
        <v>N/A</v>
      </c>
      <c r="L359" t="str">
        <f t="shared" si="121"/>
        <v>N/A</v>
      </c>
      <c r="M359" t="str">
        <f t="shared" si="122"/>
        <v>N/A</v>
      </c>
      <c r="N359" t="str">
        <f t="shared" si="123"/>
        <v>N/A</v>
      </c>
    </row>
    <row r="360" spans="9:29" x14ac:dyDescent="0.3">
      <c r="I360" t="str">
        <f t="shared" si="118"/>
        <v>N/A</v>
      </c>
      <c r="J360" t="str">
        <f t="shared" si="119"/>
        <v>N/A</v>
      </c>
      <c r="K360" t="str">
        <f t="shared" si="120"/>
        <v>N/A</v>
      </c>
      <c r="L360" t="str">
        <f t="shared" si="121"/>
        <v>N/A</v>
      </c>
      <c r="M360" t="str">
        <f t="shared" si="122"/>
        <v>N/A</v>
      </c>
      <c r="N360" t="str">
        <f t="shared" si="123"/>
        <v>N/A</v>
      </c>
      <c r="V360" t="str">
        <f>"Most Variable Year"</f>
        <v>Most Variable Year</v>
      </c>
      <c r="X360">
        <f>V144+MATCH(MAX(V358:Z358),V358:Z358,0)-1</f>
        <v>1</v>
      </c>
    </row>
    <row r="361" spans="9:29" x14ac:dyDescent="0.3">
      <c r="I361" t="str">
        <f t="shared" ref="I361:I392" si="142">IF(AND(K361&gt; J361, L361&gt; K361, M361&gt; L361, N361&gt; M361), "pos_trend", IF(AND(K361&lt; J361, L361&lt; K361, M361&lt; L361, N361&lt; M361), "neg_trend", "N/A"))</f>
        <v>N/A</v>
      </c>
      <c r="J361" t="str">
        <f t="shared" ref="J361:J392" si="143">IFERROR(IF(TRIM(C361)="-", "N/A", IF(RIGHT(C361,1)=")",IF(RIGHT(C361,2)="T)",-1000000000000*VALUE(MID(C361,2,LEN(C361)-3)),IF(RIGHT(C361,2)="M)",-1000000*VALUE(MID(C361,2,LEN(C361)-3)),IF(RIGHT(C361,2)="B)",-1000000000*VALUE(MID(C361,2,LEN(C361)-3)),IF(RIGHT(C361,2)="k)",-1000*VALUE(MID(C361,2,LEN(C361)-3)),VALUE(SUBSTITUTE(C361,",","")))))),IF(RIGHT(C361,1)="T",1000000000000*VALUE(LEFT(C361,LEN(C361)-1)),IF(RIGHT(C361,1)="M",1000000*VALUE(LEFT(C361,LEN(C361)-1)),IF(RIGHT(C361,1)="B",1000000000*VALUE(LEFT(C361,LEN(C361)-1)),IF(RIGHT(C361,1)="%",0.01*VALUE(LEFT(C361,LEN(C361)-1)),IF(RIGHT(C361,1)="k",1000*VALUE(LEFT(C361,LEN(C361)-1)),VALUE(SUBSTITUTE(C361,",",""))))))))),"N/A")</f>
        <v>N/A</v>
      </c>
      <c r="K361" t="str">
        <f t="shared" ref="K361:K392" si="144">IFERROR(IF(TRIM(D361)="-", "N/A", IF(RIGHT(D361,1)=")",IF(RIGHT(D361,2)="T)",-1000000000000*VALUE(MID(D361,2,LEN(D361)-3)),IF(RIGHT(D361,2)="M)",-1000000*VALUE(MID(D361,2,LEN(D361)-3)),IF(RIGHT(D361,2)="B)",-1000000000*VALUE(MID(D361,2,LEN(D361)-3)),IF(RIGHT(D361,2)="k)",-1000*VALUE(MID(D361,2,LEN(D361)-3)),VALUE(SUBSTITUTE(D361,",","")))))),IF(RIGHT(D361,1)="T",1000000000000*VALUE(LEFT(D361,LEN(D361)-1)),IF(RIGHT(D361,1)="M",1000000*VALUE(LEFT(D361,LEN(D361)-1)),IF(RIGHT(D361,1)="B",1000000000*VALUE(LEFT(D361,LEN(D361)-1)),IF(RIGHT(D361,1)="%",0.01*VALUE(LEFT(D361,LEN(D361)-1)),IF(RIGHT(D361,1)="k",1000*VALUE(LEFT(D361,LEN(D361)-1)),VALUE(SUBSTITUTE(D361,",",""))))))))),"N/A")</f>
        <v>N/A</v>
      </c>
      <c r="L361" t="str">
        <f t="shared" ref="L361:L392" si="145">IFERROR(IF(TRIM(E361)="-", "N/A", IF(RIGHT(E361,1)=")",IF(RIGHT(E361,2)="T)",-1000000000000*VALUE(MID(E361,2,LEN(E361)-3)),IF(RIGHT(E361,2)="M)",-1000000*VALUE(MID(E361,2,LEN(E361)-3)),IF(RIGHT(E361,2)="B)",-1000000000*VALUE(MID(E361,2,LEN(E361)-3)),IF(RIGHT(E361,2)="k)",-1000*VALUE(MID(E361,2,LEN(E361)-3)),VALUE(SUBSTITUTE(E361,",","")))))),IF(RIGHT(E361,1)="T",1000000000000*VALUE(LEFT(E361,LEN(E361)-1)),IF(RIGHT(E361,1)="M",1000000*VALUE(LEFT(E361,LEN(E361)-1)),IF(RIGHT(E361,1)="B",1000000000*VALUE(LEFT(E361,LEN(E361)-1)),IF(RIGHT(E361,1)="%",0.01*VALUE(LEFT(E361,LEN(E361)-1)),IF(RIGHT(E361,1)="k",1000*VALUE(LEFT(E361,LEN(E361)-1)),VALUE(SUBSTITUTE(E361,",",""))))))))),"N/A")</f>
        <v>N/A</v>
      </c>
      <c r="M361" t="str">
        <f t="shared" ref="M361:M392" si="146">IFERROR(IF(TRIM(F361)="-", "N/A", IF(RIGHT(F361,1)=")",IF(RIGHT(F361,2)="T)",-1000000000000*VALUE(MID(F361,2,LEN(F361)-3)),IF(RIGHT(F361,2)="M)",-1000000*VALUE(MID(F361,2,LEN(F361)-3)),IF(RIGHT(F361,2)="B)",-1000000000*VALUE(MID(F361,2,LEN(F361)-3)),IF(RIGHT(F361,2)="k)",-1000*VALUE(MID(F361,2,LEN(F361)-3)),VALUE(SUBSTITUTE(F361,",","")))))),IF(RIGHT(F361,1)="T",1000000000000*VALUE(LEFT(F361,LEN(F361)-1)),IF(RIGHT(F361,1)="M",1000000*VALUE(LEFT(F361,LEN(F361)-1)),IF(RIGHT(F361,1)="B",1000000000*VALUE(LEFT(F361,LEN(F361)-1)),IF(RIGHT(F361,1)="%",0.01*VALUE(LEFT(F361,LEN(F361)-1)),IF(RIGHT(F361,1)="k",1000*VALUE(LEFT(F361,LEN(F361)-1)),VALUE(SUBSTITUTE(F361,",",""))))))))),"N/A")</f>
        <v>N/A</v>
      </c>
      <c r="N361" t="str">
        <f t="shared" ref="N361:N392" si="147">IFERROR(IF(TRIM(G361)="-", "N/A", IF(RIGHT(G361,1)=")",IF(RIGHT(G361,2)="T)",-1000000000000*VALUE(MID(G361,2,LEN(G361)-3)),IF(RIGHT(G361,2)="M)",-1000000*VALUE(MID(G361,2,LEN(G361)-3)),IF(RIGHT(G361,2)="B)",-1000000000*VALUE(MID(G361,2,LEN(G361)-3)),IF(RIGHT(G361,2)="k)",-1000*VALUE(MID(G361,2,LEN(G361)-3)),VALUE(SUBSTITUTE(G361,",","")))))),IF(RIGHT(G361,1)="T",1000000000000*VALUE(LEFT(G361,LEN(G361)-1)),IF(RIGHT(G361,1)="M",1000000*VALUE(LEFT(G361,LEN(G361)-1)),IF(RIGHT(G361,1)="B",1000000000*VALUE(LEFT(G361,LEN(G361)-1)),IF(RIGHT(G361,1)="%",0.01*VALUE(LEFT(G361,LEN(G361)-1)),IF(RIGHT(G361,1)="k",1000*VALUE(LEFT(G361,LEN(G361)-1)),VALUE(SUBSTITUTE(G361,",",""))))))))),"N/A")</f>
        <v>N/A</v>
      </c>
    </row>
    <row r="362" spans="9:29" x14ac:dyDescent="0.3">
      <c r="I362" t="str">
        <f t="shared" si="142"/>
        <v>N/A</v>
      </c>
      <c r="J362" t="str">
        <f t="shared" si="143"/>
        <v>N/A</v>
      </c>
      <c r="K362" t="str">
        <f t="shared" si="144"/>
        <v>N/A</v>
      </c>
      <c r="L362" t="str">
        <f t="shared" si="145"/>
        <v>N/A</v>
      </c>
      <c r="M362" t="str">
        <f t="shared" si="146"/>
        <v>N/A</v>
      </c>
      <c r="N362" t="str">
        <f t="shared" si="147"/>
        <v>N/A</v>
      </c>
    </row>
    <row r="363" spans="9:29" x14ac:dyDescent="0.3">
      <c r="I363" t="str">
        <f t="shared" si="142"/>
        <v>N/A</v>
      </c>
      <c r="J363" t="str">
        <f t="shared" si="143"/>
        <v>N/A</v>
      </c>
      <c r="K363" t="str">
        <f t="shared" si="144"/>
        <v>N/A</v>
      </c>
      <c r="L363" t="str">
        <f t="shared" si="145"/>
        <v>N/A</v>
      </c>
      <c r="M363" t="str">
        <f t="shared" si="146"/>
        <v>N/A</v>
      </c>
      <c r="N363" t="str">
        <f t="shared" si="147"/>
        <v>N/A</v>
      </c>
    </row>
    <row r="364" spans="9:29" x14ac:dyDescent="0.3">
      <c r="I364" t="str">
        <f t="shared" si="142"/>
        <v>N/A</v>
      </c>
      <c r="J364" t="str">
        <f t="shared" si="143"/>
        <v>N/A</v>
      </c>
      <c r="K364" t="str">
        <f t="shared" si="144"/>
        <v>N/A</v>
      </c>
      <c r="L364" t="str">
        <f t="shared" si="145"/>
        <v>N/A</v>
      </c>
      <c r="M364" t="str">
        <f t="shared" si="146"/>
        <v>N/A</v>
      </c>
      <c r="N364" t="str">
        <f t="shared" si="147"/>
        <v>N/A</v>
      </c>
    </row>
    <row r="365" spans="9:29" x14ac:dyDescent="0.3">
      <c r="I365" t="str">
        <f t="shared" si="142"/>
        <v>N/A</v>
      </c>
      <c r="J365" t="str">
        <f t="shared" si="143"/>
        <v>N/A</v>
      </c>
      <c r="K365" t="str">
        <f t="shared" si="144"/>
        <v>N/A</v>
      </c>
      <c r="L365" t="str">
        <f t="shared" si="145"/>
        <v>N/A</v>
      </c>
      <c r="M365" t="str">
        <f t="shared" si="146"/>
        <v>N/A</v>
      </c>
      <c r="N365" t="str">
        <f t="shared" si="147"/>
        <v>N/A</v>
      </c>
    </row>
    <row r="366" spans="9:29" x14ac:dyDescent="0.3">
      <c r="I366" t="str">
        <f t="shared" si="142"/>
        <v>N/A</v>
      </c>
      <c r="J366" t="str">
        <f t="shared" si="143"/>
        <v>N/A</v>
      </c>
      <c r="K366" t="str">
        <f t="shared" si="144"/>
        <v>N/A</v>
      </c>
      <c r="L366" t="str">
        <f t="shared" si="145"/>
        <v>N/A</v>
      </c>
      <c r="M366" t="str">
        <f t="shared" si="146"/>
        <v>N/A</v>
      </c>
      <c r="N366" t="str">
        <f t="shared" si="147"/>
        <v>N/A</v>
      </c>
    </row>
    <row r="367" spans="9:29" x14ac:dyDescent="0.3">
      <c r="I367" t="str">
        <f t="shared" si="142"/>
        <v>N/A</v>
      </c>
      <c r="J367" t="str">
        <f t="shared" si="143"/>
        <v>N/A</v>
      </c>
      <c r="K367" t="str">
        <f t="shared" si="144"/>
        <v>N/A</v>
      </c>
      <c r="L367" t="str">
        <f t="shared" si="145"/>
        <v>N/A</v>
      </c>
      <c r="M367" t="str">
        <f t="shared" si="146"/>
        <v>N/A</v>
      </c>
      <c r="N367" t="str">
        <f t="shared" si="147"/>
        <v>N/A</v>
      </c>
    </row>
    <row r="368" spans="9:29" x14ac:dyDescent="0.3">
      <c r="I368" t="str">
        <f t="shared" si="142"/>
        <v>N/A</v>
      </c>
      <c r="J368" t="str">
        <f t="shared" si="143"/>
        <v>N/A</v>
      </c>
      <c r="K368" t="str">
        <f t="shared" si="144"/>
        <v>N/A</v>
      </c>
      <c r="L368" t="str">
        <f t="shared" si="145"/>
        <v>N/A</v>
      </c>
      <c r="M368" t="str">
        <f t="shared" si="146"/>
        <v>N/A</v>
      </c>
      <c r="N368" t="str">
        <f t="shared" si="147"/>
        <v>N/A</v>
      </c>
    </row>
    <row r="369" spans="9:14" x14ac:dyDescent="0.3">
      <c r="I369" t="str">
        <f t="shared" si="142"/>
        <v>N/A</v>
      </c>
      <c r="J369" t="str">
        <f t="shared" si="143"/>
        <v>N/A</v>
      </c>
      <c r="K369" t="str">
        <f t="shared" si="144"/>
        <v>N/A</v>
      </c>
      <c r="L369" t="str">
        <f t="shared" si="145"/>
        <v>N/A</v>
      </c>
      <c r="M369" t="str">
        <f t="shared" si="146"/>
        <v>N/A</v>
      </c>
      <c r="N369" t="str">
        <f t="shared" si="147"/>
        <v>N/A</v>
      </c>
    </row>
    <row r="370" spans="9:14" x14ac:dyDescent="0.3">
      <c r="I370" t="str">
        <f t="shared" si="142"/>
        <v>N/A</v>
      </c>
      <c r="J370" t="str">
        <f t="shared" si="143"/>
        <v>N/A</v>
      </c>
      <c r="K370" t="str">
        <f t="shared" si="144"/>
        <v>N/A</v>
      </c>
      <c r="L370" t="str">
        <f t="shared" si="145"/>
        <v>N/A</v>
      </c>
      <c r="M370" t="str">
        <f t="shared" si="146"/>
        <v>N/A</v>
      </c>
      <c r="N370" t="str">
        <f t="shared" si="147"/>
        <v>N/A</v>
      </c>
    </row>
    <row r="371" spans="9:14" x14ac:dyDescent="0.3">
      <c r="I371" t="str">
        <f t="shared" si="142"/>
        <v>N/A</v>
      </c>
      <c r="J371" t="str">
        <f t="shared" si="143"/>
        <v>N/A</v>
      </c>
      <c r="K371" t="str">
        <f t="shared" si="144"/>
        <v>N/A</v>
      </c>
      <c r="L371" t="str">
        <f t="shared" si="145"/>
        <v>N/A</v>
      </c>
      <c r="M371" t="str">
        <f t="shared" si="146"/>
        <v>N/A</v>
      </c>
      <c r="N371" t="str">
        <f t="shared" si="147"/>
        <v>N/A</v>
      </c>
    </row>
    <row r="372" spans="9:14" x14ac:dyDescent="0.3">
      <c r="I372" t="str">
        <f t="shared" si="142"/>
        <v>N/A</v>
      </c>
      <c r="J372" t="str">
        <f t="shared" si="143"/>
        <v>N/A</v>
      </c>
      <c r="K372" t="str">
        <f t="shared" si="144"/>
        <v>N/A</v>
      </c>
      <c r="L372" t="str">
        <f t="shared" si="145"/>
        <v>N/A</v>
      </c>
      <c r="M372" t="str">
        <f t="shared" si="146"/>
        <v>N/A</v>
      </c>
      <c r="N372" t="str">
        <f t="shared" si="147"/>
        <v>N/A</v>
      </c>
    </row>
    <row r="373" spans="9:14" x14ac:dyDescent="0.3">
      <c r="I373" t="str">
        <f t="shared" si="142"/>
        <v>N/A</v>
      </c>
      <c r="J373" t="str">
        <f t="shared" si="143"/>
        <v>N/A</v>
      </c>
      <c r="K373" t="str">
        <f t="shared" si="144"/>
        <v>N/A</v>
      </c>
      <c r="L373" t="str">
        <f t="shared" si="145"/>
        <v>N/A</v>
      </c>
      <c r="M373" t="str">
        <f t="shared" si="146"/>
        <v>N/A</v>
      </c>
      <c r="N373" t="str">
        <f t="shared" si="147"/>
        <v>N/A</v>
      </c>
    </row>
    <row r="374" spans="9:14" x14ac:dyDescent="0.3">
      <c r="I374" t="str">
        <f t="shared" si="142"/>
        <v>N/A</v>
      </c>
      <c r="J374" t="str">
        <f t="shared" si="143"/>
        <v>N/A</v>
      </c>
      <c r="K374" t="str">
        <f t="shared" si="144"/>
        <v>N/A</v>
      </c>
      <c r="L374" t="str">
        <f t="shared" si="145"/>
        <v>N/A</v>
      </c>
      <c r="M374" t="str">
        <f t="shared" si="146"/>
        <v>N/A</v>
      </c>
      <c r="N374" t="str">
        <f t="shared" si="147"/>
        <v>N/A</v>
      </c>
    </row>
    <row r="375" spans="9:14" x14ac:dyDescent="0.3">
      <c r="I375" t="str">
        <f t="shared" si="142"/>
        <v>N/A</v>
      </c>
      <c r="J375" t="str">
        <f t="shared" si="143"/>
        <v>N/A</v>
      </c>
      <c r="K375" t="str">
        <f t="shared" si="144"/>
        <v>N/A</v>
      </c>
      <c r="L375" t="str">
        <f t="shared" si="145"/>
        <v>N/A</v>
      </c>
      <c r="M375" t="str">
        <f t="shared" si="146"/>
        <v>N/A</v>
      </c>
      <c r="N375" t="str">
        <f t="shared" si="147"/>
        <v>N/A</v>
      </c>
    </row>
    <row r="376" spans="9:14" x14ac:dyDescent="0.3">
      <c r="I376" t="str">
        <f t="shared" si="142"/>
        <v>N/A</v>
      </c>
      <c r="J376" t="str">
        <f t="shared" si="143"/>
        <v>N/A</v>
      </c>
      <c r="K376" t="str">
        <f t="shared" si="144"/>
        <v>N/A</v>
      </c>
      <c r="L376" t="str">
        <f t="shared" si="145"/>
        <v>N/A</v>
      </c>
      <c r="M376" t="str">
        <f t="shared" si="146"/>
        <v>N/A</v>
      </c>
      <c r="N376" t="str">
        <f t="shared" si="147"/>
        <v>N/A</v>
      </c>
    </row>
    <row r="377" spans="9:14" x14ac:dyDescent="0.3">
      <c r="I377" t="str">
        <f t="shared" si="142"/>
        <v>N/A</v>
      </c>
      <c r="J377" t="str">
        <f t="shared" si="143"/>
        <v>N/A</v>
      </c>
      <c r="K377" t="str">
        <f t="shared" si="144"/>
        <v>N/A</v>
      </c>
      <c r="L377" t="str">
        <f t="shared" si="145"/>
        <v>N/A</v>
      </c>
      <c r="M377" t="str">
        <f t="shared" si="146"/>
        <v>N/A</v>
      </c>
      <c r="N377" t="str">
        <f t="shared" si="147"/>
        <v>N/A</v>
      </c>
    </row>
    <row r="378" spans="9:14" x14ac:dyDescent="0.3">
      <c r="I378" t="str">
        <f t="shared" si="142"/>
        <v>N/A</v>
      </c>
      <c r="J378" t="str">
        <f t="shared" si="143"/>
        <v>N/A</v>
      </c>
      <c r="K378" t="str">
        <f t="shared" si="144"/>
        <v>N/A</v>
      </c>
      <c r="L378" t="str">
        <f t="shared" si="145"/>
        <v>N/A</v>
      </c>
      <c r="M378" t="str">
        <f t="shared" si="146"/>
        <v>N/A</v>
      </c>
      <c r="N378" t="str">
        <f t="shared" si="147"/>
        <v>N/A</v>
      </c>
    </row>
    <row r="379" spans="9:14" x14ac:dyDescent="0.3">
      <c r="I379" t="str">
        <f t="shared" si="142"/>
        <v>N/A</v>
      </c>
      <c r="J379" t="str">
        <f t="shared" si="143"/>
        <v>N/A</v>
      </c>
      <c r="K379" t="str">
        <f t="shared" si="144"/>
        <v>N/A</v>
      </c>
      <c r="L379" t="str">
        <f t="shared" si="145"/>
        <v>N/A</v>
      </c>
      <c r="M379" t="str">
        <f t="shared" si="146"/>
        <v>N/A</v>
      </c>
      <c r="N379" t="str">
        <f t="shared" si="147"/>
        <v>N/A</v>
      </c>
    </row>
    <row r="380" spans="9:14" x14ac:dyDescent="0.3">
      <c r="I380" t="str">
        <f t="shared" si="142"/>
        <v>N/A</v>
      </c>
      <c r="J380" t="str">
        <f t="shared" si="143"/>
        <v>N/A</v>
      </c>
      <c r="K380" t="str">
        <f t="shared" si="144"/>
        <v>N/A</v>
      </c>
      <c r="L380" t="str">
        <f t="shared" si="145"/>
        <v>N/A</v>
      </c>
      <c r="M380" t="str">
        <f t="shared" si="146"/>
        <v>N/A</v>
      </c>
      <c r="N380" t="str">
        <f t="shared" si="147"/>
        <v>N/A</v>
      </c>
    </row>
    <row r="381" spans="9:14" x14ac:dyDescent="0.3">
      <c r="I381" t="str">
        <f t="shared" si="142"/>
        <v>N/A</v>
      </c>
      <c r="J381" t="str">
        <f t="shared" si="143"/>
        <v>N/A</v>
      </c>
      <c r="K381" t="str">
        <f t="shared" si="144"/>
        <v>N/A</v>
      </c>
      <c r="L381" t="str">
        <f t="shared" si="145"/>
        <v>N/A</v>
      </c>
      <c r="M381" t="str">
        <f t="shared" si="146"/>
        <v>N/A</v>
      </c>
      <c r="N381" t="str">
        <f t="shared" si="147"/>
        <v>N/A</v>
      </c>
    </row>
    <row r="382" spans="9:14" x14ac:dyDescent="0.3">
      <c r="I382" t="str">
        <f t="shared" si="142"/>
        <v>N/A</v>
      </c>
      <c r="J382" t="str">
        <f t="shared" si="143"/>
        <v>N/A</v>
      </c>
      <c r="K382" t="str">
        <f t="shared" si="144"/>
        <v>N/A</v>
      </c>
      <c r="L382" t="str">
        <f t="shared" si="145"/>
        <v>N/A</v>
      </c>
      <c r="M382" t="str">
        <f t="shared" si="146"/>
        <v>N/A</v>
      </c>
      <c r="N382" t="str">
        <f t="shared" si="147"/>
        <v>N/A</v>
      </c>
    </row>
    <row r="383" spans="9:14" x14ac:dyDescent="0.3">
      <c r="I383" t="str">
        <f t="shared" si="142"/>
        <v>N/A</v>
      </c>
      <c r="J383" t="str">
        <f t="shared" si="143"/>
        <v>N/A</v>
      </c>
      <c r="K383" t="str">
        <f t="shared" si="144"/>
        <v>N/A</v>
      </c>
      <c r="L383" t="str">
        <f t="shared" si="145"/>
        <v>N/A</v>
      </c>
      <c r="M383" t="str">
        <f t="shared" si="146"/>
        <v>N/A</v>
      </c>
      <c r="N383" t="str">
        <f t="shared" si="147"/>
        <v>N/A</v>
      </c>
    </row>
    <row r="384" spans="9:14" x14ac:dyDescent="0.3">
      <c r="I384" t="str">
        <f t="shared" si="142"/>
        <v>N/A</v>
      </c>
      <c r="J384" t="str">
        <f t="shared" si="143"/>
        <v>N/A</v>
      </c>
      <c r="K384" t="str">
        <f t="shared" si="144"/>
        <v>N/A</v>
      </c>
      <c r="L384" t="str">
        <f t="shared" si="145"/>
        <v>N/A</v>
      </c>
      <c r="M384" t="str">
        <f t="shared" si="146"/>
        <v>N/A</v>
      </c>
      <c r="N384" t="str">
        <f t="shared" si="147"/>
        <v>N/A</v>
      </c>
    </row>
    <row r="385" spans="9:14" x14ac:dyDescent="0.3">
      <c r="I385" t="str">
        <f t="shared" si="142"/>
        <v>N/A</v>
      </c>
      <c r="J385" t="str">
        <f t="shared" si="143"/>
        <v>N/A</v>
      </c>
      <c r="K385" t="str">
        <f t="shared" si="144"/>
        <v>N/A</v>
      </c>
      <c r="L385" t="str">
        <f t="shared" si="145"/>
        <v>N/A</v>
      </c>
      <c r="M385" t="str">
        <f t="shared" si="146"/>
        <v>N/A</v>
      </c>
      <c r="N385" t="str">
        <f t="shared" si="147"/>
        <v>N/A</v>
      </c>
    </row>
    <row r="386" spans="9:14" x14ac:dyDescent="0.3">
      <c r="I386" t="str">
        <f t="shared" si="142"/>
        <v>N/A</v>
      </c>
      <c r="J386" t="str">
        <f t="shared" si="143"/>
        <v>N/A</v>
      </c>
      <c r="K386" t="str">
        <f t="shared" si="144"/>
        <v>N/A</v>
      </c>
      <c r="L386" t="str">
        <f t="shared" si="145"/>
        <v>N/A</v>
      </c>
      <c r="M386" t="str">
        <f t="shared" si="146"/>
        <v>N/A</v>
      </c>
      <c r="N386" t="str">
        <f t="shared" si="147"/>
        <v>N/A</v>
      </c>
    </row>
    <row r="387" spans="9:14" x14ac:dyDescent="0.3">
      <c r="I387" t="str">
        <f t="shared" si="142"/>
        <v>N/A</v>
      </c>
      <c r="J387" t="str">
        <f t="shared" si="143"/>
        <v>N/A</v>
      </c>
      <c r="K387" t="str">
        <f t="shared" si="144"/>
        <v>N/A</v>
      </c>
      <c r="L387" t="str">
        <f t="shared" si="145"/>
        <v>N/A</v>
      </c>
      <c r="M387" t="str">
        <f t="shared" si="146"/>
        <v>N/A</v>
      </c>
      <c r="N387" t="str">
        <f t="shared" si="147"/>
        <v>N/A</v>
      </c>
    </row>
    <row r="388" spans="9:14" x14ac:dyDescent="0.3">
      <c r="I388" t="str">
        <f t="shared" si="142"/>
        <v>N/A</v>
      </c>
      <c r="J388" t="str">
        <f t="shared" si="143"/>
        <v>N/A</v>
      </c>
      <c r="K388" t="str">
        <f t="shared" si="144"/>
        <v>N/A</v>
      </c>
      <c r="L388" t="str">
        <f t="shared" si="145"/>
        <v>N/A</v>
      </c>
      <c r="M388" t="str">
        <f t="shared" si="146"/>
        <v>N/A</v>
      </c>
      <c r="N388" t="str">
        <f t="shared" si="147"/>
        <v>N/A</v>
      </c>
    </row>
    <row r="389" spans="9:14" x14ac:dyDescent="0.3">
      <c r="I389" t="str">
        <f t="shared" si="142"/>
        <v>N/A</v>
      </c>
      <c r="J389" t="str">
        <f t="shared" si="143"/>
        <v>N/A</v>
      </c>
      <c r="K389" t="str">
        <f t="shared" si="144"/>
        <v>N/A</v>
      </c>
      <c r="L389" t="str">
        <f t="shared" si="145"/>
        <v>N/A</v>
      </c>
      <c r="M389" t="str">
        <f t="shared" si="146"/>
        <v>N/A</v>
      </c>
      <c r="N389" t="str">
        <f t="shared" si="147"/>
        <v>N/A</v>
      </c>
    </row>
    <row r="390" spans="9:14" x14ac:dyDescent="0.3">
      <c r="I390" t="str">
        <f t="shared" si="142"/>
        <v>N/A</v>
      </c>
      <c r="J390" t="str">
        <f t="shared" si="143"/>
        <v>N/A</v>
      </c>
      <c r="K390" t="str">
        <f t="shared" si="144"/>
        <v>N/A</v>
      </c>
      <c r="L390" t="str">
        <f t="shared" si="145"/>
        <v>N/A</v>
      </c>
      <c r="M390" t="str">
        <f t="shared" si="146"/>
        <v>N/A</v>
      </c>
      <c r="N390" t="str">
        <f t="shared" si="147"/>
        <v>N/A</v>
      </c>
    </row>
    <row r="391" spans="9:14" x14ac:dyDescent="0.3">
      <c r="I391" t="str">
        <f t="shared" si="142"/>
        <v>N/A</v>
      </c>
      <c r="J391" t="str">
        <f t="shared" si="143"/>
        <v>N/A</v>
      </c>
      <c r="K391" t="str">
        <f t="shared" si="144"/>
        <v>N/A</v>
      </c>
      <c r="L391" t="str">
        <f t="shared" si="145"/>
        <v>N/A</v>
      </c>
      <c r="M391" t="str">
        <f t="shared" si="146"/>
        <v>N/A</v>
      </c>
      <c r="N391" t="str">
        <f t="shared" si="147"/>
        <v>N/A</v>
      </c>
    </row>
    <row r="392" spans="9:14" x14ac:dyDescent="0.3">
      <c r="I392" t="str">
        <f t="shared" si="142"/>
        <v>N/A</v>
      </c>
      <c r="J392" t="str">
        <f t="shared" si="143"/>
        <v>N/A</v>
      </c>
      <c r="K392" t="str">
        <f t="shared" si="144"/>
        <v>N/A</v>
      </c>
      <c r="L392" t="str">
        <f t="shared" si="145"/>
        <v>N/A</v>
      </c>
      <c r="M392" t="str">
        <f t="shared" si="146"/>
        <v>N/A</v>
      </c>
      <c r="N392" t="str">
        <f t="shared" si="147"/>
        <v>N/A</v>
      </c>
    </row>
    <row r="393" spans="9:14" x14ac:dyDescent="0.3">
      <c r="I393" t="str">
        <f t="shared" ref="I393:I424" si="148">IF(AND(K393&gt; J393, L393&gt; K393, M393&gt; L393, N393&gt; M393), "pos_trend", IF(AND(K393&lt; J393, L393&lt; K393, M393&lt; L393, N393&lt; M393), "neg_trend", "N/A"))</f>
        <v>N/A</v>
      </c>
      <c r="J393" t="str">
        <f t="shared" ref="J393:J399" si="149">IFERROR(IF(TRIM(C393)="-", "N/A", IF(RIGHT(C393,1)=")",IF(RIGHT(C393,2)="T)",-1000000000000*VALUE(MID(C393,2,LEN(C393)-3)),IF(RIGHT(C393,2)="M)",-1000000*VALUE(MID(C393,2,LEN(C393)-3)),IF(RIGHT(C393,2)="B)",-1000000000*VALUE(MID(C393,2,LEN(C393)-3)),IF(RIGHT(C393,2)="k)",-1000*VALUE(MID(C393,2,LEN(C393)-3)),VALUE(SUBSTITUTE(C393,",","")))))),IF(RIGHT(C393,1)="T",1000000000000*VALUE(LEFT(C393,LEN(C393)-1)),IF(RIGHT(C393,1)="M",1000000*VALUE(LEFT(C393,LEN(C393)-1)),IF(RIGHT(C393,1)="B",1000000000*VALUE(LEFT(C393,LEN(C393)-1)),IF(RIGHT(C393,1)="%",0.01*VALUE(LEFT(C393,LEN(C393)-1)),IF(RIGHT(C393,1)="k",1000*VALUE(LEFT(C393,LEN(C393)-1)),VALUE(SUBSTITUTE(C393,",",""))))))))),"N/A")</f>
        <v>N/A</v>
      </c>
      <c r="K393" t="str">
        <f t="shared" ref="K393:K399" si="150">IFERROR(IF(TRIM(D393)="-", "N/A", IF(RIGHT(D393,1)=")",IF(RIGHT(D393,2)="T)",-1000000000000*VALUE(MID(D393,2,LEN(D393)-3)),IF(RIGHT(D393,2)="M)",-1000000*VALUE(MID(D393,2,LEN(D393)-3)),IF(RIGHT(D393,2)="B)",-1000000000*VALUE(MID(D393,2,LEN(D393)-3)),IF(RIGHT(D393,2)="k)",-1000*VALUE(MID(D393,2,LEN(D393)-3)),VALUE(SUBSTITUTE(D393,",","")))))),IF(RIGHT(D393,1)="T",1000000000000*VALUE(LEFT(D393,LEN(D393)-1)),IF(RIGHT(D393,1)="M",1000000*VALUE(LEFT(D393,LEN(D393)-1)),IF(RIGHT(D393,1)="B",1000000000*VALUE(LEFT(D393,LEN(D393)-1)),IF(RIGHT(D393,1)="%",0.01*VALUE(LEFT(D393,LEN(D393)-1)),IF(RIGHT(D393,1)="k",1000*VALUE(LEFT(D393,LEN(D393)-1)),VALUE(SUBSTITUTE(D393,",",""))))))))),"N/A")</f>
        <v>N/A</v>
      </c>
      <c r="L393" t="str">
        <f t="shared" ref="L393:L399" si="151">IFERROR(IF(TRIM(E393)="-", "N/A", IF(RIGHT(E393,1)=")",IF(RIGHT(E393,2)="T)",-1000000000000*VALUE(MID(E393,2,LEN(E393)-3)),IF(RIGHT(E393,2)="M)",-1000000*VALUE(MID(E393,2,LEN(E393)-3)),IF(RIGHT(E393,2)="B)",-1000000000*VALUE(MID(E393,2,LEN(E393)-3)),IF(RIGHT(E393,2)="k)",-1000*VALUE(MID(E393,2,LEN(E393)-3)),VALUE(SUBSTITUTE(E393,",","")))))),IF(RIGHT(E393,1)="T",1000000000000*VALUE(LEFT(E393,LEN(E393)-1)),IF(RIGHT(E393,1)="M",1000000*VALUE(LEFT(E393,LEN(E393)-1)),IF(RIGHT(E393,1)="B",1000000000*VALUE(LEFT(E393,LEN(E393)-1)),IF(RIGHT(E393,1)="%",0.01*VALUE(LEFT(E393,LEN(E393)-1)),IF(RIGHT(E393,1)="k",1000*VALUE(LEFT(E393,LEN(E393)-1)),VALUE(SUBSTITUTE(E393,",",""))))))))),"N/A")</f>
        <v>N/A</v>
      </c>
      <c r="M393" t="str">
        <f t="shared" ref="M393:M399" si="152">IFERROR(IF(TRIM(F393)="-", "N/A", IF(RIGHT(F393,1)=")",IF(RIGHT(F393,2)="T)",-1000000000000*VALUE(MID(F393,2,LEN(F393)-3)),IF(RIGHT(F393,2)="M)",-1000000*VALUE(MID(F393,2,LEN(F393)-3)),IF(RIGHT(F393,2)="B)",-1000000000*VALUE(MID(F393,2,LEN(F393)-3)),IF(RIGHT(F393,2)="k)",-1000*VALUE(MID(F393,2,LEN(F393)-3)),VALUE(SUBSTITUTE(F393,",","")))))),IF(RIGHT(F393,1)="T",1000000000000*VALUE(LEFT(F393,LEN(F393)-1)),IF(RIGHT(F393,1)="M",1000000*VALUE(LEFT(F393,LEN(F393)-1)),IF(RIGHT(F393,1)="B",1000000000*VALUE(LEFT(F393,LEN(F393)-1)),IF(RIGHT(F393,1)="%",0.01*VALUE(LEFT(F393,LEN(F393)-1)),IF(RIGHT(F393,1)="k",1000*VALUE(LEFT(F393,LEN(F393)-1)),VALUE(SUBSTITUTE(F393,",",""))))))))),"N/A")</f>
        <v>N/A</v>
      </c>
      <c r="N393" t="str">
        <f t="shared" ref="N393:N399" si="153">IFERROR(IF(TRIM(G393)="-", "N/A", IF(RIGHT(G393,1)=")",IF(RIGHT(G393,2)="T)",-1000000000000*VALUE(MID(G393,2,LEN(G393)-3)),IF(RIGHT(G393,2)="M)",-1000000*VALUE(MID(G393,2,LEN(G393)-3)),IF(RIGHT(G393,2)="B)",-1000000000*VALUE(MID(G393,2,LEN(G393)-3)),IF(RIGHT(G393,2)="k)",-1000*VALUE(MID(G393,2,LEN(G393)-3)),VALUE(SUBSTITUTE(G393,",","")))))),IF(RIGHT(G393,1)="T",1000000000000*VALUE(LEFT(G393,LEN(G393)-1)),IF(RIGHT(G393,1)="M",1000000*VALUE(LEFT(G393,LEN(G393)-1)),IF(RIGHT(G393,1)="B",1000000000*VALUE(LEFT(G393,LEN(G393)-1)),IF(RIGHT(G393,1)="%",0.01*VALUE(LEFT(G393,LEN(G393)-1)),IF(RIGHT(G393,1)="k",1000*VALUE(LEFT(G393,LEN(G393)-1)),VALUE(SUBSTITUTE(G393,",",""))))))))),"N/A")</f>
        <v>N/A</v>
      </c>
    </row>
    <row r="394" spans="9:14" x14ac:dyDescent="0.3">
      <c r="I394" t="str">
        <f t="shared" si="148"/>
        <v>N/A</v>
      </c>
      <c r="J394" t="str">
        <f t="shared" si="149"/>
        <v>N/A</v>
      </c>
      <c r="K394" t="str">
        <f t="shared" si="150"/>
        <v>N/A</v>
      </c>
      <c r="L394" t="str">
        <f t="shared" si="151"/>
        <v>N/A</v>
      </c>
      <c r="M394" t="str">
        <f t="shared" si="152"/>
        <v>N/A</v>
      </c>
      <c r="N394" t="str">
        <f t="shared" si="153"/>
        <v>N/A</v>
      </c>
    </row>
    <row r="395" spans="9:14" x14ac:dyDescent="0.3">
      <c r="I395" t="str">
        <f t="shared" si="148"/>
        <v>N/A</v>
      </c>
      <c r="J395" t="str">
        <f t="shared" si="149"/>
        <v>N/A</v>
      </c>
      <c r="K395" t="str">
        <f t="shared" si="150"/>
        <v>N/A</v>
      </c>
      <c r="L395" t="str">
        <f t="shared" si="151"/>
        <v>N/A</v>
      </c>
      <c r="M395" t="str">
        <f t="shared" si="152"/>
        <v>N/A</v>
      </c>
      <c r="N395" t="str">
        <f t="shared" si="153"/>
        <v>N/A</v>
      </c>
    </row>
    <row r="396" spans="9:14" x14ac:dyDescent="0.3">
      <c r="I396" t="str">
        <f t="shared" si="148"/>
        <v>N/A</v>
      </c>
      <c r="J396" t="str">
        <f t="shared" si="149"/>
        <v>N/A</v>
      </c>
      <c r="K396" t="str">
        <f t="shared" si="150"/>
        <v>N/A</v>
      </c>
      <c r="L396" t="str">
        <f t="shared" si="151"/>
        <v>N/A</v>
      </c>
      <c r="M396" t="str">
        <f t="shared" si="152"/>
        <v>N/A</v>
      </c>
      <c r="N396" t="str">
        <f t="shared" si="153"/>
        <v>N/A</v>
      </c>
    </row>
    <row r="397" spans="9:14" x14ac:dyDescent="0.3">
      <c r="I397" t="str">
        <f t="shared" si="148"/>
        <v>N/A</v>
      </c>
      <c r="J397" t="str">
        <f t="shared" si="149"/>
        <v>N/A</v>
      </c>
      <c r="K397" t="str">
        <f t="shared" si="150"/>
        <v>N/A</v>
      </c>
      <c r="L397" t="str">
        <f t="shared" si="151"/>
        <v>N/A</v>
      </c>
      <c r="M397" t="str">
        <f t="shared" si="152"/>
        <v>N/A</v>
      </c>
      <c r="N397" t="str">
        <f t="shared" si="153"/>
        <v>N/A</v>
      </c>
    </row>
    <row r="398" spans="9:14" x14ac:dyDescent="0.3">
      <c r="I398" t="str">
        <f t="shared" si="148"/>
        <v>N/A</v>
      </c>
      <c r="J398" t="str">
        <f t="shared" si="149"/>
        <v>N/A</v>
      </c>
      <c r="K398" t="str">
        <f t="shared" si="150"/>
        <v>N/A</v>
      </c>
      <c r="L398" t="str">
        <f t="shared" si="151"/>
        <v>N/A</v>
      </c>
      <c r="M398" t="str">
        <f t="shared" si="152"/>
        <v>N/A</v>
      </c>
      <c r="N398" t="str">
        <f t="shared" si="153"/>
        <v>N/A</v>
      </c>
    </row>
    <row r="399" spans="9:14" x14ac:dyDescent="0.3">
      <c r="I399" t="str">
        <f t="shared" si="148"/>
        <v>N/A</v>
      </c>
      <c r="J399" t="str">
        <f t="shared" si="149"/>
        <v>N/A</v>
      </c>
      <c r="K399" t="str">
        <f t="shared" si="150"/>
        <v>N/A</v>
      </c>
      <c r="L399" t="str">
        <f t="shared" si="151"/>
        <v>N/A</v>
      </c>
      <c r="M399" t="str">
        <f t="shared" si="152"/>
        <v>N/A</v>
      </c>
      <c r="N399" t="str">
        <f t="shared" si="153"/>
        <v>N/A</v>
      </c>
    </row>
    <row r="448" spans="52:52" x14ac:dyDescent="0.3">
      <c r="AZ448" t="str">
        <f>"Compile Facts"</f>
        <v>Compile Facts</v>
      </c>
    </row>
    <row r="450" spans="2:53" x14ac:dyDescent="0.3">
      <c r="B450" t="str">
        <f>"ROIC Super Tree"</f>
        <v>ROIC Super Tree</v>
      </c>
      <c r="AZ450" t="str">
        <f t="shared" ref="AZ450:BA453" si="154">I519</f>
        <v>Max SD</v>
      </c>
      <c r="BA450" t="e">
        <f t="shared" ca="1" si="154"/>
        <v>#N/A</v>
      </c>
    </row>
    <row r="451" spans="2:53" x14ac:dyDescent="0.3">
      <c r="AZ451" t="str">
        <f t="shared" si="154"/>
        <v>Max SD Item</v>
      </c>
      <c r="BA451" t="e">
        <f t="shared" ca="1" si="154"/>
        <v>#N/A</v>
      </c>
    </row>
    <row r="452" spans="2:53" x14ac:dyDescent="0.3">
      <c r="AK452" t="str">
        <f>"Change in Gross Margin / Sales"</f>
        <v>Change in Gross Margin / Sales</v>
      </c>
      <c r="AZ452" t="str">
        <f t="shared" si="154"/>
        <v>Min SD</v>
      </c>
      <c r="BA452" t="e">
        <f t="shared" ca="1" si="154"/>
        <v>#N/A</v>
      </c>
    </row>
    <row r="453" spans="2:53" x14ac:dyDescent="0.3">
      <c r="X453" t="str">
        <f>"Gross Margin"</f>
        <v>Gross Margin</v>
      </c>
      <c r="AK453" t="str">
        <f>K476</f>
        <v>1-0</v>
      </c>
      <c r="AL453" t="str">
        <f>L476</f>
        <v>0-0</v>
      </c>
      <c r="AM453" t="str">
        <f>M476</f>
        <v>0-0</v>
      </c>
      <c r="AN453" t="str">
        <f>N476</f>
        <v>0-0</v>
      </c>
      <c r="AZ453" t="str">
        <f t="shared" si="154"/>
        <v>Min SD Item</v>
      </c>
      <c r="BA453" t="e">
        <f t="shared" ca="1" si="154"/>
        <v>#N/A</v>
      </c>
    </row>
    <row r="454" spans="2:53" x14ac:dyDescent="0.3">
      <c r="X454">
        <f>D476</f>
        <v>1</v>
      </c>
      <c r="Y454">
        <f>E476</f>
        <v>0</v>
      </c>
      <c r="Z454">
        <f>F476</f>
        <v>0</v>
      </c>
      <c r="AA454">
        <f>G476</f>
        <v>0</v>
      </c>
      <c r="AB454">
        <f>H476</f>
        <v>0</v>
      </c>
      <c r="AK454" t="e">
        <f ca="1">Y455-X455</f>
        <v>#N/A</v>
      </c>
      <c r="AL454" t="e">
        <f ca="1">Z455-Y455</f>
        <v>#N/A</v>
      </c>
      <c r="AM454" t="e">
        <f ca="1">AA455-Z455</f>
        <v>#N/A</v>
      </c>
      <c r="AN454" t="e">
        <f ca="1">AB455-AA455</f>
        <v>#N/A</v>
      </c>
    </row>
    <row r="455" spans="2:53" x14ac:dyDescent="0.3">
      <c r="X455" t="e">
        <f ca="1">IFERROR((INDIRECT("J" &amp; MATCH("Gross Income",B145:B403,0) +144))/(INDIRECT("J" &amp; MATCH("Sales/Revenue",B145:B403,0) +144)), IFERROR((1 - (INDIRECT("J" &amp; MATCH("Cost of Goods Sold*",B145:B403,0) +144))/(INDIRECT("J" &amp; MATCH("Sales/Revenue",B145:B403,0) +144))),(INDIRECT("J" &amp; MATCH("Operating Income",B145:B403,0) +144))/(INDIRECT("J" &amp; MATCH("Sales/Revenue",B145:B403,0) +144))))</f>
        <v>#N/A</v>
      </c>
      <c r="Y455" t="e">
        <f ca="1">IFERROR((INDIRECT("K" &amp; MATCH("Gross Income",B145:B403,0) +144))/(INDIRECT("K" &amp; MATCH("Sales/Revenue",B145:B403,0) +144)), IFERROR((1 - (INDIRECT("K" &amp; MATCH("Cost of Goods Sold*",B145:B403,0) +144))/(INDIRECT("K" &amp; MATCH("Sales/Revenue",B145:B403,0) +144))),(INDIRECT("K" &amp; MATCH("Operating Income",B145:B403,0) +144))/(INDIRECT("K" &amp; MATCH("Sales/Revenue",B145:B403,0) +144))))</f>
        <v>#N/A</v>
      </c>
      <c r="Z455" t="e">
        <f ca="1">IFERROR((INDIRECT("L" &amp; MATCH("Gross Income",B145:B403,0) +144))/(INDIRECT("L" &amp; MATCH("Sales/Revenue",B145:B403,0) +144)), IFERROR((1 - (INDIRECT("L" &amp; MATCH("Cost of Goods Sold*",B145:B403,0) +144))/(INDIRECT("L" &amp; MATCH("Sales/Revenue",B145:B403,0) +144))),(INDIRECT("L" &amp; MATCH("Operating Income",B145:B403,0) +144))/(INDIRECT("L" &amp; MATCH("Sales/Revenue",B145:B403,0) +144))))</f>
        <v>#N/A</v>
      </c>
      <c r="AA455" t="e">
        <f ca="1">IFERROR((INDIRECT("M" &amp; MATCH("Gross Income",B145:B403,0) +144))/(INDIRECT("M" &amp; MATCH("Sales/Revenue",B145:B403,0) +144)), IFERROR((1 - (INDIRECT("M" &amp; MATCH("Cost of Goods Sold*",B145:B403,0) +144))/(INDIRECT("M" &amp; MATCH("Sales/Revenue",B145:B403,0) +144))),(INDIRECT("M" &amp; MATCH("Operating Income",B145:B403,0) +144))/(INDIRECT("M" &amp; MATCH("Sales/Revenue",B145:B403,0) +144))))</f>
        <v>#N/A</v>
      </c>
      <c r="AB455" t="e">
        <f ca="1">IFERROR((INDIRECT("N" &amp; MATCH("Gross Income",B145:B403,0) +144))/(INDIRECT("N" &amp; MATCH("Sales/Revenue",B145:B403,0) +144)), IFERROR((1 - (INDIRECT("N" &amp; MATCH("Cost of Goods Sold*",B145:B403,0) +144))/(INDIRECT("N" &amp; MATCH("Sales/Revenue",B145:B403,0) +144))),(INDIRECT("N" &amp; MATCH("Operating Income",B145:B403,0) +144))/(INDIRECT("N" &amp; MATCH("Sales/Revenue",B145:B403,0) +144))))</f>
        <v>#N/A</v>
      </c>
      <c r="AK455" t="str">
        <f>"Max " &amp; AK452</f>
        <v>Max Change in Gross Margin / Sales</v>
      </c>
      <c r="AL455" t="e">
        <f ca="1">MAX(AK454:AN454)</f>
        <v>#N/A</v>
      </c>
      <c r="AZ455" t="str">
        <f>"Item"</f>
        <v>Item</v>
      </c>
      <c r="BA455" t="str">
        <f>"Key Driver"</f>
        <v>Key Driver</v>
      </c>
    </row>
    <row r="456" spans="2:53" x14ac:dyDescent="0.3">
      <c r="X456" t="str">
        <f>"Max " &amp; X453</f>
        <v>Max Gross Margin</v>
      </c>
      <c r="Y456" t="e">
        <f ca="1">MAX(X455:AB455)</f>
        <v>#N/A</v>
      </c>
      <c r="AK456" t="str">
        <f>AK455 &amp; " Year"</f>
        <v>Max Change in Gross Margin / Sales Year</v>
      </c>
      <c r="AL456" t="e">
        <f ca="1">IF(MATCH(AL455,AK454:AN454,0)=1,AK453,IF(MATCH(AL455,AK454:AN454,0)=2,AL453,IF(MATCH(AL455,AK454:AN454,0)=3,AM453,AN453)))</f>
        <v>#N/A</v>
      </c>
      <c r="AZ456" t="str">
        <f>C528</f>
        <v>Operating Margin</v>
      </c>
      <c r="BA456" t="e">
        <f ca="1">L528</f>
        <v>#N/A</v>
      </c>
    </row>
    <row r="457" spans="2:53" x14ac:dyDescent="0.3">
      <c r="X457" t="str">
        <f>X456 &amp; " Year"</f>
        <v>Max Gross Margin Year</v>
      </c>
      <c r="Y457" t="e">
        <f ca="1">VALUE(X454)+MATCH(Y456,X455:AB455,0)-1</f>
        <v>#N/A</v>
      </c>
      <c r="AK457" t="str">
        <f>"Min " &amp; AK452</f>
        <v>Min Change in Gross Margin / Sales</v>
      </c>
      <c r="AL457" t="e">
        <f ca="1">MIN(AK454:AN454)</f>
        <v>#N/A</v>
      </c>
      <c r="AZ457" t="str">
        <f>C529</f>
        <v>Invested Capital / Sales</v>
      </c>
      <c r="BA457" t="e">
        <f ca="1">L529</f>
        <v>#N/A</v>
      </c>
    </row>
    <row r="458" spans="2:53" x14ac:dyDescent="0.3">
      <c r="X458" t="str">
        <f>"Min " &amp; X453</f>
        <v>Min Gross Margin</v>
      </c>
      <c r="Y458" t="e">
        <f ca="1">MIN(X455:AB455)</f>
        <v>#N/A</v>
      </c>
      <c r="AK458" t="str">
        <f>AK457 &amp; " Year"</f>
        <v>Min Change in Gross Margin / Sales Year</v>
      </c>
      <c r="AL458" t="e">
        <f ca="1">IF(MATCH(AL457,AK454:AN454,0)=1,AK453,IF(MATCH(AL457,AK454:AN454,0)=2,AL453,IF(MATCH(AL457,AK454:AN454,0)=3,AM453,AN453)))</f>
        <v>#N/A</v>
      </c>
    </row>
    <row r="459" spans="2:53" x14ac:dyDescent="0.3">
      <c r="X459" t="str">
        <f>X458 &amp; " Year"</f>
        <v>Min Gross Margin Year</v>
      </c>
      <c r="Y459" t="e">
        <f ca="1">VALUE(X454)+MATCH(Y458,X455:AB455,0)-1</f>
        <v>#N/A</v>
      </c>
      <c r="AZ459" t="e">
        <f ca="1">C540</f>
        <v>#NAME?</v>
      </c>
    </row>
    <row r="460" spans="2:53" x14ac:dyDescent="0.3">
      <c r="Q460" t="str">
        <f>"Operating Margin"</f>
        <v>Operating Margin</v>
      </c>
    </row>
    <row r="461" spans="2:53" x14ac:dyDescent="0.3">
      <c r="Q461">
        <f>D476</f>
        <v>1</v>
      </c>
      <c r="R461">
        <f>E476</f>
        <v>0</v>
      </c>
      <c r="S461">
        <f>F476</f>
        <v>0</v>
      </c>
      <c r="T461">
        <f>G476</f>
        <v>0</v>
      </c>
      <c r="U461">
        <f>H476</f>
        <v>0</v>
      </c>
      <c r="X461" t="str">
        <f>"SGA / Sales"</f>
        <v>SGA / Sales</v>
      </c>
      <c r="AE461" t="str">
        <f>"Change in Operating Margin"</f>
        <v>Change in Operating Margin</v>
      </c>
      <c r="AK461" t="str">
        <f>"Change in SGA / Sales"</f>
        <v>Change in SGA / Sales</v>
      </c>
    </row>
    <row r="462" spans="2:53" x14ac:dyDescent="0.3">
      <c r="Q462" t="e">
        <f ca="1">X455-X463-X471</f>
        <v>#N/A</v>
      </c>
      <c r="R462" t="e">
        <f ca="1">Y455-Y463-Y471</f>
        <v>#N/A</v>
      </c>
      <c r="S462" t="e">
        <f ca="1">Z455-Z463-Z471</f>
        <v>#N/A</v>
      </c>
      <c r="T462" t="e">
        <f ca="1">AA455-AA463-AA471</f>
        <v>#N/A</v>
      </c>
      <c r="U462" t="e">
        <f ca="1">AB455-AB463-AB471</f>
        <v>#N/A</v>
      </c>
      <c r="X462">
        <f>D476</f>
        <v>1</v>
      </c>
      <c r="Y462">
        <f>E476</f>
        <v>0</v>
      </c>
      <c r="Z462">
        <f>F476</f>
        <v>0</v>
      </c>
      <c r="AA462">
        <f>G476</f>
        <v>0</v>
      </c>
      <c r="AB462">
        <f>H476</f>
        <v>0</v>
      </c>
      <c r="AE462" t="str">
        <f>K476</f>
        <v>1-0</v>
      </c>
      <c r="AF462" t="str">
        <f>L476</f>
        <v>0-0</v>
      </c>
      <c r="AG462" t="str">
        <f>M476</f>
        <v>0-0</v>
      </c>
      <c r="AH462" t="str">
        <f>N476</f>
        <v>0-0</v>
      </c>
      <c r="AK462" t="str">
        <f>K476</f>
        <v>1-0</v>
      </c>
      <c r="AL462" t="str">
        <f>L476</f>
        <v>0-0</v>
      </c>
      <c r="AM462" t="str">
        <f>M476</f>
        <v>0-0</v>
      </c>
      <c r="AN462" t="str">
        <f>N476</f>
        <v>0-0</v>
      </c>
    </row>
    <row r="463" spans="2:53" x14ac:dyDescent="0.3">
      <c r="Q463" t="str">
        <f>"Max " &amp; Q460</f>
        <v>Max Operating Margin</v>
      </c>
      <c r="R463" t="e">
        <f ca="1">MAX(Q462:U462)</f>
        <v>#N/A</v>
      </c>
      <c r="S463" t="str">
        <f>"GM Effect on Max"</f>
        <v>GM Effect on Max</v>
      </c>
      <c r="T463" t="e">
        <f ca="1">IF(R464=Y457,"Max OM in same year as Max GM","Inconclusive Effect")</f>
        <v>#N/A</v>
      </c>
      <c r="U463" t="str">
        <f>"Correlation with GM"</f>
        <v>Correlation with GM</v>
      </c>
      <c r="V463" t="e">
        <f ca="1">CORREL(Q462:U462,X455:AB455)</f>
        <v>#N/A</v>
      </c>
      <c r="X463" t="e">
        <f ca="1">(INDIRECT("J" &amp; MATCH("SG&amp;A Expense",B145:B403,0) +144))/(INDIRECT("J" &amp; MATCH("Sales/Revenue",B145:B403,0) +144))</f>
        <v>#N/A</v>
      </c>
      <c r="Y463" t="e">
        <f ca="1">(INDIRECT("K" &amp; MATCH("SG&amp;A Expense",B145:B403,0) +144))/(INDIRECT("K" &amp; MATCH("Sales/Revenue",B145:B403,0) +144))</f>
        <v>#N/A</v>
      </c>
      <c r="Z463" t="e">
        <f ca="1">(INDIRECT("L" &amp; MATCH("SG&amp;A Expense",B145:B403,0) +144))/(INDIRECT("L" &amp; MATCH("Sales/Revenue",B145:B403,0) +144))</f>
        <v>#N/A</v>
      </c>
      <c r="AA463" t="e">
        <f ca="1">(INDIRECT("M" &amp; MATCH("SG&amp;A Expense",B145:B403,0) +144))/(INDIRECT("M" &amp; MATCH("Sales/Revenue",B145:B403,0) +144))</f>
        <v>#N/A</v>
      </c>
      <c r="AB463" t="e">
        <f ca="1">(INDIRECT("N" &amp; MATCH("SG&amp;A Expense",B145:B403,0) +144))/(INDIRECT("N" &amp; MATCH("Sales/Revenue",B145:B403,0) +144))</f>
        <v>#N/A</v>
      </c>
      <c r="AE463" t="e">
        <f ca="1">R462-Q462</f>
        <v>#N/A</v>
      </c>
      <c r="AF463" t="e">
        <f ca="1">S462-R462</f>
        <v>#N/A</v>
      </c>
      <c r="AG463" t="e">
        <f ca="1">T462-S462</f>
        <v>#N/A</v>
      </c>
      <c r="AH463" t="e">
        <f ca="1">U462-T462</f>
        <v>#N/A</v>
      </c>
      <c r="AK463" t="e">
        <f ca="1">Y463-X463</f>
        <v>#N/A</v>
      </c>
      <c r="AL463" t="e">
        <f ca="1">Z463-Y463</f>
        <v>#N/A</v>
      </c>
      <c r="AM463" t="e">
        <f ca="1">AA463-Z463</f>
        <v>#N/A</v>
      </c>
      <c r="AN463" t="e">
        <f ca="1">AB463-AA463</f>
        <v>#N/A</v>
      </c>
    </row>
    <row r="464" spans="2:53" x14ac:dyDescent="0.3">
      <c r="Q464" t="str">
        <f>Q463 &amp; " Year"</f>
        <v>Max Operating Margin Year</v>
      </c>
      <c r="R464" t="e">
        <f ca="1">VALUE(Q461)+MATCH(R463,Q462:U462,0)-1</f>
        <v>#N/A</v>
      </c>
      <c r="S464" t="str">
        <f>"SGA Effect on Max"</f>
        <v>SGA Effect on Max</v>
      </c>
      <c r="T464" t="e">
        <f ca="1">IF(R464=Y467,"Max OM in same year as Min SGA","Inconclusive Effect")</f>
        <v>#N/A</v>
      </c>
      <c r="U464" t="str">
        <f>"Correlation with SGA"</f>
        <v>Correlation with SGA</v>
      </c>
      <c r="V464" t="e">
        <f ca="1">CORREL(Q462:U462,X463:AB463)</f>
        <v>#N/A</v>
      </c>
      <c r="X464" t="str">
        <f>"Max " &amp; X461</f>
        <v>Max SGA / Sales</v>
      </c>
      <c r="Y464" t="e">
        <f ca="1">MAX(X463:AB463)</f>
        <v>#N/A</v>
      </c>
      <c r="AE464" t="str">
        <f>"Max " &amp; AE461</f>
        <v>Max Change in Operating Margin</v>
      </c>
      <c r="AF464" t="e">
        <f ca="1">MAX(AE463:AH463)</f>
        <v>#N/A</v>
      </c>
      <c r="AK464" t="str">
        <f>"Max " &amp; AK461</f>
        <v>Max Change in SGA / Sales</v>
      </c>
      <c r="AL464" t="e">
        <f ca="1">MAX(AK463:AN463)</f>
        <v>#N/A</v>
      </c>
    </row>
    <row r="465" spans="4:40" x14ac:dyDescent="0.3">
      <c r="J465" t="str">
        <f>"EOY Pretax ROIC"</f>
        <v>EOY Pretax ROIC</v>
      </c>
      <c r="Q465" t="str">
        <f>"Min " &amp; Q460</f>
        <v>Min Operating Margin</v>
      </c>
      <c r="R465" t="e">
        <f ca="1">MIN(Q462:U462)</f>
        <v>#N/A</v>
      </c>
      <c r="S465" t="str">
        <f>"Dep Effect on Max"</f>
        <v>Dep Effect on Max</v>
      </c>
      <c r="T465" t="e">
        <f ca="1">IF(R464=Y475,"Max OM in same year as Min Depr","Inconclusive Effect")</f>
        <v>#N/A</v>
      </c>
      <c r="U465" t="str">
        <f>"Correlation with Dep"</f>
        <v>Correlation with Dep</v>
      </c>
      <c r="V465" t="e">
        <f ca="1">CORREL(Q462:U462,X471:AB471)</f>
        <v>#N/A</v>
      </c>
      <c r="X465" t="str">
        <f>X464 &amp; " Year"</f>
        <v>Max SGA / Sales Year</v>
      </c>
      <c r="Y465" t="e">
        <f ca="1">VALUE(X462)+MATCH(Y464,X463:AB463,0)-1</f>
        <v>#N/A</v>
      </c>
      <c r="AE465" t="str">
        <f>AE464 &amp; " Year"</f>
        <v>Max Change in Operating Margin Year</v>
      </c>
      <c r="AF465" t="e">
        <f ca="1">IF(MATCH(AF464,AE463:AH463,0)=1,AE462,IF(MATCH(AF464,AE463:AH463,0)=2,AF462,IF(MATCH(AF464,AE463:AH463,0)=3,AG462,AH462)))</f>
        <v>#N/A</v>
      </c>
      <c r="AK465" t="str">
        <f>AK464 &amp; " Year"</f>
        <v>Max Change in SGA / Sales Year</v>
      </c>
      <c r="AL465" t="e">
        <f ca="1">IF(MATCH(AL464,AK463:AN463,0)=1,AK462,IF(MATCH(AL464,AK463:AN463,0)=2,AL462,IF(MATCH(AL464,AK463:AN463,0)=3,AM462,AN462)))</f>
        <v>#N/A</v>
      </c>
    </row>
    <row r="466" spans="4:40" x14ac:dyDescent="0.3">
      <c r="J466">
        <f>D476</f>
        <v>1</v>
      </c>
      <c r="K466">
        <f>E476</f>
        <v>0</v>
      </c>
      <c r="L466">
        <f>F476</f>
        <v>0</v>
      </c>
      <c r="M466">
        <f>G476</f>
        <v>0</v>
      </c>
      <c r="N466">
        <f>H476</f>
        <v>0</v>
      </c>
      <c r="Q466" t="str">
        <f>Q465 &amp; " Year"</f>
        <v>Min Operating Margin Year</v>
      </c>
      <c r="R466" t="e">
        <f ca="1">VALUE(Q461)+MATCH(R465,Q462:U462,0)-1</f>
        <v>#N/A</v>
      </c>
      <c r="S466" t="str">
        <f>"GM Effect on Min"</f>
        <v>GM Effect on Min</v>
      </c>
      <c r="T466" t="e">
        <f ca="1">IF(R466=Y459,"Min OM in same year as Min GM","Inconclusive Effect")</f>
        <v>#N/A</v>
      </c>
      <c r="X466" t="str">
        <f>"Min " &amp; X461</f>
        <v>Min SGA / Sales</v>
      </c>
      <c r="Y466" t="e">
        <f ca="1">MIN(X463:AB463)</f>
        <v>#N/A</v>
      </c>
      <c r="AE466" t="str">
        <f>"Min " &amp; AE461</f>
        <v>Min Change in Operating Margin</v>
      </c>
      <c r="AF466" t="e">
        <f ca="1">MIN(AE463:AH463)</f>
        <v>#N/A</v>
      </c>
      <c r="AK466" t="str">
        <f>"Min " &amp; AK461</f>
        <v>Min Change in SGA / Sales</v>
      </c>
      <c r="AL466" t="e">
        <f ca="1">MIN(AK463:AN463)</f>
        <v>#N/A</v>
      </c>
    </row>
    <row r="467" spans="4:40" x14ac:dyDescent="0.3">
      <c r="J467" t="e">
        <f ca="1">Q462*(1/Q490)</f>
        <v>#N/A</v>
      </c>
      <c r="K467" t="e">
        <f ca="1">R462*(1/R490)</f>
        <v>#N/A</v>
      </c>
      <c r="L467" t="e">
        <f ca="1">S462*(1/S490)</f>
        <v>#N/A</v>
      </c>
      <c r="M467" t="e">
        <f ca="1">T462*(1/T490)</f>
        <v>#N/A</v>
      </c>
      <c r="N467" t="e">
        <f ca="1">U462*(1/U490)</f>
        <v>#N/A</v>
      </c>
      <c r="S467" t="str">
        <f>"SGA Effect on Min"</f>
        <v>SGA Effect on Min</v>
      </c>
      <c r="T467" t="e">
        <f ca="1">IF(R466=Y465,"Min OM in same year as Max SGA","Inconclusive Effect")</f>
        <v>#N/A</v>
      </c>
      <c r="X467" t="str">
        <f>X466 &amp; " Year"</f>
        <v>Min SGA / Sales Year</v>
      </c>
      <c r="Y467" t="e">
        <f ca="1">VALUE(X462)+MATCH(Y466,X463:AB463,0)-1</f>
        <v>#N/A</v>
      </c>
      <c r="AE467" t="str">
        <f>AE466 &amp; " Year"</f>
        <v>Min Change in Operating Margin Year</v>
      </c>
      <c r="AF467" t="e">
        <f ca="1">IF(MATCH(AF466,AE463:AH463,0)=1,AE462,IF(MATCH(AF466,AE463:AH463,0)=2,AF462,IF(MATCH(AF466,AE463:AH463,0)=3,AG462,AH462)))</f>
        <v>#N/A</v>
      </c>
      <c r="AK467" t="str">
        <f>AK466 &amp; " Year"</f>
        <v>Min Change in SGA / Sales Year</v>
      </c>
      <c r="AL467" t="e">
        <f ca="1">IF(MATCH(AL466,AK463:AN463,0)=1,AK462,IF(MATCH(AL466,AK463:AN463,0)=2,AL462,IF(MATCH(AL466,AK463:AN463,0)=3,AM462,AN462)))</f>
        <v>#N/A</v>
      </c>
    </row>
    <row r="468" spans="4:40" x14ac:dyDescent="0.3">
      <c r="J468" t="str">
        <f>"Max " &amp; J465</f>
        <v>Max EOY Pretax ROIC</v>
      </c>
      <c r="K468" t="e">
        <f ca="1">MAX(J467:N467)</f>
        <v>#N/A</v>
      </c>
      <c r="L468" t="str">
        <f>"OM Effect on Max"</f>
        <v>OM Effect on Max</v>
      </c>
      <c r="M468" t="e">
        <f ca="1">IF(K469=R464,"Max ROIC in same year as Max OM","Inconclusive Effect")</f>
        <v>#N/A</v>
      </c>
      <c r="N468" t="str">
        <f>"Correlation with OM"</f>
        <v>Correlation with OM</v>
      </c>
      <c r="O468" t="e">
        <f ca="1">CORREL(J467:N467,Q462:U462)</f>
        <v>#N/A</v>
      </c>
      <c r="S468" t="str">
        <f>"Dep Effect on Min"</f>
        <v>Dep Effect on Min</v>
      </c>
      <c r="T468" t="e">
        <f ca="1">IF(R466=Y473,"Min OM in same year as Max Dep","Inconclusive Effect")</f>
        <v>#N/A</v>
      </c>
    </row>
    <row r="469" spans="4:40" x14ac:dyDescent="0.3">
      <c r="J469" t="str">
        <f>J468 &amp; " Year"</f>
        <v>Max EOY Pretax ROIC Year</v>
      </c>
      <c r="K469" t="e">
        <f ca="1">VALUE(J466)+MATCH(K468,J467:N467,0)-1</f>
        <v>#N/A</v>
      </c>
      <c r="L469" t="str">
        <f>"IC Effect on Max"</f>
        <v>IC Effect on Max</v>
      </c>
      <c r="M469" t="e">
        <f ca="1">IF(K469=R494,"Max ROIC in same year as Min IC","Inconclusive Effect")</f>
        <v>#N/A</v>
      </c>
      <c r="N469" t="str">
        <f>"Correlation with IC"</f>
        <v>Correlation with IC</v>
      </c>
      <c r="O469" t="e">
        <f ca="1">CORREL(J467:N467,Q490:U490)</f>
        <v>#N/A</v>
      </c>
      <c r="X469" t="str">
        <f>"Depreciation / Sales"</f>
        <v>Depreciation / Sales</v>
      </c>
    </row>
    <row r="470" spans="4:40" x14ac:dyDescent="0.3">
      <c r="J470" t="str">
        <f>"Min " &amp; J465</f>
        <v>Min EOY Pretax ROIC</v>
      </c>
      <c r="K470" t="e">
        <f ca="1">MIN(J467:N467)</f>
        <v>#N/A</v>
      </c>
      <c r="L470" t="str">
        <f>"OM Effect on Min"</f>
        <v>OM Effect on Min</v>
      </c>
      <c r="M470" t="e">
        <f ca="1">IF(K471=R466,"Min ROIC in same year as Min OM","Inconclusive Effect")</f>
        <v>#N/A</v>
      </c>
      <c r="Q470" t="str">
        <f>"Change in EOY Pretax ROIC"</f>
        <v>Change in EOY Pretax ROIC</v>
      </c>
      <c r="X470">
        <f>D476</f>
        <v>1</v>
      </c>
      <c r="Y470">
        <f>E476</f>
        <v>0</v>
      </c>
      <c r="Z470">
        <f>F476</f>
        <v>0</v>
      </c>
      <c r="AA470">
        <f>G476</f>
        <v>0</v>
      </c>
      <c r="AB470">
        <f>H476</f>
        <v>0</v>
      </c>
    </row>
    <row r="471" spans="4:40" x14ac:dyDescent="0.3">
      <c r="J471" t="str">
        <f>J470 &amp; " Year"</f>
        <v>Min EOY Pretax ROIC Year</v>
      </c>
      <c r="K471" t="e">
        <f ca="1">VALUE(J466)+MATCH(K470,J467:N467,0)-1</f>
        <v>#N/A</v>
      </c>
      <c r="L471" t="str">
        <f>"IC Effect on Min"</f>
        <v>IC Effect on Min</v>
      </c>
      <c r="M471" t="e">
        <f ca="1">IF(K471=R492,"Min ROIC in same year as Max IC","Inconclusive Effect")</f>
        <v>#N/A</v>
      </c>
      <c r="Q471" t="str">
        <f>K476</f>
        <v>1-0</v>
      </c>
      <c r="R471" t="str">
        <f>L476</f>
        <v>0-0</v>
      </c>
      <c r="S471" t="str">
        <f>M476</f>
        <v>0-0</v>
      </c>
      <c r="T471" t="str">
        <f>N476</f>
        <v>0-0</v>
      </c>
      <c r="X471" t="e">
        <f ca="1">(INDIRECT("J" &amp; MATCH("Depreciation &amp; Amortization Expense",B145:B403,0) +144))/(INDIRECT("J" &amp; MATCH("Sales/Revenue",B145:B403,0) +144))</f>
        <v>#N/A</v>
      </c>
      <c r="Y471" t="e">
        <f ca="1">(INDIRECT("K" &amp; MATCH("Depreciation &amp; Amortization Expense",B145:B403,0) +144))/(INDIRECT("K" &amp; MATCH("Sales/Revenue",B145:B403,0) +144))</f>
        <v>#N/A</v>
      </c>
      <c r="Z471" t="e">
        <f ca="1">(INDIRECT("L" &amp; MATCH("Depreciation &amp; Amortization Expense",B145:B403,0) +144))/(INDIRECT("L" &amp; MATCH("Sales/Revenue",B145:B403,0) +144))</f>
        <v>#N/A</v>
      </c>
      <c r="AA471" t="e">
        <f ca="1">(INDIRECT("M" &amp; MATCH("Depreciation &amp; Amortization Expense",B145:B403,0) +144))/(INDIRECT("M" &amp; MATCH("Sales/Revenue",B145:B403,0) +144))</f>
        <v>#N/A</v>
      </c>
      <c r="AB471" t="e">
        <f ca="1">(INDIRECT("N" &amp; MATCH("Depreciation &amp; Amortization Expense",B145:B403,0) +144))/(INDIRECT("N" &amp; MATCH("Sales/Revenue",B145:B403,0) +144))</f>
        <v>#N/A</v>
      </c>
    </row>
    <row r="472" spans="4:40" x14ac:dyDescent="0.3">
      <c r="Q472" t="e">
        <f ca="1">K467-J467</f>
        <v>#N/A</v>
      </c>
      <c r="R472" t="e">
        <f ca="1">L467-K467</f>
        <v>#N/A</v>
      </c>
      <c r="S472" t="e">
        <f ca="1">M467-L467</f>
        <v>#N/A</v>
      </c>
      <c r="T472" t="e">
        <f ca="1">N467-M467</f>
        <v>#N/A</v>
      </c>
      <c r="X472" t="str">
        <f>"Max " &amp; X469</f>
        <v>Max Depreciation / Sales</v>
      </c>
      <c r="Y472" t="e">
        <f ca="1">MAX(X471:AB471)</f>
        <v>#N/A</v>
      </c>
      <c r="AK472" t="str">
        <f>"Change in Depreciation / Sales"</f>
        <v>Change in Depreciation / Sales</v>
      </c>
    </row>
    <row r="473" spans="4:40" x14ac:dyDescent="0.3">
      <c r="Q473" t="str">
        <f>"Max " &amp; Q470</f>
        <v>Max Change in EOY Pretax ROIC</v>
      </c>
      <c r="R473" t="e">
        <f ca="1">MAX(Q472:T472)</f>
        <v>#N/A</v>
      </c>
      <c r="X473" t="str">
        <f>X472 &amp; " Year"</f>
        <v>Max Depreciation / Sales Year</v>
      </c>
      <c r="Y473" t="e">
        <f ca="1">VALUE(X470)+MATCH(Y472,X471:AB471,0)-1</f>
        <v>#N/A</v>
      </c>
      <c r="AK473" t="str">
        <f>K476</f>
        <v>1-0</v>
      </c>
      <c r="AL473" t="str">
        <f>L476</f>
        <v>0-0</v>
      </c>
      <c r="AM473" t="str">
        <f>M476</f>
        <v>0-0</v>
      </c>
      <c r="AN473" t="str">
        <f>N476</f>
        <v>0-0</v>
      </c>
    </row>
    <row r="474" spans="4:40" x14ac:dyDescent="0.3">
      <c r="Q474" t="str">
        <f>Q473 &amp; " Year"</f>
        <v>Max Change in EOY Pretax ROIC Year</v>
      </c>
      <c r="R474" t="e">
        <f ca="1">IF(MATCH(R473,Q472:T472,0)=1,Q471,IF(MATCH(R473,Q472:T472,0)=2,R471,IF(MATCH(R473,Q472:T472,0)=3,S471,T471)))</f>
        <v>#N/A</v>
      </c>
      <c r="X474" t="str">
        <f>"Min " &amp; X469</f>
        <v>Min Depreciation / Sales</v>
      </c>
      <c r="Y474" t="e">
        <f ca="1">MIN(X471:AB471)</f>
        <v>#N/A</v>
      </c>
      <c r="AK474" t="e">
        <f ca="1">Y471-X471</f>
        <v>#N/A</v>
      </c>
      <c r="AL474" t="e">
        <f ca="1">Z471-Y471</f>
        <v>#N/A</v>
      </c>
      <c r="AM474" t="e">
        <f ca="1">AA471-Z471</f>
        <v>#N/A</v>
      </c>
      <c r="AN474" t="e">
        <f ca="1">AB471-AA471</f>
        <v>#N/A</v>
      </c>
    </row>
    <row r="475" spans="4:40" x14ac:dyDescent="0.3">
      <c r="D475" t="str">
        <f>"EOY ROIC"</f>
        <v>EOY ROIC</v>
      </c>
      <c r="K475" t="str">
        <f>"Change in EOY ROIC"</f>
        <v>Change in EOY ROIC</v>
      </c>
      <c r="Q475" t="str">
        <f>"Min " &amp; Q470</f>
        <v>Min Change in EOY Pretax ROIC</v>
      </c>
      <c r="R475" t="e">
        <f ca="1">MIN(Q472:T472)</f>
        <v>#N/A</v>
      </c>
      <c r="X475" t="str">
        <f>X474 &amp; " Year"</f>
        <v>Min Depreciation / Sales Year</v>
      </c>
      <c r="Y475" t="e">
        <f ca="1">VALUE(X470)+MATCH(Y474,X471:AB471,0)-1</f>
        <v>#N/A</v>
      </c>
      <c r="AK475" t="str">
        <f>"Max " &amp; AK472</f>
        <v>Max Change in Depreciation / Sales</v>
      </c>
      <c r="AL475" t="e">
        <f ca="1">MAX(AK474:AN474)</f>
        <v>#N/A</v>
      </c>
    </row>
    <row r="476" spans="4:40" x14ac:dyDescent="0.3">
      <c r="D476">
        <f>C144</f>
        <v>1</v>
      </c>
      <c r="E476">
        <f>D144</f>
        <v>0</v>
      </c>
      <c r="F476">
        <f>E144</f>
        <v>0</v>
      </c>
      <c r="G476">
        <f>F144</f>
        <v>0</v>
      </c>
      <c r="H476">
        <f>G144</f>
        <v>0</v>
      </c>
      <c r="K476" t="str">
        <f>RIGHT(D476,2) &amp; "-" &amp; RIGHT(E476,2)</f>
        <v>1-0</v>
      </c>
      <c r="L476" t="str">
        <f>RIGHT(E476,2) &amp; "-" &amp; RIGHT(F476,2)</f>
        <v>0-0</v>
      </c>
      <c r="M476" t="str">
        <f>RIGHT(F476,2) &amp; "-" &amp; RIGHT(G476,2)</f>
        <v>0-0</v>
      </c>
      <c r="N476" t="str">
        <f>RIGHT(G476,2) &amp; "-" &amp; RIGHT(H476,2)</f>
        <v>0-0</v>
      </c>
      <c r="Q476" t="str">
        <f>Q475 &amp; " Year"</f>
        <v>Min Change in EOY Pretax ROIC Year</v>
      </c>
      <c r="R476" t="e">
        <f ca="1">IF(MATCH(R475,Q472:T472,0)=1,Q471,IF(MATCH(R475,Q472:T472,0)=2,R471,IF(MATCH(R475,Q472:T472,0)=3,S471,T471)))</f>
        <v>#N/A</v>
      </c>
      <c r="AK476" t="str">
        <f>AK475 &amp; " Year"</f>
        <v>Max Change in Depreciation / Sales Year</v>
      </c>
      <c r="AL476" t="e">
        <f ca="1">IF(MATCH(AL475,AK474:AN474,0)=1,AK473,IF(MATCH(AL475,AK474:AN474,0)=2,AL473,IF(MATCH(AL475,AK474:AN474,0)=3,AM473,AN473)))</f>
        <v>#N/A</v>
      </c>
    </row>
    <row r="477" spans="4:40" x14ac:dyDescent="0.3">
      <c r="D477" t="e">
        <f ca="1">J467*(1-J487)</f>
        <v>#N/A</v>
      </c>
      <c r="E477" t="e">
        <f ca="1">K467*(1-K487)</f>
        <v>#N/A</v>
      </c>
      <c r="F477" t="e">
        <f ca="1">L467*(1-L487)</f>
        <v>#N/A</v>
      </c>
      <c r="G477" t="e">
        <f ca="1">M467*(1-M487)</f>
        <v>#N/A</v>
      </c>
      <c r="H477" t="e">
        <f ca="1">N467*(1-N487)</f>
        <v>#N/A</v>
      </c>
      <c r="K477" t="e">
        <f ca="1">E477-D477</f>
        <v>#N/A</v>
      </c>
      <c r="L477" t="e">
        <f ca="1">F477-E477</f>
        <v>#N/A</v>
      </c>
      <c r="M477" t="e">
        <f ca="1">G477-F477</f>
        <v>#N/A</v>
      </c>
      <c r="N477" t="e">
        <f ca="1">H477-G477</f>
        <v>#N/A</v>
      </c>
      <c r="AK477" t="str">
        <f>"Min " &amp; AK472</f>
        <v>Min Change in Depreciation / Sales</v>
      </c>
      <c r="AL477" t="e">
        <f ca="1">MIN(AK474:AN474)</f>
        <v>#N/A</v>
      </c>
    </row>
    <row r="478" spans="4:40" x14ac:dyDescent="0.3">
      <c r="D478" t="str">
        <f>"Max " &amp; D475</f>
        <v>Max EOY ROIC</v>
      </c>
      <c r="E478" t="e">
        <f ca="1">MAX(D477:H477)</f>
        <v>#N/A</v>
      </c>
      <c r="F478" t="str">
        <f>"Cash Tax  Effect on Max"</f>
        <v>Cash Tax  Effect on Max</v>
      </c>
      <c r="G478" t="e">
        <f ca="1">IF(E479=K491,"Max ROIC in same year as Min Cash Tax","Inconclusive Effect")</f>
        <v>#N/A</v>
      </c>
      <c r="K478" t="str">
        <f>"Max " &amp; K475</f>
        <v>Max Change in EOY ROIC</v>
      </c>
      <c r="L478" t="e">
        <f ca="1">MAX(K477:N477)</f>
        <v>#N/A</v>
      </c>
      <c r="AK478" t="str">
        <f>AK477 &amp; " Year"</f>
        <v>Min Change in Depreciation / Sales Year</v>
      </c>
      <c r="AL478" t="e">
        <f ca="1">IF(MATCH(AL477,AK474:AN474,0)=1,AK473,IF(MATCH(AL477,AK474:AN474,0)=2,AL473,IF(MATCH(AL477,AK474:AN474,0)=3,AM473,AN473)))</f>
        <v>#N/A</v>
      </c>
    </row>
    <row r="479" spans="4:40" x14ac:dyDescent="0.3">
      <c r="D479" t="str">
        <f>D478 &amp; " Year"</f>
        <v>Max EOY ROIC Year</v>
      </c>
      <c r="E479" t="e">
        <f ca="1">VALUE(D476)+MATCH(E478,D477:H477,0)-1</f>
        <v>#N/A</v>
      </c>
      <c r="K479" t="str">
        <f>K478 &amp; " Year"</f>
        <v>Max Change in EOY ROIC Year</v>
      </c>
      <c r="L479" t="e">
        <f ca="1">IF(MATCH(L478,K477:N477,0)=1,K476,IF(MATCH(L478,K477:N477,0)=2,L476,IF(MATCH(L478,K477:N477,0)=3,M476,N476)))</f>
        <v>#N/A</v>
      </c>
      <c r="Q479" t="str">
        <f>"Change in Cash Tax Rate"</f>
        <v>Change in Cash Tax Rate</v>
      </c>
    </row>
    <row r="480" spans="4:40" x14ac:dyDescent="0.3">
      <c r="D480" t="str">
        <f>"Min " &amp; D475</f>
        <v>Min EOY ROIC</v>
      </c>
      <c r="E480" t="e">
        <f ca="1">MIN(D477:H477)</f>
        <v>#N/A</v>
      </c>
      <c r="F480" t="str">
        <f>"Cash Tax  Effect on Min"</f>
        <v>Cash Tax  Effect on Min</v>
      </c>
      <c r="G480" t="e">
        <f ca="1">IF(E481=K489,"Min ROIC in same year as Max Cash Tax","Inconclusive Effect")</f>
        <v>#N/A</v>
      </c>
      <c r="K480" t="str">
        <f>"Min " &amp; K475</f>
        <v>Min Change in EOY ROIC</v>
      </c>
      <c r="L480" t="e">
        <f ca="1">MIN(K477:N477)</f>
        <v>#N/A</v>
      </c>
      <c r="Q480" t="str">
        <f>K476</f>
        <v>1-0</v>
      </c>
      <c r="R480" t="str">
        <f>L476</f>
        <v>0-0</v>
      </c>
      <c r="S480" t="str">
        <f>M476</f>
        <v>0-0</v>
      </c>
      <c r="T480" t="str">
        <f>N476</f>
        <v>0-0</v>
      </c>
    </row>
    <row r="481" spans="4:40" x14ac:dyDescent="0.3">
      <c r="D481" t="str">
        <f>D480 &amp; " Year"</f>
        <v>Min EOY ROIC Year</v>
      </c>
      <c r="E481" t="e">
        <f ca="1">VALUE(D476)+MATCH(E480,D477:H477,0)-1</f>
        <v>#N/A</v>
      </c>
      <c r="K481" t="str">
        <f>K480 &amp; " Year"</f>
        <v>Min Change in EOY ROIC Year</v>
      </c>
      <c r="L481" t="e">
        <f ca="1">IF(MATCH(L480,K477:N477,0)=1,K476,IF(MATCH(L480,K477:N477,0)=2,L476,IF(MATCH(L480,K477:N477,0)=3,M476,N476)))</f>
        <v>#N/A</v>
      </c>
      <c r="Q481" t="e">
        <f ca="1">K487-J487</f>
        <v>#N/A</v>
      </c>
      <c r="R481" t="e">
        <f ca="1">L487-K487</f>
        <v>#N/A</v>
      </c>
      <c r="S481" t="e">
        <f ca="1">M487-L487</f>
        <v>#N/A</v>
      </c>
      <c r="T481" t="e">
        <f ca="1">N487-M487</f>
        <v>#N/A</v>
      </c>
      <c r="X481" t="str">
        <f>"Op WC / Sales"</f>
        <v>Op WC / Sales</v>
      </c>
    </row>
    <row r="482" spans="4:40" x14ac:dyDescent="0.3">
      <c r="D482" t="str">
        <f>"Correlation with OM"</f>
        <v>Correlation with OM</v>
      </c>
      <c r="E482" t="e">
        <f ca="1">CORREL(D477:H477,Q462:U462)</f>
        <v>#N/A</v>
      </c>
      <c r="Q482" t="str">
        <f>"Max " &amp; Q479</f>
        <v>Max Change in Cash Tax Rate</v>
      </c>
      <c r="R482" t="e">
        <f ca="1">MAX(Q481:T481)</f>
        <v>#N/A</v>
      </c>
      <c r="X482">
        <f>D476</f>
        <v>1</v>
      </c>
      <c r="Y482">
        <f>E476</f>
        <v>0</v>
      </c>
      <c r="Z482">
        <f>F476</f>
        <v>0</v>
      </c>
      <c r="AA482">
        <f>G476</f>
        <v>0</v>
      </c>
      <c r="AB482">
        <f>H476</f>
        <v>0</v>
      </c>
      <c r="AK482" t="str">
        <f>"Change in Op WC / Sales"</f>
        <v>Change in Op WC / Sales</v>
      </c>
    </row>
    <row r="483" spans="4:40" x14ac:dyDescent="0.3">
      <c r="D483" t="str">
        <f>"Correlation with IC"</f>
        <v>Correlation with IC</v>
      </c>
      <c r="E483" t="e">
        <f ca="1">CORREL(D477:H477,Q490:U490)</f>
        <v>#N/A</v>
      </c>
      <c r="Q483" t="str">
        <f>Q482 &amp; " Year"</f>
        <v>Max Change in Cash Tax Rate Year</v>
      </c>
      <c r="R483" t="e">
        <f ca="1">IF(MATCH(R482,Q481:T481,0)=1,Q480,IF(MATCH(R482,Q481:T481,0)=2,R480,IF(MATCH(R482,Q481:T481,0)=3,S480,T480)))</f>
        <v>#N/A</v>
      </c>
      <c r="X483" t="e">
        <f ca="1">(INDIRECT("J" &amp; MATCH("Total Current Assets",B145:B403,0) +144) - INDIRECT("J" &amp; MATCH("Total Current Liabilities",B145:B403,0) +144))/(INDIRECT("J" &amp; MATCH("Sales/Revenue",B145:B403,0) +144))</f>
        <v>#N/A</v>
      </c>
      <c r="Y483" t="e">
        <f ca="1">(INDIRECT("K" &amp; MATCH("Total Current Assets",B145:B403,0) +144) - INDIRECT("K" &amp; MATCH("Total Current Liabilities",B145:B403,0) +144))/(INDIRECT("K" &amp; MATCH("Sales/Revenue",B145:B403,0) +144))</f>
        <v>#N/A</v>
      </c>
      <c r="Z483" t="e">
        <f ca="1">(INDIRECT("L" &amp; MATCH("Total Current Assets",B145:B403,0) +144) - INDIRECT("L" &amp; MATCH("Total Current Liabilities",B145:B403,0) +144))/(INDIRECT("L" &amp; MATCH("Sales/Revenue",B145:B403,0) +144))</f>
        <v>#N/A</v>
      </c>
      <c r="AA483" t="e">
        <f ca="1">(INDIRECT("M" &amp; MATCH("Total Current Assets",B145:B403,0) +144) - INDIRECT("M" &amp; MATCH("Total Current Liabilities",B145:B403,0) +144))/(INDIRECT("M" &amp; MATCH("Sales/Revenue",B145:B403,0) +144))</f>
        <v>#N/A</v>
      </c>
      <c r="AB483" t="e">
        <f ca="1">(INDIRECT("N" &amp; MATCH("Total Current Assets",B145:B403,0) +144) - INDIRECT("N" &amp; MATCH("Total Current Liabilities",B145:B403,0) +144))/(INDIRECT("N" &amp; MATCH("Sales/Revenue",B145:B403,0) +144))</f>
        <v>#N/A</v>
      </c>
      <c r="AK483" t="str">
        <f>K476</f>
        <v>1-0</v>
      </c>
      <c r="AL483" t="str">
        <f>L476</f>
        <v>0-0</v>
      </c>
      <c r="AM483" t="str">
        <f>M476</f>
        <v>0-0</v>
      </c>
      <c r="AN483" t="str">
        <f>N476</f>
        <v>0-0</v>
      </c>
    </row>
    <row r="484" spans="4:40" x14ac:dyDescent="0.3">
      <c r="D484" t="str">
        <f>"Correlation with GM"</f>
        <v>Correlation with GM</v>
      </c>
      <c r="E484" t="e">
        <f ca="1">CORREL(D477:H477,X455:AB455)</f>
        <v>#N/A</v>
      </c>
      <c r="Q484" t="str">
        <f>"Min " &amp; Q479</f>
        <v>Min Change in Cash Tax Rate</v>
      </c>
      <c r="R484" t="e">
        <f ca="1">MIN(Q481:T481)</f>
        <v>#N/A</v>
      </c>
      <c r="X484" t="str">
        <f>"Max " &amp; X481</f>
        <v>Max Op WC / Sales</v>
      </c>
      <c r="Y484" t="e">
        <f ca="1">MAX(X483:AB483)</f>
        <v>#N/A</v>
      </c>
      <c r="AK484" t="e">
        <f ca="1">Y483-X483</f>
        <v>#N/A</v>
      </c>
      <c r="AL484" t="e">
        <f ca="1">Z483-Y483</f>
        <v>#N/A</v>
      </c>
      <c r="AM484" t="e">
        <f ca="1">AA483-Z483</f>
        <v>#N/A</v>
      </c>
      <c r="AN484" t="e">
        <f ca="1">AB483-AA483</f>
        <v>#N/A</v>
      </c>
    </row>
    <row r="485" spans="4:40" x14ac:dyDescent="0.3">
      <c r="D485" t="str">
        <f>"Correlation with SGA"</f>
        <v>Correlation with SGA</v>
      </c>
      <c r="E485" t="e">
        <f ca="1">CORREL(D477:H477,X463:AB463)</f>
        <v>#N/A</v>
      </c>
      <c r="J485" t="str">
        <f>"Cash Tax Rate"</f>
        <v>Cash Tax Rate</v>
      </c>
      <c r="Q485" t="str">
        <f>Q484 &amp; " Year"</f>
        <v>Min Change in Cash Tax Rate Year</v>
      </c>
      <c r="R485" t="e">
        <f ca="1">IF(MATCH(R484,Q481:T481,0)=1,Q480,IF(MATCH(R484,Q481:T481,0)=2,R480,IF(MATCH(R484,Q481:T481,0)=3,S480,T480)))</f>
        <v>#N/A</v>
      </c>
      <c r="X485" t="str">
        <f>X484 &amp; " Year"</f>
        <v>Max Op WC / Sales Year</v>
      </c>
      <c r="Y485" t="e">
        <f ca="1">VALUE(X482)+MATCH(Y484,X483:AB483,0)-1</f>
        <v>#N/A</v>
      </c>
      <c r="AK485" t="str">
        <f>"Max " &amp; AK482</f>
        <v>Max Change in Op WC / Sales</v>
      </c>
      <c r="AL485" t="e">
        <f ca="1">MAX(AK484:AN484)</f>
        <v>#N/A</v>
      </c>
    </row>
    <row r="486" spans="4:40" x14ac:dyDescent="0.3">
      <c r="D486" t="str">
        <f>"Correlation with Dep"</f>
        <v>Correlation with Dep</v>
      </c>
      <c r="E486" t="e">
        <f ca="1">CORREL(D477:H477,X471:AB471)</f>
        <v>#N/A</v>
      </c>
      <c r="J486">
        <f>D476</f>
        <v>1</v>
      </c>
      <c r="K486">
        <f>E476</f>
        <v>0</v>
      </c>
      <c r="L486">
        <f>F476</f>
        <v>0</v>
      </c>
      <c r="M486">
        <f>G476</f>
        <v>0</v>
      </c>
      <c r="N486">
        <f>H476</f>
        <v>0</v>
      </c>
      <c r="X486" t="str">
        <f>"Min " &amp; X481</f>
        <v>Min Op WC / Sales</v>
      </c>
      <c r="Y486" t="e">
        <f ca="1">MIN(X483:AB483)</f>
        <v>#N/A</v>
      </c>
      <c r="AK486" t="str">
        <f>AK485 &amp; " Year"</f>
        <v>Max Change in Op WC / Sales Year</v>
      </c>
      <c r="AL486" t="e">
        <f ca="1">IF(MATCH(AL485,AK484:AN484,0)=1,AK483,IF(MATCH(AL485,AK484:AN484,0)=2,AL483,IF(MATCH(AL485,AK484:AN484,0)=3,AM483,AN483)))</f>
        <v>#N/A</v>
      </c>
    </row>
    <row r="487" spans="4:40" x14ac:dyDescent="0.3">
      <c r="D487" t="str">
        <f>"Correlation with Op WC"</f>
        <v>Correlation with Op WC</v>
      </c>
      <c r="E487" t="e">
        <f ca="1">CORREL(D477:H477,X483:AB483)</f>
        <v>#N/A</v>
      </c>
      <c r="J487" t="e">
        <f ca="1">(INDIRECT("J" &amp; MATCH("Income Tax",B145:B403,0) +144))/(INDIRECT("J" &amp; MATCH("Pretax Income",B145:B403,0) +144))</f>
        <v>#N/A</v>
      </c>
      <c r="K487" t="e">
        <f ca="1">(INDIRECT("K" &amp; MATCH("Income Tax",B145:B403,0) +144))/(INDIRECT("K" &amp; MATCH("Pretax Income",B145:B403,0) +144))</f>
        <v>#N/A</v>
      </c>
      <c r="L487" t="e">
        <f ca="1">(INDIRECT("L" &amp; MATCH("Income Tax",B145:B403,0) +144))/(INDIRECT("L" &amp; MATCH("Pretax Income",B145:B403,0) +144))</f>
        <v>#N/A</v>
      </c>
      <c r="M487" t="e">
        <f ca="1">(INDIRECT("M" &amp; MATCH("Income Tax",B145:B403,0) +144))/(INDIRECT("M" &amp; MATCH("Pretax Income",B145:B403,0) +144))</f>
        <v>#N/A</v>
      </c>
      <c r="N487" t="e">
        <f ca="1">(INDIRECT("N" &amp; MATCH("Income Tax",B145:B403,0) +144))/(INDIRECT("N" &amp; MATCH("Pretax Income",B145:B403,0) +144))</f>
        <v>#N/A</v>
      </c>
      <c r="X487" t="str">
        <f>X486 &amp; " Year"</f>
        <v>Min Op WC / Sales Year</v>
      </c>
      <c r="Y487" t="e">
        <f ca="1">VALUE(X482)+MATCH(Y486,X483:AB483,0)-1</f>
        <v>#N/A</v>
      </c>
      <c r="AK487" t="str">
        <f>"Min " &amp; AK482</f>
        <v>Min Change in Op WC / Sales</v>
      </c>
      <c r="AL487" t="e">
        <f ca="1">MIN(AK484:AN484)</f>
        <v>#N/A</v>
      </c>
    </row>
    <row r="488" spans="4:40" x14ac:dyDescent="0.3">
      <c r="D488" t="str">
        <f>"Correlation with PPE"</f>
        <v>Correlation with PPE</v>
      </c>
      <c r="E488" t="e">
        <f ca="1">CORREL(D477:H477,X491:AB491)</f>
        <v>#N/A</v>
      </c>
      <c r="J488" t="str">
        <f>"Max " &amp; J485</f>
        <v>Max Cash Tax Rate</v>
      </c>
      <c r="K488" t="e">
        <f ca="1">MAX(J487:N487)</f>
        <v>#N/A</v>
      </c>
      <c r="Q488" t="str">
        <f>"Invested Capital / Sales"</f>
        <v>Invested Capital / Sales</v>
      </c>
      <c r="AK488" t="str">
        <f>AK487 &amp; " Year"</f>
        <v>Min Change in Op WC / Sales Year</v>
      </c>
      <c r="AL488" t="e">
        <f ca="1">IF(MATCH(AL487,AK484:AN484,0)=1,AK483,IF(MATCH(AL487,AK484:AN484,0)=2,AL483,IF(MATCH(AL487,AK484:AN484,0)=3,AM483,AN483)))</f>
        <v>#N/A</v>
      </c>
    </row>
    <row r="489" spans="4:40" x14ac:dyDescent="0.3">
      <c r="D489" t="str">
        <f>"Correlation with Intangibles"</f>
        <v>Correlation with Intangibles</v>
      </c>
      <c r="E489" t="e">
        <f ca="1">CORREL(D477:H477,X499:AB499)</f>
        <v>#N/A</v>
      </c>
      <c r="J489" t="str">
        <f>J488 &amp; " Year"</f>
        <v>Max Cash Tax Rate Year</v>
      </c>
      <c r="K489" t="e">
        <f ca="1">VALUE(J486)+MATCH(K488,J487:N487,0)-1</f>
        <v>#N/A</v>
      </c>
      <c r="Q489">
        <f>D476</f>
        <v>1</v>
      </c>
      <c r="R489">
        <f>E476</f>
        <v>0</v>
      </c>
      <c r="S489">
        <f>F476</f>
        <v>0</v>
      </c>
      <c r="T489">
        <f>G476</f>
        <v>0</v>
      </c>
      <c r="U489">
        <f>H476</f>
        <v>0</v>
      </c>
      <c r="X489" t="str">
        <f>"PPE / Sales"</f>
        <v>PPE / Sales</v>
      </c>
    </row>
    <row r="490" spans="4:40" x14ac:dyDescent="0.3">
      <c r="J490" t="str">
        <f>"Min " &amp; J485</f>
        <v>Min Cash Tax Rate</v>
      </c>
      <c r="K490" t="e">
        <f ca="1">MIN(J487:N487)</f>
        <v>#N/A</v>
      </c>
      <c r="Q490" t="e">
        <f ca="1">SUM(X483,X491,X499)</f>
        <v>#N/A</v>
      </c>
      <c r="R490" t="e">
        <f ca="1">SUM(Y483,Y491,Y499)</f>
        <v>#N/A</v>
      </c>
      <c r="S490" t="e">
        <f ca="1">SUM(Z483,Z491,Z499)</f>
        <v>#N/A</v>
      </c>
      <c r="T490" t="e">
        <f ca="1">SUM(AA483,AA491,AA499)</f>
        <v>#N/A</v>
      </c>
      <c r="U490" t="e">
        <f ca="1">SUM(AB483,AB491,AB499)</f>
        <v>#N/A</v>
      </c>
      <c r="X490">
        <f>D476</f>
        <v>1</v>
      </c>
      <c r="Y490">
        <f>E476</f>
        <v>0</v>
      </c>
      <c r="Z490">
        <f>F476</f>
        <v>0</v>
      </c>
      <c r="AA490">
        <f>G476</f>
        <v>0</v>
      </c>
      <c r="AB490">
        <f>H476</f>
        <v>0</v>
      </c>
      <c r="AE490" t="str">
        <f>"Change in Invested Capital / Sales"</f>
        <v>Change in Invested Capital / Sales</v>
      </c>
      <c r="AK490" t="str">
        <f>"Change in PPE / Sales"</f>
        <v>Change in PPE / Sales</v>
      </c>
    </row>
    <row r="491" spans="4:40" x14ac:dyDescent="0.3">
      <c r="J491" t="str">
        <f>J490 &amp; " Year"</f>
        <v>Min Cash Tax Rate Year</v>
      </c>
      <c r="K491" t="e">
        <f ca="1">VALUE(J486)+MATCH(K490,J487:N487,0)-1</f>
        <v>#N/A</v>
      </c>
      <c r="Q491" t="str">
        <f>"Max " &amp; Q488</f>
        <v>Max Invested Capital / Sales</v>
      </c>
      <c r="R491" t="e">
        <f ca="1">MAX(Q490:U490)</f>
        <v>#N/A</v>
      </c>
      <c r="S491" t="str">
        <f>"Op WC Effect on Max"</f>
        <v>Op WC Effect on Max</v>
      </c>
      <c r="T491" t="e">
        <f ca="1">IF(R492=Y485,"Max IC in same year as Max Op WC","Inconclusive Effect")</f>
        <v>#N/A</v>
      </c>
      <c r="U491" t="str">
        <f>"Correlation with Op WC"</f>
        <v>Correlation with Op WC</v>
      </c>
      <c r="V491" t="e">
        <f ca="1">CORREL(Q490:U490,X483:AB483)</f>
        <v>#N/A</v>
      </c>
      <c r="X491" t="e">
        <f ca="1">(INDIRECT("J" &amp; MATCH("Net Property, Plant &amp; Equipment",B145:B403,0) +144))/(INDIRECT("J" &amp; MATCH("Sales/Revenue",B145:B403,0) +144))</f>
        <v>#N/A</v>
      </c>
      <c r="Y491" t="e">
        <f ca="1">(INDIRECT("K" &amp; MATCH("Net Property, Plant &amp; Equipment",B145:B403,0) +144))/(INDIRECT("K" &amp; MATCH("Sales/Revenue",B145:B403,0) +144))</f>
        <v>#N/A</v>
      </c>
      <c r="Z491" t="e">
        <f ca="1">(INDIRECT("L" &amp; MATCH("Net Property, Plant &amp; Equipment",B145:B403,0) +144))/(INDIRECT("L" &amp; MATCH("Sales/Revenue",B145:B403,0) +144))</f>
        <v>#N/A</v>
      </c>
      <c r="AA491" t="e">
        <f ca="1">(INDIRECT("M" &amp; MATCH("Net Property, Plant &amp; Equipment",B145:B403,0) +144))/(INDIRECT("M" &amp; MATCH("Sales/Revenue",B145:B403,0) +144))</f>
        <v>#N/A</v>
      </c>
      <c r="AB491" t="e">
        <f ca="1">(INDIRECT("N" &amp; MATCH("Net Property, Plant &amp; Equipment",B145:B403,0) +144))/(INDIRECT("N" &amp; MATCH("Sales/Revenue",B145:B403,0) +144))</f>
        <v>#N/A</v>
      </c>
      <c r="AE491" t="str">
        <f>K476</f>
        <v>1-0</v>
      </c>
      <c r="AF491" t="str">
        <f>L476</f>
        <v>0-0</v>
      </c>
      <c r="AG491" t="str">
        <f>M476</f>
        <v>0-0</v>
      </c>
      <c r="AH491" t="str">
        <f>N476</f>
        <v>0-0</v>
      </c>
      <c r="AK491" t="str">
        <f>K476</f>
        <v>1-0</v>
      </c>
      <c r="AL491" t="str">
        <f>L476</f>
        <v>0-0</v>
      </c>
      <c r="AM491" t="str">
        <f>M476</f>
        <v>0-0</v>
      </c>
      <c r="AN491" t="str">
        <f>N476</f>
        <v>0-0</v>
      </c>
    </row>
    <row r="492" spans="4:40" x14ac:dyDescent="0.3">
      <c r="Q492" t="str">
        <f>Q491 &amp; " Year"</f>
        <v>Max Invested Capital / Sales Year</v>
      </c>
      <c r="R492" t="e">
        <f ca="1">VALUE(Q489)+MATCH(R491,Q490:U490,0)-1</f>
        <v>#N/A</v>
      </c>
      <c r="S492" t="str">
        <f>"PPE Effect on Max"</f>
        <v>PPE Effect on Max</v>
      </c>
      <c r="T492" t="e">
        <f ca="1">IF(R492=Y493,"Max IC in same year as Max PPE","Inconclusive Effect")</f>
        <v>#N/A</v>
      </c>
      <c r="U492" t="str">
        <f>"Correlation with PPE"</f>
        <v>Correlation with PPE</v>
      </c>
      <c r="V492" t="e">
        <f ca="1">CORREL(Q490:U490,X491:AB491)</f>
        <v>#N/A</v>
      </c>
      <c r="X492" t="str">
        <f>"Max " &amp; X489</f>
        <v>Max PPE / Sales</v>
      </c>
      <c r="Y492" t="e">
        <f ca="1">MAX(X491:AB491)</f>
        <v>#N/A</v>
      </c>
      <c r="AE492" t="e">
        <f ca="1">R490-Q490</f>
        <v>#N/A</v>
      </c>
      <c r="AF492" t="e">
        <f ca="1">S490-R490</f>
        <v>#N/A</v>
      </c>
      <c r="AG492" t="e">
        <f ca="1">T490-S490</f>
        <v>#N/A</v>
      </c>
      <c r="AH492" t="e">
        <f ca="1">U490-T490</f>
        <v>#N/A</v>
      </c>
      <c r="AK492" t="e">
        <f ca="1">Y491-X491</f>
        <v>#N/A</v>
      </c>
      <c r="AL492" t="e">
        <f ca="1">Z491-Y491</f>
        <v>#N/A</v>
      </c>
      <c r="AM492" t="e">
        <f ca="1">AA491-Z491</f>
        <v>#N/A</v>
      </c>
      <c r="AN492" t="e">
        <f ca="1">AB491-AA491</f>
        <v>#N/A</v>
      </c>
    </row>
    <row r="493" spans="4:40" x14ac:dyDescent="0.3">
      <c r="Q493" t="str">
        <f>"Min " &amp; Q488</f>
        <v>Min Invested Capital / Sales</v>
      </c>
      <c r="R493" t="e">
        <f ca="1">MIN(Q490:U490)</f>
        <v>#N/A</v>
      </c>
      <c r="S493" t="str">
        <f>"Intangibles Effect on Max"</f>
        <v>Intangibles Effect on Max</v>
      </c>
      <c r="T493" t="e">
        <f ca="1">IF(R492=Y501,"Max IC in same year as Max Intangibles","Inconclusive Effect")</f>
        <v>#N/A</v>
      </c>
      <c r="U493" t="str">
        <f>"Correlation with Intangibles"</f>
        <v>Correlation with Intangibles</v>
      </c>
      <c r="V493" t="e">
        <f ca="1">CORREL(Q490:U490,X499:AB499)</f>
        <v>#N/A</v>
      </c>
      <c r="X493" t="str">
        <f>X492 &amp; " Year"</f>
        <v>Max PPE / Sales Year</v>
      </c>
      <c r="Y493" t="e">
        <f ca="1">VALUE(X490)+MATCH(Y492,X491:AB491,0)-1</f>
        <v>#N/A</v>
      </c>
      <c r="AE493" t="str">
        <f>"Max " &amp; AE490</f>
        <v>Max Change in Invested Capital / Sales</v>
      </c>
      <c r="AF493" t="e">
        <f ca="1">MAX(AE492:AH492)</f>
        <v>#N/A</v>
      </c>
      <c r="AK493" t="str">
        <f>"Max " &amp; AK490</f>
        <v>Max Change in PPE / Sales</v>
      </c>
      <c r="AL493" t="e">
        <f ca="1">MAX(AK492:AN492)</f>
        <v>#N/A</v>
      </c>
    </row>
    <row r="494" spans="4:40" x14ac:dyDescent="0.3">
      <c r="Q494" t="str">
        <f>Q493 &amp; " Year"</f>
        <v>Min Invested Capital / Sales Year</v>
      </c>
      <c r="R494" t="e">
        <f ca="1">VALUE(Q489)+MATCH(R493,Q490:U490,0)-1</f>
        <v>#N/A</v>
      </c>
      <c r="S494" t="str">
        <f>"Op WC Effect on Min"</f>
        <v>Op WC Effect on Min</v>
      </c>
      <c r="T494" t="e">
        <f ca="1">IF(R494=Y487,"Min IC in same year as Min Op WC","Inconclusive Effect")</f>
        <v>#N/A</v>
      </c>
      <c r="X494" t="str">
        <f>"Min " &amp; X489</f>
        <v>Min PPE / Sales</v>
      </c>
      <c r="Y494" t="e">
        <f ca="1">MIN(X491:AB491)</f>
        <v>#N/A</v>
      </c>
      <c r="AE494" t="str">
        <f>AE493 &amp; " Year"</f>
        <v>Max Change in Invested Capital / Sales Year</v>
      </c>
      <c r="AF494" t="e">
        <f ca="1">IF(MATCH(AF493,AE492:AH492,0)=1,AE491,IF(MATCH(AF493,AE492:AH492,0)=2,AF491,IF(MATCH(AF493,AE492:AH492,0)=3,AG491,AH491)))</f>
        <v>#N/A</v>
      </c>
      <c r="AK494" t="str">
        <f>AK493 &amp; " Year"</f>
        <v>Max Change in PPE / Sales Year</v>
      </c>
      <c r="AL494" t="e">
        <f ca="1">IF(MATCH(AL493,AK492:AN492,0)=1,AK491,IF(MATCH(AL493,AK492:AN492,0)=2,AL491,IF(MATCH(AL493,AK492:AN492,0)=3,AM491,AN491)))</f>
        <v>#N/A</v>
      </c>
    </row>
    <row r="495" spans="4:40" x14ac:dyDescent="0.3">
      <c r="S495" t="str">
        <f>"PPE Effect on Min"</f>
        <v>PPE Effect on Min</v>
      </c>
      <c r="T495" t="e">
        <f ca="1">IF(R494=Y495,"Min IC in same year as Min PPE","Inconclusive Effect")</f>
        <v>#N/A</v>
      </c>
      <c r="X495" t="str">
        <f>X494 &amp; " Year"</f>
        <v>Min PPE / Sales Year</v>
      </c>
      <c r="Y495" t="e">
        <f ca="1">VALUE(X490)+MATCH(Y494,X491:AB491,0)-1</f>
        <v>#N/A</v>
      </c>
      <c r="AE495" t="str">
        <f>"Min " &amp; AE490</f>
        <v>Min Change in Invested Capital / Sales</v>
      </c>
      <c r="AF495" t="e">
        <f ca="1">MIN(AE492:AH492)</f>
        <v>#N/A</v>
      </c>
      <c r="AK495" t="str">
        <f>"Min " &amp; AK490</f>
        <v>Min Change in PPE / Sales</v>
      </c>
      <c r="AL495" t="e">
        <f ca="1">MIN(AK492:AN492)</f>
        <v>#N/A</v>
      </c>
    </row>
    <row r="496" spans="4:40" x14ac:dyDescent="0.3">
      <c r="S496" t="str">
        <f>"Intangibles Effect on Min"</f>
        <v>Intangibles Effect on Min</v>
      </c>
      <c r="T496" t="e">
        <f ca="1">IF(R494=Y503,"Min IC in same year as Min Intangibles","Inconclusive Effect")</f>
        <v>#N/A</v>
      </c>
      <c r="AE496" t="str">
        <f>AE495 &amp; " Year"</f>
        <v>Min Change in Invested Capital / Sales Year</v>
      </c>
      <c r="AF496" t="e">
        <f ca="1">IF(MATCH(AF495,AE492:AH492,0)=1,AE491,IF(MATCH(AF495,AE492:AH492,0)=2,AF491,IF(MATCH(AF495,AE492:AH492,0)=3,AG491,AH491)))</f>
        <v>#N/A</v>
      </c>
      <c r="AK496" t="str">
        <f>AK495 &amp; " Year"</f>
        <v>Min Change in PPE / Sales Year</v>
      </c>
      <c r="AL496" t="e">
        <f ca="1">IF(MATCH(AL495,AK492:AN492,0)=1,AK491,IF(MATCH(AL495,AK492:AN492,0)=2,AL491,IF(MATCH(AL495,AK492:AN492,0)=3,AM491,AN491)))</f>
        <v>#N/A</v>
      </c>
    </row>
    <row r="497" spans="3:40" x14ac:dyDescent="0.3">
      <c r="X497" t="str">
        <f>"Intangibles / Sales"</f>
        <v>Intangibles / Sales</v>
      </c>
    </row>
    <row r="498" spans="3:40" x14ac:dyDescent="0.3">
      <c r="X498">
        <f>D476</f>
        <v>1</v>
      </c>
      <c r="Y498">
        <f>E476</f>
        <v>0</v>
      </c>
      <c r="Z498">
        <f>F476</f>
        <v>0</v>
      </c>
      <c r="AA498">
        <f>G476</f>
        <v>0</v>
      </c>
      <c r="AB498">
        <f>H476</f>
        <v>0</v>
      </c>
      <c r="AK498" t="str">
        <f>"Change in Intagibles / Sales"</f>
        <v>Change in Intagibles / Sales</v>
      </c>
    </row>
    <row r="499" spans="3:40" x14ac:dyDescent="0.3">
      <c r="X499" t="e">
        <f ca="1">(INDIRECT("J" &amp; MATCH("Intangible Assets",B145:B403,0) +144))/(INDIRECT("J" &amp; MATCH("Sales/Revenue",B145:B403,0) +144))</f>
        <v>#N/A</v>
      </c>
      <c r="Y499" t="e">
        <f ca="1">(INDIRECT("K" &amp; MATCH("Intangible Assets",B145:B403,0) +144))/(INDIRECT("K" &amp; MATCH("Sales/Revenue",B145:B403,0) +144))</f>
        <v>#N/A</v>
      </c>
      <c r="Z499" t="e">
        <f ca="1">(INDIRECT("L" &amp; MATCH("Intangible Assets",B145:B403,0) +144))/(INDIRECT("L" &amp; MATCH("Sales/Revenue",B145:B403,0) +144))</f>
        <v>#N/A</v>
      </c>
      <c r="AA499" t="e">
        <f ca="1">(INDIRECT("M" &amp; MATCH("Intangible Assets",B145:B403,0) +144))/(INDIRECT("M" &amp; MATCH("Sales/Revenue",B145:B403,0) +144))</f>
        <v>#N/A</v>
      </c>
      <c r="AB499" t="e">
        <f ca="1">(INDIRECT("N" &amp; MATCH("Intangible Assets",B145:B403,0) +144))/(INDIRECT("N" &amp; MATCH("Sales/Revenue",B145:B403,0) +144))</f>
        <v>#N/A</v>
      </c>
      <c r="AK499" t="str">
        <f>K476</f>
        <v>1-0</v>
      </c>
      <c r="AL499" t="str">
        <f>L476</f>
        <v>0-0</v>
      </c>
      <c r="AM499" t="str">
        <f>M476</f>
        <v>0-0</v>
      </c>
      <c r="AN499" t="str">
        <f>N476</f>
        <v>0-0</v>
      </c>
    </row>
    <row r="500" spans="3:40" x14ac:dyDescent="0.3">
      <c r="X500" t="str">
        <f>"Max " &amp; X497</f>
        <v>Max Intangibles / Sales</v>
      </c>
      <c r="Y500" t="e">
        <f ca="1">MAX(X499:AB499)</f>
        <v>#N/A</v>
      </c>
      <c r="AK500" t="e">
        <f ca="1">Y499-X499</f>
        <v>#N/A</v>
      </c>
      <c r="AL500" t="e">
        <f ca="1">Z499-Y499</f>
        <v>#N/A</v>
      </c>
      <c r="AM500" t="e">
        <f ca="1">AA499-Z499</f>
        <v>#N/A</v>
      </c>
      <c r="AN500" t="e">
        <f ca="1">AB499-AA499</f>
        <v>#N/A</v>
      </c>
    </row>
    <row r="501" spans="3:40" x14ac:dyDescent="0.3">
      <c r="X501" t="str">
        <f>X500 &amp; " Year"</f>
        <v>Max Intangibles / Sales Year</v>
      </c>
      <c r="Y501" t="e">
        <f ca="1">VALUE(X498)+MATCH(Y500,X499:AB499,0)-1</f>
        <v>#N/A</v>
      </c>
      <c r="AK501" t="str">
        <f>"Max " &amp; AK498</f>
        <v>Max Change in Intagibles / Sales</v>
      </c>
      <c r="AL501" t="e">
        <f ca="1">MAX(AK500:AN500)</f>
        <v>#N/A</v>
      </c>
    </row>
    <row r="502" spans="3:40" x14ac:dyDescent="0.3">
      <c r="X502" t="str">
        <f>"Min " &amp; X497</f>
        <v>Min Intangibles / Sales</v>
      </c>
      <c r="Y502" t="e">
        <f ca="1">MIN(X499:AB499)</f>
        <v>#N/A</v>
      </c>
      <c r="AK502" t="str">
        <f>AK501 &amp; " Year"</f>
        <v>Max Change in Intagibles / Sales Year</v>
      </c>
      <c r="AL502" t="e">
        <f ca="1">IF(MATCH(AL501,AK500:AN500,0)=1,AK499,IF(MATCH(AL501,AK500:AN500,0)=2,AL499,IF(MATCH(AL501,AK500:AN500,0)=3,AM499,AN499)))</f>
        <v>#N/A</v>
      </c>
    </row>
    <row r="503" spans="3:40" x14ac:dyDescent="0.3">
      <c r="X503" t="str">
        <f>X502 &amp; " Year"</f>
        <v>Min Intangibles / Sales Year</v>
      </c>
      <c r="Y503" t="e">
        <f ca="1">VALUE(X498)+MATCH(Y502,X499:AB499,0)-1</f>
        <v>#N/A</v>
      </c>
      <c r="AK503" t="str">
        <f>"Min " &amp; AK498</f>
        <v>Min Change in Intagibles / Sales</v>
      </c>
      <c r="AL503" t="e">
        <f ca="1">MIN(AK500:AN500)</f>
        <v>#N/A</v>
      </c>
    </row>
    <row r="504" spans="3:40" x14ac:dyDescent="0.3">
      <c r="AK504" t="str">
        <f>AK503 &amp; " Year"</f>
        <v>Min Change in Intagibles / Sales Year</v>
      </c>
      <c r="AL504" t="e">
        <f ca="1">IF(MATCH(AL503,AK500:AN500,0)=1,AK499,IF(MATCH(AL503,AK500:AN500,0)=2,AL499,IF(MATCH(AL503,AK500:AN500,0)=3,AM499,AN499)))</f>
        <v>#N/A</v>
      </c>
    </row>
    <row r="507" spans="3:40" x14ac:dyDescent="0.3">
      <c r="D507">
        <f t="shared" ref="D507:H508" si="155">D476</f>
        <v>1</v>
      </c>
      <c r="E507">
        <f t="shared" si="155"/>
        <v>0</v>
      </c>
      <c r="F507">
        <f t="shared" si="155"/>
        <v>0</v>
      </c>
      <c r="G507">
        <f t="shared" si="155"/>
        <v>0</v>
      </c>
      <c r="H507">
        <f t="shared" si="155"/>
        <v>0</v>
      </c>
      <c r="I507" t="str">
        <f>"Average"</f>
        <v>Average</v>
      </c>
      <c r="J507" t="str">
        <f>"SD"</f>
        <v>SD</v>
      </c>
      <c r="K507">
        <f>D507</f>
        <v>1</v>
      </c>
      <c r="L507">
        <f>E507</f>
        <v>0</v>
      </c>
      <c r="M507">
        <f>F507</f>
        <v>0</v>
      </c>
      <c r="N507">
        <f>G507</f>
        <v>0</v>
      </c>
      <c r="O507">
        <f>H507</f>
        <v>0</v>
      </c>
      <c r="P507" t="str">
        <f>"Max z Year"</f>
        <v>Max z Year</v>
      </c>
    </row>
    <row r="508" spans="3:40" x14ac:dyDescent="0.3">
      <c r="C508" t="str">
        <f>D475</f>
        <v>EOY ROIC</v>
      </c>
      <c r="D508" t="e">
        <f t="shared" ca="1" si="155"/>
        <v>#N/A</v>
      </c>
      <c r="E508" t="e">
        <f t="shared" ca="1" si="155"/>
        <v>#N/A</v>
      </c>
      <c r="F508" t="e">
        <f t="shared" ca="1" si="155"/>
        <v>#N/A</v>
      </c>
      <c r="G508" t="e">
        <f t="shared" ca="1" si="155"/>
        <v>#N/A</v>
      </c>
      <c r="H508" t="e">
        <f t="shared" ca="1" si="155"/>
        <v>#N/A</v>
      </c>
      <c r="I508" t="e">
        <f t="shared" ref="I508:I518" ca="1" si="156">AVERAGE(D508:H508)</f>
        <v>#N/A</v>
      </c>
      <c r="J508" t="e">
        <f t="shared" ref="J508:J518" ca="1" si="157">STDEV(D508:H508)</f>
        <v>#N/A</v>
      </c>
      <c r="K508" t="e">
        <f t="shared" ref="K508:K518" ca="1" si="158">(D508-I508)/J508</f>
        <v>#N/A</v>
      </c>
      <c r="L508" t="e">
        <f t="shared" ref="L508:L518" ca="1" si="159">(E508-I508)/J508</f>
        <v>#N/A</v>
      </c>
      <c r="M508" t="e">
        <f t="shared" ref="M508:M518" ca="1" si="160">(F508-I508)/J508</f>
        <v>#N/A</v>
      </c>
      <c r="N508" t="e">
        <f t="shared" ref="N508:N518" ca="1" si="161">(G508-I508)/J508</f>
        <v>#N/A</v>
      </c>
      <c r="O508" t="e">
        <f t="shared" ref="O508:O518" ca="1" si="162">(H508-I508)/J508</f>
        <v>#N/A</v>
      </c>
      <c r="P508" t="e">
        <f ca="1">K507 + MATCH(IF(MAX(MAX(K508:O508),ABS(MIN(K508:O508)))=ABS(MIN(K508:O508)), MIN(K508:O508),MAX(K508:O508)),K508:O508,0) - 1</f>
        <v>#N/A</v>
      </c>
    </row>
    <row r="509" spans="3:40" x14ac:dyDescent="0.3">
      <c r="C509" t="str">
        <f>J465</f>
        <v>EOY Pretax ROIC</v>
      </c>
      <c r="D509" t="e">
        <f ca="1">J467</f>
        <v>#N/A</v>
      </c>
      <c r="E509" t="e">
        <f ca="1">K467</f>
        <v>#N/A</v>
      </c>
      <c r="F509" t="e">
        <f ca="1">L467</f>
        <v>#N/A</v>
      </c>
      <c r="G509" t="e">
        <f ca="1">M467</f>
        <v>#N/A</v>
      </c>
      <c r="H509" t="e">
        <f ca="1">N467</f>
        <v>#N/A</v>
      </c>
      <c r="I509" t="e">
        <f t="shared" ca="1" si="156"/>
        <v>#N/A</v>
      </c>
      <c r="J509" t="e">
        <f t="shared" ca="1" si="157"/>
        <v>#N/A</v>
      </c>
      <c r="K509" t="e">
        <f t="shared" ca="1" si="158"/>
        <v>#N/A</v>
      </c>
      <c r="L509" t="e">
        <f t="shared" ca="1" si="159"/>
        <v>#N/A</v>
      </c>
      <c r="M509" t="e">
        <f t="shared" ca="1" si="160"/>
        <v>#N/A</v>
      </c>
      <c r="N509" t="e">
        <f t="shared" ca="1" si="161"/>
        <v>#N/A</v>
      </c>
      <c r="O509" t="e">
        <f t="shared" ca="1" si="162"/>
        <v>#N/A</v>
      </c>
      <c r="P509" t="e">
        <f ca="1">K507 + MATCH(IF(MAX(MAX(K509:O509),ABS(MIN(K509:O509)))=ABS(MIN(K509:O509)), MIN(K509:O509),MAX(K509:O509)),K509:O509,0) - 1</f>
        <v>#N/A</v>
      </c>
    </row>
    <row r="510" spans="3:40" x14ac:dyDescent="0.3">
      <c r="C510" t="str">
        <f>J485</f>
        <v>Cash Tax Rate</v>
      </c>
      <c r="D510" t="e">
        <f ca="1">J487</f>
        <v>#N/A</v>
      </c>
      <c r="E510" t="e">
        <f ca="1">K487</f>
        <v>#N/A</v>
      </c>
      <c r="F510" t="e">
        <f ca="1">L487</f>
        <v>#N/A</v>
      </c>
      <c r="G510" t="e">
        <f ca="1">M487</f>
        <v>#N/A</v>
      </c>
      <c r="H510" t="e">
        <f ca="1">N487</f>
        <v>#N/A</v>
      </c>
      <c r="I510" t="e">
        <f t="shared" ca="1" si="156"/>
        <v>#N/A</v>
      </c>
      <c r="J510" t="e">
        <f t="shared" ca="1" si="157"/>
        <v>#N/A</v>
      </c>
      <c r="K510" t="e">
        <f t="shared" ca="1" si="158"/>
        <v>#N/A</v>
      </c>
      <c r="L510" t="e">
        <f t="shared" ca="1" si="159"/>
        <v>#N/A</v>
      </c>
      <c r="M510" t="e">
        <f t="shared" ca="1" si="160"/>
        <v>#N/A</v>
      </c>
      <c r="N510" t="e">
        <f t="shared" ca="1" si="161"/>
        <v>#N/A</v>
      </c>
      <c r="O510" t="e">
        <f t="shared" ca="1" si="162"/>
        <v>#N/A</v>
      </c>
      <c r="P510" t="e">
        <f ca="1">K507 + MATCH(IF(MAX(MAX(K510:O510),ABS(MIN(K510:O510)))=ABS(MIN(K510:O510)), MIN(K510:O510),MAX(K510:O510)),K510:O510,0) - 1</f>
        <v>#N/A</v>
      </c>
    </row>
    <row r="511" spans="3:40" x14ac:dyDescent="0.3">
      <c r="C511" t="str">
        <f>Q460</f>
        <v>Operating Margin</v>
      </c>
      <c r="D511" t="e">
        <f ca="1">Q462</f>
        <v>#N/A</v>
      </c>
      <c r="E511" t="e">
        <f ca="1">R462</f>
        <v>#N/A</v>
      </c>
      <c r="F511" t="e">
        <f ca="1">S462</f>
        <v>#N/A</v>
      </c>
      <c r="G511" t="e">
        <f ca="1">T462</f>
        <v>#N/A</v>
      </c>
      <c r="H511" t="e">
        <f ca="1">U462</f>
        <v>#N/A</v>
      </c>
      <c r="I511" t="e">
        <f t="shared" ca="1" si="156"/>
        <v>#N/A</v>
      </c>
      <c r="J511" t="e">
        <f t="shared" ca="1" si="157"/>
        <v>#N/A</v>
      </c>
      <c r="K511" t="e">
        <f t="shared" ca="1" si="158"/>
        <v>#N/A</v>
      </c>
      <c r="L511" t="e">
        <f t="shared" ca="1" si="159"/>
        <v>#N/A</v>
      </c>
      <c r="M511" t="e">
        <f t="shared" ca="1" si="160"/>
        <v>#N/A</v>
      </c>
      <c r="N511" t="e">
        <f t="shared" ca="1" si="161"/>
        <v>#N/A</v>
      </c>
      <c r="O511" t="e">
        <f t="shared" ca="1" si="162"/>
        <v>#N/A</v>
      </c>
      <c r="P511" t="e">
        <f ca="1">K507 + MATCH(IF(MAX(MAX(K511:O511),ABS(MIN(K511:O511)))=ABS(MIN(K511:O511)), MIN(K511:O511),MAX(K511:O511)),K511:O511,0) - 1</f>
        <v>#N/A</v>
      </c>
    </row>
    <row r="512" spans="3:40" x14ac:dyDescent="0.3">
      <c r="C512" t="str">
        <f>Q488</f>
        <v>Invested Capital / Sales</v>
      </c>
      <c r="D512" t="e">
        <f ca="1">Q490</f>
        <v>#N/A</v>
      </c>
      <c r="E512" t="e">
        <f ca="1">R490</f>
        <v>#N/A</v>
      </c>
      <c r="F512" t="e">
        <f ca="1">S490</f>
        <v>#N/A</v>
      </c>
      <c r="G512" t="e">
        <f ca="1">T490</f>
        <v>#N/A</v>
      </c>
      <c r="H512" t="e">
        <f ca="1">U490</f>
        <v>#N/A</v>
      </c>
      <c r="I512" t="e">
        <f t="shared" ca="1" si="156"/>
        <v>#N/A</v>
      </c>
      <c r="J512" t="e">
        <f t="shared" ca="1" si="157"/>
        <v>#N/A</v>
      </c>
      <c r="K512" t="e">
        <f t="shared" ca="1" si="158"/>
        <v>#N/A</v>
      </c>
      <c r="L512" t="e">
        <f t="shared" ca="1" si="159"/>
        <v>#N/A</v>
      </c>
      <c r="M512" t="e">
        <f t="shared" ca="1" si="160"/>
        <v>#N/A</v>
      </c>
      <c r="N512" t="e">
        <f t="shared" ca="1" si="161"/>
        <v>#N/A</v>
      </c>
      <c r="O512" t="e">
        <f t="shared" ca="1" si="162"/>
        <v>#N/A</v>
      </c>
      <c r="P512" t="e">
        <f ca="1">K507 + MATCH(IF(MAX(MAX(K512:O512),ABS(MIN(K512:O512)))=ABS(MIN(K512:O512)), MIN(K512:O512),MAX(K512:O512)),K512:O512,0) - 1</f>
        <v>#N/A</v>
      </c>
    </row>
    <row r="513" spans="3:16" x14ac:dyDescent="0.3">
      <c r="C513" t="str">
        <f>X453</f>
        <v>Gross Margin</v>
      </c>
      <c r="D513" t="e">
        <f ca="1">X455</f>
        <v>#N/A</v>
      </c>
      <c r="E513" t="e">
        <f ca="1">Y455</f>
        <v>#N/A</v>
      </c>
      <c r="F513" t="e">
        <f ca="1">Z455</f>
        <v>#N/A</v>
      </c>
      <c r="G513" t="e">
        <f ca="1">AA455</f>
        <v>#N/A</v>
      </c>
      <c r="H513" t="e">
        <f ca="1">AB455</f>
        <v>#N/A</v>
      </c>
      <c r="I513" t="e">
        <f t="shared" ca="1" si="156"/>
        <v>#N/A</v>
      </c>
      <c r="J513" t="e">
        <f t="shared" ca="1" si="157"/>
        <v>#N/A</v>
      </c>
      <c r="K513" t="e">
        <f t="shared" ca="1" si="158"/>
        <v>#N/A</v>
      </c>
      <c r="L513" t="e">
        <f t="shared" ca="1" si="159"/>
        <v>#N/A</v>
      </c>
      <c r="M513" t="e">
        <f t="shared" ca="1" si="160"/>
        <v>#N/A</v>
      </c>
      <c r="N513" t="e">
        <f t="shared" ca="1" si="161"/>
        <v>#N/A</v>
      </c>
      <c r="O513" t="e">
        <f t="shared" ca="1" si="162"/>
        <v>#N/A</v>
      </c>
      <c r="P513" t="e">
        <f ca="1">K507 + MATCH(IF(MAX(MAX(K513:O513),ABS(MIN(K513:O513)))=ABS(MIN(K513:O513)), MIN(K513:O513),MAX(K513:O513)),K513:O513,0) - 1</f>
        <v>#N/A</v>
      </c>
    </row>
    <row r="514" spans="3:16" x14ac:dyDescent="0.3">
      <c r="C514" t="str">
        <f>X461</f>
        <v>SGA / Sales</v>
      </c>
      <c r="D514" t="e">
        <f ca="1">X463</f>
        <v>#N/A</v>
      </c>
      <c r="E514" t="e">
        <f ca="1">Y463</f>
        <v>#N/A</v>
      </c>
      <c r="F514" t="e">
        <f ca="1">Z463</f>
        <v>#N/A</v>
      </c>
      <c r="G514" t="e">
        <f ca="1">AA463</f>
        <v>#N/A</v>
      </c>
      <c r="H514" t="e">
        <f ca="1">AB463</f>
        <v>#N/A</v>
      </c>
      <c r="I514" t="e">
        <f t="shared" ca="1" si="156"/>
        <v>#N/A</v>
      </c>
      <c r="J514" t="e">
        <f t="shared" ca="1" si="157"/>
        <v>#N/A</v>
      </c>
      <c r="K514" t="e">
        <f t="shared" ca="1" si="158"/>
        <v>#N/A</v>
      </c>
      <c r="L514" t="e">
        <f t="shared" ca="1" si="159"/>
        <v>#N/A</v>
      </c>
      <c r="M514" t="e">
        <f t="shared" ca="1" si="160"/>
        <v>#N/A</v>
      </c>
      <c r="N514" t="e">
        <f t="shared" ca="1" si="161"/>
        <v>#N/A</v>
      </c>
      <c r="O514" t="e">
        <f t="shared" ca="1" si="162"/>
        <v>#N/A</v>
      </c>
      <c r="P514" t="e">
        <f ca="1">K507 + MATCH(IF(MAX(MAX(K514:O514),ABS(MIN(K514:O514)))=ABS(MIN(K514:O514)), MIN(K514:O514),MAX(K514:O514)),K514:O514,0) - 1</f>
        <v>#N/A</v>
      </c>
    </row>
    <row r="515" spans="3:16" x14ac:dyDescent="0.3">
      <c r="C515" t="str">
        <f>X469</f>
        <v>Depreciation / Sales</v>
      </c>
      <c r="D515" t="e">
        <f ca="1">X471</f>
        <v>#N/A</v>
      </c>
      <c r="E515" t="e">
        <f ca="1">Y471</f>
        <v>#N/A</v>
      </c>
      <c r="F515" t="e">
        <f ca="1">Z471</f>
        <v>#N/A</v>
      </c>
      <c r="G515" t="e">
        <f ca="1">AA471</f>
        <v>#N/A</v>
      </c>
      <c r="H515" t="e">
        <f ca="1">AB471</f>
        <v>#N/A</v>
      </c>
      <c r="I515" t="e">
        <f t="shared" ca="1" si="156"/>
        <v>#N/A</v>
      </c>
      <c r="J515" t="e">
        <f t="shared" ca="1" si="157"/>
        <v>#N/A</v>
      </c>
      <c r="K515" t="e">
        <f t="shared" ca="1" si="158"/>
        <v>#N/A</v>
      </c>
      <c r="L515" t="e">
        <f t="shared" ca="1" si="159"/>
        <v>#N/A</v>
      </c>
      <c r="M515" t="e">
        <f t="shared" ca="1" si="160"/>
        <v>#N/A</v>
      </c>
      <c r="N515" t="e">
        <f t="shared" ca="1" si="161"/>
        <v>#N/A</v>
      </c>
      <c r="O515" t="e">
        <f t="shared" ca="1" si="162"/>
        <v>#N/A</v>
      </c>
      <c r="P515" t="e">
        <f ca="1">K507 + MATCH(IF(MAX(MAX(K515:O515),ABS(MIN(K515:O515)))=ABS(MIN(K515:O515)), MIN(K515:O515),MAX(K515:O515)),K515:O515,0) - 1</f>
        <v>#N/A</v>
      </c>
    </row>
    <row r="516" spans="3:16" x14ac:dyDescent="0.3">
      <c r="C516" t="str">
        <f>X481</f>
        <v>Op WC / Sales</v>
      </c>
      <c r="D516" t="e">
        <f ca="1">X483</f>
        <v>#N/A</v>
      </c>
      <c r="E516" t="e">
        <f ca="1">Y483</f>
        <v>#N/A</v>
      </c>
      <c r="F516" t="e">
        <f ca="1">Z483</f>
        <v>#N/A</v>
      </c>
      <c r="G516" t="e">
        <f ca="1">AA483</f>
        <v>#N/A</v>
      </c>
      <c r="H516" t="e">
        <f ca="1">AB483</f>
        <v>#N/A</v>
      </c>
      <c r="I516" t="e">
        <f t="shared" ca="1" si="156"/>
        <v>#N/A</v>
      </c>
      <c r="J516" t="e">
        <f t="shared" ca="1" si="157"/>
        <v>#N/A</v>
      </c>
      <c r="K516" t="e">
        <f t="shared" ca="1" si="158"/>
        <v>#N/A</v>
      </c>
      <c r="L516" t="e">
        <f t="shared" ca="1" si="159"/>
        <v>#N/A</v>
      </c>
      <c r="M516" t="e">
        <f t="shared" ca="1" si="160"/>
        <v>#N/A</v>
      </c>
      <c r="N516" t="e">
        <f t="shared" ca="1" si="161"/>
        <v>#N/A</v>
      </c>
      <c r="O516" t="e">
        <f t="shared" ca="1" si="162"/>
        <v>#N/A</v>
      </c>
      <c r="P516" t="e">
        <f ca="1">K507 + MATCH(IF(MAX(MAX(K516:O516),ABS(MIN(K516:O516)))=ABS(MIN(K516:O516)), MIN(K516:O516),MAX(K516:O516)),K516:O516,0) - 1</f>
        <v>#N/A</v>
      </c>
    </row>
    <row r="517" spans="3:16" x14ac:dyDescent="0.3">
      <c r="C517" t="str">
        <f>X489</f>
        <v>PPE / Sales</v>
      </c>
      <c r="D517" t="e">
        <f ca="1">X491</f>
        <v>#N/A</v>
      </c>
      <c r="E517" t="e">
        <f ca="1">Y491</f>
        <v>#N/A</v>
      </c>
      <c r="F517" t="e">
        <f ca="1">Z491</f>
        <v>#N/A</v>
      </c>
      <c r="G517" t="e">
        <f ca="1">AA491</f>
        <v>#N/A</v>
      </c>
      <c r="H517" t="e">
        <f ca="1">AB491</f>
        <v>#N/A</v>
      </c>
      <c r="I517" t="e">
        <f t="shared" ca="1" si="156"/>
        <v>#N/A</v>
      </c>
      <c r="J517" t="e">
        <f t="shared" ca="1" si="157"/>
        <v>#N/A</v>
      </c>
      <c r="K517" t="e">
        <f t="shared" ca="1" si="158"/>
        <v>#N/A</v>
      </c>
      <c r="L517" t="e">
        <f t="shared" ca="1" si="159"/>
        <v>#N/A</v>
      </c>
      <c r="M517" t="e">
        <f t="shared" ca="1" si="160"/>
        <v>#N/A</v>
      </c>
      <c r="N517" t="e">
        <f t="shared" ca="1" si="161"/>
        <v>#N/A</v>
      </c>
      <c r="O517" t="e">
        <f t="shared" ca="1" si="162"/>
        <v>#N/A</v>
      </c>
      <c r="P517" t="e">
        <f ca="1">K507 + MATCH(IF(MAX(MAX(K517:O517),ABS(MIN(K517:O517)))=ABS(MIN(K517:O517)), MIN(K517:O517),MAX(K517:O517)),K517:O517,0) - 1</f>
        <v>#N/A</v>
      </c>
    </row>
    <row r="518" spans="3:16" x14ac:dyDescent="0.3">
      <c r="C518" t="str">
        <f>X497</f>
        <v>Intangibles / Sales</v>
      </c>
      <c r="D518" t="e">
        <f ca="1">X499</f>
        <v>#N/A</v>
      </c>
      <c r="E518" t="e">
        <f ca="1">Y499</f>
        <v>#N/A</v>
      </c>
      <c r="F518" t="e">
        <f ca="1">Z499</f>
        <v>#N/A</v>
      </c>
      <c r="G518" t="e">
        <f ca="1">AA499</f>
        <v>#N/A</v>
      </c>
      <c r="H518" t="e">
        <f ca="1">AB499</f>
        <v>#N/A</v>
      </c>
      <c r="I518" t="e">
        <f t="shared" ca="1" si="156"/>
        <v>#N/A</v>
      </c>
      <c r="J518" t="e">
        <f t="shared" ca="1" si="157"/>
        <v>#N/A</v>
      </c>
      <c r="K518" t="e">
        <f t="shared" ca="1" si="158"/>
        <v>#N/A</v>
      </c>
      <c r="L518" t="e">
        <f t="shared" ca="1" si="159"/>
        <v>#N/A</v>
      </c>
      <c r="M518" t="e">
        <f t="shared" ca="1" si="160"/>
        <v>#N/A</v>
      </c>
      <c r="N518" t="e">
        <f t="shared" ca="1" si="161"/>
        <v>#N/A</v>
      </c>
      <c r="O518" t="e">
        <f t="shared" ca="1" si="162"/>
        <v>#N/A</v>
      </c>
      <c r="P518" t="e">
        <f ca="1">K507 + MATCH(IF(MAX(MAX(K518:O518),ABS(MIN(K518:O518)))=ABS(MIN(K518:O518)), MIN(K518:O518),MAX(K518:O518)),K518:O518,0) - 1</f>
        <v>#N/A</v>
      </c>
    </row>
    <row r="519" spans="3:16" x14ac:dyDescent="0.3">
      <c r="I519" t="str">
        <f>"Max SD"</f>
        <v>Max SD</v>
      </c>
      <c r="J519" t="e">
        <f ca="1">MAX(J508:J518)</f>
        <v>#N/A</v>
      </c>
    </row>
    <row r="520" spans="3:16" x14ac:dyDescent="0.3">
      <c r="I520" t="str">
        <f>"Max SD Item"</f>
        <v>Max SD Item</v>
      </c>
      <c r="J520" t="e">
        <f ca="1">INDIRECT("C" &amp; 507 + MATCH(J519,J508:J518,0))</f>
        <v>#N/A</v>
      </c>
    </row>
    <row r="521" spans="3:16" x14ac:dyDescent="0.3">
      <c r="I521" t="str">
        <f>"Min SD"</f>
        <v>Min SD</v>
      </c>
      <c r="J521" t="e">
        <f ca="1">MIN(J508:J518)</f>
        <v>#N/A</v>
      </c>
    </row>
    <row r="522" spans="3:16" x14ac:dyDescent="0.3">
      <c r="I522" t="str">
        <f>"Min SD Item"</f>
        <v>Min SD Item</v>
      </c>
      <c r="J522" t="e">
        <f ca="1">INDIRECT("C" &amp; 507 + MATCH(J521,J508:J518,0))</f>
        <v>#N/A</v>
      </c>
    </row>
    <row r="523" spans="3:16" x14ac:dyDescent="0.3">
      <c r="C523" t="str">
        <f>"Correlation Analysis"</f>
        <v>Correlation Analysis</v>
      </c>
    </row>
    <row r="524" spans="3:16" x14ac:dyDescent="0.3">
      <c r="D524" t="str">
        <f>C528</f>
        <v>Operating Margin</v>
      </c>
      <c r="E524" t="str">
        <f>C529</f>
        <v>Invested Capital / Sales</v>
      </c>
      <c r="F524" t="str">
        <f>X453</f>
        <v>Gross Margin</v>
      </c>
      <c r="G524" t="str">
        <f>X461</f>
        <v>SGA / Sales</v>
      </c>
      <c r="H524" t="str">
        <f>X469</f>
        <v>Depreciation / Sales</v>
      </c>
      <c r="I524" t="str">
        <f>X481</f>
        <v>Op WC / Sales</v>
      </c>
      <c r="J524" t="str">
        <f>X489</f>
        <v>PPE / Sales</v>
      </c>
      <c r="K524" t="str">
        <f>X497</f>
        <v>Intangibles / Sales</v>
      </c>
      <c r="L524" t="str">
        <f>"Key Driver on correlation basis"</f>
        <v>Key Driver on correlation basis</v>
      </c>
    </row>
    <row r="525" spans="3:16" x14ac:dyDescent="0.3">
      <c r="C525" t="str">
        <f>C508</f>
        <v>EOY ROIC</v>
      </c>
      <c r="D525" t="e">
        <f ca="1">E482</f>
        <v>#N/A</v>
      </c>
      <c r="E525" t="e">
        <f ca="1">E483</f>
        <v>#N/A</v>
      </c>
      <c r="F525" t="e">
        <f ca="1">E484</f>
        <v>#N/A</v>
      </c>
      <c r="G525" t="e">
        <f ca="1">E485</f>
        <v>#N/A</v>
      </c>
      <c r="H525" t="e">
        <f ca="1">E486</f>
        <v>#N/A</v>
      </c>
      <c r="I525" t="e">
        <f ca="1">E487</f>
        <v>#N/A</v>
      </c>
      <c r="J525" t="e">
        <f ca="1">E488</f>
        <v>#N/A</v>
      </c>
      <c r="K525" t="e">
        <f ca="1">E489</f>
        <v>#N/A</v>
      </c>
    </row>
    <row r="526" spans="3:16" x14ac:dyDescent="0.3">
      <c r="C526" t="str">
        <f>C509</f>
        <v>EOY Pretax ROIC</v>
      </c>
      <c r="D526" t="e">
        <f ca="1">O468</f>
        <v>#N/A</v>
      </c>
      <c r="E526" t="e">
        <f ca="1">O469</f>
        <v>#N/A</v>
      </c>
    </row>
    <row r="527" spans="3:16" x14ac:dyDescent="0.3">
      <c r="C527" t="str">
        <f>C510</f>
        <v>Cash Tax Rate</v>
      </c>
    </row>
    <row r="528" spans="3:16" x14ac:dyDescent="0.3">
      <c r="C528" t="str">
        <f>C511</f>
        <v>Operating Margin</v>
      </c>
      <c r="F528" t="e">
        <f ca="1">V463</f>
        <v>#N/A</v>
      </c>
      <c r="G528" t="e">
        <f ca="1">V464</f>
        <v>#N/A</v>
      </c>
      <c r="H528" t="e">
        <f ca="1">V465</f>
        <v>#N/A</v>
      </c>
      <c r="L528" t="e">
        <f ca="1">INDIRECT(ADDRESS(524,5+MATCH(IF(ABS(MAX(F528:H528))&gt;ABS(MIN(F528:H528)),MAX(F528:H528),MIN(F528:H528)),F528:H528,0)))</f>
        <v>#N/A</v>
      </c>
    </row>
    <row r="529" spans="3:12" x14ac:dyDescent="0.3">
      <c r="C529" t="str">
        <f>C512</f>
        <v>Invested Capital / Sales</v>
      </c>
      <c r="I529" t="e">
        <f ca="1">V491</f>
        <v>#N/A</v>
      </c>
      <c r="J529" t="e">
        <f ca="1">V492</f>
        <v>#N/A</v>
      </c>
      <c r="K529" t="e">
        <f ca="1">V493</f>
        <v>#N/A</v>
      </c>
      <c r="L529" t="e">
        <f ca="1">INDIRECT(ADDRESS(524,8+MATCH(IF(ABS(MAX(I529:K529))&gt;ABS(MIN(I529:K529)),MAX(I529:K529),MIN(I529:K529)),I529:K529,0)))</f>
        <v>#N/A</v>
      </c>
    </row>
    <row r="532" spans="3:12" x14ac:dyDescent="0.3">
      <c r="C532" t="str">
        <f>"Causation Analysis"</f>
        <v>Causation Analysis</v>
      </c>
    </row>
    <row r="533" spans="3:12" x14ac:dyDescent="0.3">
      <c r="D533" t="str">
        <f>C527</f>
        <v>Cash Tax Rate</v>
      </c>
      <c r="E533" t="str">
        <f>C536</f>
        <v>Operating Margin</v>
      </c>
      <c r="F533" t="str">
        <f>C537</f>
        <v>Invested Capital / Sales</v>
      </c>
      <c r="G533" t="str">
        <f t="shared" ref="G533:L533" si="163">F524</f>
        <v>Gross Margin</v>
      </c>
      <c r="H533" t="str">
        <f t="shared" si="163"/>
        <v>SGA / Sales</v>
      </c>
      <c r="I533" t="str">
        <f t="shared" si="163"/>
        <v>Depreciation / Sales</v>
      </c>
      <c r="J533" t="str">
        <f t="shared" si="163"/>
        <v>Op WC / Sales</v>
      </c>
      <c r="K533" t="str">
        <f t="shared" si="163"/>
        <v>PPE / Sales</v>
      </c>
      <c r="L533" t="str">
        <f t="shared" si="163"/>
        <v>Intangibles / Sales</v>
      </c>
    </row>
    <row r="534" spans="3:12" x14ac:dyDescent="0.3">
      <c r="C534" t="str">
        <f>C508</f>
        <v>EOY ROIC</v>
      </c>
      <c r="D534" t="e">
        <f ca="1">IF(AND(G478&lt;&gt;"Inconclusive Effect",G480&lt;&gt;"Inconclusive Effect"),G478 &amp; CHAR(10) &amp; ". " &amp;G480,IF(G478&lt;&gt;"Inconclusive Effect",G478,IF(G480&lt;&gt;"Inconclusive Effect",G480,"Inconclusive Effect")))</f>
        <v>#N/A</v>
      </c>
    </row>
    <row r="535" spans="3:12" x14ac:dyDescent="0.3">
      <c r="C535" t="str">
        <f>C509</f>
        <v>EOY Pretax ROIC</v>
      </c>
      <c r="E535" t="e">
        <f ca="1">IF(AND(M468&lt;&gt;"Inconclusive Effect",M470&lt;&gt;"Inconclusive Effect"),M468 &amp; CHAR(10) &amp; ". " &amp;M470,IF(M468&lt;&gt;"Inconclusive Effect",M468,IF(M470&lt;&gt;"Inconclusive Effect",M470,"Inconclusive Effect")))</f>
        <v>#N/A</v>
      </c>
      <c r="F535" t="e">
        <f ca="1">IF(AND(M469&lt;&gt;"Inconclusive Effect",M471&lt;&gt;"Inconclusive Effect"),M469 &amp; CHAR(10) &amp; ". " &amp;M471,IF(M469&lt;&gt;"Inconclusive Effect",M469,IF(M471&lt;&gt;"Inconclusive Effect",M471,"Inconclusive Effect")))</f>
        <v>#N/A</v>
      </c>
    </row>
    <row r="536" spans="3:12" x14ac:dyDescent="0.3">
      <c r="C536" t="str">
        <f>C511</f>
        <v>Operating Margin</v>
      </c>
      <c r="G536" t="e">
        <f ca="1">IF(AND(T463&lt;&gt;"Inconclusive Effect",T466&lt;&gt;"Inconclusive Effect"),T463 &amp; CHAR(10) &amp; ". " &amp;T466,IF(T463&lt;&gt;"Inconclusive Effect",T463,IF(T466&lt;&gt;"Inconclusive Effect",T466,"Inconclusive Effect")))</f>
        <v>#N/A</v>
      </c>
      <c r="H536" t="e">
        <f ca="1">IF(AND(T464&lt;&gt;"Inconclusive Effect",T467&lt;&gt;"Inconclusive Effect"),T464 &amp; CHAR(10) &amp; ". " &amp;T467,IF(T464&lt;&gt;"Inconclusive Effect",T464,IF(T467&lt;&gt;"Inconclusive Effect",T467,"Inconclusive Effect")))</f>
        <v>#N/A</v>
      </c>
      <c r="I536" t="e">
        <f ca="1">IF(AND(T465&lt;&gt;"Inconclusive Effect",T468&lt;&gt;"Inconclusive Effect"),T465 &amp; CHAR(10) &amp; ". " &amp;T468,IF(T465&lt;&gt;"Inconclusive Effect",T465,IF(T468&lt;&gt;"Inconclusive Effect",T468,"Inconclusive Effect")))</f>
        <v>#N/A</v>
      </c>
    </row>
    <row r="537" spans="3:12" x14ac:dyDescent="0.3">
      <c r="C537" t="str">
        <f>C512</f>
        <v>Invested Capital / Sales</v>
      </c>
      <c r="J537" t="e">
        <f ca="1">IF(AND(T491&lt;&gt;"Inconclusive Effect",T494&lt;&gt;"Inconclusive Effect"),T491 &amp; CHAR(10) &amp; ". " &amp;T494,IF(T491&lt;&gt;"Inconclusive Effect",T491,IF(T494&lt;&gt;"Inconclusive Effect",T494,"Inconclusive Effect")))</f>
        <v>#N/A</v>
      </c>
      <c r="K537" t="e">
        <f ca="1">IF(AND(T492&lt;&gt;"Inconclusive Effect",T495&lt;&gt;"Inconclusive Effect"),T492 &amp; CHAR(10) &amp; ". " &amp;T495,IF(T492&lt;&gt;"Inconclusive Effect",T492,IF(T495&lt;&gt;"Inconclusive Effect",T495,"Inconclusive Effect")))</f>
        <v>#N/A</v>
      </c>
      <c r="L537" t="e">
        <f ca="1">IF(AND(T493&lt;&gt;"Inconclusive Effect",T496&lt;&gt;"Inconclusive Effect"),T493 &amp; CHAR(10) &amp; ". " &amp;T496,IF(T493&lt;&gt;"Inconclusive Effect",T493,IF(T496&lt;&gt;"Inconclusive Effect",T496,"Inconclusive Effect")))</f>
        <v>#N/A</v>
      </c>
    </row>
    <row r="538" spans="3:12" x14ac:dyDescent="0.3">
      <c r="C538" t="str">
        <f>"Summary"</f>
        <v>Summary</v>
      </c>
      <c r="D538" t="e">
        <f ca="1">IF(D534&lt;&gt;"Inconclusive Effect",D534,"")</f>
        <v>#N/A</v>
      </c>
      <c r="E538" t="e">
        <f ca="1">IF(E535&lt;&gt;"Inconclusive Effect",E535,"")</f>
        <v>#N/A</v>
      </c>
      <c r="F538" t="e">
        <f ca="1">IF(F535&lt;&gt;"Inconclusive Effect",F535,"")</f>
        <v>#N/A</v>
      </c>
      <c r="G538" t="e">
        <f ca="1">IF(G536&lt;&gt;"Inconclusive Effect",G536,"")</f>
        <v>#N/A</v>
      </c>
      <c r="H538" t="e">
        <f ca="1">IF(H536&lt;&gt;"Inconclusive Effect",H536,"")</f>
        <v>#N/A</v>
      </c>
      <c r="I538" t="e">
        <f ca="1">IF(I536&lt;&gt;"Inconclusive Effect",I536,"")</f>
        <v>#N/A</v>
      </c>
      <c r="J538" t="e">
        <f ca="1">IF(J537&lt;&gt;"Inconclusive Effect",J537,"")</f>
        <v>#N/A</v>
      </c>
      <c r="K538" t="e">
        <f ca="1">IF(K537&lt;&gt;"Inconclusive Effect",K537,"")</f>
        <v>#N/A</v>
      </c>
      <c r="L538" t="e">
        <f ca="1">IF(L537&lt;&gt;"Inconclusive Effect",L537,"")</f>
        <v>#N/A</v>
      </c>
    </row>
    <row r="540" spans="3:12" x14ac:dyDescent="0.3">
      <c r="C540" t="e">
        <f ca="1">_xludf.TEXTJOIN(". ",TRUE,D538:L538)</f>
        <v>#NAME?</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Output Text</vt:lpstr>
      <vt:lpstr>AAN</vt:lpstr>
      <vt:lpstr>ARCB</vt:lpstr>
      <vt:lpstr>B</vt:lpstr>
      <vt:lpstr>BVI.PA</vt:lpstr>
      <vt:lpstr>CIR</vt:lpstr>
      <vt:lpstr>600452.SS</vt:lpstr>
      <vt:lpstr>CIVB</vt:lpstr>
      <vt:lpstr>CFX</vt:lpstr>
      <vt:lpstr>DBV.PA</vt:lpstr>
      <vt:lpstr>UFS.TO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Stephen Walsh</cp:lastModifiedBy>
  <dcterms:created xsi:type="dcterms:W3CDTF">2017-07-28T00:37:17Z</dcterms:created>
  <dcterms:modified xsi:type="dcterms:W3CDTF">2017-07-28T00:40:10Z</dcterms:modified>
</cp:coreProperties>
</file>